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2.xml" ContentType="application/vnd.openxmlformats-officedocument.drawing+xml"/>
  <Override PartName="/xl/comments6.xml" ContentType="application/vnd.openxmlformats-officedocument.spreadsheetml.comments+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1.xml" ContentType="application/vnd.openxmlformats-officedocument.themeOverrid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heme/themeOverride2.xml" ContentType="application/vnd.openxmlformats-officedocument.themeOverrid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3.xml" ContentType="application/vnd.openxmlformats-officedocument.themeOverrid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4.xml" ContentType="application/vnd.openxmlformats-officedocument.themeOverrid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theme/themeOverride5.xml" ContentType="application/vnd.openxmlformats-officedocument.themeOverrid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theme/themeOverride6.xml" ContentType="application/vnd.openxmlformats-officedocument.themeOverrid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theme/themeOverride7.xml" ContentType="application/vnd.openxmlformats-officedocument.themeOverrid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theme/themeOverride8.xml" ContentType="application/vnd.openxmlformats-officedocument.themeOverrid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theme/themeOverride9.xml" ContentType="application/vnd.openxmlformats-officedocument.themeOverrid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theme/themeOverride10.xml" ContentType="application/vnd.openxmlformats-officedocument.themeOverrid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theme/themeOverride11.xml" ContentType="application/vnd.openxmlformats-officedocument.themeOverrid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theme/themeOverride12.xml" ContentType="application/vnd.openxmlformats-officedocument.themeOverrid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theme/themeOverride13.xml" ContentType="application/vnd.openxmlformats-officedocument.themeOverrid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theme/themeOverride14.xml" ContentType="application/vnd.openxmlformats-officedocument.themeOverrid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theme/themeOverride15.xml" ContentType="application/vnd.openxmlformats-officedocument.themeOverrid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theme/themeOverride16.xml" ContentType="application/vnd.openxmlformats-officedocument.themeOverrid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backupFile="1" codeName="ThisWorkbook"/>
  <mc:AlternateContent xmlns:mc="http://schemas.openxmlformats.org/markup-compatibility/2006">
    <mc:Choice Requires="x15">
      <x15ac:absPath xmlns:x15ac="http://schemas.microsoft.com/office/spreadsheetml/2010/11/ac" url="https://newstreet1385.sharepoint.com/sites/USInternet/Shared Documents/General/Companies/Shopify/"/>
    </mc:Choice>
  </mc:AlternateContent>
  <xr:revisionPtr revIDLastSave="709" documentId="8_{A8706924-9346-4849-A459-CF3142DDD01F}" xr6:coauthVersionLast="47" xr6:coauthVersionMax="47" xr10:uidLastSave="{9249D885-A9AD-45A4-A975-47BD5ACCC712}"/>
  <bookViews>
    <workbookView xWindow="30612" yWindow="-108" windowWidth="30936" windowHeight="16776" firstSheet="2" activeTab="2" xr2:uid="{BDC2F2A2-AA06-40A8-8E02-27BF9911B188}"/>
  </bookViews>
  <sheets>
    <sheet name="SheetList" sheetId="39" state="hidden" r:id="rId1"/>
    <sheet name="Old Changes to ests" sheetId="25" state="hidden" r:id="rId2"/>
    <sheet name="Summary" sheetId="1" r:id="rId3"/>
    <sheet name="DCF" sheetId="21" r:id="rId4"/>
    <sheet name="Scenario" sheetId="26" r:id="rId5"/>
    <sheet name="Income" sheetId="2" r:id="rId6"/>
    <sheet name="Revenue Build" sheetId="14" r:id="rId7"/>
    <sheet name="Balance Sheet" sheetId="12" r:id="rId8"/>
    <sheet name="Cash Flow" sheetId="13" r:id="rId9"/>
    <sheet name="Estimate Changes" sheetId="37" r:id="rId10"/>
    <sheet name="Quarterly Flash" sheetId="42" r:id="rId11"/>
    <sheet name="Charts" sheetId="35" r:id="rId12"/>
    <sheet name="Consensus" sheetId="40" r:id="rId13"/>
  </sheets>
  <definedNames>
    <definedName name="__123Graph_B" hidden="1">#REF!</definedName>
    <definedName name="__123Graph_C" hidden="1">#REF!</definedName>
    <definedName name="__123Graph_D" hidden="1">#REF!</definedName>
    <definedName name="__123Graph_E" hidden="1">#REF!</definedName>
    <definedName name="__123Graph_F" hidden="1">#REF!</definedName>
    <definedName name="_bdm.04b845b73b3049e1a34e758cd3867909.edm" hidden="1">'Balance Sheet'!$1:$1048576</definedName>
    <definedName name="_bdm.113ac399a99c4c3c9f6405b76157ee58.edm" localSheetId="1" hidden="1">'Old Changes to ests'!$D$8:$EG$23</definedName>
    <definedName name="_bdm.2499683e09b04fc8a3cbd23dc287f624.edm" localSheetId="1" hidden="1">'Old Changes to ests'!$D$8:$CW$23</definedName>
    <definedName name="_bdm.32aa88e27b884ad9a07666e71ae76e66.edm" hidden="1">Summary!$1:$1048576</definedName>
    <definedName name="_bdm.47c56f161eb4402da59f3313269290ad.edm" localSheetId="5" hidden="1">Income!$C$4:$DD$151</definedName>
    <definedName name="_bdm.49bd5a403c4a4e729c8c31d82fccf517.edm" localSheetId="5" hidden="1">Income!$C$4:$CY$151</definedName>
    <definedName name="_bdm.4c4bce58b1284636bfa0811fc773d8d8.edm" localSheetId="4" hidden="1">Scenario!$E$6:$J$32</definedName>
    <definedName name="_bdm.4fdfb267af9f41649e7629a54ee152f2.edm" hidden="1">Income!$1:$1048576</definedName>
    <definedName name="_bdm.62c8f1ba8f97401b81dff1c74cf2c514.edm" localSheetId="2" hidden="1">Summary!$B$11:$J$38</definedName>
    <definedName name="_bdm.64bb96627ad74fa994184916ebaf73be.edm" localSheetId="5" hidden="1">Income!$C$4:$DI$134</definedName>
    <definedName name="_bdm.6b7f58ae39ed4928abeb9b83832b8293.edm" hidden="1">#REF!</definedName>
    <definedName name="_bdm.761e8a575ebb4696be6e3d8b566e500b.edm" hidden="1">'Old Changes to ests'!$1:$1048576</definedName>
    <definedName name="_bdm.83687864e8154d00b4659f05442f36e5.edm" hidden="1">#REF!</definedName>
    <definedName name="_bdm.94c4bb4ab8aa4d52973378618e3b1dca.edm" localSheetId="8" hidden="1">'Cash Flow'!$C$4:$CY$60</definedName>
    <definedName name="_bdm.96c9c10b1f7e4c31940dc10209fcc10a.edm" localSheetId="8" hidden="1">'Cash Flow'!$C$4:$DI$59</definedName>
    <definedName name="_bdm.96f24956bbf041a68385b046422f672e.edm" localSheetId="6" hidden="1">'Revenue Build'!$C$4:$DI$97</definedName>
    <definedName name="_bdm.9f4d095a75be4918ab74790de225e13d.edm" hidden="1">'Revenue Build'!$1:$1048576</definedName>
    <definedName name="_bdm.a43b8a80216b4f92b395a2a9c8f2961b.edm" hidden="1">#REF!</definedName>
    <definedName name="_bdm.a5b5aca79e54450bbfca32bb3a417691.edm" localSheetId="5" hidden="1">Income!$C$4:$DI$118</definedName>
    <definedName name="_bdm.a93d58f476514a2f8ee6442cee7571a3.edm" localSheetId="8" hidden="1">'Cash Flow'!$C$4:$DD$61</definedName>
    <definedName name="_bdm.aa07e3f55c654e18a11dea08848b3265.edm" localSheetId="3" hidden="1">DCF!$B$6:$R$21</definedName>
    <definedName name="_bdm.c8a5d77f7f2f476bb943ab379663e0cf.edm" hidden="1">'Cash Flow'!$1:$1048576</definedName>
    <definedName name="_bdm.cf405877573f4c66ad7ffca9eba325a1.edm" hidden="1">#REF!</definedName>
    <definedName name="_bdm.d157794f691d4771b803fd05840f9f39.edm" localSheetId="2" hidden="1">Summary!$B$46:$M$53</definedName>
    <definedName name="_bdm.d3b9a395229c4778ad4eaedf0e99e2f2.edm" localSheetId="3" hidden="1">DCF!$B$2:$R$25</definedName>
    <definedName name="_bdm.d8f9a59123234be1a9685041ded133fe.edm" localSheetId="6" hidden="1">'Revenue Build'!$C$4:$DI$97</definedName>
    <definedName name="_bdm.dca45e7282c540649cdf5abf74d18a05.edm" hidden="1">DCF!$1:$1048576</definedName>
    <definedName name="_bdm.e6a7813434ea46ec9b0d793fadbe5a4b.edm" localSheetId="2" hidden="1">Summary!$B$11:$J$38</definedName>
    <definedName name="_bdm.e6f841bc120d40f38d8abe9bedaa816f.edm" localSheetId="1" hidden="1">'Old Changes to ests'!$D$8:$BN$23</definedName>
    <definedName name="_bdm.e70092ffc79f4011a69d8025b2c1164b.edm" hidden="1">Scenario!$1:$1048576</definedName>
    <definedName name="_bdm.ecf1b31b9ed24be4b36e4818caf7bdf3.edm" localSheetId="8" hidden="1">'Cash Flow'!$C$4:$DD$60</definedName>
    <definedName name="_bdm.edbb4d7d00194127a1fb74286f3920a2.edm" localSheetId="7" hidden="1">'Balance Sheet'!$C$4:$DI$75</definedName>
    <definedName name="_bdm.f21656decda3402ca3a0257dcabcca86.edm" localSheetId="2" hidden="1">Summary!$B$11:$B$38</definedName>
    <definedName name="blah">#REF!</definedName>
    <definedName name="frame_stop">#REF!</definedName>
    <definedName name="frame_stop_10">#REF!</definedName>
    <definedName name="frame_stop_2">Summary!$C$6</definedName>
    <definedName name="frame_stop_3">DCF!#REF!</definedName>
    <definedName name="frame_stop_4">Scenario!$F$13</definedName>
    <definedName name="frame_stop_5">Income!#REF!</definedName>
    <definedName name="frame_stop_6">'Estimate Changes'!#REF!</definedName>
    <definedName name="frame_stop_7">'Quarterly Flash'!$N$11</definedName>
    <definedName name="frame_stop_8">Charts!$F$5</definedName>
    <definedName name="frame_stop_9">Consensus!$D$6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TODAY" hidden="1">0</definedName>
    <definedName name="IQ_YTDMONTH" hidden="1">130000</definedName>
    <definedName name="SheetNames">SheetList!$A$1:$A$11</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0" i="21" l="1"/>
  <c r="M10" i="21" s="1"/>
  <c r="N10" i="21" s="1"/>
  <c r="O10" i="21" s="1"/>
  <c r="EL65" i="12"/>
  <c r="EQ65" i="12" s="1"/>
  <c r="EK65" i="12"/>
  <c r="EP65" i="12" s="1"/>
  <c r="EJ65" i="12"/>
  <c r="EO65" i="12" s="1"/>
  <c r="EI65" i="12"/>
  <c r="EN65" i="12" s="1"/>
  <c r="EE65" i="12"/>
  <c r="EF65" i="12"/>
  <c r="EG65" i="12"/>
  <c r="ED65" i="12"/>
  <c r="EK64" i="12"/>
  <c r="EP64" i="12" s="1"/>
  <c r="EF64" i="12"/>
  <c r="EA64" i="12"/>
  <c r="DZ58" i="12"/>
  <c r="EA58" i="12"/>
  <c r="EB58" i="12"/>
  <c r="DY58" i="12"/>
  <c r="W38" i="37"/>
  <c r="DU15" i="13" l="1"/>
  <c r="DU68" i="13"/>
  <c r="DU66" i="13"/>
  <c r="DU55" i="13"/>
  <c r="DU54" i="13"/>
  <c r="DU56" i="13" s="1"/>
  <c r="DU43" i="13"/>
  <c r="DU37" i="13"/>
  <c r="DU21" i="13"/>
  <c r="DU20" i="13"/>
  <c r="DU19" i="13"/>
  <c r="DU18" i="13"/>
  <c r="DU62" i="12"/>
  <c r="DU63" i="12" s="1"/>
  <c r="DU52" i="12"/>
  <c r="DU47" i="12"/>
  <c r="DU34" i="12"/>
  <c r="DU40" i="12" s="1"/>
  <c r="DU19" i="12"/>
  <c r="DU53" i="2"/>
  <c r="DU122" i="14"/>
  <c r="DU126" i="14" s="1"/>
  <c r="DU32" i="14"/>
  <c r="DU30" i="14" s="1"/>
  <c r="DU131" i="2"/>
  <c r="DU126" i="2"/>
  <c r="DU125" i="2"/>
  <c r="DU108" i="2"/>
  <c r="DU124" i="2" s="1"/>
  <c r="DU100" i="2"/>
  <c r="DU92" i="2"/>
  <c r="DU91" i="2"/>
  <c r="DU90" i="2"/>
  <c r="DU89" i="2"/>
  <c r="DU86" i="2"/>
  <c r="DU122" i="2" s="1"/>
  <c r="DU60" i="2"/>
  <c r="DU52" i="2"/>
  <c r="DU41" i="2"/>
  <c r="DU22" i="2"/>
  <c r="DU23" i="2" s="1"/>
  <c r="DU20" i="2"/>
  <c r="DU21" i="2" s="1"/>
  <c r="DU18" i="2"/>
  <c r="DU64" i="12" s="1"/>
  <c r="DU16" i="2"/>
  <c r="DU13" i="2"/>
  <c r="DU10" i="2"/>
  <c r="DU137" i="2" s="1"/>
  <c r="DU9" i="2"/>
  <c r="DU7" i="2"/>
  <c r="DU174" i="14"/>
  <c r="DU175" i="14"/>
  <c r="DU176" i="14"/>
  <c r="DU179" i="14"/>
  <c r="DU182" i="14"/>
  <c r="DU161" i="14"/>
  <c r="DU171" i="14" s="1"/>
  <c r="DU88" i="14"/>
  <c r="DU83" i="14"/>
  <c r="DU82" i="14"/>
  <c r="DU79" i="14"/>
  <c r="DU68" i="14"/>
  <c r="DU69" i="14" s="1"/>
  <c r="DU65" i="14"/>
  <c r="DU64" i="14"/>
  <c r="DU52" i="14"/>
  <c r="DU50" i="14"/>
  <c r="DU48" i="14"/>
  <c r="DU36" i="14"/>
  <c r="DU34" i="14"/>
  <c r="DU27" i="14"/>
  <c r="DU26" i="14"/>
  <c r="H30" i="26"/>
  <c r="G27" i="21"/>
  <c r="AO160" i="35"/>
  <c r="AN160" i="35"/>
  <c r="AM160" i="35"/>
  <c r="AL160" i="35"/>
  <c r="AK160" i="35"/>
  <c r="AJ160" i="35"/>
  <c r="AI160" i="35"/>
  <c r="AH160" i="35"/>
  <c r="AG160" i="35"/>
  <c r="AF160" i="35"/>
  <c r="AE160" i="35"/>
  <c r="AD160" i="35"/>
  <c r="AC160" i="35"/>
  <c r="AB160" i="35"/>
  <c r="AA160" i="35"/>
  <c r="AO166" i="35"/>
  <c r="AN166" i="35"/>
  <c r="AM166" i="35"/>
  <c r="AL166" i="35"/>
  <c r="AK166" i="35"/>
  <c r="AJ166" i="35"/>
  <c r="AI166" i="35"/>
  <c r="AH166" i="35"/>
  <c r="AG166" i="35"/>
  <c r="AF166" i="35"/>
  <c r="AE166" i="35"/>
  <c r="AD166" i="35"/>
  <c r="AC166" i="35"/>
  <c r="AB166" i="35"/>
  <c r="AA166" i="35"/>
  <c r="Z166" i="35"/>
  <c r="Y166" i="35"/>
  <c r="X166" i="35"/>
  <c r="W166" i="35"/>
  <c r="V166" i="35"/>
  <c r="W169" i="35"/>
  <c r="X169" i="35"/>
  <c r="Y169" i="35"/>
  <c r="Z169" i="35"/>
  <c r="AA169" i="35"/>
  <c r="AB169" i="35"/>
  <c r="AC169" i="35"/>
  <c r="AD169" i="35"/>
  <c r="AE169" i="35"/>
  <c r="AF169" i="35"/>
  <c r="AG169" i="35"/>
  <c r="AH169" i="35"/>
  <c r="AI169" i="35"/>
  <c r="AJ169" i="35"/>
  <c r="AK169" i="35"/>
  <c r="AL169" i="35"/>
  <c r="AM169" i="35"/>
  <c r="AN169" i="35"/>
  <c r="AO169" i="35"/>
  <c r="AU158" i="35"/>
  <c r="AV158" i="35"/>
  <c r="AW158" i="35"/>
  <c r="AT158" i="35"/>
  <c r="DT182" i="14"/>
  <c r="DT179" i="14"/>
  <c r="DT176" i="14"/>
  <c r="DT175" i="14"/>
  <c r="DT174" i="14"/>
  <c r="DO161" i="14"/>
  <c r="DO171" i="14" s="1"/>
  <c r="DT161" i="14"/>
  <c r="DT122" i="14"/>
  <c r="DO32" i="14"/>
  <c r="DO30" i="14" s="1"/>
  <c r="DP32" i="14"/>
  <c r="DP30" i="14" s="1"/>
  <c r="DR32" i="14"/>
  <c r="DR30" i="14" s="1"/>
  <c r="DT32" i="14"/>
  <c r="DT30" i="14" s="1"/>
  <c r="DT68" i="13"/>
  <c r="DT66" i="13"/>
  <c r="DT55" i="13"/>
  <c r="DT54" i="13"/>
  <c r="DT56" i="13" s="1"/>
  <c r="DT43" i="13"/>
  <c r="DT37" i="13"/>
  <c r="DT52" i="12"/>
  <c r="DT47" i="12"/>
  <c r="DT34" i="12"/>
  <c r="DT40" i="12" s="1"/>
  <c r="DT19" i="12"/>
  <c r="DT119" i="14"/>
  <c r="DT91" i="14"/>
  <c r="DT73" i="14"/>
  <c r="DT68" i="14"/>
  <c r="DT69" i="14" s="1"/>
  <c r="DT65" i="14"/>
  <c r="DT64" i="14"/>
  <c r="DT52" i="14"/>
  <c r="DT50" i="14"/>
  <c r="DT48" i="14"/>
  <c r="DT39" i="14"/>
  <c r="DT36" i="14"/>
  <c r="DT34" i="14"/>
  <c r="DT27" i="14"/>
  <c r="DT100" i="2"/>
  <c r="DT53" i="2"/>
  <c r="DT125" i="2" s="1"/>
  <c r="DT126" i="2"/>
  <c r="DT108" i="2"/>
  <c r="DT9" i="13" s="1"/>
  <c r="DT8" i="13" s="1"/>
  <c r="DT92" i="2"/>
  <c r="DT91" i="2"/>
  <c r="DT90" i="2"/>
  <c r="DT89" i="2"/>
  <c r="DT86" i="2"/>
  <c r="DT60" i="2"/>
  <c r="DT52" i="2"/>
  <c r="DT41" i="2"/>
  <c r="DT62" i="12" s="1"/>
  <c r="DT63" i="12" s="1"/>
  <c r="DT22" i="2"/>
  <c r="DT23" i="2" s="1"/>
  <c r="DT20" i="2"/>
  <c r="DT21" i="2" s="1"/>
  <c r="DT18" i="2"/>
  <c r="DT64" i="12" s="1"/>
  <c r="DT16" i="2"/>
  <c r="DT13" i="2"/>
  <c r="DT10" i="2"/>
  <c r="DT56" i="12" s="1"/>
  <c r="DT9" i="2"/>
  <c r="DT7" i="2"/>
  <c r="I39" i="42"/>
  <c r="I27" i="42"/>
  <c r="I22" i="42"/>
  <c r="I18" i="42"/>
  <c r="DU55" i="12" l="1"/>
  <c r="DU9" i="13"/>
  <c r="DU8" i="13" s="1"/>
  <c r="DU64" i="13"/>
  <c r="DU56" i="12"/>
  <c r="DU59" i="12"/>
  <c r="DU61" i="12"/>
  <c r="DU46" i="13"/>
  <c r="DU22" i="13"/>
  <c r="DU59" i="13"/>
  <c r="DU39" i="12"/>
  <c r="DU48" i="12"/>
  <c r="DU66" i="12"/>
  <c r="DU55" i="2"/>
  <c r="DU147" i="2"/>
  <c r="DU19" i="2"/>
  <c r="DU109" i="2"/>
  <c r="DU140" i="2"/>
  <c r="DU32" i="2"/>
  <c r="DU150" i="2"/>
  <c r="DU142" i="2"/>
  <c r="DU143" i="2"/>
  <c r="DU144" i="2"/>
  <c r="DU138" i="2"/>
  <c r="DU148" i="2"/>
  <c r="DU139" i="2"/>
  <c r="DU149" i="2"/>
  <c r="DU34" i="2"/>
  <c r="DU36" i="2"/>
  <c r="DU38" i="2"/>
  <c r="DU145" i="2"/>
  <c r="DU93" i="2"/>
  <c r="DU123" i="2" s="1"/>
  <c r="DU40" i="2"/>
  <c r="DU24" i="2"/>
  <c r="DU42" i="2"/>
  <c r="DU102" i="2"/>
  <c r="DU87" i="2"/>
  <c r="DU124" i="14"/>
  <c r="DU91" i="14"/>
  <c r="DU93" i="14" s="1"/>
  <c r="DT64" i="13"/>
  <c r="DT67" i="13" s="1"/>
  <c r="DT55" i="12"/>
  <c r="DT58" i="12" s="1"/>
  <c r="DT59" i="12"/>
  <c r="DT61" i="12"/>
  <c r="DT55" i="2"/>
  <c r="DT6" i="14"/>
  <c r="DT171" i="14"/>
  <c r="DT173" i="14"/>
  <c r="DO150" i="14"/>
  <c r="DO152" i="14"/>
  <c r="DO155" i="14"/>
  <c r="DO158" i="14"/>
  <c r="DO151" i="14"/>
  <c r="DT126" i="14"/>
  <c r="DT124" i="14"/>
  <c r="DT46" i="13"/>
  <c r="DT59" i="13"/>
  <c r="DT66" i="12"/>
  <c r="DT57" i="12"/>
  <c r="DT39" i="12"/>
  <c r="DT48" i="12"/>
  <c r="DT93" i="14"/>
  <c r="DT70" i="14"/>
  <c r="DT60" i="14"/>
  <c r="DT44" i="14"/>
  <c r="DT54" i="14"/>
  <c r="DT56" i="14"/>
  <c r="DT58" i="14"/>
  <c r="DT150" i="2"/>
  <c r="DT148" i="2"/>
  <c r="DT147" i="2"/>
  <c r="DT149" i="2"/>
  <c r="DT124" i="2"/>
  <c r="DT109" i="2"/>
  <c r="DT122" i="2"/>
  <c r="DT87" i="2"/>
  <c r="DT42" i="2"/>
  <c r="DT144" i="2"/>
  <c r="DT138" i="2"/>
  <c r="DT40" i="2"/>
  <c r="DT38" i="2"/>
  <c r="DT34" i="2"/>
  <c r="DT24" i="2"/>
  <c r="DT145" i="2"/>
  <c r="DT143" i="2"/>
  <c r="DT139" i="2"/>
  <c r="DT137" i="2"/>
  <c r="DT36" i="2"/>
  <c r="DT32" i="2"/>
  <c r="DT142" i="2"/>
  <c r="DT19" i="2"/>
  <c r="DT140" i="2"/>
  <c r="AU177" i="35"/>
  <c r="AV177" i="35"/>
  <c r="AW177" i="35"/>
  <c r="AT177" i="35"/>
  <c r="DT57" i="13" l="1"/>
  <c r="DU67" i="13"/>
  <c r="DU57" i="13"/>
  <c r="DU58" i="12"/>
  <c r="DU57" i="12"/>
  <c r="DU65" i="12"/>
  <c r="DU25" i="2"/>
  <c r="DU29" i="2"/>
  <c r="DU44" i="2"/>
  <c r="DT65" i="12"/>
  <c r="DT42" i="14"/>
  <c r="DT38" i="14"/>
  <c r="DT12" i="14"/>
  <c r="DT150" i="14"/>
  <c r="DT151" i="14"/>
  <c r="DT152" i="14"/>
  <c r="DT155" i="14"/>
  <c r="DT158" i="14"/>
  <c r="DO149" i="14"/>
  <c r="DO159" i="14" s="1"/>
  <c r="DT25" i="2"/>
  <c r="DT29" i="2"/>
  <c r="DT44" i="2"/>
  <c r="BC159" i="35"/>
  <c r="BD159" i="35"/>
  <c r="BE159" i="35"/>
  <c r="AX159" i="35"/>
  <c r="AY159" i="35"/>
  <c r="AZ159" i="35"/>
  <c r="BA159" i="35"/>
  <c r="BB159" i="35"/>
  <c r="DU46" i="2" l="1"/>
  <c r="DU56" i="2"/>
  <c r="DU74" i="2"/>
  <c r="DU48" i="2"/>
  <c r="DT149" i="14"/>
  <c r="DT159" i="14" s="1"/>
  <c r="DT74" i="2"/>
  <c r="DT56" i="2"/>
  <c r="DT46" i="2"/>
  <c r="DT48" i="2"/>
  <c r="M11" i="1"/>
  <c r="N11" i="1"/>
  <c r="L11" i="1"/>
  <c r="DU111" i="2" l="1"/>
  <c r="DU62" i="2"/>
  <c r="DU58" i="2"/>
  <c r="DT58" i="2"/>
  <c r="DT62" i="2"/>
  <c r="DU7" i="13" l="1"/>
  <c r="DU25" i="13" s="1"/>
  <c r="DU26" i="13" s="1"/>
  <c r="DU74" i="12"/>
  <c r="DU121" i="2"/>
  <c r="DU71" i="2"/>
  <c r="DU64" i="2"/>
  <c r="DU66" i="2"/>
  <c r="DU114" i="2"/>
  <c r="DT74" i="12"/>
  <c r="DT7" i="13"/>
  <c r="DT25" i="13" s="1"/>
  <c r="DT26" i="13" s="1"/>
  <c r="DT64" i="2"/>
  <c r="DT66" i="2"/>
  <c r="DT71" i="2"/>
  <c r="DT121" i="2"/>
  <c r="DA114" i="35"/>
  <c r="DF24" i="35"/>
  <c r="DG24" i="35"/>
  <c r="DH24" i="35"/>
  <c r="DF68" i="35"/>
  <c r="DF74" i="35" s="1"/>
  <c r="DG68" i="35"/>
  <c r="DG74" i="35" s="1"/>
  <c r="DH68" i="35"/>
  <c r="DH74" i="35" s="1"/>
  <c r="BB80" i="35"/>
  <c r="BG80" i="35"/>
  <c r="BL80" i="35"/>
  <c r="DU68" i="2" l="1"/>
  <c r="DU129" i="2"/>
  <c r="DU127" i="2"/>
  <c r="DT68" i="2"/>
  <c r="DU132" i="2" l="1"/>
  <c r="M59" i="1"/>
  <c r="M58" i="1"/>
  <c r="M57" i="1"/>
  <c r="L24" i="1"/>
  <c r="M24" i="1"/>
  <c r="N24" i="1"/>
  <c r="L30" i="1"/>
  <c r="M30" i="1"/>
  <c r="N30" i="1"/>
  <c r="L39" i="1"/>
  <c r="M39" i="1"/>
  <c r="N39" i="1"/>
  <c r="Z87" i="1" l="1"/>
  <c r="Z580" i="1" l="1"/>
  <c r="Z584" i="1"/>
  <c r="Z582" i="1"/>
  <c r="Z586" i="1"/>
  <c r="Z579" i="1"/>
  <c r="Z581" i="1"/>
  <c r="Z583" i="1"/>
  <c r="Z585" i="1"/>
  <c r="Z578" i="1"/>
  <c r="Z576" i="1"/>
  <c r="Z574" i="1"/>
  <c r="Z572" i="1"/>
  <c r="Z577" i="1"/>
  <c r="Z575" i="1"/>
  <c r="Z573" i="1"/>
  <c r="Z563" i="1"/>
  <c r="Z568" i="1"/>
  <c r="Z569" i="1"/>
  <c r="Z570" i="1"/>
  <c r="Z562" i="1"/>
  <c r="Z564" i="1"/>
  <c r="Z565" i="1"/>
  <c r="Z566" i="1"/>
  <c r="Z567" i="1"/>
  <c r="Z571" i="1"/>
  <c r="BG48" i="37" l="1"/>
  <c r="BE48" i="37"/>
  <c r="BB48" i="37"/>
  <c r="AZ48" i="37"/>
  <c r="ER45" i="13"/>
  <c r="ER44" i="13"/>
  <c r="ER42" i="13"/>
  <c r="ER40" i="13"/>
  <c r="ER39" i="13"/>
  <c r="ER36" i="13"/>
  <c r="ER35" i="13"/>
  <c r="ER34" i="13"/>
  <c r="ER33" i="13"/>
  <c r="EQ30" i="13"/>
  <c r="EP30" i="13"/>
  <c r="EO30" i="13"/>
  <c r="EN30" i="13"/>
  <c r="ER29" i="13"/>
  <c r="ER16" i="13"/>
  <c r="ER15" i="13"/>
  <c r="ER14" i="13"/>
  <c r="ER13" i="13"/>
  <c r="EM45" i="13"/>
  <c r="EM44" i="13"/>
  <c r="EM42" i="13"/>
  <c r="EM40" i="13"/>
  <c r="EM39" i="13"/>
  <c r="EM36" i="13"/>
  <c r="EM35" i="13"/>
  <c r="EM34" i="13"/>
  <c r="EM33" i="13"/>
  <c r="EL30" i="13"/>
  <c r="EK30" i="13"/>
  <c r="EJ30" i="13"/>
  <c r="EI30" i="13"/>
  <c r="EM29" i="13"/>
  <c r="EM16" i="13"/>
  <c r="EM15" i="13"/>
  <c r="EM14" i="13"/>
  <c r="EM13" i="13"/>
  <c r="EH45" i="13"/>
  <c r="EH44" i="13"/>
  <c r="EH42" i="13"/>
  <c r="EH40" i="13"/>
  <c r="EH39" i="13"/>
  <c r="EH36" i="13"/>
  <c r="EH35" i="13"/>
  <c r="EH34" i="13"/>
  <c r="EH33" i="13"/>
  <c r="EG30" i="13"/>
  <c r="EF30" i="13"/>
  <c r="EE30" i="13"/>
  <c r="ED30" i="13"/>
  <c r="EH29" i="13"/>
  <c r="EH16" i="13"/>
  <c r="EH15" i="13"/>
  <c r="EH14" i="13"/>
  <c r="EH13" i="13"/>
  <c r="ER43" i="12"/>
  <c r="ER33" i="12"/>
  <c r="EM43" i="12"/>
  <c r="EM33" i="12"/>
  <c r="EH43" i="12"/>
  <c r="EH33" i="12"/>
  <c r="EQ127" i="2"/>
  <c r="EP127" i="2"/>
  <c r="EO127" i="2"/>
  <c r="EN127" i="2"/>
  <c r="EQ126" i="2"/>
  <c r="EP126" i="2"/>
  <c r="EO126" i="2"/>
  <c r="EN126" i="2"/>
  <c r="EQ125" i="2"/>
  <c r="EP125" i="2"/>
  <c r="EO125" i="2"/>
  <c r="EN125" i="2"/>
  <c r="ER110" i="2"/>
  <c r="ER76" i="2"/>
  <c r="ER65" i="2"/>
  <c r="ER54" i="2"/>
  <c r="ER53" i="2"/>
  <c r="EL127" i="2"/>
  <c r="EK127" i="2"/>
  <c r="EJ127" i="2"/>
  <c r="EI127" i="2"/>
  <c r="EL126" i="2"/>
  <c r="EK126" i="2"/>
  <c r="EJ126" i="2"/>
  <c r="EI126" i="2"/>
  <c r="EL125" i="2"/>
  <c r="EK125" i="2"/>
  <c r="EJ125" i="2"/>
  <c r="EI125" i="2"/>
  <c r="EM110" i="2"/>
  <c r="EM76" i="2"/>
  <c r="EM65" i="2"/>
  <c r="EM54" i="2"/>
  <c r="EM53" i="2"/>
  <c r="EG127" i="2"/>
  <c r="EF127" i="2"/>
  <c r="EE127" i="2"/>
  <c r="ED127" i="2"/>
  <c r="EG126" i="2"/>
  <c r="EF126" i="2"/>
  <c r="EE126" i="2"/>
  <c r="ED126" i="2"/>
  <c r="EG125" i="2"/>
  <c r="EF125" i="2"/>
  <c r="EE125" i="2"/>
  <c r="ED125" i="2"/>
  <c r="EH110" i="2"/>
  <c r="EH76" i="2"/>
  <c r="EH65" i="2"/>
  <c r="EH54" i="2"/>
  <c r="EH53" i="2"/>
  <c r="DV21" i="12"/>
  <c r="DW21" i="12" s="1"/>
  <c r="DX21" i="12" s="1"/>
  <c r="DV18" i="12"/>
  <c r="DR19" i="12"/>
  <c r="DD18" i="12"/>
  <c r="CY18" i="12"/>
  <c r="CT18" i="12"/>
  <c r="CO18" i="12"/>
  <c r="CJ18" i="12"/>
  <c r="CE18" i="12"/>
  <c r="BZ18" i="12"/>
  <c r="BU18" i="12"/>
  <c r="DI18" i="12"/>
  <c r="DL19" i="12"/>
  <c r="DO19" i="12"/>
  <c r="DP19" i="12"/>
  <c r="DQ19" i="12"/>
  <c r="DM22" i="12"/>
  <c r="DM19" i="12"/>
  <c r="DN18" i="12"/>
  <c r="DS18" i="12"/>
  <c r="DI21" i="12"/>
  <c r="DD21" i="12"/>
  <c r="CY21" i="12"/>
  <c r="CT21" i="12"/>
  <c r="CO21" i="12"/>
  <c r="CJ21" i="12"/>
  <c r="CE21" i="12"/>
  <c r="BZ21" i="12"/>
  <c r="BU21" i="12"/>
  <c r="DN21" i="12"/>
  <c r="DS21" i="12"/>
  <c r="DI25" i="12"/>
  <c r="DS25" i="12"/>
  <c r="DV25" i="12" s="1"/>
  <c r="DW25" i="12" s="1"/>
  <c r="DX25" i="12" s="1"/>
  <c r="DY25" i="12" s="1"/>
  <c r="DZ25" i="12" s="1"/>
  <c r="EA25" i="12" s="1"/>
  <c r="EB25" i="12" s="1"/>
  <c r="EC25" i="12" s="1"/>
  <c r="ED25" i="12" s="1"/>
  <c r="EM30" i="13" l="1"/>
  <c r="EH126" i="2"/>
  <c r="EH30" i="13"/>
  <c r="EM126" i="2"/>
  <c r="ER126" i="2"/>
  <c r="ER125" i="2"/>
  <c r="ER30" i="13"/>
  <c r="EM125" i="2"/>
  <c r="EH125" i="2"/>
  <c r="EE25" i="12"/>
  <c r="DY21" i="12"/>
  <c r="DZ21" i="12" s="1"/>
  <c r="EA21" i="12" s="1"/>
  <c r="EB21" i="12" s="1"/>
  <c r="DW18" i="12"/>
  <c r="DY18" i="12" s="1"/>
  <c r="DZ18" i="12" s="1"/>
  <c r="EA18" i="12" s="1"/>
  <c r="EB18" i="12" s="1"/>
  <c r="DS19" i="12"/>
  <c r="DH19" i="12"/>
  <c r="DI19" i="12" s="1"/>
  <c r="DG19" i="12"/>
  <c r="DF19" i="12"/>
  <c r="DE19" i="12"/>
  <c r="DC19" i="12"/>
  <c r="DD19" i="12" s="1"/>
  <c r="DB19" i="12"/>
  <c r="DA19" i="12"/>
  <c r="CZ19" i="12"/>
  <c r="CX19" i="12"/>
  <c r="CW19" i="12"/>
  <c r="CV19" i="12"/>
  <c r="CU19" i="12"/>
  <c r="CS19" i="12"/>
  <c r="CR19" i="12"/>
  <c r="CQ19" i="12"/>
  <c r="CP19" i="12"/>
  <c r="CN19" i="12"/>
  <c r="CM19" i="12"/>
  <c r="CL19" i="12"/>
  <c r="CK19" i="12"/>
  <c r="CI19" i="12"/>
  <c r="CH19" i="12"/>
  <c r="CG19" i="12"/>
  <c r="CF19" i="12"/>
  <c r="CD19" i="12"/>
  <c r="CC19" i="12"/>
  <c r="CB19" i="12"/>
  <c r="CA19" i="12"/>
  <c r="BY19" i="12"/>
  <c r="BX19" i="12"/>
  <c r="BW19" i="12"/>
  <c r="BV19" i="12"/>
  <c r="BT19" i="12"/>
  <c r="BS19" i="12"/>
  <c r="BR19" i="12"/>
  <c r="BQ19" i="12"/>
  <c r="BQ26" i="12" s="1"/>
  <c r="DN19" i="12"/>
  <c r="DJ19" i="12"/>
  <c r="DK19" i="12"/>
  <c r="DR52" i="12"/>
  <c r="DR47" i="12"/>
  <c r="DR34" i="12"/>
  <c r="DR40" i="12" s="1"/>
  <c r="DR63" i="13"/>
  <c r="DR15" i="13"/>
  <c r="DR68" i="13"/>
  <c r="DR66" i="13"/>
  <c r="DR55" i="13"/>
  <c r="DR54" i="13"/>
  <c r="DR43" i="13"/>
  <c r="DR37" i="13"/>
  <c r="DR20" i="13"/>
  <c r="DR19" i="13"/>
  <c r="DR18" i="13"/>
  <c r="DN186" i="14"/>
  <c r="DS186" i="14"/>
  <c r="DS161" i="14"/>
  <c r="EF25" i="12" l="1"/>
  <c r="EC21" i="12"/>
  <c r="ED21" i="12"/>
  <c r="EE21" i="12" s="1"/>
  <c r="EF21" i="12" s="1"/>
  <c r="EG21" i="12" s="1"/>
  <c r="EC18" i="12"/>
  <c r="ED18" i="12"/>
  <c r="EE18" i="12" s="1"/>
  <c r="EF18" i="12" s="1"/>
  <c r="EG18" i="12" s="1"/>
  <c r="DX18" i="12"/>
  <c r="DD25" i="12"/>
  <c r="DN25" i="12" s="1"/>
  <c r="CY19" i="12"/>
  <c r="CJ19" i="12"/>
  <c r="BZ19" i="12"/>
  <c r="BU19" i="12"/>
  <c r="CE19" i="12"/>
  <c r="CT19" i="12"/>
  <c r="CO19" i="12"/>
  <c r="DR48" i="12"/>
  <c r="DR39" i="12"/>
  <c r="DR46" i="13"/>
  <c r="DR56" i="13"/>
  <c r="EG25" i="12" l="1"/>
  <c r="EH25" i="12" s="1"/>
  <c r="EI21" i="12"/>
  <c r="EJ21" i="12" s="1"/>
  <c r="EK21" i="12" s="1"/>
  <c r="EL21" i="12" s="1"/>
  <c r="EH21" i="12"/>
  <c r="EI18" i="12"/>
  <c r="EJ18" i="12" s="1"/>
  <c r="EK18" i="12" s="1"/>
  <c r="EL18" i="12" s="1"/>
  <c r="EH18" i="12"/>
  <c r="DR126" i="14"/>
  <c r="DQ122" i="14"/>
  <c r="DS122" i="14" s="1"/>
  <c r="DS140" i="14"/>
  <c r="DC114" i="35" s="1"/>
  <c r="DS171" i="14"/>
  <c r="DS174" i="14"/>
  <c r="DS175" i="14"/>
  <c r="DS177" i="14"/>
  <c r="DS179" i="14"/>
  <c r="DS181" i="14"/>
  <c r="DS83" i="14"/>
  <c r="DS63" i="14"/>
  <c r="DR64" i="14"/>
  <c r="DR65" i="14"/>
  <c r="DR68" i="14"/>
  <c r="DR69" i="14" s="1"/>
  <c r="DR73" i="14"/>
  <c r="DR52" i="14"/>
  <c r="DR50" i="14"/>
  <c r="DR48" i="14"/>
  <c r="DR34" i="14"/>
  <c r="DR36" i="14"/>
  <c r="DR39" i="14"/>
  <c r="DS25" i="14"/>
  <c r="DT26" i="14" s="1"/>
  <c r="DR26" i="14"/>
  <c r="DR27" i="14"/>
  <c r="DR108" i="2"/>
  <c r="DS86" i="2"/>
  <c r="DR82" i="2"/>
  <c r="DR83" i="2"/>
  <c r="DR84" i="2"/>
  <c r="DR85" i="2"/>
  <c r="DR100" i="2"/>
  <c r="DM86" i="2"/>
  <c r="DR53" i="2"/>
  <c r="DR125" i="2" s="1"/>
  <c r="DR126" i="2"/>
  <c r="DR131" i="2"/>
  <c r="DR59" i="13" s="1"/>
  <c r="DR7" i="2"/>
  <c r="DR9" i="2"/>
  <c r="DR10" i="2"/>
  <c r="DR13" i="2"/>
  <c r="DR16" i="2"/>
  <c r="DR18" i="2"/>
  <c r="DR20" i="2"/>
  <c r="DR21" i="2" s="1"/>
  <c r="DR22" i="2"/>
  <c r="DR23" i="2" s="1"/>
  <c r="DR41" i="2"/>
  <c r="DR52" i="2"/>
  <c r="DR60" i="2"/>
  <c r="DR58" i="14" l="1"/>
  <c r="DT40" i="14"/>
  <c r="EI25" i="12"/>
  <c r="EN21" i="12"/>
  <c r="EO21" i="12" s="1"/>
  <c r="EP21" i="12" s="1"/>
  <c r="EQ21" i="12" s="1"/>
  <c r="ER21" i="12" s="1"/>
  <c r="EM21" i="12"/>
  <c r="EN18" i="12"/>
  <c r="EO18" i="12" s="1"/>
  <c r="EP18" i="12" s="1"/>
  <c r="EQ18" i="12" s="1"/>
  <c r="ER18" i="12" s="1"/>
  <c r="EM18" i="12"/>
  <c r="DR38" i="2"/>
  <c r="AW174" i="35"/>
  <c r="AX163" i="35" s="1"/>
  <c r="DR86" i="2"/>
  <c r="DR87" i="2" s="1"/>
  <c r="DR32" i="2"/>
  <c r="DW32" i="2" s="1"/>
  <c r="DR56" i="14"/>
  <c r="DR137" i="2"/>
  <c r="DR40" i="2"/>
  <c r="DR145" i="2"/>
  <c r="DR55" i="2"/>
  <c r="DR42" i="2"/>
  <c r="DR62" i="12"/>
  <c r="DR63" i="12" s="1"/>
  <c r="DR139" i="2"/>
  <c r="DR56" i="12"/>
  <c r="DR55" i="12"/>
  <c r="DR64" i="13"/>
  <c r="DR59" i="12"/>
  <c r="DR61" i="12"/>
  <c r="DR144" i="2"/>
  <c r="DR102" i="2"/>
  <c r="DR143" i="2"/>
  <c r="DR19" i="2"/>
  <c r="DR142" i="2"/>
  <c r="DR109" i="2"/>
  <c r="DR9" i="13"/>
  <c r="DR8" i="13" s="1"/>
  <c r="DR36" i="2"/>
  <c r="DW36" i="2" s="1"/>
  <c r="DR24" i="2"/>
  <c r="DR29" i="2" s="1"/>
  <c r="DR64" i="12"/>
  <c r="DR138" i="2"/>
  <c r="DR34" i="2"/>
  <c r="DR148" i="2"/>
  <c r="DR44" i="14"/>
  <c r="DS79" i="14"/>
  <c r="DS36" i="14"/>
  <c r="DR60" i="14"/>
  <c r="DS149" i="14"/>
  <c r="DS126" i="14"/>
  <c r="DR124" i="2"/>
  <c r="DR70" i="14"/>
  <c r="DT71" i="14" s="1"/>
  <c r="DT76" i="14" s="1"/>
  <c r="DR150" i="2"/>
  <c r="DR54" i="14"/>
  <c r="DS157" i="14"/>
  <c r="DR149" i="2"/>
  <c r="DS155" i="14"/>
  <c r="DR140" i="2"/>
  <c r="DS151" i="14"/>
  <c r="DS138" i="14"/>
  <c r="DS153" i="14"/>
  <c r="DS150" i="14"/>
  <c r="EJ25" i="12" l="1"/>
  <c r="DR122" i="2"/>
  <c r="DR93" i="2"/>
  <c r="DR89" i="2" s="1"/>
  <c r="DR147" i="2" s="1"/>
  <c r="DR25" i="2"/>
  <c r="DR44" i="2"/>
  <c r="DR74" i="2" s="1"/>
  <c r="DR67" i="13"/>
  <c r="DR57" i="13"/>
  <c r="DR58" i="12"/>
  <c r="DR57" i="12"/>
  <c r="DR66" i="12"/>
  <c r="DR65" i="12"/>
  <c r="DS124" i="14"/>
  <c r="DS159" i="14"/>
  <c r="DS132" i="14"/>
  <c r="DS130" i="14"/>
  <c r="DS136" i="14"/>
  <c r="DS135" i="14"/>
  <c r="DR123" i="2" l="1"/>
  <c r="EK25" i="12"/>
  <c r="DR48" i="2"/>
  <c r="DR46" i="2"/>
  <c r="DR56" i="2"/>
  <c r="DR62" i="2" s="1"/>
  <c r="DR7" i="13" s="1"/>
  <c r="DR25" i="13" s="1"/>
  <c r="DR26" i="13" s="1"/>
  <c r="DS128" i="14"/>
  <c r="DS134" i="14" s="1"/>
  <c r="DR111" i="2"/>
  <c r="EL25" i="12" l="1"/>
  <c r="DS129" i="14"/>
  <c r="DR58" i="2"/>
  <c r="DR127" i="2" s="1"/>
  <c r="DR121" i="2"/>
  <c r="DR129" i="2" s="1"/>
  <c r="DR132" i="2" s="1"/>
  <c r="DR66" i="2"/>
  <c r="DR64" i="2"/>
  <c r="DR71" i="2"/>
  <c r="DR114" i="2"/>
  <c r="EM25" i="12" l="1"/>
  <c r="DR68" i="2"/>
  <c r="EN25" i="12" l="1"/>
  <c r="EO25" i="12" l="1"/>
  <c r="EP25" i="12" l="1"/>
  <c r="EQ25" i="12" l="1"/>
  <c r="I87" i="1"/>
  <c r="X87" i="1"/>
  <c r="V87" i="1"/>
  <c r="U87" i="1"/>
  <c r="DQ22" i="12"/>
  <c r="DQ15" i="13"/>
  <c r="DQ54" i="2"/>
  <c r="DQ53" i="2"/>
  <c r="U579" i="1" l="1"/>
  <c r="U581" i="1"/>
  <c r="U583" i="1"/>
  <c r="U585" i="1"/>
  <c r="U582" i="1"/>
  <c r="U584" i="1"/>
  <c r="U586" i="1"/>
  <c r="U580" i="1"/>
  <c r="X584" i="1"/>
  <c r="X586" i="1"/>
  <c r="X579" i="1"/>
  <c r="X581" i="1"/>
  <c r="X583" i="1"/>
  <c r="X585" i="1"/>
  <c r="X580" i="1"/>
  <c r="X582" i="1"/>
  <c r="I580" i="1"/>
  <c r="I584" i="1"/>
  <c r="I585" i="1"/>
  <c r="I582" i="1"/>
  <c r="I579" i="1"/>
  <c r="I581" i="1"/>
  <c r="I583" i="1"/>
  <c r="I586" i="1"/>
  <c r="X578" i="1"/>
  <c r="X576" i="1"/>
  <c r="X574" i="1"/>
  <c r="X572" i="1"/>
  <c r="X577" i="1"/>
  <c r="X575" i="1"/>
  <c r="X573" i="1"/>
  <c r="U577" i="1"/>
  <c r="U575" i="1"/>
  <c r="U573" i="1"/>
  <c r="U578" i="1"/>
  <c r="U576" i="1"/>
  <c r="U574" i="1"/>
  <c r="U572" i="1"/>
  <c r="I578" i="1"/>
  <c r="I576" i="1"/>
  <c r="I574" i="1"/>
  <c r="I572" i="1"/>
  <c r="I577" i="1"/>
  <c r="I575" i="1"/>
  <c r="I573" i="1"/>
  <c r="ER25" i="12"/>
  <c r="I562" i="1"/>
  <c r="I568" i="1"/>
  <c r="I563" i="1"/>
  <c r="I567" i="1"/>
  <c r="I564" i="1"/>
  <c r="I566" i="1"/>
  <c r="I571" i="1"/>
  <c r="I565" i="1"/>
  <c r="I570" i="1"/>
  <c r="I569" i="1"/>
  <c r="X568" i="1"/>
  <c r="X569" i="1"/>
  <c r="X570" i="1"/>
  <c r="X571" i="1"/>
  <c r="X563" i="1"/>
  <c r="X564" i="1"/>
  <c r="X565" i="1"/>
  <c r="X566" i="1"/>
  <c r="X567" i="1"/>
  <c r="X562" i="1"/>
  <c r="U563" i="1"/>
  <c r="U567" i="1"/>
  <c r="U564" i="1"/>
  <c r="U562" i="1"/>
  <c r="U568" i="1"/>
  <c r="U566" i="1"/>
  <c r="U569" i="1"/>
  <c r="U570" i="1"/>
  <c r="U571" i="1"/>
  <c r="U565" i="1"/>
  <c r="Z533" i="1"/>
  <c r="Z225" i="1"/>
  <c r="Z199" i="1"/>
  <c r="Z453" i="1"/>
  <c r="Z212" i="1"/>
  <c r="Z470" i="1"/>
  <c r="Z217" i="1"/>
  <c r="Z167" i="1"/>
  <c r="Z477" i="1"/>
  <c r="Z204" i="1"/>
  <c r="Z502" i="1"/>
  <c r="Z189" i="1"/>
  <c r="Z135" i="1"/>
  <c r="Z485" i="1"/>
  <c r="Z176" i="1"/>
  <c r="Z536" i="1"/>
  <c r="Z161" i="1"/>
  <c r="Z103" i="1"/>
  <c r="Z445" i="1"/>
  <c r="Z240" i="1"/>
  <c r="Z438" i="1"/>
  <c r="Z95" i="1"/>
  <c r="Z174" i="1"/>
  <c r="Z447" i="1"/>
  <c r="Z543" i="1"/>
  <c r="Z277" i="1"/>
  <c r="Z360" i="1"/>
  <c r="Z104" i="1"/>
  <c r="Z187" i="1"/>
  <c r="Z266" i="1"/>
  <c r="Z478" i="1"/>
  <c r="Z241" i="1"/>
  <c r="Z183" i="1"/>
  <c r="Z465" i="1"/>
  <c r="Z384" i="1"/>
  <c r="Z128" i="1"/>
  <c r="Z211" i="1"/>
  <c r="Z290" i="1"/>
  <c r="Z454" i="1"/>
  <c r="Z561" i="1"/>
  <c r="Z311" i="1"/>
  <c r="Z553" i="1"/>
  <c r="Z528" i="1"/>
  <c r="Z297" i="1"/>
  <c r="Z380" i="1"/>
  <c r="Z124" i="1"/>
  <c r="Z207" i="1"/>
  <c r="Z286" i="1"/>
  <c r="Z458" i="1"/>
  <c r="Z520" i="1"/>
  <c r="Z215" i="1"/>
  <c r="Z455" i="1"/>
  <c r="Z460" i="1"/>
  <c r="Z357" i="1"/>
  <c r="Z101" i="1"/>
  <c r="Z184" i="1"/>
  <c r="Z267" i="1"/>
  <c r="Z346" i="1"/>
  <c r="Z90" i="1"/>
  <c r="Z531" i="1"/>
  <c r="Z440" i="1"/>
  <c r="Z464" i="1"/>
  <c r="Z472" i="1"/>
  <c r="Z404" i="1"/>
  <c r="Z506" i="1"/>
  <c r="Z330" i="1"/>
  <c r="Z354" i="1"/>
  <c r="Z456" i="1"/>
  <c r="Z100" i="1"/>
  <c r="Z410" i="1"/>
  <c r="Z153" i="1"/>
  <c r="Z406" i="1"/>
  <c r="Z517" i="1"/>
  <c r="Z140" i="1"/>
  <c r="Z475" i="1"/>
  <c r="Z125" i="1"/>
  <c r="Z374" i="1"/>
  <c r="Z417" i="1"/>
  <c r="Z112" i="1"/>
  <c r="Z507" i="1"/>
  <c r="Z97" i="1"/>
  <c r="Z342" i="1"/>
  <c r="Z409" i="1"/>
  <c r="Z423" i="1"/>
  <c r="Z542" i="1"/>
  <c r="Z89" i="1"/>
  <c r="Z310" i="1"/>
  <c r="Z509" i="1"/>
  <c r="Z148" i="1"/>
  <c r="Z443" i="1"/>
  <c r="Z398" i="1"/>
  <c r="Z142" i="1"/>
  <c r="Z479" i="1"/>
  <c r="Z457" i="1"/>
  <c r="Z245" i="1"/>
  <c r="Z328" i="1"/>
  <c r="Z411" i="1"/>
  <c r="Z155" i="1"/>
  <c r="Z234" i="1"/>
  <c r="Z510" i="1"/>
  <c r="Z145" i="1"/>
  <c r="Z422" i="1"/>
  <c r="Z397" i="1"/>
  <c r="Z352" i="1"/>
  <c r="Z96" i="1"/>
  <c r="Z179" i="1"/>
  <c r="Z258" i="1"/>
  <c r="Z486" i="1"/>
  <c r="Z305" i="1"/>
  <c r="Z247" i="1"/>
  <c r="Z484" i="1"/>
  <c r="Z437" i="1"/>
  <c r="Z265" i="1"/>
  <c r="Z348" i="1"/>
  <c r="Z92" i="1"/>
  <c r="Z175" i="1"/>
  <c r="Z254" i="1"/>
  <c r="Z490" i="1"/>
  <c r="Z273" i="1"/>
  <c r="Z119" i="1"/>
  <c r="Z487" i="1"/>
  <c r="Z492" i="1"/>
  <c r="Z325" i="1"/>
  <c r="Z408" i="1"/>
  <c r="Z152" i="1"/>
  <c r="Z235" i="1"/>
  <c r="Z314" i="1"/>
  <c r="Z430" i="1"/>
  <c r="Z559" i="1"/>
  <c r="Z396" i="1"/>
  <c r="Z432" i="1"/>
  <c r="Z251" i="1"/>
  <c r="Z109" i="1"/>
  <c r="Z523" i="1"/>
  <c r="Z271" i="1"/>
  <c r="Z205" i="1"/>
  <c r="Z436" i="1"/>
  <c r="Z400" i="1"/>
  <c r="Z278" i="1"/>
  <c r="Z377" i="1"/>
  <c r="Z387" i="1"/>
  <c r="Z448" i="1"/>
  <c r="Z372" i="1"/>
  <c r="Z246" i="1"/>
  <c r="Z353" i="1"/>
  <c r="Z359" i="1"/>
  <c r="Z413" i="1"/>
  <c r="Z364" i="1"/>
  <c r="Z214" i="1"/>
  <c r="Z345" i="1"/>
  <c r="Z351" i="1"/>
  <c r="Z480" i="1"/>
  <c r="Z336" i="1"/>
  <c r="Z182" i="1"/>
  <c r="Z385" i="1"/>
  <c r="Z415" i="1"/>
  <c r="Z554" i="1"/>
  <c r="Z366" i="1"/>
  <c r="Z110" i="1"/>
  <c r="Z511" i="1"/>
  <c r="Z489" i="1"/>
  <c r="Z213" i="1"/>
  <c r="Z296" i="1"/>
  <c r="Z379" i="1"/>
  <c r="Z123" i="1"/>
  <c r="Z202" i="1"/>
  <c r="Z552" i="1"/>
  <c r="Z388" i="1"/>
  <c r="Z326" i="1"/>
  <c r="Z301" i="1"/>
  <c r="Z320" i="1"/>
  <c r="Z403" i="1"/>
  <c r="Z147" i="1"/>
  <c r="Z226" i="1"/>
  <c r="Z518" i="1"/>
  <c r="Z209" i="1"/>
  <c r="Z151" i="1"/>
  <c r="Z433" i="1"/>
  <c r="Z469" i="1"/>
  <c r="Z233" i="1"/>
  <c r="Z316" i="1"/>
  <c r="Z399" i="1"/>
  <c r="Z143" i="1"/>
  <c r="Z222" i="1"/>
  <c r="Z522" i="1"/>
  <c r="Z177" i="1"/>
  <c r="Z358" i="1"/>
  <c r="Z524" i="1"/>
  <c r="Z532" i="1"/>
  <c r="Z293" i="1"/>
  <c r="Z376" i="1"/>
  <c r="Z120" i="1"/>
  <c r="Z203" i="1"/>
  <c r="Z282" i="1"/>
  <c r="Z462" i="1"/>
  <c r="Z538" i="1"/>
  <c r="Z274" i="1"/>
  <c r="Z383" i="1"/>
  <c r="Z349" i="1"/>
  <c r="Z337" i="1"/>
  <c r="Z238" i="1"/>
  <c r="Z539" i="1"/>
  <c r="Z98" i="1"/>
  <c r="Z188" i="1"/>
  <c r="Z421" i="1"/>
  <c r="Z467" i="1"/>
  <c r="Z500" i="1"/>
  <c r="Z308" i="1"/>
  <c r="Z150" i="1"/>
  <c r="Z313" i="1"/>
  <c r="Z295" i="1"/>
  <c r="Z512" i="1"/>
  <c r="Z300" i="1"/>
  <c r="Z118" i="1"/>
  <c r="Z285" i="1"/>
  <c r="Z287" i="1"/>
  <c r="Z468" i="1"/>
  <c r="Z272" i="1"/>
  <c r="Z541" i="1"/>
  <c r="Z257" i="1"/>
  <c r="Z259" i="1"/>
  <c r="Z429" i="1"/>
  <c r="Z244" i="1"/>
  <c r="Z434" i="1"/>
  <c r="Z321" i="1"/>
  <c r="Z323" i="1"/>
  <c r="Z255" i="1"/>
  <c r="Z334" i="1"/>
  <c r="Z557" i="1"/>
  <c r="Z550" i="1"/>
  <c r="Z521" i="1"/>
  <c r="Z181" i="1"/>
  <c r="Z264" i="1"/>
  <c r="Z347" i="1"/>
  <c r="Z91" i="1"/>
  <c r="Z170" i="1"/>
  <c r="Z451" i="1"/>
  <c r="Z292" i="1"/>
  <c r="Z262" i="1"/>
  <c r="Z269" i="1"/>
  <c r="Z288" i="1"/>
  <c r="Z371" i="1"/>
  <c r="Z115" i="1"/>
  <c r="Z194" i="1"/>
  <c r="Z427" i="1"/>
  <c r="Z113" i="1"/>
  <c r="Z390" i="1"/>
  <c r="Z529" i="1"/>
  <c r="Z501" i="1"/>
  <c r="Z201" i="1"/>
  <c r="Z284" i="1"/>
  <c r="Z367" i="1"/>
  <c r="Z111" i="1"/>
  <c r="Z190" i="1"/>
  <c r="Z431" i="1"/>
  <c r="Z420" i="1"/>
  <c r="Z230" i="1"/>
  <c r="Z516" i="1"/>
  <c r="Z441" i="1"/>
  <c r="Z261" i="1"/>
  <c r="Z344" i="1"/>
  <c r="Z88" i="1"/>
  <c r="Z171" i="1"/>
  <c r="Z250" i="1"/>
  <c r="Z494" i="1"/>
  <c r="Z391" i="1"/>
  <c r="Z242" i="1"/>
  <c r="Z327" i="1"/>
  <c r="Z476" i="1"/>
  <c r="Z558" i="1"/>
  <c r="Z275" i="1"/>
  <c r="Z361" i="1"/>
  <c r="Z527" i="1"/>
  <c r="Z165" i="1"/>
  <c r="Z449" i="1"/>
  <c r="Z236" i="1"/>
  <c r="Z466" i="1"/>
  <c r="Z221" i="1"/>
  <c r="Z195" i="1"/>
  <c r="Z461" i="1"/>
  <c r="Z208" i="1"/>
  <c r="Z498" i="1"/>
  <c r="Z193" i="1"/>
  <c r="Z163" i="1"/>
  <c r="Z556" i="1"/>
  <c r="Z180" i="1"/>
  <c r="Z530" i="1"/>
  <c r="Z185" i="1"/>
  <c r="Z131" i="1"/>
  <c r="Z493" i="1"/>
  <c r="Z172" i="1"/>
  <c r="Z439" i="1"/>
  <c r="Z249" i="1"/>
  <c r="Z227" i="1"/>
  <c r="Z223" i="1"/>
  <c r="Z302" i="1"/>
  <c r="Z442" i="1"/>
  <c r="Z537" i="1"/>
  <c r="Z405" i="1"/>
  <c r="Z149" i="1"/>
  <c r="Z232" i="1"/>
  <c r="Z315" i="1"/>
  <c r="Z394" i="1"/>
  <c r="Z138" i="1"/>
  <c r="Z483" i="1"/>
  <c r="Z228" i="1"/>
  <c r="Z166" i="1"/>
  <c r="Z173" i="1"/>
  <c r="Z256" i="1"/>
  <c r="Z339" i="1"/>
  <c r="Z418" i="1"/>
  <c r="Z162" i="1"/>
  <c r="Z459" i="1"/>
  <c r="Z356" i="1"/>
  <c r="Z294" i="1"/>
  <c r="Z365" i="1"/>
  <c r="Z425" i="1"/>
  <c r="Z169" i="1"/>
  <c r="Z252" i="1"/>
  <c r="Z335" i="1"/>
  <c r="Z414" i="1"/>
  <c r="Z158" i="1"/>
  <c r="Z463" i="1"/>
  <c r="Z324" i="1"/>
  <c r="Z134" i="1"/>
  <c r="Z497" i="1"/>
  <c r="Z473" i="1"/>
  <c r="Z229" i="1"/>
  <c r="Z312" i="1"/>
  <c r="Z395" i="1"/>
  <c r="Z139" i="1"/>
  <c r="Z218" i="1"/>
  <c r="Z526" i="1"/>
  <c r="Z381" i="1"/>
  <c r="Z355" i="1"/>
  <c r="Z306" i="1"/>
  <c r="Z424" i="1"/>
  <c r="Z519" i="1"/>
  <c r="Z102" i="1"/>
  <c r="Z94" i="1"/>
  <c r="Z248" i="1"/>
  <c r="Z513" i="1"/>
  <c r="Z144" i="1"/>
  <c r="Z471" i="1"/>
  <c r="Z129" i="1"/>
  <c r="Z402" i="1"/>
  <c r="Z525" i="1"/>
  <c r="Z116" i="1"/>
  <c r="Z503" i="1"/>
  <c r="Z121" i="1"/>
  <c r="Z370" i="1"/>
  <c r="Z481" i="1"/>
  <c r="Z108" i="1"/>
  <c r="Z534" i="1"/>
  <c r="Z93" i="1"/>
  <c r="Z338" i="1"/>
  <c r="Z401" i="1"/>
  <c r="Z419" i="1"/>
  <c r="Z546" i="1"/>
  <c r="Z157" i="1"/>
  <c r="Z99" i="1"/>
  <c r="Z191" i="1"/>
  <c r="Z270" i="1"/>
  <c r="Z474" i="1"/>
  <c r="Z444" i="1"/>
  <c r="Z373" i="1"/>
  <c r="Z117" i="1"/>
  <c r="Z200" i="1"/>
  <c r="Z283" i="1"/>
  <c r="Z362" i="1"/>
  <c r="Z106" i="1"/>
  <c r="Z515" i="1"/>
  <c r="Z132" i="1"/>
  <c r="Z450" i="1"/>
  <c r="Z141" i="1"/>
  <c r="Z224" i="1"/>
  <c r="Z307" i="1"/>
  <c r="Z386" i="1"/>
  <c r="Z130" i="1"/>
  <c r="Z491" i="1"/>
  <c r="Z260" i="1"/>
  <c r="Z198" i="1"/>
  <c r="Z237" i="1"/>
  <c r="Z393" i="1"/>
  <c r="Z137" i="1"/>
  <c r="Z220" i="1"/>
  <c r="Z303" i="1"/>
  <c r="Z382" i="1"/>
  <c r="Z126" i="1"/>
  <c r="Z495" i="1"/>
  <c r="Z196" i="1"/>
  <c r="Z547" i="1"/>
  <c r="Z333" i="1"/>
  <c r="Z505" i="1"/>
  <c r="Z197" i="1"/>
  <c r="Z280" i="1"/>
  <c r="Z363" i="1"/>
  <c r="Z107" i="1"/>
  <c r="Z186" i="1"/>
  <c r="Z435" i="1"/>
  <c r="Z210" i="1"/>
  <c r="Z168" i="1"/>
  <c r="Z192" i="1"/>
  <c r="Z105" i="1"/>
  <c r="Z482" i="1"/>
  <c r="Z154" i="1"/>
  <c r="Z317" i="1"/>
  <c r="Z319" i="1"/>
  <c r="Z504" i="1"/>
  <c r="Z304" i="1"/>
  <c r="Z146" i="1"/>
  <c r="Z289" i="1"/>
  <c r="Z291" i="1"/>
  <c r="Z548" i="1"/>
  <c r="Z276" i="1"/>
  <c r="Z114" i="1"/>
  <c r="Z281" i="1"/>
  <c r="Z263" i="1"/>
  <c r="Z535" i="1"/>
  <c r="Z268" i="1"/>
  <c r="Z549" i="1"/>
  <c r="Z253" i="1"/>
  <c r="Z231" i="1"/>
  <c r="Z496" i="1"/>
  <c r="Z332" i="1"/>
  <c r="Z178" i="1"/>
  <c r="Z127" i="1"/>
  <c r="Z206" i="1"/>
  <c r="Z544" i="1"/>
  <c r="Z508" i="1"/>
  <c r="Z309" i="1"/>
  <c r="Z392" i="1"/>
  <c r="Z136" i="1"/>
  <c r="Z219" i="1"/>
  <c r="Z298" i="1"/>
  <c r="Z446" i="1"/>
  <c r="Z545" i="1"/>
  <c r="Z279" i="1"/>
  <c r="Z452" i="1"/>
  <c r="Z416" i="1"/>
  <c r="Z160" i="1"/>
  <c r="Z243" i="1"/>
  <c r="Z322" i="1"/>
  <c r="Z555" i="1"/>
  <c r="Z540" i="1"/>
  <c r="Z407" i="1"/>
  <c r="Z514" i="1"/>
  <c r="Z488" i="1"/>
  <c r="Z329" i="1"/>
  <c r="Z412" i="1"/>
  <c r="Z156" i="1"/>
  <c r="Z239" i="1"/>
  <c r="Z318" i="1"/>
  <c r="Z426" i="1"/>
  <c r="Z551" i="1"/>
  <c r="Z343" i="1"/>
  <c r="Z560" i="1"/>
  <c r="Z428" i="1"/>
  <c r="Z389" i="1"/>
  <c r="Z133" i="1"/>
  <c r="Z216" i="1"/>
  <c r="Z299" i="1"/>
  <c r="Z378" i="1"/>
  <c r="Z122" i="1"/>
  <c r="Z499" i="1"/>
  <c r="Z369" i="1"/>
  <c r="Z368" i="1"/>
  <c r="Z340" i="1"/>
  <c r="Z159" i="1"/>
  <c r="Z341" i="1"/>
  <c r="Z375" i="1"/>
  <c r="Z164" i="1"/>
  <c r="Z350" i="1"/>
  <c r="Z331" i="1"/>
  <c r="DQ68" i="13"/>
  <c r="DQ66" i="13"/>
  <c r="DQ55" i="13"/>
  <c r="DQ54" i="13"/>
  <c r="DQ43" i="13"/>
  <c r="DQ37" i="13"/>
  <c r="DQ21" i="13"/>
  <c r="DQ20" i="13"/>
  <c r="DQ19" i="13"/>
  <c r="DQ18" i="13"/>
  <c r="DQ52" i="12"/>
  <c r="DQ47" i="12"/>
  <c r="DQ34" i="12"/>
  <c r="DQ40" i="12" s="1"/>
  <c r="DQ149" i="14"/>
  <c r="DQ126" i="14"/>
  <c r="DQ119" i="14"/>
  <c r="DQ82" i="14"/>
  <c r="DQ79" i="14"/>
  <c r="DQ73" i="14"/>
  <c r="DQ68" i="14"/>
  <c r="DQ69" i="14" s="1"/>
  <c r="DQ65" i="14"/>
  <c r="DQ64" i="14"/>
  <c r="DQ50" i="14"/>
  <c r="DQ39" i="14"/>
  <c r="DQ36" i="14"/>
  <c r="DQ34" i="14"/>
  <c r="DQ27" i="14"/>
  <c r="DQ26" i="14"/>
  <c r="DQ131" i="2"/>
  <c r="DQ126" i="2"/>
  <c r="DQ125" i="2"/>
  <c r="DQ108" i="2"/>
  <c r="DQ124" i="2" s="1"/>
  <c r="DQ100" i="2"/>
  <c r="DQ92" i="2"/>
  <c r="DQ91" i="2"/>
  <c r="DQ90" i="2"/>
  <c r="DQ89" i="2"/>
  <c r="DQ86" i="2"/>
  <c r="DQ122" i="2" s="1"/>
  <c r="DQ60" i="2"/>
  <c r="DQ52" i="2"/>
  <c r="DQ41" i="2"/>
  <c r="DQ22" i="2"/>
  <c r="DQ23" i="2" s="1"/>
  <c r="DQ20" i="2"/>
  <c r="DQ21" i="2" s="1"/>
  <c r="DQ18" i="2"/>
  <c r="DQ64" i="12" s="1"/>
  <c r="DQ16" i="2"/>
  <c r="DQ13" i="2"/>
  <c r="DQ10" i="2"/>
  <c r="DQ9" i="2"/>
  <c r="DQ7" i="2"/>
  <c r="E25" i="37" a="1"/>
  <c r="E22" i="37" a="1"/>
  <c r="DQ137" i="2" l="1"/>
  <c r="AV174" i="35"/>
  <c r="AW163" i="35" s="1"/>
  <c r="DQ60" i="14"/>
  <c r="DR40" i="14"/>
  <c r="DQ124" i="14"/>
  <c r="DQ6" i="14"/>
  <c r="DQ171" i="14" s="1"/>
  <c r="DQ44" i="14"/>
  <c r="DQ70" i="14"/>
  <c r="DR71" i="14" s="1"/>
  <c r="DR76" i="14" s="1"/>
  <c r="DQ46" i="13"/>
  <c r="DQ22" i="13"/>
  <c r="DQ9" i="13"/>
  <c r="DQ8" i="13" s="1"/>
  <c r="DQ62" i="12"/>
  <c r="DQ63" i="12" s="1"/>
  <c r="DQ34" i="2"/>
  <c r="DQ55" i="12"/>
  <c r="DQ66" i="12" s="1"/>
  <c r="DQ38" i="2"/>
  <c r="DQ59" i="12"/>
  <c r="DQ56" i="12"/>
  <c r="DQ61" i="12"/>
  <c r="DQ64" i="13"/>
  <c r="DQ67" i="13" s="1"/>
  <c r="DQ36" i="2"/>
  <c r="DV36" i="2" s="1"/>
  <c r="DQ56" i="14"/>
  <c r="DQ102" i="2"/>
  <c r="DQ56" i="13"/>
  <c r="DQ48" i="12"/>
  <c r="DQ39" i="12"/>
  <c r="DQ91" i="14"/>
  <c r="DQ80" i="14"/>
  <c r="DQ109" i="2"/>
  <c r="DQ138" i="2"/>
  <c r="DQ19" i="2"/>
  <c r="DQ147" i="2"/>
  <c r="DQ139" i="2"/>
  <c r="DQ148" i="2"/>
  <c r="DQ140" i="2"/>
  <c r="DQ149" i="2"/>
  <c r="DQ143" i="2"/>
  <c r="DQ32" i="2"/>
  <c r="DV32" i="2" s="1"/>
  <c r="DQ150" i="2"/>
  <c r="DQ55" i="2"/>
  <c r="DQ142" i="2"/>
  <c r="DQ145" i="2"/>
  <c r="DQ40" i="2"/>
  <c r="DQ87" i="2"/>
  <c r="DQ144" i="2"/>
  <c r="DQ93" i="2"/>
  <c r="DQ123" i="2" s="1"/>
  <c r="DQ24" i="2"/>
  <c r="DQ42" i="2"/>
  <c r="E25" i="37"/>
  <c r="E22" i="37"/>
  <c r="DQ165" i="14" l="1"/>
  <c r="DQ42" i="14"/>
  <c r="DQ93" i="14"/>
  <c r="DQ12" i="14"/>
  <c r="DQ162" i="14"/>
  <c r="DQ163" i="14"/>
  <c r="DQ38" i="14"/>
  <c r="DQ169" i="14"/>
  <c r="DQ167" i="14"/>
  <c r="DQ161" i="14"/>
  <c r="DQ58" i="12"/>
  <c r="DQ57" i="12"/>
  <c r="DQ59" i="13"/>
  <c r="DQ65" i="12"/>
  <c r="DQ57" i="13"/>
  <c r="DQ25" i="2"/>
  <c r="DQ44" i="2"/>
  <c r="DQ29" i="2"/>
  <c r="D25" i="37"/>
  <c r="C25" i="37"/>
  <c r="B25" i="37"/>
  <c r="C22" i="37"/>
  <c r="D22" i="37"/>
  <c r="B22" i="37"/>
  <c r="DQ74" i="2" l="1"/>
  <c r="DQ46" i="2"/>
  <c r="DQ56" i="2"/>
  <c r="DQ48" i="2"/>
  <c r="DQ111" i="2" l="1"/>
  <c r="DR113" i="2" s="1"/>
  <c r="DQ62" i="2"/>
  <c r="DQ58" i="2"/>
  <c r="DQ7" i="13" l="1"/>
  <c r="DQ25" i="13" s="1"/>
  <c r="DQ26" i="13" s="1"/>
  <c r="DQ74" i="12"/>
  <c r="DQ66" i="2"/>
  <c r="DQ64" i="2"/>
  <c r="DQ121" i="2"/>
  <c r="DQ71" i="2"/>
  <c r="DQ114" i="2"/>
  <c r="DH62" i="13"/>
  <c r="DP52" i="14"/>
  <c r="DM63" i="13"/>
  <c r="E178" i="35"/>
  <c r="E179" i="35"/>
  <c r="E185" i="35"/>
  <c r="E186" i="35"/>
  <c r="E187" i="35"/>
  <c r="AQ84" i="35"/>
  <c r="AP84" i="35"/>
  <c r="AO84" i="35"/>
  <c r="AQ87" i="35"/>
  <c r="AP87" i="35"/>
  <c r="AO87" i="35"/>
  <c r="AQ91" i="35"/>
  <c r="AQ92" i="35"/>
  <c r="AQ93" i="35"/>
  <c r="AP93" i="35"/>
  <c r="AP92" i="35"/>
  <c r="AP91" i="35"/>
  <c r="AO91" i="35"/>
  <c r="AO92" i="35"/>
  <c r="AO93" i="35"/>
  <c r="AN91" i="35"/>
  <c r="AN92" i="35"/>
  <c r="AN93" i="35"/>
  <c r="V169" i="35"/>
  <c r="AP163" i="35"/>
  <c r="AO163" i="35"/>
  <c r="AN163" i="35"/>
  <c r="AM163" i="35"/>
  <c r="AL163" i="35"/>
  <c r="AK163" i="35"/>
  <c r="AJ163" i="35"/>
  <c r="AI163" i="35"/>
  <c r="AH163" i="35"/>
  <c r="AG163" i="35"/>
  <c r="AF163" i="35"/>
  <c r="AE163" i="35"/>
  <c r="AD163" i="35"/>
  <c r="AC163" i="35"/>
  <c r="AB163" i="35"/>
  <c r="AA163" i="35"/>
  <c r="AV159" i="35"/>
  <c r="AU159" i="35"/>
  <c r="AT159" i="35"/>
  <c r="AS159" i="35"/>
  <c r="AR159" i="35"/>
  <c r="DE68" i="14"/>
  <c r="DE69" i="14" s="1"/>
  <c r="DF68" i="14"/>
  <c r="DF69" i="14" s="1"/>
  <c r="DG68" i="14"/>
  <c r="DG69" i="14" s="1"/>
  <c r="DH68" i="14"/>
  <c r="DH69" i="14" s="1"/>
  <c r="DJ68" i="14"/>
  <c r="DJ69" i="14" s="1"/>
  <c r="DK68" i="14"/>
  <c r="DK69" i="14" s="1"/>
  <c r="DL68" i="14"/>
  <c r="DL69" i="14" s="1"/>
  <c r="DM68" i="14"/>
  <c r="DM69" i="14" s="1"/>
  <c r="DO68" i="14"/>
  <c r="DO69" i="14" s="1"/>
  <c r="DP68" i="14"/>
  <c r="DP69" i="14" s="1"/>
  <c r="DM32" i="14"/>
  <c r="DM31" i="14"/>
  <c r="DL32" i="14"/>
  <c r="DL31" i="14"/>
  <c r="DK32" i="14"/>
  <c r="DK31" i="14"/>
  <c r="DJ32" i="14"/>
  <c r="DJ31" i="14"/>
  <c r="DH32" i="14"/>
  <c r="DH31" i="14"/>
  <c r="DG32" i="14"/>
  <c r="DG31" i="14"/>
  <c r="DF32" i="14"/>
  <c r="DF31" i="14"/>
  <c r="DE32" i="14"/>
  <c r="DE31" i="14"/>
  <c r="CZ30" i="14"/>
  <c r="DP149" i="14"/>
  <c r="DN140" i="14"/>
  <c r="DX147" i="14"/>
  <c r="EC147" i="14" s="1"/>
  <c r="EH147" i="14" s="1"/>
  <c r="EM147" i="14" s="1"/>
  <c r="ER147" i="14" s="1"/>
  <c r="DX145" i="14"/>
  <c r="EC145" i="14" s="1"/>
  <c r="EH145" i="14" s="1"/>
  <c r="EM145" i="14" s="1"/>
  <c r="ER145" i="14" s="1"/>
  <c r="DX143" i="14"/>
  <c r="EC143" i="14" s="1"/>
  <c r="EH143" i="14" s="1"/>
  <c r="EM143" i="14" s="1"/>
  <c r="ER143" i="14" s="1"/>
  <c r="CO140" i="14"/>
  <c r="CJ140" i="14"/>
  <c r="CE140" i="14"/>
  <c r="BZ140" i="14"/>
  <c r="EC65" i="2"/>
  <c r="DX65" i="2"/>
  <c r="DS65" i="2"/>
  <c r="DI65" i="2"/>
  <c r="DN65" i="2"/>
  <c r="DX140" i="14" l="1"/>
  <c r="DB114" i="35"/>
  <c r="DQ129" i="2"/>
  <c r="DQ127" i="2"/>
  <c r="DQ68" i="2"/>
  <c r="DF30" i="14"/>
  <c r="DJ30" i="14"/>
  <c r="DH30" i="14"/>
  <c r="DE30" i="14"/>
  <c r="DM30" i="14"/>
  <c r="DK30" i="14"/>
  <c r="DG30" i="14"/>
  <c r="DL30" i="14"/>
  <c r="EC140" i="14" l="1"/>
  <c r="DD114" i="35"/>
  <c r="DQ132" i="2"/>
  <c r="DR134" i="2" s="1"/>
  <c r="DE114" i="35" l="1"/>
  <c r="DE115" i="35" s="1"/>
  <c r="EH140" i="14"/>
  <c r="DP131" i="2"/>
  <c r="BU45" i="12"/>
  <c r="BU44" i="12"/>
  <c r="BZ45" i="12"/>
  <c r="BZ44" i="12"/>
  <c r="CE45" i="12"/>
  <c r="CE44" i="12"/>
  <c r="CJ45" i="12"/>
  <c r="CJ44" i="12"/>
  <c r="CO45" i="12"/>
  <c r="CO44" i="12"/>
  <c r="CT45" i="12"/>
  <c r="CT44" i="12"/>
  <c r="CY45" i="12"/>
  <c r="CY44" i="12"/>
  <c r="DD45" i="12"/>
  <c r="DD44" i="12"/>
  <c r="DI45" i="12"/>
  <c r="DI44" i="12"/>
  <c r="DW65" i="12"/>
  <c r="DV65" i="12"/>
  <c r="DJ62" i="13"/>
  <c r="DM62" i="13" s="1"/>
  <c r="DP55" i="13"/>
  <c r="DO55" i="13"/>
  <c r="DM55" i="13"/>
  <c r="DL55" i="13"/>
  <c r="DK55" i="13"/>
  <c r="DJ55" i="13"/>
  <c r="DH55" i="13"/>
  <c r="DG55" i="13"/>
  <c r="DF55" i="13"/>
  <c r="DE55" i="13"/>
  <c r="CZ55" i="13"/>
  <c r="CU55" i="13"/>
  <c r="CP55" i="13"/>
  <c r="CK55" i="13"/>
  <c r="CF55" i="13"/>
  <c r="CA55" i="13"/>
  <c r="BV55" i="13"/>
  <c r="BQ55" i="13"/>
  <c r="DP54" i="13"/>
  <c r="DO54" i="13"/>
  <c r="DL54" i="13"/>
  <c r="DK54" i="13"/>
  <c r="DJ54" i="13"/>
  <c r="DH54" i="13"/>
  <c r="DG54" i="13"/>
  <c r="DF54" i="13"/>
  <c r="DE54" i="13"/>
  <c r="CZ54" i="13"/>
  <c r="DM54" i="13"/>
  <c r="DO62" i="13"/>
  <c r="DR62" i="13" s="1"/>
  <c r="BU45" i="13"/>
  <c r="BZ45" i="13"/>
  <c r="CE45" i="13"/>
  <c r="CJ45" i="13"/>
  <c r="CO45" i="13"/>
  <c r="CT45" i="13"/>
  <c r="CY45" i="13"/>
  <c r="DD45" i="13"/>
  <c r="DI45" i="13"/>
  <c r="DN45" i="13"/>
  <c r="BU33" i="13"/>
  <c r="BU32" i="13"/>
  <c r="BU31" i="13"/>
  <c r="BZ33" i="13"/>
  <c r="BZ32" i="13"/>
  <c r="BZ31" i="13"/>
  <c r="CE33" i="13"/>
  <c r="CE32" i="13"/>
  <c r="CE31" i="13"/>
  <c r="CJ33" i="13"/>
  <c r="CJ32" i="13"/>
  <c r="CJ31" i="13"/>
  <c r="CO33" i="13"/>
  <c r="CO32" i="13"/>
  <c r="CO31" i="13"/>
  <c r="CT33" i="13"/>
  <c r="CT32" i="13"/>
  <c r="CT31" i="13"/>
  <c r="CY33" i="13"/>
  <c r="CY32" i="13"/>
  <c r="CY31" i="13"/>
  <c r="DD33" i="13"/>
  <c r="DD32" i="13"/>
  <c r="DD31" i="13"/>
  <c r="DI33" i="13"/>
  <c r="DI32" i="13"/>
  <c r="DI31" i="13"/>
  <c r="BU16" i="13"/>
  <c r="BU14" i="13"/>
  <c r="BU12" i="13"/>
  <c r="BZ12" i="13"/>
  <c r="BZ14" i="13"/>
  <c r="BZ16" i="13"/>
  <c r="CE16" i="13"/>
  <c r="CE14" i="13"/>
  <c r="CE12" i="13"/>
  <c r="CJ12" i="13"/>
  <c r="CJ14" i="13"/>
  <c r="CJ16" i="13"/>
  <c r="CO16" i="13"/>
  <c r="CO14" i="13"/>
  <c r="CO12" i="13"/>
  <c r="CT12" i="13"/>
  <c r="CT14" i="13"/>
  <c r="CT16" i="13"/>
  <c r="CY16" i="13"/>
  <c r="CY14" i="13"/>
  <c r="CY12" i="13"/>
  <c r="DD12" i="13"/>
  <c r="DD14" i="13"/>
  <c r="DD16" i="13"/>
  <c r="DI16" i="13"/>
  <c r="DI14" i="13"/>
  <c r="DI15" i="13"/>
  <c r="DI13" i="13"/>
  <c r="DI12" i="13"/>
  <c r="DP60" i="2"/>
  <c r="DO60" i="2"/>
  <c r="DN61" i="2"/>
  <c r="DM60" i="2"/>
  <c r="DL60" i="2"/>
  <c r="DK60" i="2"/>
  <c r="DJ60" i="2"/>
  <c r="DN59" i="2"/>
  <c r="DI61" i="2"/>
  <c r="DG60" i="2"/>
  <c r="DF60" i="2"/>
  <c r="DE60" i="2"/>
  <c r="DI59" i="2"/>
  <c r="DD61" i="2"/>
  <c r="DB60" i="2"/>
  <c r="DA60" i="2"/>
  <c r="CZ60" i="2"/>
  <c r="DD59" i="2"/>
  <c r="CY61" i="2"/>
  <c r="CX60" i="2"/>
  <c r="CW60" i="2"/>
  <c r="CV60" i="2"/>
  <c r="CU60" i="2"/>
  <c r="CY59" i="2"/>
  <c r="CT61" i="2"/>
  <c r="CS60" i="2"/>
  <c r="CR60" i="2"/>
  <c r="CQ60" i="2"/>
  <c r="CP60" i="2"/>
  <c r="CT59" i="2"/>
  <c r="CO61" i="2"/>
  <c r="CN60" i="2"/>
  <c r="CM60" i="2"/>
  <c r="CL60" i="2"/>
  <c r="CK60" i="2"/>
  <c r="CO59" i="2"/>
  <c r="CJ61" i="2"/>
  <c r="CI60" i="2"/>
  <c r="CH60" i="2"/>
  <c r="CG60" i="2"/>
  <c r="CF60" i="2"/>
  <c r="CJ59" i="2"/>
  <c r="CE61" i="2"/>
  <c r="CD60" i="2"/>
  <c r="CC60" i="2"/>
  <c r="CB60" i="2"/>
  <c r="CA60" i="2"/>
  <c r="CE59" i="2"/>
  <c r="BZ61" i="2"/>
  <c r="BY60" i="2"/>
  <c r="BX60" i="2"/>
  <c r="BW60" i="2"/>
  <c r="BV60" i="2"/>
  <c r="BZ59" i="2"/>
  <c r="BU61" i="2"/>
  <c r="BU59" i="2"/>
  <c r="DO108" i="2"/>
  <c r="E32" i="37" a="1"/>
  <c r="E31" i="37" a="1"/>
  <c r="DF114" i="35" l="1"/>
  <c r="DF115" i="35" s="1"/>
  <c r="EM140" i="14"/>
  <c r="CT60" i="2"/>
  <c r="DN60" i="2"/>
  <c r="BZ60" i="2"/>
  <c r="CJ60" i="2"/>
  <c r="CE60" i="2"/>
  <c r="CO60" i="2"/>
  <c r="CY60" i="2"/>
  <c r="DS59" i="2"/>
  <c r="E31" i="37"/>
  <c r="E32" i="37"/>
  <c r="DG114" i="35" l="1"/>
  <c r="DG115" i="35" s="1"/>
  <c r="ER140" i="14"/>
  <c r="DH114" i="35" s="1"/>
  <c r="DH115" i="35" s="1"/>
  <c r="DS61" i="2"/>
  <c r="DV61" i="2"/>
  <c r="DW61" i="2" s="1"/>
  <c r="DY61" i="2" s="1"/>
  <c r="DV59" i="2"/>
  <c r="DW59" i="2" s="1"/>
  <c r="DY59" i="2" s="1"/>
  <c r="C32" i="37"/>
  <c r="D32" i="37"/>
  <c r="B32" i="37"/>
  <c r="B31" i="37"/>
  <c r="C31" i="37"/>
  <c r="D31" i="37"/>
  <c r="DX59" i="2" l="1"/>
  <c r="DZ61" i="2"/>
  <c r="EA61" i="2" s="1"/>
  <c r="EB61" i="2" s="1"/>
  <c r="ED61" i="2" s="1"/>
  <c r="DX61" i="2"/>
  <c r="DZ59" i="2"/>
  <c r="EA59" i="2" s="1"/>
  <c r="EB59" i="2" s="1"/>
  <c r="ED59" i="2" s="1"/>
  <c r="EE61" i="2" l="1"/>
  <c r="EE59" i="2"/>
  <c r="EC61" i="2"/>
  <c r="EC59" i="2"/>
  <c r="EF61" i="2" l="1"/>
  <c r="EG61" i="2" s="1"/>
  <c r="EI61" i="2" s="1"/>
  <c r="EH61" i="2"/>
  <c r="EF59" i="2"/>
  <c r="DP92" i="2"/>
  <c r="DP91" i="2"/>
  <c r="DP90" i="2"/>
  <c r="DP89" i="2"/>
  <c r="DO92" i="2"/>
  <c r="DO91" i="2"/>
  <c r="DO90" i="2"/>
  <c r="DO89" i="2"/>
  <c r="DH85" i="2"/>
  <c r="DI85" i="2" s="1"/>
  <c r="DH84" i="2"/>
  <c r="DI84" i="2" s="1"/>
  <c r="DH83" i="2"/>
  <c r="DI83" i="2" s="1"/>
  <c r="DN83" i="2"/>
  <c r="DN84" i="2"/>
  <c r="DN85" i="2"/>
  <c r="DK92" i="2"/>
  <c r="DK91" i="2"/>
  <c r="DK90" i="2"/>
  <c r="DK89" i="2"/>
  <c r="DL92" i="2"/>
  <c r="DL91" i="2"/>
  <c r="DL90" i="2"/>
  <c r="DL89" i="2"/>
  <c r="DJ92" i="2"/>
  <c r="DJ91" i="2"/>
  <c r="DJ90" i="2"/>
  <c r="DJ89" i="2"/>
  <c r="DG90" i="2"/>
  <c r="DI90" i="2" s="1"/>
  <c r="DG91" i="2"/>
  <c r="DI91" i="2" s="1"/>
  <c r="DG92" i="2"/>
  <c r="DI92" i="2" s="1"/>
  <c r="DG89" i="2"/>
  <c r="DN99" i="2"/>
  <c r="DN98" i="2"/>
  <c r="DN97" i="2"/>
  <c r="DN96" i="2"/>
  <c r="DI99" i="2"/>
  <c r="DI98" i="2"/>
  <c r="DI97" i="2"/>
  <c r="DI96" i="2"/>
  <c r="DE86" i="2"/>
  <c r="DG86" i="2"/>
  <c r="DG122" i="2" s="1"/>
  <c r="DF86" i="2"/>
  <c r="DL86" i="2"/>
  <c r="DK86" i="2"/>
  <c r="DJ86" i="2"/>
  <c r="DJ100" i="2"/>
  <c r="DK100" i="2"/>
  <c r="DP100" i="2"/>
  <c r="DU101" i="2" s="1"/>
  <c r="DG100" i="2"/>
  <c r="DH86" i="2"/>
  <c r="DL100" i="2"/>
  <c r="DQ101" i="2" s="1"/>
  <c r="DC99" i="2"/>
  <c r="DB99" i="2"/>
  <c r="DA99" i="2"/>
  <c r="CZ99" i="2"/>
  <c r="CX99" i="2"/>
  <c r="CW99" i="2"/>
  <c r="CV99" i="2"/>
  <c r="CU99" i="2"/>
  <c r="CS99" i="2"/>
  <c r="CR99" i="2"/>
  <c r="CQ99" i="2"/>
  <c r="CP99" i="2"/>
  <c r="CN99" i="2"/>
  <c r="CM99" i="2"/>
  <c r="CL99" i="2"/>
  <c r="CK99" i="2"/>
  <c r="CI99" i="2"/>
  <c r="CH99" i="2"/>
  <c r="CG99" i="2"/>
  <c r="CF99" i="2"/>
  <c r="CD99" i="2"/>
  <c r="CC99" i="2"/>
  <c r="CB99" i="2"/>
  <c r="CA99" i="2"/>
  <c r="BY99" i="2"/>
  <c r="BX99" i="2"/>
  <c r="BW99" i="2"/>
  <c r="BV99" i="2"/>
  <c r="DC98" i="2"/>
  <c r="DB98" i="2"/>
  <c r="DA98" i="2"/>
  <c r="CZ98" i="2"/>
  <c r="CX98" i="2"/>
  <c r="CW98" i="2"/>
  <c r="CV98" i="2"/>
  <c r="CU98" i="2"/>
  <c r="CS98" i="2"/>
  <c r="CR98" i="2"/>
  <c r="CQ98" i="2"/>
  <c r="CP98" i="2"/>
  <c r="CN98" i="2"/>
  <c r="CM98" i="2"/>
  <c r="CL98" i="2"/>
  <c r="CK98" i="2"/>
  <c r="CI98" i="2"/>
  <c r="CH98" i="2"/>
  <c r="CG98" i="2"/>
  <c r="CF98" i="2"/>
  <c r="CD98" i="2"/>
  <c r="CC98" i="2"/>
  <c r="CB98" i="2"/>
  <c r="CA98" i="2"/>
  <c r="BY98" i="2"/>
  <c r="BX98" i="2"/>
  <c r="BW98" i="2"/>
  <c r="BV98" i="2"/>
  <c r="DC97" i="2"/>
  <c r="DB97" i="2"/>
  <c r="DA97" i="2"/>
  <c r="CZ97" i="2"/>
  <c r="CX97" i="2"/>
  <c r="CW97" i="2"/>
  <c r="CV97" i="2"/>
  <c r="CU97" i="2"/>
  <c r="CS97" i="2"/>
  <c r="CR97" i="2"/>
  <c r="CQ97" i="2"/>
  <c r="CP97" i="2"/>
  <c r="CN97" i="2"/>
  <c r="CM97" i="2"/>
  <c r="CL97" i="2"/>
  <c r="CK97" i="2"/>
  <c r="CI97" i="2"/>
  <c r="CH97" i="2"/>
  <c r="CG97" i="2"/>
  <c r="CF97" i="2"/>
  <c r="CD97" i="2"/>
  <c r="CC97" i="2"/>
  <c r="CB97" i="2"/>
  <c r="CA97" i="2"/>
  <c r="BY97" i="2"/>
  <c r="BX97" i="2"/>
  <c r="BW97" i="2"/>
  <c r="BV97" i="2"/>
  <c r="DC96" i="2"/>
  <c r="DB96" i="2"/>
  <c r="DA96" i="2"/>
  <c r="CZ96" i="2"/>
  <c r="CX96" i="2"/>
  <c r="CW96" i="2"/>
  <c r="CV96" i="2"/>
  <c r="CU96" i="2"/>
  <c r="CS96" i="2"/>
  <c r="CR96" i="2"/>
  <c r="CQ96" i="2"/>
  <c r="CP96" i="2"/>
  <c r="CN96" i="2"/>
  <c r="CM96" i="2"/>
  <c r="CL96" i="2"/>
  <c r="CK96" i="2"/>
  <c r="CI96" i="2"/>
  <c r="CH96" i="2"/>
  <c r="CG96" i="2"/>
  <c r="CF96" i="2"/>
  <c r="CD96" i="2"/>
  <c r="CC96" i="2"/>
  <c r="CB96" i="2"/>
  <c r="CA96" i="2"/>
  <c r="BY96" i="2"/>
  <c r="BX96" i="2"/>
  <c r="BW96" i="2"/>
  <c r="BV96" i="2"/>
  <c r="BR96" i="2"/>
  <c r="BS96" i="2"/>
  <c r="BT96" i="2"/>
  <c r="BR97" i="2"/>
  <c r="BS97" i="2"/>
  <c r="BT97" i="2"/>
  <c r="BR98" i="2"/>
  <c r="BS98" i="2"/>
  <c r="BT98" i="2"/>
  <c r="BR99" i="2"/>
  <c r="BS99" i="2"/>
  <c r="BT99" i="2"/>
  <c r="BQ97" i="2"/>
  <c r="BQ98" i="2"/>
  <c r="BQ99" i="2"/>
  <c r="BQ96" i="2"/>
  <c r="DO123" i="14"/>
  <c r="DP123" i="14"/>
  <c r="EG59" i="2" l="1"/>
  <c r="EI59" i="2" s="1"/>
  <c r="EJ59" i="2" s="1"/>
  <c r="EK59" i="2" s="1"/>
  <c r="EL59" i="2" s="1"/>
  <c r="EH59" i="2"/>
  <c r="EJ61" i="2"/>
  <c r="EK61" i="2" s="1"/>
  <c r="EL61" i="2" s="1"/>
  <c r="DD99" i="2"/>
  <c r="BZ97" i="2"/>
  <c r="CO97" i="2"/>
  <c r="DD97" i="2"/>
  <c r="CY98" i="2"/>
  <c r="CE99" i="2"/>
  <c r="CT99" i="2"/>
  <c r="DN90" i="2"/>
  <c r="DN91" i="2"/>
  <c r="CT98" i="2"/>
  <c r="CT96" i="2"/>
  <c r="CO98" i="2"/>
  <c r="DN92" i="2"/>
  <c r="CY96" i="2"/>
  <c r="CT97" i="2"/>
  <c r="BZ98" i="2"/>
  <c r="DD98" i="2"/>
  <c r="CY99" i="2"/>
  <c r="BU99" i="2"/>
  <c r="DP101" i="2"/>
  <c r="DL101" i="2"/>
  <c r="BU98" i="2"/>
  <c r="CE96" i="2"/>
  <c r="CJ98" i="2"/>
  <c r="CJ96" i="2"/>
  <c r="BZ96" i="2"/>
  <c r="CO96" i="2"/>
  <c r="CJ99" i="2"/>
  <c r="BU97" i="2"/>
  <c r="DD96" i="2"/>
  <c r="CY97" i="2"/>
  <c r="BU96" i="2"/>
  <c r="CE97" i="2"/>
  <c r="CJ97" i="2"/>
  <c r="CE98" i="2"/>
  <c r="BZ99" i="2"/>
  <c r="CO99" i="2"/>
  <c r="DL93" i="2"/>
  <c r="DV93" i="2" s="1"/>
  <c r="EA93" i="2" s="1"/>
  <c r="EF93" i="2" s="1"/>
  <c r="DH100" i="2"/>
  <c r="DG93" i="2"/>
  <c r="EN61" i="2" l="1"/>
  <c r="EO61" i="2" s="1"/>
  <c r="EP61" i="2" s="1"/>
  <c r="EQ61" i="2" s="1"/>
  <c r="EM61" i="2"/>
  <c r="EN59" i="2"/>
  <c r="EM59" i="2"/>
  <c r="EK93" i="2"/>
  <c r="EF123" i="2"/>
  <c r="K6" i="37"/>
  <c r="DP79" i="14"/>
  <c r="DU80" i="14" s="1"/>
  <c r="DP22" i="12"/>
  <c r="DP15" i="13"/>
  <c r="DO126" i="2"/>
  <c r="DP126" i="2"/>
  <c r="DP53" i="2"/>
  <c r="DP125" i="2" s="1"/>
  <c r="DP48" i="14"/>
  <c r="DP50" i="14"/>
  <c r="DP126" i="14"/>
  <c r="DP119" i="14"/>
  <c r="DP73" i="14"/>
  <c r="DP65" i="14"/>
  <c r="AQ159" i="35" s="1"/>
  <c r="DP64" i="14"/>
  <c r="DP39" i="14"/>
  <c r="DQ40" i="14" s="1"/>
  <c r="DP36" i="14"/>
  <c r="DU37" i="14" s="1"/>
  <c r="DP34" i="14"/>
  <c r="DU35" i="14" s="1"/>
  <c r="DP27" i="14"/>
  <c r="DP26" i="14"/>
  <c r="DP68" i="13"/>
  <c r="DP66" i="13"/>
  <c r="DP43" i="13"/>
  <c r="DP37" i="13"/>
  <c r="DP21" i="13"/>
  <c r="DP20" i="13"/>
  <c r="DP19" i="13"/>
  <c r="DP18" i="13"/>
  <c r="DP52" i="12"/>
  <c r="DP47" i="12"/>
  <c r="DP34" i="12"/>
  <c r="DP40" i="12" s="1"/>
  <c r="DP108" i="2"/>
  <c r="DP124" i="2" s="1"/>
  <c r="DP86" i="2"/>
  <c r="DP93" i="2" s="1"/>
  <c r="DZ93" i="2" s="1"/>
  <c r="EE93" i="2" s="1"/>
  <c r="DP52" i="2"/>
  <c r="DP41" i="2"/>
  <c r="DU43" i="2" s="1"/>
  <c r="DP22" i="2"/>
  <c r="DP23" i="2" s="1"/>
  <c r="DP20" i="2"/>
  <c r="DP21" i="2" s="1"/>
  <c r="DP18" i="2"/>
  <c r="DP64" i="12" s="1"/>
  <c r="DP16" i="2"/>
  <c r="DU17" i="2" s="1"/>
  <c r="DP13" i="2"/>
  <c r="DU14" i="2" s="1"/>
  <c r="DP10" i="2"/>
  <c r="DP9" i="2"/>
  <c r="DP7" i="2"/>
  <c r="AE42" i="42"/>
  <c r="G36" i="26"/>
  <c r="G37" i="26"/>
  <c r="G38" i="26"/>
  <c r="G39" i="26"/>
  <c r="G40" i="26"/>
  <c r="G35" i="26"/>
  <c r="F27" i="21"/>
  <c r="AU174" i="35" l="1"/>
  <c r="AV163" i="35" s="1"/>
  <c r="DU11" i="2"/>
  <c r="ER61" i="2"/>
  <c r="EO59" i="2"/>
  <c r="EP93" i="2"/>
  <c r="EP123" i="2" s="1"/>
  <c r="EK123" i="2"/>
  <c r="EJ93" i="2"/>
  <c r="EE123" i="2"/>
  <c r="DP44" i="14"/>
  <c r="DP54" i="14"/>
  <c r="DP124" i="14"/>
  <c r="DU125" i="14" s="1"/>
  <c r="DP91" i="14"/>
  <c r="DP80" i="14"/>
  <c r="DP137" i="2"/>
  <c r="DP102" i="2"/>
  <c r="DP123" i="2"/>
  <c r="DP55" i="2"/>
  <c r="DP6" i="14"/>
  <c r="DP122" i="2"/>
  <c r="DP22" i="13"/>
  <c r="DP46" i="13"/>
  <c r="DP55" i="12"/>
  <c r="DP58" i="12" s="1"/>
  <c r="DP9" i="13"/>
  <c r="DP8" i="13" s="1"/>
  <c r="DP62" i="12"/>
  <c r="DP63" i="12" s="1"/>
  <c r="DP70" i="14"/>
  <c r="DQ71" i="14" s="1"/>
  <c r="DQ76" i="14" s="1"/>
  <c r="DP56" i="12"/>
  <c r="DP64" i="13"/>
  <c r="DP67" i="13" s="1"/>
  <c r="DP59" i="12"/>
  <c r="DP61" i="12"/>
  <c r="DP58" i="14"/>
  <c r="DP56" i="14"/>
  <c r="DP60" i="14"/>
  <c r="DP56" i="13"/>
  <c r="DU58" i="13" s="1"/>
  <c r="DP39" i="12"/>
  <c r="DP48" i="12"/>
  <c r="DP19" i="2"/>
  <c r="DP42" i="2"/>
  <c r="DP109" i="2"/>
  <c r="DP32" i="2"/>
  <c r="DP34" i="2"/>
  <c r="DP144" i="2"/>
  <c r="DP36" i="2"/>
  <c r="DP145" i="2"/>
  <c r="DP138" i="2"/>
  <c r="DP139" i="2"/>
  <c r="DP140" i="2"/>
  <c r="DP143" i="2"/>
  <c r="DP38" i="2"/>
  <c r="DP147" i="2"/>
  <c r="DP24" i="2"/>
  <c r="DP148" i="2"/>
  <c r="DP149" i="2"/>
  <c r="DP87" i="2"/>
  <c r="DP142" i="2"/>
  <c r="DP40" i="2"/>
  <c r="DP150" i="2"/>
  <c r="BE5" i="40"/>
  <c r="BE4" i="40"/>
  <c r="BF4" i="40" s="1"/>
  <c r="BG4" i="40" s="1"/>
  <c r="DP93" i="14" l="1"/>
  <c r="DU92" i="14"/>
  <c r="DP29" i="2"/>
  <c r="DU27" i="2"/>
  <c r="DU30" i="2"/>
  <c r="EP59" i="2"/>
  <c r="EQ59" i="2" s="1"/>
  <c r="ER59" i="2"/>
  <c r="EO93" i="2"/>
  <c r="EO123" i="2" s="1"/>
  <c r="EJ123" i="2"/>
  <c r="BF5" i="40"/>
  <c r="DP12" i="14"/>
  <c r="DQ7" i="14"/>
  <c r="DP171" i="14"/>
  <c r="DP165" i="14"/>
  <c r="DP169" i="14"/>
  <c r="DP161" i="14"/>
  <c r="DU173" i="14" s="1"/>
  <c r="DP38" i="14"/>
  <c r="DP42" i="14"/>
  <c r="DP57" i="12"/>
  <c r="DP66" i="12"/>
  <c r="DP65" i="12"/>
  <c r="DP59" i="13"/>
  <c r="DU60" i="13" s="1"/>
  <c r="DP57" i="13"/>
  <c r="AQ168" i="35" s="1"/>
  <c r="DP44" i="2"/>
  <c r="DP25" i="2"/>
  <c r="AQ165" i="35" l="1"/>
  <c r="DU26" i="2"/>
  <c r="DP48" i="2"/>
  <c r="DU45" i="2"/>
  <c r="DU49" i="2"/>
  <c r="BE71" i="40"/>
  <c r="BG5" i="40"/>
  <c r="DP74" i="2"/>
  <c r="DP111" i="2" s="1"/>
  <c r="DP56" i="2"/>
  <c r="DP46" i="2"/>
  <c r="AW159" i="35"/>
  <c r="DQ113" i="2" l="1"/>
  <c r="DU112" i="2"/>
  <c r="BE87" i="40"/>
  <c r="BE25" i="40"/>
  <c r="BE45" i="40"/>
  <c r="BE40" i="40"/>
  <c r="BF73" i="40"/>
  <c r="BF19" i="40"/>
  <c r="BF48" i="40"/>
  <c r="BF38" i="40"/>
  <c r="BF7" i="40"/>
  <c r="BF11" i="40"/>
  <c r="BF85" i="40"/>
  <c r="BF58" i="40"/>
  <c r="BF43" i="40"/>
  <c r="BF62" i="40"/>
  <c r="BF53" i="40"/>
  <c r="BF15" i="40"/>
  <c r="BE55" i="40"/>
  <c r="BE80" i="40"/>
  <c r="DF235" i="35" s="1"/>
  <c r="BE35" i="40"/>
  <c r="BE27" i="40"/>
  <c r="BE50" i="40"/>
  <c r="BE69" i="40"/>
  <c r="BE75" i="40"/>
  <c r="BF78" i="40"/>
  <c r="DP62" i="2"/>
  <c r="DP58" i="2"/>
  <c r="AC59" i="40"/>
  <c r="AE87" i="40"/>
  <c r="AE86" i="40"/>
  <c r="AD69" i="40"/>
  <c r="AD68" i="40"/>
  <c r="AC45" i="40"/>
  <c r="AC44" i="40"/>
  <c r="AD63" i="40"/>
  <c r="AB40" i="40"/>
  <c r="AE50" i="40"/>
  <c r="AE49" i="40"/>
  <c r="AC63" i="40"/>
  <c r="AC8" i="40"/>
  <c r="AB80" i="40"/>
  <c r="AT169" i="35" s="1"/>
  <c r="AE16" i="40"/>
  <c r="AD79" i="40"/>
  <c r="AD80" i="40"/>
  <c r="AV169" i="35" s="1"/>
  <c r="AE20" i="40"/>
  <c r="AB25" i="40"/>
  <c r="AT166" i="35" s="1"/>
  <c r="AB27" i="40"/>
  <c r="AD44" i="40"/>
  <c r="AD45" i="40"/>
  <c r="AC35" i="40"/>
  <c r="AC34" i="40"/>
  <c r="AE24" i="40"/>
  <c r="AE27" i="40"/>
  <c r="AE25" i="40"/>
  <c r="AW166" i="35" s="1"/>
  <c r="AC68" i="40"/>
  <c r="AC69" i="40"/>
  <c r="AB35" i="40"/>
  <c r="AD8" i="40"/>
  <c r="AB50" i="40"/>
  <c r="AB87" i="40"/>
  <c r="AE75" i="40"/>
  <c r="AE71" i="40"/>
  <c r="AE74" i="40"/>
  <c r="AE34" i="40"/>
  <c r="AE35" i="40"/>
  <c r="AC71" i="40"/>
  <c r="AC74" i="40"/>
  <c r="AC75" i="40"/>
  <c r="AD87" i="40"/>
  <c r="AD86" i="40"/>
  <c r="AD40" i="40"/>
  <c r="AD39" i="40"/>
  <c r="AD12" i="40"/>
  <c r="AD54" i="40"/>
  <c r="AD55" i="40"/>
  <c r="AE69" i="40"/>
  <c r="AE68" i="40"/>
  <c r="AC39" i="40"/>
  <c r="AC40" i="40"/>
  <c r="AE79" i="40"/>
  <c r="AE80" i="40"/>
  <c r="AW169" i="35" s="1"/>
  <c r="AC12" i="40"/>
  <c r="AB45" i="40"/>
  <c r="AD16" i="40"/>
  <c r="AE59" i="40"/>
  <c r="AC20" i="40"/>
  <c r="AE44" i="40"/>
  <c r="AE45" i="40"/>
  <c r="AB55" i="40"/>
  <c r="AD20" i="40"/>
  <c r="AC16" i="40"/>
  <c r="AE40" i="40"/>
  <c r="AE39" i="40"/>
  <c r="AE8" i="40"/>
  <c r="AC49" i="40"/>
  <c r="AC50" i="40"/>
  <c r="AC86" i="40"/>
  <c r="AC87" i="40"/>
  <c r="AD59" i="40"/>
  <c r="AD24" i="40"/>
  <c r="AD27" i="40"/>
  <c r="AD25" i="40"/>
  <c r="AV166" i="35" s="1"/>
  <c r="AB69" i="40"/>
  <c r="AC55" i="40"/>
  <c r="AC54" i="40"/>
  <c r="AE63" i="40"/>
  <c r="AE12" i="40"/>
  <c r="AE54" i="40"/>
  <c r="AE55" i="40"/>
  <c r="AD50" i="40"/>
  <c r="AD49" i="40"/>
  <c r="AD75" i="40"/>
  <c r="AD71" i="40"/>
  <c r="AD74" i="40"/>
  <c r="AD34" i="40"/>
  <c r="AD35" i="40"/>
  <c r="AB71" i="40"/>
  <c r="AB75" i="40"/>
  <c r="AC80" i="40"/>
  <c r="AU169" i="35" s="1"/>
  <c r="AC79" i="40"/>
  <c r="AC25" i="40"/>
  <c r="AU166" i="35" s="1"/>
  <c r="AC24" i="40"/>
  <c r="AC27" i="40"/>
  <c r="DP66" i="2" l="1"/>
  <c r="DU67" i="2" s="1"/>
  <c r="DU63" i="2"/>
  <c r="BF71" i="40"/>
  <c r="BF27" i="40"/>
  <c r="BF28" i="40" s="1"/>
  <c r="BF25" i="40"/>
  <c r="BF35" i="40"/>
  <c r="BF75" i="40"/>
  <c r="BF23" i="40"/>
  <c r="BF33" i="40"/>
  <c r="BF80" i="40"/>
  <c r="DG235" i="35" s="1"/>
  <c r="BF69" i="40"/>
  <c r="BG53" i="40"/>
  <c r="BG19" i="40"/>
  <c r="BG58" i="40"/>
  <c r="BG15" i="40"/>
  <c r="BG23" i="40"/>
  <c r="BG43" i="40"/>
  <c r="BG7" i="40"/>
  <c r="BG11" i="40"/>
  <c r="BG78" i="40"/>
  <c r="BG62" i="40"/>
  <c r="BG33" i="40"/>
  <c r="BF45" i="40"/>
  <c r="BF40" i="40"/>
  <c r="BF55" i="40"/>
  <c r="BF67" i="40"/>
  <c r="BF87" i="40"/>
  <c r="BF50" i="40"/>
  <c r="BG73" i="40"/>
  <c r="BG71" i="40"/>
  <c r="BG48" i="40"/>
  <c r="BG85" i="40"/>
  <c r="DP68" i="2"/>
  <c r="DP121" i="2"/>
  <c r="DP7" i="13"/>
  <c r="DP25" i="13" s="1"/>
  <c r="DP26" i="13" s="1"/>
  <c r="DP74" i="12"/>
  <c r="DP71" i="2"/>
  <c r="DU72" i="2" s="1"/>
  <c r="DP64" i="2"/>
  <c r="DP114" i="2"/>
  <c r="AC29" i="40"/>
  <c r="AD29" i="40"/>
  <c r="AE29" i="40"/>
  <c r="BG69" i="40" l="1"/>
  <c r="BG87" i="40"/>
  <c r="BG27" i="40"/>
  <c r="BG28" i="40" s="1"/>
  <c r="BG40" i="40"/>
  <c r="BG38" i="40"/>
  <c r="BG35" i="40"/>
  <c r="BG67" i="40"/>
  <c r="BG50" i="40"/>
  <c r="BG45" i="40"/>
  <c r="BG80" i="40"/>
  <c r="DH235" i="35" s="1"/>
  <c r="BG25" i="40"/>
  <c r="BG55" i="40"/>
  <c r="BG75" i="40"/>
  <c r="DP127" i="2"/>
  <c r="DP129" i="2"/>
  <c r="EF58" i="12"/>
  <c r="EK58" i="12" s="1"/>
  <c r="EP58" i="12" s="1"/>
  <c r="EG58" i="12"/>
  <c r="EL58" i="12" s="1"/>
  <c r="EQ58" i="12" s="1"/>
  <c r="EE58" i="12"/>
  <c r="EJ58" i="12" s="1"/>
  <c r="EO58" i="12" s="1"/>
  <c r="DZ31" i="13"/>
  <c r="DP132" i="2" l="1"/>
  <c r="DU130" i="2"/>
  <c r="DZ32" i="13"/>
  <c r="EE31" i="13"/>
  <c r="DY31" i="13"/>
  <c r="DV13" i="12"/>
  <c r="BE11" i="40"/>
  <c r="AB19" i="40"/>
  <c r="AC78" i="40"/>
  <c r="AC33" i="40"/>
  <c r="AB85" i="40"/>
  <c r="AB7" i="40"/>
  <c r="AT160" i="35" s="1"/>
  <c r="AC85" i="40"/>
  <c r="BE67" i="40"/>
  <c r="AD48" i="40"/>
  <c r="AB78" i="40"/>
  <c r="BE15" i="40"/>
  <c r="AC7" i="40"/>
  <c r="AU160" i="35" s="1"/>
  <c r="AD33" i="40"/>
  <c r="AB62" i="40"/>
  <c r="AC19" i="40"/>
  <c r="AD85" i="40"/>
  <c r="AC48" i="40"/>
  <c r="AB11" i="40"/>
  <c r="AD38" i="40"/>
  <c r="AD19" i="40"/>
  <c r="BE53" i="40"/>
  <c r="AB53" i="40"/>
  <c r="AC11" i="40"/>
  <c r="AB67" i="40"/>
  <c r="BE38" i="40"/>
  <c r="AC67" i="40"/>
  <c r="AD11" i="40"/>
  <c r="AD78" i="40"/>
  <c r="BE78" i="40"/>
  <c r="AB43" i="40"/>
  <c r="AB58" i="40"/>
  <c r="AD67" i="40"/>
  <c r="AC43" i="40"/>
  <c r="AC58" i="40"/>
  <c r="BE62" i="40"/>
  <c r="AB15" i="40"/>
  <c r="AB33" i="40"/>
  <c r="BE43" i="40"/>
  <c r="AC53" i="40"/>
  <c r="AD43" i="40"/>
  <c r="AD58" i="40"/>
  <c r="BE7" i="40"/>
  <c r="BE23" i="40"/>
  <c r="AD7" i="40"/>
  <c r="AV160" i="35" s="1"/>
  <c r="AC15" i="40"/>
  <c r="AB23" i="40"/>
  <c r="AD53" i="40"/>
  <c r="AC62" i="40"/>
  <c r="AB73" i="40"/>
  <c r="BE33" i="40"/>
  <c r="BE58" i="40"/>
  <c r="AC23" i="40"/>
  <c r="AB38" i="40"/>
  <c r="AC73" i="40"/>
  <c r="AD15" i="40"/>
  <c r="AC38" i="40"/>
  <c r="AB48" i="40"/>
  <c r="AD62" i="40"/>
  <c r="BE19" i="40"/>
  <c r="BE73" i="40"/>
  <c r="AD23" i="40"/>
  <c r="AD73" i="40"/>
  <c r="BE48" i="40"/>
  <c r="BE85" i="40"/>
  <c r="DQ134" i="2" l="1"/>
  <c r="DU133" i="2"/>
  <c r="EJ31" i="13"/>
  <c r="EE32" i="13"/>
  <c r="DY32" i="13"/>
  <c r="ED31" i="13"/>
  <c r="AB74" i="40"/>
  <c r="AE73" i="40"/>
  <c r="AB54" i="40"/>
  <c r="AE53" i="40"/>
  <c r="AB59" i="40"/>
  <c r="AE58" i="40"/>
  <c r="AB79" i="40"/>
  <c r="AE78" i="40"/>
  <c r="AE38" i="40"/>
  <c r="AB39" i="40"/>
  <c r="AB44" i="40"/>
  <c r="AE43" i="40"/>
  <c r="AE67" i="40"/>
  <c r="AB68" i="40"/>
  <c r="AB24" i="40"/>
  <c r="AE23" i="40"/>
  <c r="AB63" i="40"/>
  <c r="AE62" i="40"/>
  <c r="AE7" i="40"/>
  <c r="AW160" i="35" s="1"/>
  <c r="AB8" i="40"/>
  <c r="AB12" i="40"/>
  <c r="AE11" i="40"/>
  <c r="AB34" i="40"/>
  <c r="AE33" i="40"/>
  <c r="AE85" i="40"/>
  <c r="AB86" i="40"/>
  <c r="AE48" i="40"/>
  <c r="AB49" i="40"/>
  <c r="AE15" i="40"/>
  <c r="AB16" i="40"/>
  <c r="AB20" i="40"/>
  <c r="AE19" i="40"/>
  <c r="EO31" i="13" l="1"/>
  <c r="EO32" i="13" s="1"/>
  <c r="EJ32" i="13"/>
  <c r="ED32" i="13"/>
  <c r="EI31" i="13"/>
  <c r="DO79" i="14"/>
  <c r="DT80" i="14" s="1"/>
  <c r="DO53" i="2"/>
  <c r="DO125" i="2" s="1"/>
  <c r="DO22" i="12"/>
  <c r="DO52" i="14"/>
  <c r="DO50" i="14"/>
  <c r="DO48" i="14"/>
  <c r="DO126" i="14"/>
  <c r="DO119" i="14"/>
  <c r="DT120" i="14" s="1"/>
  <c r="DO64" i="14"/>
  <c r="DO65" i="14"/>
  <c r="AP159" i="35" s="1"/>
  <c r="DO73" i="14"/>
  <c r="DT74" i="14" s="1"/>
  <c r="DO39" i="14"/>
  <c r="DO34" i="14"/>
  <c r="DO36" i="14"/>
  <c r="DT37" i="14" s="1"/>
  <c r="DO27" i="14"/>
  <c r="DO66" i="13"/>
  <c r="DO68" i="13"/>
  <c r="DO43" i="13"/>
  <c r="DO37" i="13"/>
  <c r="DO52" i="12"/>
  <c r="DO47" i="12"/>
  <c r="DO34" i="12"/>
  <c r="DO40" i="12" s="1"/>
  <c r="DO124" i="2"/>
  <c r="DO86" i="2"/>
  <c r="DO75" i="2"/>
  <c r="DO52" i="2"/>
  <c r="DO41" i="2"/>
  <c r="DO20" i="2"/>
  <c r="DO21" i="2" s="1"/>
  <c r="DO22" i="2"/>
  <c r="DO23" i="2" s="1"/>
  <c r="DO13" i="2"/>
  <c r="DT14" i="2" s="1"/>
  <c r="DO16" i="2"/>
  <c r="DT17" i="2" s="1"/>
  <c r="DO18" i="2"/>
  <c r="DO64" i="12" s="1"/>
  <c r="DO7" i="2"/>
  <c r="DO9" i="2"/>
  <c r="DO10" i="2"/>
  <c r="DT11" i="2" s="1"/>
  <c r="DO62" i="12" l="1"/>
  <c r="DO63" i="12" s="1"/>
  <c r="DT43" i="2"/>
  <c r="DT45" i="14"/>
  <c r="DT41" i="14"/>
  <c r="DS34" i="14"/>
  <c r="DT35" i="14"/>
  <c r="EI32" i="13"/>
  <c r="EN31" i="13"/>
  <c r="DO55" i="12"/>
  <c r="DO58" i="12" s="1"/>
  <c r="ED58" i="12" s="1"/>
  <c r="EI58" i="12" s="1"/>
  <c r="EN58" i="12" s="1"/>
  <c r="AT174" i="35"/>
  <c r="AU163" i="35" s="1"/>
  <c r="DO44" i="14"/>
  <c r="DS39" i="14"/>
  <c r="DO70" i="14"/>
  <c r="DS73" i="14"/>
  <c r="DO81" i="14"/>
  <c r="DR79" i="14"/>
  <c r="DO91" i="14"/>
  <c r="DO124" i="14"/>
  <c r="DT125" i="14" s="1"/>
  <c r="DO80" i="14"/>
  <c r="DO55" i="2"/>
  <c r="DO122" i="2"/>
  <c r="DO54" i="14"/>
  <c r="DT55" i="14" s="1"/>
  <c r="DP40" i="14"/>
  <c r="DO9" i="13"/>
  <c r="DO8" i="13" s="1"/>
  <c r="DO145" i="2"/>
  <c r="DO56" i="14"/>
  <c r="DO144" i="2"/>
  <c r="DO143" i="2"/>
  <c r="DO40" i="2"/>
  <c r="DO142" i="2"/>
  <c r="DO42" i="2"/>
  <c r="DO109" i="2"/>
  <c r="DO60" i="14"/>
  <c r="DT61" i="14" s="1"/>
  <c r="DO58" i="14"/>
  <c r="DT59" i="14" s="1"/>
  <c r="DO46" i="13"/>
  <c r="DO56" i="13"/>
  <c r="DO39" i="12"/>
  <c r="DO48" i="12"/>
  <c r="DO24" i="2"/>
  <c r="DO138" i="2"/>
  <c r="DO150" i="2"/>
  <c r="DO139" i="2"/>
  <c r="DO6" i="14"/>
  <c r="DO149" i="2"/>
  <c r="DO64" i="13"/>
  <c r="DO67" i="13" s="1"/>
  <c r="DO140" i="2"/>
  <c r="DO87" i="2"/>
  <c r="DO61" i="12"/>
  <c r="DO148" i="2"/>
  <c r="DO56" i="12"/>
  <c r="DO38" i="2"/>
  <c r="DO36" i="2"/>
  <c r="DO34" i="2"/>
  <c r="DO19" i="2"/>
  <c r="DO32" i="2"/>
  <c r="DO137" i="2"/>
  <c r="DO59" i="12"/>
  <c r="DO147" i="2"/>
  <c r="DO29" i="2" l="1"/>
  <c r="DT27" i="2"/>
  <c r="DT30" i="2"/>
  <c r="DO57" i="12"/>
  <c r="DO59" i="13"/>
  <c r="DT60" i="13" s="1"/>
  <c r="DT58" i="13"/>
  <c r="DO65" i="12"/>
  <c r="DO66" i="12"/>
  <c r="DP71" i="14"/>
  <c r="DP76" i="14" s="1"/>
  <c r="DT72" i="14"/>
  <c r="DP82" i="14"/>
  <c r="DT83" i="14"/>
  <c r="DO93" i="14"/>
  <c r="DT92" i="14"/>
  <c r="DS56" i="14"/>
  <c r="DT57" i="14"/>
  <c r="DT8" i="14"/>
  <c r="DT13" i="14"/>
  <c r="EN32" i="13"/>
  <c r="DS70" i="14"/>
  <c r="DR80" i="14"/>
  <c r="DR124" i="14"/>
  <c r="DR81" i="14"/>
  <c r="DT82" i="14" s="1"/>
  <c r="DR91" i="14"/>
  <c r="DS91" i="14" s="1"/>
  <c r="DS60" i="14"/>
  <c r="DP7" i="14"/>
  <c r="DO12" i="14"/>
  <c r="DO57" i="13"/>
  <c r="AP168" i="35" s="1"/>
  <c r="Z85" i="40"/>
  <c r="Z86" i="40"/>
  <c r="Z87" i="40"/>
  <c r="Y85" i="40"/>
  <c r="Y86" i="40"/>
  <c r="Y87" i="40"/>
  <c r="BD85" i="40"/>
  <c r="BD87" i="40"/>
  <c r="BC85" i="40"/>
  <c r="BC87" i="40"/>
  <c r="X85" i="40"/>
  <c r="X86" i="40"/>
  <c r="X87" i="40"/>
  <c r="AA86" i="40"/>
  <c r="AA87" i="40"/>
  <c r="AA85" i="40"/>
  <c r="BB87" i="40"/>
  <c r="BB85" i="40"/>
  <c r="DO38" i="14"/>
  <c r="DO42" i="14"/>
  <c r="DO44" i="2"/>
  <c r="DO25" i="2"/>
  <c r="DT14" i="14" l="1"/>
  <c r="AP165" i="35"/>
  <c r="DT26" i="2"/>
  <c r="DO48" i="2"/>
  <c r="DT45" i="2"/>
  <c r="DT49" i="2"/>
  <c r="DS49" i="14"/>
  <c r="DR82" i="14"/>
  <c r="DS93" i="14"/>
  <c r="DR93" i="14"/>
  <c r="DO56" i="2"/>
  <c r="DO74" i="2"/>
  <c r="DO46" i="2"/>
  <c r="DO77" i="2" l="1"/>
  <c r="DO62" i="2"/>
  <c r="DO58" i="2"/>
  <c r="DO66" i="2" l="1"/>
  <c r="DT67" i="2" s="1"/>
  <c r="DT63" i="2"/>
  <c r="DO68" i="2"/>
  <c r="DO121" i="2"/>
  <c r="DO71" i="2"/>
  <c r="DT72" i="2" s="1"/>
  <c r="DO78" i="2"/>
  <c r="DO64" i="2"/>
  <c r="DO7" i="13"/>
  <c r="DO25" i="13" s="1"/>
  <c r="DO26" i="13" s="1"/>
  <c r="S33" i="42" l="1"/>
  <c r="DM68" i="13" l="1"/>
  <c r="DK68" i="13"/>
  <c r="AW48" i="37"/>
  <c r="AR48" i="37"/>
  <c r="AM48" i="37"/>
  <c r="AH48" i="37"/>
  <c r="AB48" i="37"/>
  <c r="U48" i="37"/>
  <c r="AU48" i="37"/>
  <c r="AP48" i="37"/>
  <c r="AK48" i="37"/>
  <c r="AF48" i="37"/>
  <c r="Z48" i="37"/>
  <c r="S48" i="37"/>
  <c r="E33" i="42" a="1"/>
  <c r="E34" i="42" a="1"/>
  <c r="E34" i="42" l="1"/>
  <c r="E33" i="42"/>
  <c r="B34" i="42" l="1"/>
  <c r="C34" i="42"/>
  <c r="D34" i="42"/>
  <c r="B33" i="42"/>
  <c r="C33" i="42"/>
  <c r="D33" i="42"/>
  <c r="DM122" i="14" l="1"/>
  <c r="DR123" i="14" s="1"/>
  <c r="DN181" i="14"/>
  <c r="DN179" i="14"/>
  <c r="DN177" i="14"/>
  <c r="DN175" i="14"/>
  <c r="DN174" i="14"/>
  <c r="DN171" i="14"/>
  <c r="DS183" i="14" s="1"/>
  <c r="DN161" i="14"/>
  <c r="DS173" i="14" s="1"/>
  <c r="DS32" i="12"/>
  <c r="DN32" i="12"/>
  <c r="BU32" i="12"/>
  <c r="CY32" i="12"/>
  <c r="CT32" i="12"/>
  <c r="CO32" i="12"/>
  <c r="CJ32" i="12"/>
  <c r="CE32" i="12"/>
  <c r="BZ32" i="12"/>
  <c r="DD32" i="12"/>
  <c r="DI32" i="12"/>
  <c r="DM15" i="13"/>
  <c r="EB127" i="2"/>
  <c r="EA127" i="2"/>
  <c r="DZ127" i="2"/>
  <c r="DY127" i="2"/>
  <c r="DW127" i="2"/>
  <c r="DV127" i="2"/>
  <c r="DM122" i="2"/>
  <c r="DM53" i="2"/>
  <c r="H22" i="42"/>
  <c r="H39" i="42"/>
  <c r="H27" i="42"/>
  <c r="N1" i="2"/>
  <c r="S1" i="2" s="1"/>
  <c r="J1" i="2"/>
  <c r="K1" i="2" s="1"/>
  <c r="L1" i="2" s="1"/>
  <c r="E1" i="2"/>
  <c r="DK66" i="13"/>
  <c r="DJ66" i="13"/>
  <c r="DE66" i="13"/>
  <c r="DM66" i="13"/>
  <c r="DL66" i="13"/>
  <c r="E20" i="42" a="1"/>
  <c r="DN150" i="14" l="1"/>
  <c r="F1" i="2"/>
  <c r="G1" i="2" s="1"/>
  <c r="H1" i="2" s="1"/>
  <c r="M1" i="2" s="1"/>
  <c r="R1" i="2" s="1"/>
  <c r="W1" i="2" s="1"/>
  <c r="AB1" i="2" s="1"/>
  <c r="AG1" i="2" s="1"/>
  <c r="AL1" i="2" s="1"/>
  <c r="AQ1" i="2" s="1"/>
  <c r="AV1" i="2" s="1"/>
  <c r="BA1" i="2" s="1"/>
  <c r="BF1" i="2" s="1"/>
  <c r="BK1" i="2" s="1"/>
  <c r="BP1" i="2" s="1"/>
  <c r="BU1" i="2" s="1"/>
  <c r="BZ1" i="2" s="1"/>
  <c r="CE1" i="2" s="1"/>
  <c r="CJ1" i="2" s="1"/>
  <c r="CO1" i="2" s="1"/>
  <c r="CT1" i="2" s="1"/>
  <c r="CY1" i="2" s="1"/>
  <c r="DD1" i="2" s="1"/>
  <c r="DI1" i="2" s="1"/>
  <c r="DN1" i="2" s="1"/>
  <c r="DS1" i="2" s="1"/>
  <c r="DX1" i="2" s="1"/>
  <c r="EC1" i="2" s="1"/>
  <c r="EH1" i="2" s="1"/>
  <c r="EM1" i="2" s="1"/>
  <c r="ER1" i="2" s="1"/>
  <c r="DV32" i="12"/>
  <c r="DW32" i="12" s="1"/>
  <c r="DX32" i="12" s="1"/>
  <c r="DY32" i="12" s="1"/>
  <c r="DZ32" i="12" s="1"/>
  <c r="EA32" i="12" s="1"/>
  <c r="EB32" i="12" s="1"/>
  <c r="EC32" i="12" s="1"/>
  <c r="ED32" i="12" s="1"/>
  <c r="EE32" i="12" s="1"/>
  <c r="EF32" i="12" s="1"/>
  <c r="EG32" i="12" s="1"/>
  <c r="EH32" i="12" s="1"/>
  <c r="EI32" i="12" s="1"/>
  <c r="EJ32" i="12" s="1"/>
  <c r="EK32" i="12" s="1"/>
  <c r="EL32" i="12" s="1"/>
  <c r="EM32" i="12" s="1"/>
  <c r="EN32" i="12" s="1"/>
  <c r="EO32" i="12" s="1"/>
  <c r="EP32" i="12" s="1"/>
  <c r="EQ32" i="12" s="1"/>
  <c r="ER32" i="12" s="1"/>
  <c r="DN151" i="14"/>
  <c r="DN153" i="14"/>
  <c r="DN155" i="14"/>
  <c r="DX155" i="14" s="1"/>
  <c r="EC155" i="14" s="1"/>
  <c r="EH155" i="14" s="1"/>
  <c r="EM155" i="14" s="1"/>
  <c r="ER155" i="14" s="1"/>
  <c r="DN157" i="14"/>
  <c r="DN149" i="14"/>
  <c r="X1" i="2"/>
  <c r="T1" i="2"/>
  <c r="U1" i="2" s="1"/>
  <c r="V1" i="2" s="1"/>
  <c r="O1" i="2"/>
  <c r="P1" i="2" s="1"/>
  <c r="Q1" i="2" s="1"/>
  <c r="E20" i="42"/>
  <c r="DN159" i="14" l="1"/>
  <c r="Y1" i="2"/>
  <c r="Z1" i="2" s="1"/>
  <c r="AA1" i="2" s="1"/>
  <c r="AC1" i="2"/>
  <c r="B20" i="42"/>
  <c r="C20" i="42"/>
  <c r="D20" i="42"/>
  <c r="AH1" i="2" l="1"/>
  <c r="AD1" i="2"/>
  <c r="AE1" i="2" l="1"/>
  <c r="AF1" i="2" s="1"/>
  <c r="AI1" i="2"/>
  <c r="AJ1" i="2" s="1"/>
  <c r="AK1" i="2" s="1"/>
  <c r="AM1" i="2"/>
  <c r="AR1" i="2" l="1"/>
  <c r="AN1" i="2"/>
  <c r="AO1" i="2" s="1"/>
  <c r="AP1" i="2" s="1"/>
  <c r="AW1" i="2" l="1"/>
  <c r="AS1" i="2"/>
  <c r="AT1" i="2" s="1"/>
  <c r="AU1" i="2" s="1"/>
  <c r="AX1" i="2" l="1"/>
  <c r="AY1" i="2" s="1"/>
  <c r="AZ1" i="2" s="1"/>
  <c r="BB1" i="2"/>
  <c r="BG1" i="2" l="1"/>
  <c r="BC1" i="2"/>
  <c r="BD1" i="2" s="1"/>
  <c r="BE1" i="2" s="1"/>
  <c r="BH1" i="2" l="1"/>
  <c r="BI1" i="2" s="1"/>
  <c r="BJ1" i="2" s="1"/>
  <c r="BL1" i="2"/>
  <c r="BQ1" i="2" l="1"/>
  <c r="BM1" i="2"/>
  <c r="BN1" i="2" s="1"/>
  <c r="BO1" i="2" s="1"/>
  <c r="BR1" i="2" l="1"/>
  <c r="BS1" i="2" s="1"/>
  <c r="BT1" i="2" s="1"/>
  <c r="BV1" i="2"/>
  <c r="CA1" i="2" l="1"/>
  <c r="BW1" i="2"/>
  <c r="BX1" i="2" s="1"/>
  <c r="BY1" i="2" s="1"/>
  <c r="CF1" i="2" l="1"/>
  <c r="CB1" i="2"/>
  <c r="CC1" i="2" s="1"/>
  <c r="CD1" i="2" s="1"/>
  <c r="CG1" i="2" l="1"/>
  <c r="CH1" i="2" s="1"/>
  <c r="CI1" i="2" s="1"/>
  <c r="CK1" i="2"/>
  <c r="CP1" i="2" l="1"/>
  <c r="CL1" i="2"/>
  <c r="CM1" i="2" s="1"/>
  <c r="CN1" i="2" s="1"/>
  <c r="CQ1" i="2" l="1"/>
  <c r="CR1" i="2" s="1"/>
  <c r="CS1" i="2" s="1"/>
  <c r="CU1" i="2"/>
  <c r="CZ1" i="2" l="1"/>
  <c r="CV1" i="2"/>
  <c r="CW1" i="2" s="1"/>
  <c r="CX1" i="2" s="1"/>
  <c r="DE1" i="2" l="1"/>
  <c r="DA1" i="2"/>
  <c r="DB1" i="2" s="1"/>
  <c r="DC1" i="2" s="1"/>
  <c r="DJ1" i="2" l="1"/>
  <c r="DF1" i="2"/>
  <c r="DG1" i="2" s="1"/>
  <c r="DH1" i="2" s="1"/>
  <c r="DO1" i="2" l="1"/>
  <c r="DK1" i="2"/>
  <c r="DL1" i="2" s="1"/>
  <c r="DM1" i="2" s="1"/>
  <c r="DP1" i="2" l="1"/>
  <c r="DQ1" i="2" s="1"/>
  <c r="DR1" i="2" s="1"/>
  <c r="DT1" i="2"/>
  <c r="DU1" i="2" l="1"/>
  <c r="DV1" i="2" s="1"/>
  <c r="DW1" i="2" s="1"/>
  <c r="DY1" i="2"/>
  <c r="DZ1" i="2" l="1"/>
  <c r="EA1" i="2" s="1"/>
  <c r="EB1" i="2" s="1"/>
  <c r="ED1" i="2"/>
  <c r="BD80" i="40"/>
  <c r="DE235" i="35" s="1"/>
  <c r="BC80" i="40"/>
  <c r="DD235" i="35" s="1"/>
  <c r="BB80" i="40"/>
  <c r="DC235" i="35" s="1"/>
  <c r="AA80" i="40"/>
  <c r="AS169" i="35" s="1"/>
  <c r="Z80" i="40"/>
  <c r="AR169" i="35" s="1"/>
  <c r="Y80" i="40"/>
  <c r="AQ169" i="35" s="1"/>
  <c r="X80" i="40"/>
  <c r="AP169" i="35" s="1"/>
  <c r="AA79" i="40"/>
  <c r="Z79" i="40"/>
  <c r="Y79" i="40"/>
  <c r="X79" i="40"/>
  <c r="BD78" i="40"/>
  <c r="BC78" i="40"/>
  <c r="BB78" i="40"/>
  <c r="AA78" i="40"/>
  <c r="Z78" i="40"/>
  <c r="Y78" i="40"/>
  <c r="X78" i="40"/>
  <c r="BD75" i="40"/>
  <c r="BC75" i="40"/>
  <c r="BB75" i="40"/>
  <c r="AA75" i="40"/>
  <c r="Z75" i="40"/>
  <c r="Y75" i="40"/>
  <c r="X75" i="40"/>
  <c r="AA74" i="40"/>
  <c r="Z74" i="40"/>
  <c r="Y74" i="40"/>
  <c r="X74" i="40"/>
  <c r="BD73" i="40"/>
  <c r="BC73" i="40"/>
  <c r="BB73" i="40"/>
  <c r="AA73" i="40"/>
  <c r="Z73" i="40"/>
  <c r="Y73" i="40"/>
  <c r="X73" i="40"/>
  <c r="BD71" i="40"/>
  <c r="BC71" i="40"/>
  <c r="BB71" i="40"/>
  <c r="AA71" i="40"/>
  <c r="Z71" i="40"/>
  <c r="Y71" i="40"/>
  <c r="X71" i="40"/>
  <c r="BD69" i="40"/>
  <c r="BC69" i="40"/>
  <c r="BB69" i="40"/>
  <c r="AA69" i="40"/>
  <c r="Z69" i="40"/>
  <c r="Y69" i="40"/>
  <c r="X69" i="40"/>
  <c r="AA68" i="40"/>
  <c r="Z68" i="40"/>
  <c r="Y68" i="40"/>
  <c r="X68" i="40"/>
  <c r="BD67" i="40"/>
  <c r="BC67" i="40"/>
  <c r="BB67" i="40"/>
  <c r="AA67" i="40"/>
  <c r="Z67" i="40"/>
  <c r="Y67" i="40"/>
  <c r="X67" i="40"/>
  <c r="AA63" i="40"/>
  <c r="Z63" i="40"/>
  <c r="Y63" i="40"/>
  <c r="X63" i="40"/>
  <c r="BD62" i="40"/>
  <c r="BC62" i="40"/>
  <c r="BB62" i="40"/>
  <c r="AA62" i="40"/>
  <c r="Z62" i="40"/>
  <c r="Y62" i="40"/>
  <c r="X62" i="40"/>
  <c r="AA59" i="40"/>
  <c r="Z59" i="40"/>
  <c r="Y59" i="40"/>
  <c r="X59" i="40"/>
  <c r="BD58" i="40"/>
  <c r="BC58" i="40"/>
  <c r="BB58" i="40"/>
  <c r="AA58" i="40"/>
  <c r="Z58" i="40"/>
  <c r="Y58" i="40"/>
  <c r="X58" i="40"/>
  <c r="BD55" i="40"/>
  <c r="BC55" i="40"/>
  <c r="BB55" i="40"/>
  <c r="AA55" i="40"/>
  <c r="Z55" i="40"/>
  <c r="Y55" i="40"/>
  <c r="X55" i="40"/>
  <c r="AA54" i="40"/>
  <c r="Z54" i="40"/>
  <c r="Y54" i="40"/>
  <c r="X54" i="40"/>
  <c r="BD53" i="40"/>
  <c r="BC53" i="40"/>
  <c r="BB53" i="40"/>
  <c r="AA53" i="40"/>
  <c r="Z53" i="40"/>
  <c r="Y53" i="40"/>
  <c r="X53" i="40"/>
  <c r="BD50" i="40"/>
  <c r="BC50" i="40"/>
  <c r="BB50" i="40"/>
  <c r="AA50" i="40"/>
  <c r="Z50" i="40"/>
  <c r="Y50" i="40"/>
  <c r="X50" i="40"/>
  <c r="AA49" i="40"/>
  <c r="Z49" i="40"/>
  <c r="Y49" i="40"/>
  <c r="X49" i="40"/>
  <c r="BD48" i="40"/>
  <c r="BC48" i="40"/>
  <c r="BB48" i="40"/>
  <c r="AA48" i="40"/>
  <c r="Z48" i="40"/>
  <c r="Y48" i="40"/>
  <c r="X48" i="40"/>
  <c r="BD45" i="40"/>
  <c r="BC45" i="40"/>
  <c r="BB45" i="40"/>
  <c r="AA45" i="40"/>
  <c r="Z45" i="40"/>
  <c r="Y45" i="40"/>
  <c r="X45" i="40"/>
  <c r="AA44" i="40"/>
  <c r="Z44" i="40"/>
  <c r="Y44" i="40"/>
  <c r="X44" i="40"/>
  <c r="BD43" i="40"/>
  <c r="BC43" i="40"/>
  <c r="BB43" i="40"/>
  <c r="AA43" i="40"/>
  <c r="Z43" i="40"/>
  <c r="Y43" i="40"/>
  <c r="X43" i="40"/>
  <c r="BD40" i="40"/>
  <c r="BC40" i="40"/>
  <c r="BB40" i="40"/>
  <c r="AA40" i="40"/>
  <c r="Z40" i="40"/>
  <c r="Y40" i="40"/>
  <c r="X40" i="40"/>
  <c r="AA39" i="40"/>
  <c r="Z39" i="40"/>
  <c r="Y39" i="40"/>
  <c r="X39" i="40"/>
  <c r="BD38" i="40"/>
  <c r="BC38" i="40"/>
  <c r="BB38" i="40"/>
  <c r="AA38" i="40"/>
  <c r="Z38" i="40"/>
  <c r="Y38" i="40"/>
  <c r="X38" i="40"/>
  <c r="BD35" i="40"/>
  <c r="BC35" i="40"/>
  <c r="BB35" i="40"/>
  <c r="AA35" i="40"/>
  <c r="Z35" i="40"/>
  <c r="Y35" i="40"/>
  <c r="X35" i="40"/>
  <c r="AA34" i="40"/>
  <c r="Z34" i="40"/>
  <c r="Y34" i="40"/>
  <c r="X34" i="40"/>
  <c r="BD33" i="40"/>
  <c r="BC33" i="40"/>
  <c r="BB33" i="40"/>
  <c r="AA33" i="40"/>
  <c r="Z33" i="40"/>
  <c r="Y33" i="40"/>
  <c r="X33" i="40"/>
  <c r="BD27" i="40"/>
  <c r="BE28" i="40" s="1"/>
  <c r="BC27" i="40"/>
  <c r="BB27" i="40"/>
  <c r="AA27" i="40"/>
  <c r="Z27" i="40"/>
  <c r="AD28" i="40" s="1"/>
  <c r="Y27" i="40"/>
  <c r="AC28" i="40" s="1"/>
  <c r="X27" i="40"/>
  <c r="AB28" i="40" s="1"/>
  <c r="BD25" i="40"/>
  <c r="BC25" i="40"/>
  <c r="BB25" i="40"/>
  <c r="AA25" i="40"/>
  <c r="AS166" i="35" s="1"/>
  <c r="Z25" i="40"/>
  <c r="AR166" i="35" s="1"/>
  <c r="Y25" i="40"/>
  <c r="AQ166" i="35" s="1"/>
  <c r="X25" i="40"/>
  <c r="AP166" i="35" s="1"/>
  <c r="AA24" i="40"/>
  <c r="Z24" i="40"/>
  <c r="Y24" i="40"/>
  <c r="X24" i="40"/>
  <c r="BD23" i="40"/>
  <c r="BC23" i="40"/>
  <c r="BB23" i="40"/>
  <c r="AA23" i="40"/>
  <c r="Z23" i="40"/>
  <c r="Y23" i="40"/>
  <c r="X23" i="40"/>
  <c r="AA20" i="40"/>
  <c r="Z20" i="40"/>
  <c r="Y20" i="40"/>
  <c r="X20" i="40"/>
  <c r="BD19" i="40"/>
  <c r="BC19" i="40"/>
  <c r="BB19" i="40"/>
  <c r="AA19" i="40"/>
  <c r="Z19" i="40"/>
  <c r="Y19" i="40"/>
  <c r="X19" i="40"/>
  <c r="AA16" i="40"/>
  <c r="Z16" i="40"/>
  <c r="Y16" i="40"/>
  <c r="X16" i="40"/>
  <c r="BD15" i="40"/>
  <c r="BC15" i="40"/>
  <c r="BB15" i="40"/>
  <c r="AA15" i="40"/>
  <c r="Z15" i="40"/>
  <c r="Y15" i="40"/>
  <c r="X15" i="40"/>
  <c r="AA12" i="40"/>
  <c r="Z12" i="40"/>
  <c r="Y12" i="40"/>
  <c r="X12" i="40"/>
  <c r="BD11" i="40"/>
  <c r="BC11" i="40"/>
  <c r="BB11" i="40"/>
  <c r="AA11" i="40"/>
  <c r="AT163" i="35" s="1"/>
  <c r="Z11" i="40"/>
  <c r="Y11" i="40"/>
  <c r="AR163" i="35" s="1"/>
  <c r="X11" i="40"/>
  <c r="AQ163" i="35" s="1"/>
  <c r="AA8" i="40"/>
  <c r="Z8" i="40"/>
  <c r="Y8" i="40"/>
  <c r="X8" i="40"/>
  <c r="BD7" i="40"/>
  <c r="BC7" i="40"/>
  <c r="BB7" i="40"/>
  <c r="AA7" i="40"/>
  <c r="AS160" i="35" s="1"/>
  <c r="Z7" i="40"/>
  <c r="AR160" i="35" s="1"/>
  <c r="Y7" i="40"/>
  <c r="AQ160" i="35" s="1"/>
  <c r="X7" i="40"/>
  <c r="AP160" i="35" s="1"/>
  <c r="X4" i="40"/>
  <c r="CX229" i="35"/>
  <c r="CX230" i="35" s="1"/>
  <c r="CW229" i="35"/>
  <c r="CW230" i="35" s="1"/>
  <c r="CV229" i="35"/>
  <c r="CV230" i="35" s="1"/>
  <c r="CU229" i="35"/>
  <c r="CU230" i="35" s="1"/>
  <c r="CT229" i="35"/>
  <c r="CT230" i="35" s="1"/>
  <c r="E229" i="35"/>
  <c r="E214" i="35"/>
  <c r="E220" i="35" s="1"/>
  <c r="E213" i="35"/>
  <c r="E219" i="35" s="1"/>
  <c r="E212" i="35"/>
  <c r="E218" i="35" s="1"/>
  <c r="E211" i="35"/>
  <c r="E217" i="35" s="1"/>
  <c r="DA200" i="35"/>
  <c r="CZ200" i="35"/>
  <c r="CY200" i="35"/>
  <c r="CX200" i="35"/>
  <c r="CW200" i="35"/>
  <c r="CV200" i="35"/>
  <c r="CU200" i="35"/>
  <c r="CT200" i="35"/>
  <c r="CS152" i="35"/>
  <c r="CS158" i="35" s="1"/>
  <c r="R152" i="35"/>
  <c r="N152" i="35"/>
  <c r="E152" i="35"/>
  <c r="E151" i="35"/>
  <c r="AK150" i="35"/>
  <c r="AJ150" i="35"/>
  <c r="AI150" i="35"/>
  <c r="AH150" i="35"/>
  <c r="U150" i="35"/>
  <c r="T150" i="35"/>
  <c r="S150" i="35"/>
  <c r="R150" i="35"/>
  <c r="Q150" i="35"/>
  <c r="P150" i="35"/>
  <c r="O150" i="35"/>
  <c r="N150" i="35"/>
  <c r="M150" i="35"/>
  <c r="L150" i="35"/>
  <c r="K150" i="35"/>
  <c r="J150" i="35"/>
  <c r="E150" i="35"/>
  <c r="E149" i="35"/>
  <c r="CS147" i="35"/>
  <c r="CS155" i="35" s="1"/>
  <c r="E146" i="35"/>
  <c r="E145" i="35"/>
  <c r="CS144" i="35"/>
  <c r="DB115" i="35"/>
  <c r="DA115" i="35"/>
  <c r="AN106" i="35"/>
  <c r="AM106" i="35"/>
  <c r="AL106" i="35"/>
  <c r="AK106" i="35"/>
  <c r="AJ106" i="35"/>
  <c r="AI106" i="35"/>
  <c r="E99" i="35"/>
  <c r="E98" i="35"/>
  <c r="E97" i="35"/>
  <c r="E96" i="35"/>
  <c r="AM93" i="35"/>
  <c r="AL93" i="35"/>
  <c r="AK93" i="35"/>
  <c r="AJ93" i="35"/>
  <c r="AI93" i="35"/>
  <c r="AH93" i="35"/>
  <c r="AG93" i="35"/>
  <c r="AF93" i="35"/>
  <c r="E93" i="35"/>
  <c r="AM92" i="35"/>
  <c r="AL92" i="35"/>
  <c r="AK92" i="35"/>
  <c r="AJ92" i="35"/>
  <c r="AI92" i="35"/>
  <c r="AH92" i="35"/>
  <c r="AG92" i="35"/>
  <c r="AF92" i="35"/>
  <c r="E92" i="35"/>
  <c r="AM91" i="35"/>
  <c r="AL91" i="35"/>
  <c r="AK91" i="35"/>
  <c r="AJ91" i="35"/>
  <c r="AI91" i="35"/>
  <c r="AH91" i="35"/>
  <c r="AG91" i="35"/>
  <c r="AF91" i="35"/>
  <c r="E91" i="35"/>
  <c r="E90" i="35"/>
  <c r="AN87" i="35"/>
  <c r="AM87" i="35"/>
  <c r="AL87" i="35"/>
  <c r="AK87" i="35"/>
  <c r="AJ87" i="35"/>
  <c r="AI87" i="35"/>
  <c r="AN84" i="35"/>
  <c r="AM84" i="35"/>
  <c r="AL84" i="35"/>
  <c r="AK84" i="35"/>
  <c r="AJ84" i="35"/>
  <c r="AI84" i="35"/>
  <c r="AH84" i="35"/>
  <c r="AG84" i="35"/>
  <c r="AF84" i="35"/>
  <c r="AE84" i="35"/>
  <c r="AD84" i="35"/>
  <c r="AO80" i="35"/>
  <c r="AN80" i="35"/>
  <c r="AM80" i="35"/>
  <c r="AL80" i="35"/>
  <c r="AK80" i="35"/>
  <c r="AJ80" i="35"/>
  <c r="AI80" i="35"/>
  <c r="AH80" i="35"/>
  <c r="AG80" i="35"/>
  <c r="AF80" i="35"/>
  <c r="AE80" i="35"/>
  <c r="AD80" i="35"/>
  <c r="AC80" i="35"/>
  <c r="AB80" i="35"/>
  <c r="AA80" i="35"/>
  <c r="Z80" i="35"/>
  <c r="Y80" i="35"/>
  <c r="X80" i="35"/>
  <c r="W80" i="35"/>
  <c r="V80" i="35"/>
  <c r="U80" i="35"/>
  <c r="T80" i="35"/>
  <c r="S80" i="35"/>
  <c r="R80" i="35"/>
  <c r="Q80" i="35"/>
  <c r="P80" i="35"/>
  <c r="E80" i="35"/>
  <c r="CS76" i="35"/>
  <c r="E72" i="35"/>
  <c r="CS70" i="35"/>
  <c r="CS69" i="35"/>
  <c r="DE68" i="35"/>
  <c r="DE74" i="35" s="1"/>
  <c r="DD68" i="35"/>
  <c r="DD74" i="35" s="1"/>
  <c r="DC68" i="35"/>
  <c r="DC74" i="35" s="1"/>
  <c r="DB68" i="35"/>
  <c r="DB74" i="35" s="1"/>
  <c r="DA68" i="35"/>
  <c r="DA74" i="35" s="1"/>
  <c r="CZ68" i="35"/>
  <c r="CZ74" i="35" s="1"/>
  <c r="CY68" i="35"/>
  <c r="CY74" i="35" s="1"/>
  <c r="CX68" i="35"/>
  <c r="CX74" i="35" s="1"/>
  <c r="CW68" i="35"/>
  <c r="CW74" i="35" s="1"/>
  <c r="CV68" i="35"/>
  <c r="CV74" i="35" s="1"/>
  <c r="CU68" i="35"/>
  <c r="CU74" i="35" s="1"/>
  <c r="CT68" i="35"/>
  <c r="CT74" i="35" s="1"/>
  <c r="E66" i="35"/>
  <c r="CS65" i="35"/>
  <c r="E64" i="35"/>
  <c r="CS63" i="35"/>
  <c r="E62" i="35"/>
  <c r="CS61" i="35"/>
  <c r="E60" i="35"/>
  <c r="CS59" i="35"/>
  <c r="E58" i="35"/>
  <c r="CS55" i="35"/>
  <c r="E54" i="35"/>
  <c r="CS54" i="35" s="1"/>
  <c r="E53" i="35"/>
  <c r="CS53" i="35" s="1"/>
  <c r="E50" i="35"/>
  <c r="E49" i="35"/>
  <c r="E48" i="35"/>
  <c r="E45" i="35"/>
  <c r="CS45" i="35" s="1"/>
  <c r="E44" i="35"/>
  <c r="E43" i="35"/>
  <c r="CS43" i="35" s="1"/>
  <c r="E42" i="35"/>
  <c r="E41" i="35"/>
  <c r="CS41" i="35" s="1"/>
  <c r="E40" i="35"/>
  <c r="AO34" i="35"/>
  <c r="AN34" i="35"/>
  <c r="AM34" i="35"/>
  <c r="AL34" i="35"/>
  <c r="AK34" i="35"/>
  <c r="AJ34" i="35"/>
  <c r="AI34" i="35"/>
  <c r="AH34" i="35"/>
  <c r="AG34" i="35"/>
  <c r="AF34" i="35"/>
  <c r="AE34" i="35"/>
  <c r="AD34" i="35"/>
  <c r="AC34" i="35"/>
  <c r="AB34" i="35"/>
  <c r="AA34" i="35"/>
  <c r="Z34" i="35"/>
  <c r="Y34" i="35"/>
  <c r="X34" i="35"/>
  <c r="W34" i="35"/>
  <c r="V34" i="35"/>
  <c r="U34" i="35"/>
  <c r="T34" i="35"/>
  <c r="S34" i="35"/>
  <c r="R34" i="35"/>
  <c r="Q34" i="35"/>
  <c r="P34" i="35"/>
  <c r="O34" i="35"/>
  <c r="N34" i="35"/>
  <c r="M34" i="35"/>
  <c r="L34" i="35"/>
  <c r="K34" i="35"/>
  <c r="J34" i="35"/>
  <c r="I34" i="35"/>
  <c r="H34" i="35"/>
  <c r="G34" i="35"/>
  <c r="F34" i="35"/>
  <c r="AO33" i="35"/>
  <c r="AN33" i="35"/>
  <c r="AM33" i="35"/>
  <c r="AL33" i="35"/>
  <c r="AK33" i="35"/>
  <c r="AJ33" i="35"/>
  <c r="AI33" i="35"/>
  <c r="AH33" i="35"/>
  <c r="AG33" i="35"/>
  <c r="AF33" i="35"/>
  <c r="AE33" i="35"/>
  <c r="AD33" i="35"/>
  <c r="AC33" i="35"/>
  <c r="AB33" i="35"/>
  <c r="AA33" i="35"/>
  <c r="Z33" i="35"/>
  <c r="Y33" i="35"/>
  <c r="X33" i="35"/>
  <c r="W33" i="35"/>
  <c r="V33" i="35"/>
  <c r="U33" i="35"/>
  <c r="T33" i="35"/>
  <c r="S33" i="35"/>
  <c r="R33" i="35"/>
  <c r="Q33" i="35"/>
  <c r="P33" i="35"/>
  <c r="O33" i="35"/>
  <c r="N33" i="35"/>
  <c r="M33" i="35"/>
  <c r="L33" i="35"/>
  <c r="K33" i="35"/>
  <c r="J33" i="35"/>
  <c r="I33" i="35"/>
  <c r="H33" i="35"/>
  <c r="G33" i="35"/>
  <c r="F33" i="35"/>
  <c r="E31" i="35"/>
  <c r="DE24" i="35"/>
  <c r="DD24" i="35"/>
  <c r="DC24" i="35"/>
  <c r="DB24" i="35"/>
  <c r="DA24" i="35"/>
  <c r="CZ24" i="35"/>
  <c r="CY24" i="35"/>
  <c r="CX24" i="35"/>
  <c r="CW24" i="35"/>
  <c r="CV24" i="35"/>
  <c r="CU24" i="35"/>
  <c r="E22" i="35"/>
  <c r="CS21" i="35"/>
  <c r="E20" i="35"/>
  <c r="E19" i="35"/>
  <c r="CS18" i="35"/>
  <c r="E15" i="35"/>
  <c r="CS14" i="35"/>
  <c r="AO11" i="35"/>
  <c r="AN11" i="35"/>
  <c r="AM11" i="35"/>
  <c r="AL11" i="35"/>
  <c r="AK11" i="35"/>
  <c r="AJ11" i="35"/>
  <c r="AI11" i="35"/>
  <c r="AH11" i="35"/>
  <c r="AG11" i="35"/>
  <c r="AF11" i="35"/>
  <c r="AE11" i="35"/>
  <c r="AD11" i="35"/>
  <c r="AC11" i="35"/>
  <c r="AB11" i="35"/>
  <c r="AA11" i="35"/>
  <c r="Z11" i="35"/>
  <c r="Y11" i="35"/>
  <c r="X11" i="35"/>
  <c r="W11" i="35"/>
  <c r="V11" i="35"/>
  <c r="U11" i="35"/>
  <c r="T11" i="35"/>
  <c r="S11" i="35"/>
  <c r="R11" i="35"/>
  <c r="Q11" i="35"/>
  <c r="P11" i="35"/>
  <c r="O11" i="35"/>
  <c r="N11" i="35"/>
  <c r="M11" i="35"/>
  <c r="L11" i="35"/>
  <c r="K11" i="35"/>
  <c r="J11" i="35"/>
  <c r="I11" i="35"/>
  <c r="H11" i="35"/>
  <c r="G11" i="35"/>
  <c r="F11" i="35"/>
  <c r="E11" i="35"/>
  <c r="AO7" i="35"/>
  <c r="AN7" i="35"/>
  <c r="AM7" i="35"/>
  <c r="AL7" i="35"/>
  <c r="AK7" i="35"/>
  <c r="AJ7" i="35"/>
  <c r="AI7" i="35"/>
  <c r="AH7" i="35"/>
  <c r="AG7" i="35"/>
  <c r="AF7" i="35"/>
  <c r="AE7" i="35"/>
  <c r="AD7" i="35"/>
  <c r="AB7" i="35"/>
  <c r="AA7" i="35"/>
  <c r="Z7" i="35"/>
  <c r="Y7" i="35"/>
  <c r="X7" i="35"/>
  <c r="W7" i="35"/>
  <c r="V7" i="35"/>
  <c r="U7" i="35"/>
  <c r="T7" i="35"/>
  <c r="S7" i="35"/>
  <c r="R7" i="35"/>
  <c r="Q7" i="35"/>
  <c r="P7" i="35"/>
  <c r="O7" i="35"/>
  <c r="N7" i="35"/>
  <c r="M7" i="35"/>
  <c r="L7" i="35"/>
  <c r="K7" i="35"/>
  <c r="J7" i="35"/>
  <c r="I7" i="35"/>
  <c r="H7" i="35"/>
  <c r="G7" i="35"/>
  <c r="F7" i="35"/>
  <c r="CU3" i="35"/>
  <c r="CV3" i="35" s="1"/>
  <c r="CW3" i="35" s="1"/>
  <c r="CX3" i="35" s="1"/>
  <c r="CY3" i="35" s="1"/>
  <c r="CZ3" i="35" s="1"/>
  <c r="DA3" i="35" s="1"/>
  <c r="DB3" i="35" s="1"/>
  <c r="DC3" i="35" s="1"/>
  <c r="DD3" i="35" s="1"/>
  <c r="DE3" i="35" s="1"/>
  <c r="DF3" i="35" s="1"/>
  <c r="DG3" i="35" s="1"/>
  <c r="DH3" i="35" s="1"/>
  <c r="S3" i="35"/>
  <c r="O3" i="35"/>
  <c r="K3" i="35"/>
  <c r="G3" i="35"/>
  <c r="AG42" i="42"/>
  <c r="AC42" i="42"/>
  <c r="AA42" i="42"/>
  <c r="X42" i="42"/>
  <c r="V42" i="42"/>
  <c r="Q42" i="42"/>
  <c r="O42" i="42"/>
  <c r="S39" i="42"/>
  <c r="S37" i="42"/>
  <c r="S35" i="42"/>
  <c r="S31" i="42"/>
  <c r="S29" i="42"/>
  <c r="S27" i="42"/>
  <c r="S25" i="42"/>
  <c r="S22" i="42"/>
  <c r="S19" i="42"/>
  <c r="H18" i="42"/>
  <c r="S17" i="42"/>
  <c r="S34" i="42" s="1"/>
  <c r="S15" i="42"/>
  <c r="S13" i="42"/>
  <c r="S11" i="42"/>
  <c r="O8" i="42"/>
  <c r="H8" i="42"/>
  <c r="H4" i="42"/>
  <c r="H7" i="42" s="1"/>
  <c r="H3" i="42"/>
  <c r="V7" i="42" s="1"/>
  <c r="H2" i="42"/>
  <c r="S6" i="37"/>
  <c r="DM48" i="14"/>
  <c r="DL48" i="14"/>
  <c r="DK48" i="14"/>
  <c r="DJ48" i="14"/>
  <c r="DH48" i="14"/>
  <c r="DG48" i="14"/>
  <c r="DM50" i="14"/>
  <c r="DL50" i="14"/>
  <c r="DK50" i="14"/>
  <c r="DJ50" i="14"/>
  <c r="DH50" i="14"/>
  <c r="DG50" i="14"/>
  <c r="DM52" i="14"/>
  <c r="DL52" i="14"/>
  <c r="DK52" i="14"/>
  <c r="DJ52" i="14"/>
  <c r="DH52" i="14"/>
  <c r="DG52" i="14"/>
  <c r="DM126" i="14"/>
  <c r="DL126" i="14"/>
  <c r="DK126" i="14"/>
  <c r="DJ126" i="14"/>
  <c r="DH126" i="14"/>
  <c r="DG126" i="14"/>
  <c r="DF126" i="14"/>
  <c r="DM124" i="14"/>
  <c r="DR125" i="14" s="1"/>
  <c r="DL124" i="14"/>
  <c r="DQ125" i="14" s="1"/>
  <c r="DK124" i="14"/>
  <c r="DP125" i="14" s="1"/>
  <c r="DJ124" i="14"/>
  <c r="DO125" i="14" s="1"/>
  <c r="DH124" i="14"/>
  <c r="DG124" i="14"/>
  <c r="DF124" i="14"/>
  <c r="DN122" i="14"/>
  <c r="DS123" i="14" s="1"/>
  <c r="DE122" i="14"/>
  <c r="DI122" i="14" s="1"/>
  <c r="DC122" i="14"/>
  <c r="DB122" i="14"/>
  <c r="DA122" i="14"/>
  <c r="DL119" i="14"/>
  <c r="DQ120" i="14" s="1"/>
  <c r="DK119" i="14"/>
  <c r="DP120" i="14" s="1"/>
  <c r="DJ119" i="14"/>
  <c r="DO120" i="14" s="1"/>
  <c r="CT129" i="14"/>
  <c r="CY129" i="14" s="1"/>
  <c r="DD129" i="14" s="1"/>
  <c r="BZ129" i="14"/>
  <c r="CE129" i="14" s="1"/>
  <c r="CJ129" i="14" s="1"/>
  <c r="CT158" i="14"/>
  <c r="CO158" i="14"/>
  <c r="BU158" i="14"/>
  <c r="CT157" i="14"/>
  <c r="CT156" i="14"/>
  <c r="CO156" i="14"/>
  <c r="BU156" i="14"/>
  <c r="CT154" i="14"/>
  <c r="CO154" i="14"/>
  <c r="BU154" i="14"/>
  <c r="CT153" i="14"/>
  <c r="CT151" i="14"/>
  <c r="CO151" i="14"/>
  <c r="BU151" i="14"/>
  <c r="CT150" i="14"/>
  <c r="CO150" i="14"/>
  <c r="BU150" i="14"/>
  <c r="CT183" i="14"/>
  <c r="CO182" i="14"/>
  <c r="CJ182" i="14"/>
  <c r="CE182" i="14"/>
  <c r="BZ182" i="14"/>
  <c r="BU182" i="14"/>
  <c r="BP182" i="14"/>
  <c r="BK182" i="14"/>
  <c r="DI181" i="14"/>
  <c r="DD181" i="14"/>
  <c r="CY181" i="14"/>
  <c r="CT180" i="14"/>
  <c r="CO180" i="14"/>
  <c r="CJ180" i="14"/>
  <c r="CE180" i="14"/>
  <c r="BZ180" i="14"/>
  <c r="BU180" i="14"/>
  <c r="BP180" i="14"/>
  <c r="BK180" i="14"/>
  <c r="DI179" i="14"/>
  <c r="DD179" i="14"/>
  <c r="CT178" i="14"/>
  <c r="CO178" i="14"/>
  <c r="CJ178" i="14"/>
  <c r="CE178" i="14"/>
  <c r="BZ178" i="14"/>
  <c r="BU178" i="14"/>
  <c r="BP178" i="14"/>
  <c r="BK178" i="14"/>
  <c r="DI177" i="14"/>
  <c r="DD177" i="14"/>
  <c r="CY177" i="14"/>
  <c r="DI175" i="14"/>
  <c r="DD175" i="14"/>
  <c r="CY175" i="14"/>
  <c r="CT175" i="14"/>
  <c r="CO175" i="14"/>
  <c r="CJ175" i="14"/>
  <c r="CE175" i="14"/>
  <c r="BZ175" i="14"/>
  <c r="BU175" i="14"/>
  <c r="BP175" i="14"/>
  <c r="BK175" i="14"/>
  <c r="DI174" i="14"/>
  <c r="DD174" i="14"/>
  <c r="CY174" i="14"/>
  <c r="CT174" i="14"/>
  <c r="CO174" i="14"/>
  <c r="CJ174" i="14"/>
  <c r="CE174" i="14"/>
  <c r="BZ174" i="14"/>
  <c r="BU174" i="14"/>
  <c r="BP174" i="14"/>
  <c r="BK174" i="14"/>
  <c r="DI171" i="14"/>
  <c r="DD171" i="14"/>
  <c r="CY171" i="14"/>
  <c r="CY151" i="14" s="1"/>
  <c r="CJ171" i="14"/>
  <c r="CE171" i="14"/>
  <c r="CE151" i="14" s="1"/>
  <c r="BZ171" i="14"/>
  <c r="BZ183" i="14" s="1"/>
  <c r="BP171" i="14"/>
  <c r="BK171" i="14"/>
  <c r="BK154" i="14" s="1"/>
  <c r="BF171" i="14"/>
  <c r="BF151" i="14" s="1"/>
  <c r="CT167" i="14"/>
  <c r="CT155" i="14" s="1"/>
  <c r="DI161" i="14"/>
  <c r="DD161" i="14"/>
  <c r="CY161" i="14"/>
  <c r="CT161" i="14"/>
  <c r="CO161" i="14"/>
  <c r="CJ161" i="14"/>
  <c r="CE161" i="14"/>
  <c r="BZ161" i="14"/>
  <c r="BU161" i="14"/>
  <c r="BP161" i="14"/>
  <c r="BK161" i="14"/>
  <c r="BF161" i="14"/>
  <c r="DC115" i="35"/>
  <c r="DM98" i="14"/>
  <c r="DL98" i="14"/>
  <c r="DK98" i="14"/>
  <c r="DJ98" i="14"/>
  <c r="DO98" i="14" s="1"/>
  <c r="DO97" i="14" s="1"/>
  <c r="CS98" i="14"/>
  <c r="CX98" i="14" s="1"/>
  <c r="CR98" i="14"/>
  <c r="X150" i="35" s="1"/>
  <c r="CQ98" i="14"/>
  <c r="CP98" i="14"/>
  <c r="DM91" i="14"/>
  <c r="DL91" i="14"/>
  <c r="DQ92" i="14" s="1"/>
  <c r="DK91" i="14"/>
  <c r="DJ91" i="14"/>
  <c r="DH91" i="14"/>
  <c r="DG91" i="14"/>
  <c r="DG93" i="14" s="1"/>
  <c r="DF91" i="14"/>
  <c r="DF93" i="14" s="1"/>
  <c r="DE91" i="14"/>
  <c r="DC91" i="14"/>
  <c r="DC93" i="14" s="1"/>
  <c r="DB91" i="14"/>
  <c r="DA91" i="14"/>
  <c r="CZ91" i="14"/>
  <c r="CW91" i="14"/>
  <c r="CW93" i="14" s="1"/>
  <c r="CV91" i="14"/>
  <c r="CU91" i="14"/>
  <c r="CS91" i="14"/>
  <c r="CS93" i="14" s="1"/>
  <c r="CR91" i="14"/>
  <c r="CQ91" i="14"/>
  <c r="CQ93" i="14" s="1"/>
  <c r="CP91" i="14"/>
  <c r="CP93" i="14" s="1"/>
  <c r="DJ88" i="14"/>
  <c r="DK88" i="14" s="1"/>
  <c r="DL88" i="14" s="1"/>
  <c r="DM81" i="14"/>
  <c r="DL81" i="14"/>
  <c r="DQ83" i="14" s="1"/>
  <c r="DK81" i="14"/>
  <c r="DP83" i="14" s="1"/>
  <c r="DJ81" i="14"/>
  <c r="DH81" i="14"/>
  <c r="DG81" i="14"/>
  <c r="DF81" i="14"/>
  <c r="DE81" i="14"/>
  <c r="DC81" i="14"/>
  <c r="DB81" i="14"/>
  <c r="DA81" i="14"/>
  <c r="CZ81" i="14"/>
  <c r="CW81" i="14"/>
  <c r="CV81" i="14"/>
  <c r="CU81" i="14"/>
  <c r="CS81" i="14"/>
  <c r="CR81" i="14"/>
  <c r="CQ81" i="14"/>
  <c r="CP81" i="14"/>
  <c r="DM80" i="14"/>
  <c r="DL80" i="14"/>
  <c r="DK80" i="14"/>
  <c r="DJ80" i="14"/>
  <c r="DH80" i="14"/>
  <c r="DG80" i="14"/>
  <c r="DF80" i="14"/>
  <c r="DE80" i="14"/>
  <c r="DC80" i="14"/>
  <c r="DB80" i="14"/>
  <c r="DA80" i="14"/>
  <c r="CZ80" i="14"/>
  <c r="CX80" i="14"/>
  <c r="CW80" i="14"/>
  <c r="CV80" i="14"/>
  <c r="CU80" i="14"/>
  <c r="DI79" i="14"/>
  <c r="DD79" i="14"/>
  <c r="CY79" i="14"/>
  <c r="CT79" i="14"/>
  <c r="CN79" i="14"/>
  <c r="CM79" i="14"/>
  <c r="CM91" i="14" s="1"/>
  <c r="CL79" i="14"/>
  <c r="CL91" i="14" s="1"/>
  <c r="CK79" i="14"/>
  <c r="CF79" i="14" s="1"/>
  <c r="CD79" i="14"/>
  <c r="CD91" i="14" s="1"/>
  <c r="CD93" i="14" s="1"/>
  <c r="DM73" i="14"/>
  <c r="DR74" i="14" s="1"/>
  <c r="DL73" i="14"/>
  <c r="DQ74" i="14" s="1"/>
  <c r="DK73" i="14"/>
  <c r="DP74" i="14" s="1"/>
  <c r="DJ73" i="14"/>
  <c r="DO74" i="14" s="1"/>
  <c r="DH73" i="14"/>
  <c r="DG73" i="14"/>
  <c r="DG70" i="14" s="1"/>
  <c r="DF73" i="14"/>
  <c r="DF70" i="14" s="1"/>
  <c r="DE73" i="14"/>
  <c r="DC73" i="14"/>
  <c r="DC70" i="14" s="1"/>
  <c r="DB73" i="14"/>
  <c r="DB87" i="14" s="1"/>
  <c r="DB84" i="14" s="1"/>
  <c r="DA73" i="14"/>
  <c r="CZ73" i="14"/>
  <c r="CX73" i="14"/>
  <c r="CW73" i="14"/>
  <c r="CV73" i="14"/>
  <c r="CV70" i="14" s="1"/>
  <c r="CU73" i="14"/>
  <c r="CS73" i="14"/>
  <c r="CS87" i="14" s="1"/>
  <c r="CS84" i="14" s="1"/>
  <c r="CR73" i="14"/>
  <c r="CR70" i="14" s="1"/>
  <c r="CQ73" i="14"/>
  <c r="CQ87" i="14" s="1"/>
  <c r="CQ84" i="14" s="1"/>
  <c r="CP73" i="14"/>
  <c r="CP87" i="14" s="1"/>
  <c r="CP84" i="14" s="1"/>
  <c r="CN73" i="14"/>
  <c r="CM73" i="14"/>
  <c r="CL73" i="14"/>
  <c r="CK73" i="14"/>
  <c r="CI73" i="14"/>
  <c r="CH73" i="14"/>
  <c r="CH70" i="14" s="1"/>
  <c r="CG73" i="14"/>
  <c r="CF73" i="14"/>
  <c r="CD73" i="14"/>
  <c r="CD97" i="14" s="1"/>
  <c r="CC73" i="14"/>
  <c r="CC70" i="14" s="1"/>
  <c r="CB73" i="14"/>
  <c r="CA73" i="14"/>
  <c r="BY73" i="14"/>
  <c r="BX73" i="14"/>
  <c r="BW73" i="14"/>
  <c r="BW70" i="14" s="1"/>
  <c r="BV73" i="14"/>
  <c r="BT73" i="14"/>
  <c r="BT70" i="14" s="1"/>
  <c r="BS73" i="14"/>
  <c r="BS70" i="14" s="1"/>
  <c r="BR73" i="14"/>
  <c r="BR70" i="14" s="1"/>
  <c r="BQ73" i="14"/>
  <c r="BQ70" i="14" s="1"/>
  <c r="CS66" i="14"/>
  <c r="CN66" i="14"/>
  <c r="CI66" i="14"/>
  <c r="CD66" i="14"/>
  <c r="BY66" i="14"/>
  <c r="BT66" i="14"/>
  <c r="DM65" i="14"/>
  <c r="AO159" i="35" s="1"/>
  <c r="DL65" i="14"/>
  <c r="AN159" i="35" s="1"/>
  <c r="DK65" i="14"/>
  <c r="AM159" i="35" s="1"/>
  <c r="DJ65" i="14"/>
  <c r="AL159" i="35" s="1"/>
  <c r="DH65" i="14"/>
  <c r="AK159" i="35" s="1"/>
  <c r="DG65" i="14"/>
  <c r="AJ159" i="35" s="1"/>
  <c r="DF65" i="14"/>
  <c r="AI159" i="35" s="1"/>
  <c r="DE65" i="14"/>
  <c r="AH159" i="35" s="1"/>
  <c r="DB65" i="14"/>
  <c r="AF159" i="35" s="1"/>
  <c r="DA65" i="14"/>
  <c r="AE159" i="35" s="1"/>
  <c r="CZ65" i="14"/>
  <c r="AD159" i="35" s="1"/>
  <c r="CW65" i="14"/>
  <c r="AB159" i="35" s="1"/>
  <c r="CV65" i="14"/>
  <c r="AA159" i="35" s="1"/>
  <c r="CU65" i="14"/>
  <c r="Z159" i="35" s="1"/>
  <c r="CS65" i="14"/>
  <c r="CR65" i="14"/>
  <c r="CQ65" i="14"/>
  <c r="CP65" i="14"/>
  <c r="CN65" i="14"/>
  <c r="CM65" i="14"/>
  <c r="CL65" i="14"/>
  <c r="CK65" i="14"/>
  <c r="CI65" i="14"/>
  <c r="CH65" i="14"/>
  <c r="CG65" i="14"/>
  <c r="CF65" i="14"/>
  <c r="CD65" i="14"/>
  <c r="CC65" i="14"/>
  <c r="CB65" i="14"/>
  <c r="CA65" i="14"/>
  <c r="BY65" i="14"/>
  <c r="BX65" i="14"/>
  <c r="BW65" i="14"/>
  <c r="BV65" i="14"/>
  <c r="DM64" i="14"/>
  <c r="DL64" i="14"/>
  <c r="DK64" i="14"/>
  <c r="DJ64" i="14"/>
  <c r="DH64" i="14"/>
  <c r="DG64" i="14"/>
  <c r="DF64" i="14"/>
  <c r="DE64" i="14"/>
  <c r="DC64" i="14"/>
  <c r="DB64" i="14"/>
  <c r="DA64" i="14"/>
  <c r="CW64" i="14"/>
  <c r="CV64" i="14"/>
  <c r="CU64" i="14"/>
  <c r="CS64" i="14"/>
  <c r="CR64" i="14"/>
  <c r="CQ64" i="14"/>
  <c r="CP64" i="14"/>
  <c r="CN64" i="14"/>
  <c r="CM64" i="14"/>
  <c r="CL64" i="14"/>
  <c r="CK64" i="14"/>
  <c r="CI64" i="14"/>
  <c r="CH64" i="14"/>
  <c r="CG64" i="14"/>
  <c r="CF64" i="14"/>
  <c r="CD64" i="14"/>
  <c r="CC64" i="14"/>
  <c r="CB64" i="14"/>
  <c r="CA64" i="14"/>
  <c r="BY64" i="14"/>
  <c r="BX64" i="14"/>
  <c r="BW64" i="14"/>
  <c r="BV64" i="14"/>
  <c r="BT64" i="14"/>
  <c r="BS64" i="14"/>
  <c r="BR64" i="14"/>
  <c r="AR7" i="35"/>
  <c r="DN63" i="14"/>
  <c r="DI63" i="14"/>
  <c r="DD63" i="14"/>
  <c r="M16" i="26" s="1"/>
  <c r="CX63" i="14"/>
  <c r="CX64" i="14" s="1"/>
  <c r="CT63" i="14"/>
  <c r="D12" i="1" s="1"/>
  <c r="CO63" i="14"/>
  <c r="CJ63" i="14"/>
  <c r="CJ138" i="14" s="1"/>
  <c r="CE63" i="14"/>
  <c r="CE20" i="14" s="1"/>
  <c r="BZ63" i="14"/>
  <c r="BZ20" i="14" s="1"/>
  <c r="BU63" i="14"/>
  <c r="DM39" i="14"/>
  <c r="DL39" i="14"/>
  <c r="DK39" i="14"/>
  <c r="DK44" i="14" s="1"/>
  <c r="DJ39" i="14"/>
  <c r="DH39" i="14"/>
  <c r="DH44" i="14" s="1"/>
  <c r="DG39" i="14"/>
  <c r="DG44" i="14" s="1"/>
  <c r="DF39" i="14"/>
  <c r="DF44" i="14" s="1"/>
  <c r="DE39" i="14"/>
  <c r="DE44" i="14" s="1"/>
  <c r="DC39" i="14"/>
  <c r="DB39" i="14"/>
  <c r="DA39" i="14"/>
  <c r="CZ39" i="14"/>
  <c r="CX39" i="14"/>
  <c r="CX21" i="14" s="1"/>
  <c r="CW39" i="14"/>
  <c r="CV39" i="14"/>
  <c r="CU39" i="14"/>
  <c r="CS39" i="14"/>
  <c r="CS21" i="14" s="1"/>
  <c r="CR39" i="14"/>
  <c r="CQ39" i="14"/>
  <c r="CP39" i="14"/>
  <c r="CN39" i="14"/>
  <c r="CM39" i="14"/>
  <c r="CL39" i="14"/>
  <c r="CK39" i="14"/>
  <c r="CI39" i="14"/>
  <c r="CH39" i="14"/>
  <c r="CG39" i="14"/>
  <c r="CF39" i="14"/>
  <c r="CD39" i="14"/>
  <c r="CC39" i="14"/>
  <c r="CB39" i="14"/>
  <c r="CA39" i="14"/>
  <c r="BY39" i="14"/>
  <c r="BX39" i="14"/>
  <c r="BW39" i="14"/>
  <c r="BV39" i="14"/>
  <c r="BT39" i="14"/>
  <c r="BS39" i="14"/>
  <c r="BR39" i="14"/>
  <c r="BQ39" i="14"/>
  <c r="CX23" i="14"/>
  <c r="CS23" i="14"/>
  <c r="CN23" i="14"/>
  <c r="CI23" i="14"/>
  <c r="CD23" i="14"/>
  <c r="BY23" i="14"/>
  <c r="CS20" i="14"/>
  <c r="CN20" i="14"/>
  <c r="CI20" i="14"/>
  <c r="CD20" i="14"/>
  <c r="CX19" i="14"/>
  <c r="CT19" i="14"/>
  <c r="CS19" i="14"/>
  <c r="CO19" i="14"/>
  <c r="CN19" i="14"/>
  <c r="CJ19" i="14"/>
  <c r="CI19" i="14"/>
  <c r="CE19" i="14"/>
  <c r="CD19" i="14"/>
  <c r="BZ19" i="14"/>
  <c r="BY19" i="14"/>
  <c r="CT17" i="14"/>
  <c r="CO17" i="14"/>
  <c r="CJ17" i="14"/>
  <c r="CE17" i="14"/>
  <c r="BZ17" i="14"/>
  <c r="BU17" i="14"/>
  <c r="CY16" i="14"/>
  <c r="CU16" i="14"/>
  <c r="CU23" i="14" s="1"/>
  <c r="CP16" i="14"/>
  <c r="CP23" i="14" s="1"/>
  <c r="CK16" i="14"/>
  <c r="CF16" i="14"/>
  <c r="CA16" i="14"/>
  <c r="BV16" i="14"/>
  <c r="BV23" i="14" s="1"/>
  <c r="DM36" i="14"/>
  <c r="DL36" i="14"/>
  <c r="DQ37" i="14" s="1"/>
  <c r="DK36" i="14"/>
  <c r="DP37" i="14" s="1"/>
  <c r="DJ36" i="14"/>
  <c r="DO37" i="14" s="1"/>
  <c r="DH36" i="14"/>
  <c r="DG36" i="14"/>
  <c r="DF36" i="14"/>
  <c r="DE36" i="14"/>
  <c r="DC36" i="14"/>
  <c r="DB36" i="14"/>
  <c r="DA36" i="14"/>
  <c r="CZ36" i="14"/>
  <c r="CX36" i="14"/>
  <c r="CY36" i="14" s="1"/>
  <c r="CW36" i="14"/>
  <c r="CV36" i="14"/>
  <c r="CU36" i="14"/>
  <c r="CS36" i="14"/>
  <c r="CR36" i="14"/>
  <c r="CQ36" i="14"/>
  <c r="CP36" i="14"/>
  <c r="CN36" i="14"/>
  <c r="CO36" i="14" s="1"/>
  <c r="CM36" i="14"/>
  <c r="CL36" i="14"/>
  <c r="CK36" i="14"/>
  <c r="CI36" i="14"/>
  <c r="CH36" i="14"/>
  <c r="CG36" i="14"/>
  <c r="CF36" i="14"/>
  <c r="CD36" i="14"/>
  <c r="CE36" i="14" s="1"/>
  <c r="CC36" i="14"/>
  <c r="CB36" i="14"/>
  <c r="CA36" i="14"/>
  <c r="BY36" i="14"/>
  <c r="BX36" i="14"/>
  <c r="BW36" i="14"/>
  <c r="BV36" i="14"/>
  <c r="BT36" i="14"/>
  <c r="BU36" i="14" s="1"/>
  <c r="BS36" i="14"/>
  <c r="BR36" i="14"/>
  <c r="BQ36" i="14"/>
  <c r="DM34" i="14"/>
  <c r="DR35" i="14" s="1"/>
  <c r="DL34" i="14"/>
  <c r="DQ35" i="14" s="1"/>
  <c r="DK34" i="14"/>
  <c r="DP35" i="14" s="1"/>
  <c r="DJ34" i="14"/>
  <c r="DO35" i="14" s="1"/>
  <c r="DH34" i="14"/>
  <c r="DG34" i="14"/>
  <c r="DF34" i="14"/>
  <c r="DE34" i="14"/>
  <c r="DC34" i="14"/>
  <c r="DB34" i="14"/>
  <c r="DA34" i="14"/>
  <c r="CZ34" i="14"/>
  <c r="CX34" i="14"/>
  <c r="CW34" i="14"/>
  <c r="CV34" i="14"/>
  <c r="CU34" i="14"/>
  <c r="CS34" i="14"/>
  <c r="CR34" i="14"/>
  <c r="CQ34" i="14"/>
  <c r="CP34" i="14"/>
  <c r="CN34" i="14"/>
  <c r="CM34" i="14"/>
  <c r="CL34" i="14"/>
  <c r="CK34" i="14"/>
  <c r="CI34" i="14"/>
  <c r="CH34" i="14"/>
  <c r="CG34" i="14"/>
  <c r="CF34" i="14"/>
  <c r="CD34" i="14"/>
  <c r="CC34" i="14"/>
  <c r="CB34" i="14"/>
  <c r="CA34" i="14"/>
  <c r="BY34" i="14"/>
  <c r="BX34" i="14"/>
  <c r="BW34" i="14"/>
  <c r="BV34" i="14"/>
  <c r="BT34" i="14"/>
  <c r="BS34" i="14"/>
  <c r="BR34" i="14"/>
  <c r="BQ34" i="14"/>
  <c r="CW33" i="14"/>
  <c r="CV33" i="14"/>
  <c r="CU33" i="14"/>
  <c r="CS33" i="14"/>
  <c r="CR33" i="14"/>
  <c r="CQ33" i="14"/>
  <c r="CP33" i="14"/>
  <c r="CN33" i="14"/>
  <c r="CM33" i="14"/>
  <c r="CL33" i="14"/>
  <c r="CK33" i="14"/>
  <c r="CI33" i="14"/>
  <c r="CH33" i="14"/>
  <c r="DC30" i="14"/>
  <c r="DB30" i="14"/>
  <c r="DA30" i="14"/>
  <c r="DM27" i="14"/>
  <c r="DL27" i="14"/>
  <c r="DK27" i="14"/>
  <c r="DJ27" i="14"/>
  <c r="DH27" i="14"/>
  <c r="DG27" i="14"/>
  <c r="DF27" i="14"/>
  <c r="DE27" i="14"/>
  <c r="DC27" i="14"/>
  <c r="DB27" i="14"/>
  <c r="DA27" i="14"/>
  <c r="CZ27" i="14"/>
  <c r="CX27" i="14"/>
  <c r="CW27" i="14"/>
  <c r="CV27" i="14"/>
  <c r="CU27" i="14"/>
  <c r="CS27" i="14"/>
  <c r="CR27" i="14"/>
  <c r="CQ27" i="14"/>
  <c r="CP27" i="14"/>
  <c r="CN27" i="14"/>
  <c r="CM27" i="14"/>
  <c r="CL27" i="14"/>
  <c r="CK27" i="14"/>
  <c r="CI27" i="14"/>
  <c r="CH27" i="14"/>
  <c r="CG27" i="14"/>
  <c r="CF27" i="14"/>
  <c r="CD27" i="14"/>
  <c r="CC27" i="14"/>
  <c r="CB27" i="14"/>
  <c r="CA27" i="14"/>
  <c r="BY27" i="14"/>
  <c r="BX27" i="14"/>
  <c r="BW27" i="14"/>
  <c r="BV27" i="14"/>
  <c r="DM26" i="14"/>
  <c r="DL26" i="14"/>
  <c r="DK26" i="14"/>
  <c r="DH26" i="14"/>
  <c r="DG26" i="14"/>
  <c r="DF26" i="14"/>
  <c r="DE26" i="14"/>
  <c r="DC26" i="14"/>
  <c r="DB26" i="14"/>
  <c r="CZ26" i="14"/>
  <c r="CX26" i="14"/>
  <c r="CW26" i="14"/>
  <c r="CV26" i="14"/>
  <c r="CU26" i="14"/>
  <c r="CS26" i="14"/>
  <c r="CR26" i="14"/>
  <c r="CQ26" i="14"/>
  <c r="CP26" i="14"/>
  <c r="CN26" i="14"/>
  <c r="CM26" i="14"/>
  <c r="CL26" i="14"/>
  <c r="CK26" i="14"/>
  <c r="CI26" i="14"/>
  <c r="CH26" i="14"/>
  <c r="CG26" i="14"/>
  <c r="CF26" i="14"/>
  <c r="CD26" i="14"/>
  <c r="CC26" i="14"/>
  <c r="CB26" i="14"/>
  <c r="CA26" i="14"/>
  <c r="BY26" i="14"/>
  <c r="BX26" i="14"/>
  <c r="BW26" i="14"/>
  <c r="BV26" i="14"/>
  <c r="BT26" i="14"/>
  <c r="BS26" i="14"/>
  <c r="BR26" i="14"/>
  <c r="DN25" i="14"/>
  <c r="DI25" i="14"/>
  <c r="DJ26" i="14" s="1"/>
  <c r="DD25" i="14"/>
  <c r="CY25" i="14"/>
  <c r="CT25" i="14"/>
  <c r="CO25" i="14"/>
  <c r="CJ25" i="14"/>
  <c r="CE25" i="14"/>
  <c r="BZ25" i="14"/>
  <c r="BU25" i="14"/>
  <c r="N5" i="14"/>
  <c r="S5" i="14" s="1"/>
  <c r="J5" i="14"/>
  <c r="K5" i="14" s="1"/>
  <c r="L5" i="14" s="1"/>
  <c r="E5" i="14"/>
  <c r="H4" i="14"/>
  <c r="G4" i="14"/>
  <c r="F4" i="14"/>
  <c r="E4" i="14"/>
  <c r="D4" i="14"/>
  <c r="C65" i="13"/>
  <c r="CO62" i="13"/>
  <c r="CT51" i="13"/>
  <c r="CU51" i="13" s="1"/>
  <c r="CV51" i="13" s="1"/>
  <c r="CW51" i="13" s="1"/>
  <c r="CX51" i="13" s="1"/>
  <c r="CZ51" i="13" s="1"/>
  <c r="DA51" i="13" s="1"/>
  <c r="DB51" i="13" s="1"/>
  <c r="DC51" i="13" s="1"/>
  <c r="CR51" i="13"/>
  <c r="CO51" i="13"/>
  <c r="CJ51" i="13"/>
  <c r="CE51" i="13"/>
  <c r="BZ51" i="13"/>
  <c r="BU51" i="13"/>
  <c r="BU47" i="13"/>
  <c r="BQ47" i="13"/>
  <c r="EC45" i="13"/>
  <c r="DX45" i="13"/>
  <c r="DS45" i="13"/>
  <c r="EC44" i="13"/>
  <c r="DX44" i="13"/>
  <c r="DS44" i="13"/>
  <c r="DN44" i="13"/>
  <c r="DI44" i="13"/>
  <c r="DA44" i="13"/>
  <c r="CV44" i="13"/>
  <c r="CQ44" i="13"/>
  <c r="CL44" i="13"/>
  <c r="CG44" i="13"/>
  <c r="CH44" i="13" s="1"/>
  <c r="CB44" i="13"/>
  <c r="CC44" i="13" s="1"/>
  <c r="BW44" i="13"/>
  <c r="BX44" i="13" s="1"/>
  <c r="BY44" i="13" s="1"/>
  <c r="BR44" i="13"/>
  <c r="BS44" i="13" s="1"/>
  <c r="BT44" i="13" s="1"/>
  <c r="BU44" i="13" s="1"/>
  <c r="DM43" i="13"/>
  <c r="DL43" i="13"/>
  <c r="DK43" i="13"/>
  <c r="DJ43" i="13"/>
  <c r="DH43" i="13"/>
  <c r="DG43" i="13"/>
  <c r="DF43" i="13"/>
  <c r="DE43" i="13"/>
  <c r="CZ43" i="13"/>
  <c r="EC42" i="13"/>
  <c r="DX42" i="13"/>
  <c r="DS42" i="13"/>
  <c r="DN42" i="13"/>
  <c r="DI42" i="13"/>
  <c r="DD42" i="13"/>
  <c r="CU42" i="13"/>
  <c r="CU43" i="13" s="1"/>
  <c r="CP42" i="13"/>
  <c r="CK42" i="13"/>
  <c r="CK43" i="13" s="1"/>
  <c r="CF42" i="13"/>
  <c r="CF43" i="13" s="1"/>
  <c r="CA42" i="13"/>
  <c r="CA43" i="13" s="1"/>
  <c r="BV42" i="13"/>
  <c r="BV43" i="13" s="1"/>
  <c r="BQ42" i="13"/>
  <c r="BQ43" i="13" s="1"/>
  <c r="DN41" i="13"/>
  <c r="DI41" i="13"/>
  <c r="DA41" i="13"/>
  <c r="DA43" i="13" s="1"/>
  <c r="CV41" i="13"/>
  <c r="CW41" i="13" s="1"/>
  <c r="CX41" i="13" s="1"/>
  <c r="CQ41" i="13"/>
  <c r="CL41" i="13"/>
  <c r="CM41" i="13" s="1"/>
  <c r="CG41" i="13"/>
  <c r="CH41" i="13" s="1"/>
  <c r="CI41" i="13" s="1"/>
  <c r="CB41" i="13"/>
  <c r="BW41" i="13"/>
  <c r="BX41" i="13" s="1"/>
  <c r="BR41" i="13"/>
  <c r="EC40" i="13"/>
  <c r="DX40" i="13"/>
  <c r="DS40" i="13"/>
  <c r="DN40" i="13"/>
  <c r="DI40" i="13"/>
  <c r="DD40" i="13"/>
  <c r="CV40" i="13"/>
  <c r="CQ40" i="13"/>
  <c r="CL40" i="13"/>
  <c r="CM40" i="13" s="1"/>
  <c r="CN40" i="13" s="1"/>
  <c r="CG40" i="13"/>
  <c r="CB40" i="13"/>
  <c r="BX40" i="13"/>
  <c r="BY40" i="13" s="1"/>
  <c r="BR40" i="13"/>
  <c r="EC39" i="13"/>
  <c r="DX39" i="13"/>
  <c r="DS39" i="13"/>
  <c r="DN39" i="13"/>
  <c r="DI39" i="13"/>
  <c r="DD39" i="13"/>
  <c r="CV39" i="13"/>
  <c r="CY39" i="13" s="1"/>
  <c r="CR39" i="13"/>
  <c r="CS39" i="13" s="1"/>
  <c r="CT39" i="13" s="1"/>
  <c r="CL39" i="13"/>
  <c r="CJ39" i="13"/>
  <c r="CE39" i="13"/>
  <c r="BZ39" i="13"/>
  <c r="BU39" i="13"/>
  <c r="DM37" i="13"/>
  <c r="DL37" i="13"/>
  <c r="DK37" i="13"/>
  <c r="CZ37" i="13"/>
  <c r="BV37" i="13"/>
  <c r="EC36" i="13"/>
  <c r="DX36" i="13"/>
  <c r="DS36" i="13"/>
  <c r="DJ36" i="13"/>
  <c r="DJ37" i="13" s="1"/>
  <c r="DH36" i="13"/>
  <c r="DH37" i="13" s="1"/>
  <c r="DG36" i="13"/>
  <c r="DG37" i="13" s="1"/>
  <c r="DF36" i="13"/>
  <c r="DF37" i="13" s="1"/>
  <c r="DE36" i="13"/>
  <c r="DC36" i="13"/>
  <c r="DD36" i="13" s="1"/>
  <c r="CU36" i="13"/>
  <c r="CP36" i="13"/>
  <c r="CP37" i="13" s="1"/>
  <c r="CK36" i="13"/>
  <c r="CF36" i="13"/>
  <c r="CF37" i="13" s="1"/>
  <c r="CA36" i="13"/>
  <c r="CA37" i="13" s="1"/>
  <c r="BQ36" i="13"/>
  <c r="BQ37" i="13" s="1"/>
  <c r="EC35" i="13"/>
  <c r="DX35" i="13"/>
  <c r="DS35" i="13"/>
  <c r="DN35" i="13"/>
  <c r="DE35" i="13"/>
  <c r="DI35" i="13" s="1"/>
  <c r="DA35" i="13"/>
  <c r="DB35" i="13" s="1"/>
  <c r="DC35" i="13" s="1"/>
  <c r="CW35" i="13"/>
  <c r="CS35" i="13"/>
  <c r="CT35" i="13" s="1"/>
  <c r="CL35" i="13"/>
  <c r="CM35" i="13" s="1"/>
  <c r="CN35" i="13" s="1"/>
  <c r="CO35" i="13" s="1"/>
  <c r="CG35" i="13"/>
  <c r="CB35" i="13"/>
  <c r="BW35" i="13"/>
  <c r="BS35" i="13"/>
  <c r="BT35" i="13" s="1"/>
  <c r="EC34" i="13"/>
  <c r="DX34" i="13"/>
  <c r="DS34" i="13"/>
  <c r="DN34" i="13"/>
  <c r="DI34" i="13"/>
  <c r="DD34" i="13"/>
  <c r="CV34" i="13"/>
  <c r="CY34" i="13" s="1"/>
  <c r="CQ34" i="13"/>
  <c r="CR34" i="13" s="1"/>
  <c r="CS34" i="13" s="1"/>
  <c r="CL34" i="13"/>
  <c r="CM34" i="13" s="1"/>
  <c r="CN34" i="13" s="1"/>
  <c r="CG34" i="13"/>
  <c r="CH34" i="13" s="1"/>
  <c r="CI34" i="13" s="1"/>
  <c r="CB34" i="13"/>
  <c r="CC34" i="13" s="1"/>
  <c r="CD34" i="13" s="1"/>
  <c r="BW34" i="13"/>
  <c r="BX34" i="13" s="1"/>
  <c r="BR34" i="13"/>
  <c r="BS34" i="13" s="1"/>
  <c r="EC33" i="13"/>
  <c r="DX33" i="13"/>
  <c r="DS33" i="13"/>
  <c r="DN33" i="13"/>
  <c r="DN32" i="13"/>
  <c r="DN31" i="13"/>
  <c r="EB30" i="13"/>
  <c r="EA30" i="13"/>
  <c r="DZ30" i="13"/>
  <c r="DY30" i="13"/>
  <c r="DW30" i="13"/>
  <c r="DV30" i="13"/>
  <c r="DN30" i="13"/>
  <c r="DI30" i="13"/>
  <c r="DA30" i="13"/>
  <c r="CV30" i="13"/>
  <c r="CW30" i="13" s="1"/>
  <c r="CX30" i="13" s="1"/>
  <c r="CQ30" i="13"/>
  <c r="CR30" i="13" s="1"/>
  <c r="CS30" i="13" s="1"/>
  <c r="CL30" i="13"/>
  <c r="CG30" i="13"/>
  <c r="CB30" i="13"/>
  <c r="BW30" i="13"/>
  <c r="BR30" i="13"/>
  <c r="EC29" i="13"/>
  <c r="DX29" i="13"/>
  <c r="DS29" i="13"/>
  <c r="DN29" i="13"/>
  <c r="DI29" i="13"/>
  <c r="DA29" i="13"/>
  <c r="DB29" i="13" s="1"/>
  <c r="DC29" i="13" s="1"/>
  <c r="CV29" i="13"/>
  <c r="CQ29" i="13"/>
  <c r="CR29" i="13" s="1"/>
  <c r="CL29" i="13"/>
  <c r="CM29" i="13" s="1"/>
  <c r="CN29" i="13" s="1"/>
  <c r="CG29" i="13"/>
  <c r="CB29" i="13"/>
  <c r="CC29" i="13" s="1"/>
  <c r="BW29" i="13"/>
  <c r="BX29" i="13" s="1"/>
  <c r="BY29" i="13" s="1"/>
  <c r="BR29" i="13"/>
  <c r="DW28" i="13"/>
  <c r="DW55" i="13" s="1"/>
  <c r="DV28" i="13"/>
  <c r="DV55" i="13" s="1"/>
  <c r="DS28" i="13"/>
  <c r="DS55" i="13" s="1"/>
  <c r="DN28" i="13"/>
  <c r="DN55" i="13" s="1"/>
  <c r="DI28" i="13"/>
  <c r="DI55" i="13" s="1"/>
  <c r="DA28" i="13"/>
  <c r="DA55" i="13" s="1"/>
  <c r="CV28" i="13"/>
  <c r="CV55" i="13" s="1"/>
  <c r="CQ28" i="13"/>
  <c r="CQ55" i="13" s="1"/>
  <c r="CL28" i="13"/>
  <c r="CL55" i="13" s="1"/>
  <c r="CG28" i="13"/>
  <c r="CG55" i="13" s="1"/>
  <c r="CB28" i="13"/>
  <c r="CB55" i="13" s="1"/>
  <c r="BW28" i="13"/>
  <c r="BW55" i="13" s="1"/>
  <c r="BR28" i="13"/>
  <c r="BR55" i="13" s="1"/>
  <c r="DN24" i="13"/>
  <c r="DN54" i="13" s="1"/>
  <c r="DI24" i="13"/>
  <c r="DI54" i="13" s="1"/>
  <c r="DA24" i="13"/>
  <c r="DA54" i="13" s="1"/>
  <c r="DM21" i="13"/>
  <c r="DL21" i="13"/>
  <c r="DK21" i="13"/>
  <c r="DH21" i="13"/>
  <c r="DG21" i="13"/>
  <c r="DF21" i="13"/>
  <c r="DA21" i="13"/>
  <c r="DB21" i="13" s="1"/>
  <c r="CV21" i="13"/>
  <c r="CQ21" i="13"/>
  <c r="CL21" i="13"/>
  <c r="CM21" i="13" s="1"/>
  <c r="CN21" i="13" s="1"/>
  <c r="CG21" i="13"/>
  <c r="CC21" i="13"/>
  <c r="CE21" i="13" s="1"/>
  <c r="BX21" i="13"/>
  <c r="BZ21" i="13" s="1"/>
  <c r="BS21" i="13"/>
  <c r="BU21" i="13" s="1"/>
  <c r="DM20" i="13"/>
  <c r="DL20" i="13"/>
  <c r="DK20" i="13"/>
  <c r="DH20" i="13"/>
  <c r="DG20" i="13"/>
  <c r="DF20" i="13"/>
  <c r="DA20" i="13"/>
  <c r="DB20" i="13" s="1"/>
  <c r="DC20" i="13" s="1"/>
  <c r="CV20" i="13"/>
  <c r="CW20" i="13" s="1"/>
  <c r="CY20" i="13" s="1"/>
  <c r="CQ20" i="13"/>
  <c r="CL20" i="13"/>
  <c r="CM20" i="13" s="1"/>
  <c r="CN20" i="13" s="1"/>
  <c r="CO20" i="13" s="1"/>
  <c r="CG20" i="13"/>
  <c r="CH20" i="13" s="1"/>
  <c r="CI20" i="13" s="1"/>
  <c r="CB20" i="13"/>
  <c r="CC20" i="13" s="1"/>
  <c r="CD20" i="13" s="1"/>
  <c r="BW20" i="13"/>
  <c r="BX20" i="13" s="1"/>
  <c r="BR20" i="13"/>
  <c r="DM19" i="13"/>
  <c r="DL19" i="13"/>
  <c r="DK19" i="13"/>
  <c r="DH19" i="13"/>
  <c r="DG19" i="13"/>
  <c r="DF19" i="13"/>
  <c r="DA19" i="13"/>
  <c r="CV19" i="13"/>
  <c r="CW19" i="13" s="1"/>
  <c r="CQ19" i="13"/>
  <c r="CL19" i="13"/>
  <c r="CM19" i="13" s="1"/>
  <c r="CG19" i="13"/>
  <c r="CH19" i="13" s="1"/>
  <c r="CB19" i="13"/>
  <c r="BW19" i="13"/>
  <c r="BX19" i="13" s="1"/>
  <c r="BR19" i="13"/>
  <c r="BU19" i="13" s="1"/>
  <c r="DM18" i="13"/>
  <c r="DL18" i="13"/>
  <c r="DK18" i="13"/>
  <c r="DH18" i="13"/>
  <c r="DG18" i="13"/>
  <c r="DF18" i="13"/>
  <c r="DA18" i="13"/>
  <c r="DB18" i="13" s="1"/>
  <c r="DC18" i="13" s="1"/>
  <c r="CV18" i="13"/>
  <c r="CQ18" i="13"/>
  <c r="CL18" i="13"/>
  <c r="CM18" i="13" s="1"/>
  <c r="CG18" i="13"/>
  <c r="CB18" i="13"/>
  <c r="BW18" i="13"/>
  <c r="BX18" i="13" s="1"/>
  <c r="BY18" i="13" s="1"/>
  <c r="BR18" i="13"/>
  <c r="DJ17" i="13"/>
  <c r="DH17" i="13"/>
  <c r="DG17" i="13"/>
  <c r="DF17" i="13"/>
  <c r="DE17" i="13"/>
  <c r="DA17" i="13"/>
  <c r="CU17" i="13"/>
  <c r="CV17" i="13" s="1"/>
  <c r="CW17" i="13" s="1"/>
  <c r="CP17" i="13"/>
  <c r="CM17" i="13"/>
  <c r="CN17" i="13" s="1"/>
  <c r="CO17" i="13" s="1"/>
  <c r="CF17" i="13"/>
  <c r="CA17" i="13"/>
  <c r="CB17" i="13" s="1"/>
  <c r="BV17" i="13"/>
  <c r="BW17" i="13" s="1"/>
  <c r="BR17" i="13"/>
  <c r="BQ17" i="13"/>
  <c r="EC16" i="13"/>
  <c r="DX16" i="13"/>
  <c r="DS16" i="13"/>
  <c r="DN16" i="13"/>
  <c r="EC15" i="13"/>
  <c r="DX15" i="13"/>
  <c r="DS15" i="13"/>
  <c r="DL15" i="13"/>
  <c r="DK15" i="13"/>
  <c r="DA15" i="13"/>
  <c r="CV15" i="13"/>
  <c r="CW15" i="13" s="1"/>
  <c r="CQ15" i="13"/>
  <c r="CL15" i="13"/>
  <c r="CJ15" i="13"/>
  <c r="CB15" i="13"/>
  <c r="CE15" i="13" s="1"/>
  <c r="BZ15" i="13"/>
  <c r="BU15" i="13"/>
  <c r="EC14" i="13"/>
  <c r="DX14" i="13"/>
  <c r="DS14" i="13"/>
  <c r="DN14" i="13"/>
  <c r="EC13" i="13"/>
  <c r="DX13" i="13"/>
  <c r="DS13" i="13"/>
  <c r="DN13" i="13"/>
  <c r="DA13" i="13"/>
  <c r="DB13" i="13" s="1"/>
  <c r="CV13" i="13"/>
  <c r="CQ13" i="13"/>
  <c r="CL13" i="13"/>
  <c r="CM13" i="13" s="1"/>
  <c r="CH13" i="13"/>
  <c r="CJ13" i="13" s="1"/>
  <c r="CB13" i="13"/>
  <c r="BX13" i="13"/>
  <c r="BU13" i="13"/>
  <c r="DN12" i="13"/>
  <c r="DN11" i="13"/>
  <c r="DN10" i="13"/>
  <c r="DN75" i="2" s="1"/>
  <c r="DI10" i="13"/>
  <c r="DA10" i="13"/>
  <c r="DA75" i="2" s="1"/>
  <c r="CV10" i="13"/>
  <c r="CV75" i="2" s="1"/>
  <c r="CQ10" i="13"/>
  <c r="CQ75" i="2" s="1"/>
  <c r="CL10" i="13"/>
  <c r="CL75" i="2" s="1"/>
  <c r="CG10" i="13"/>
  <c r="CB10" i="13"/>
  <c r="CB75" i="2" s="1"/>
  <c r="BW10" i="13"/>
  <c r="BW75" i="2" s="1"/>
  <c r="BR10" i="13"/>
  <c r="DM9" i="13"/>
  <c r="DM8" i="13" s="1"/>
  <c r="N5" i="13"/>
  <c r="S5" i="13" s="1"/>
  <c r="J5" i="13"/>
  <c r="K5" i="13" s="1"/>
  <c r="L5" i="13" s="1"/>
  <c r="E5" i="13"/>
  <c r="F5" i="13" s="1"/>
  <c r="G5" i="13" s="1"/>
  <c r="H5" i="13" s="1"/>
  <c r="M5" i="13" s="1"/>
  <c r="R5" i="13" s="1"/>
  <c r="W5" i="13" s="1"/>
  <c r="AB5" i="13" s="1"/>
  <c r="AG5" i="13" s="1"/>
  <c r="AL5" i="13" s="1"/>
  <c r="AQ5" i="13" s="1"/>
  <c r="AV5" i="13" s="1"/>
  <c r="BA5" i="13" s="1"/>
  <c r="BF5" i="13" s="1"/>
  <c r="BK5" i="13" s="1"/>
  <c r="BP5" i="13" s="1"/>
  <c r="BU5" i="13" s="1"/>
  <c r="BZ5" i="13" s="1"/>
  <c r="CE5" i="13" s="1"/>
  <c r="CJ5" i="13" s="1"/>
  <c r="CO5" i="13" s="1"/>
  <c r="CT5" i="13" s="1"/>
  <c r="CY5" i="13" s="1"/>
  <c r="DD5" i="13" s="1"/>
  <c r="DI5" i="13" s="1"/>
  <c r="DN5" i="13" s="1"/>
  <c r="DS5" i="13" s="1"/>
  <c r="DX5" i="13" s="1"/>
  <c r="EC5" i="13" s="1"/>
  <c r="EH5" i="13" s="1"/>
  <c r="EM5" i="13" s="1"/>
  <c r="ER5" i="13" s="1"/>
  <c r="C5" i="13"/>
  <c r="H4" i="13"/>
  <c r="G4" i="13"/>
  <c r="F4" i="13"/>
  <c r="E4" i="13"/>
  <c r="D4" i="13"/>
  <c r="BP62" i="12"/>
  <c r="BO62" i="12"/>
  <c r="BN62" i="12"/>
  <c r="BM62" i="12"/>
  <c r="BL62" i="12"/>
  <c r="BK62" i="12"/>
  <c r="BJ62" i="12"/>
  <c r="BI62" i="12"/>
  <c r="BH62" i="12"/>
  <c r="BG62" i="12"/>
  <c r="BF62" i="12"/>
  <c r="BE62" i="12"/>
  <c r="BD62" i="12"/>
  <c r="BC62" i="12"/>
  <c r="BB62" i="12"/>
  <c r="BA62" i="12"/>
  <c r="AZ62" i="12"/>
  <c r="AY62" i="12"/>
  <c r="AX62"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T62" i="12"/>
  <c r="S62" i="12"/>
  <c r="R62" i="12"/>
  <c r="Q62" i="12"/>
  <c r="P62" i="12"/>
  <c r="O62" i="12"/>
  <c r="N62" i="12"/>
  <c r="M62" i="12"/>
  <c r="L62" i="12"/>
  <c r="K62" i="12"/>
  <c r="J62" i="12"/>
  <c r="I62" i="12"/>
  <c r="H62" i="12"/>
  <c r="G62" i="12"/>
  <c r="F62" i="12"/>
  <c r="E62" i="12"/>
  <c r="D62" i="12"/>
  <c r="C62" i="12"/>
  <c r="BP61" i="12"/>
  <c r="BO61" i="12"/>
  <c r="BN61" i="12"/>
  <c r="BM61" i="12"/>
  <c r="BL61" i="12"/>
  <c r="BK61" i="12"/>
  <c r="BJ61" i="12"/>
  <c r="BI61" i="12"/>
  <c r="BH61" i="12"/>
  <c r="BG61" i="12"/>
  <c r="BF61" i="12"/>
  <c r="BE61" i="12"/>
  <c r="BD61" i="12"/>
  <c r="BC61" i="12"/>
  <c r="BB61" i="12"/>
  <c r="BA61" i="12"/>
  <c r="AZ61" i="12"/>
  <c r="AY61" i="12"/>
  <c r="AX61" i="12"/>
  <c r="AW61" i="12"/>
  <c r="AV61" i="12"/>
  <c r="AU61" i="12"/>
  <c r="AT61" i="12"/>
  <c r="AS61" i="12"/>
  <c r="AR61" i="12"/>
  <c r="AQ61" i="12"/>
  <c r="AP61" i="12"/>
  <c r="AO61" i="12"/>
  <c r="AN61" i="12"/>
  <c r="AM61" i="12"/>
  <c r="AL61" i="12"/>
  <c r="AK61" i="12"/>
  <c r="AJ61" i="12"/>
  <c r="AI61" i="12"/>
  <c r="AH61" i="12"/>
  <c r="AG61" i="12"/>
  <c r="AF61" i="12"/>
  <c r="AE61" i="12"/>
  <c r="AD61" i="12"/>
  <c r="AC61" i="12"/>
  <c r="AB61" i="12"/>
  <c r="AA61" i="12"/>
  <c r="Z61" i="12"/>
  <c r="Y61" i="12"/>
  <c r="X61" i="12"/>
  <c r="W61" i="12"/>
  <c r="V61" i="12"/>
  <c r="U61" i="12"/>
  <c r="T61" i="12"/>
  <c r="S61" i="12"/>
  <c r="R61" i="12"/>
  <c r="Q61" i="12"/>
  <c r="P61" i="12"/>
  <c r="O61" i="12"/>
  <c r="N61" i="12"/>
  <c r="M61" i="12"/>
  <c r="L61" i="12"/>
  <c r="K61" i="12"/>
  <c r="J61" i="12"/>
  <c r="I61" i="12"/>
  <c r="H61" i="12"/>
  <c r="G61" i="12"/>
  <c r="F61" i="12"/>
  <c r="E61" i="12"/>
  <c r="D61" i="12"/>
  <c r="C61" i="12"/>
  <c r="DM52" i="12"/>
  <c r="DL52" i="12"/>
  <c r="DK52" i="12"/>
  <c r="DJ52" i="12"/>
  <c r="DH52" i="12"/>
  <c r="DG52" i="12"/>
  <c r="DF52" i="12"/>
  <c r="DE52" i="12"/>
  <c r="DC52" i="12"/>
  <c r="DB52" i="12"/>
  <c r="DA52" i="12"/>
  <c r="CZ52" i="12"/>
  <c r="CX52" i="12"/>
  <c r="CW52" i="12"/>
  <c r="CV52" i="12"/>
  <c r="CU52" i="12"/>
  <c r="CS52" i="12"/>
  <c r="CR52" i="12"/>
  <c r="CQ52" i="12"/>
  <c r="CP52" i="12"/>
  <c r="CN52" i="12"/>
  <c r="CM52" i="12"/>
  <c r="CL52" i="12"/>
  <c r="CK52" i="12"/>
  <c r="CI52" i="12"/>
  <c r="CH52" i="12"/>
  <c r="CG52" i="12"/>
  <c r="CF52" i="12"/>
  <c r="CD52" i="12"/>
  <c r="CC52" i="12"/>
  <c r="CB52" i="12"/>
  <c r="CA52" i="12"/>
  <c r="BY52" i="12"/>
  <c r="BX52" i="12"/>
  <c r="BW52" i="12"/>
  <c r="BV52" i="12"/>
  <c r="BT52" i="12"/>
  <c r="BS52" i="12"/>
  <c r="BR52" i="12"/>
  <c r="DM47" i="12"/>
  <c r="DL47" i="12"/>
  <c r="DK47" i="12"/>
  <c r="DN46" i="12"/>
  <c r="DJ46" i="12"/>
  <c r="DH46" i="12"/>
  <c r="DI46" i="12" s="1"/>
  <c r="DG46" i="12"/>
  <c r="DF46" i="12"/>
  <c r="DE46" i="12"/>
  <c r="DC46" i="12"/>
  <c r="DC47" i="12" s="1"/>
  <c r="DB46" i="12"/>
  <c r="DA46" i="12"/>
  <c r="CZ46" i="12"/>
  <c r="CX46" i="12"/>
  <c r="CX47" i="12" s="1"/>
  <c r="CT46" i="12"/>
  <c r="CO46" i="12"/>
  <c r="CJ46" i="12"/>
  <c r="CE46" i="12"/>
  <c r="BZ46" i="12"/>
  <c r="BU46" i="12"/>
  <c r="DN45" i="12"/>
  <c r="DS45" i="12" s="1"/>
  <c r="DV45" i="12" s="1"/>
  <c r="DW45" i="12" s="1"/>
  <c r="DX45" i="12" s="1"/>
  <c r="DY45" i="12" s="1"/>
  <c r="DZ45" i="12" s="1"/>
  <c r="EA45" i="12" s="1"/>
  <c r="EB45" i="12" s="1"/>
  <c r="EC45" i="12" s="1"/>
  <c r="ED45" i="12" s="1"/>
  <c r="EE45" i="12" s="1"/>
  <c r="EF45" i="12" s="1"/>
  <c r="EG45" i="12" s="1"/>
  <c r="EH45" i="12" s="1"/>
  <c r="EI45" i="12" s="1"/>
  <c r="EJ45" i="12" s="1"/>
  <c r="EK45" i="12" s="1"/>
  <c r="EL45" i="12" s="1"/>
  <c r="EM45" i="12" s="1"/>
  <c r="EN45" i="12" s="1"/>
  <c r="EO45" i="12" s="1"/>
  <c r="EP45" i="12" s="1"/>
  <c r="EQ45" i="12" s="1"/>
  <c r="ER45" i="12" s="1"/>
  <c r="DN44" i="12"/>
  <c r="DS44" i="12" s="1"/>
  <c r="DV44" i="12" s="1"/>
  <c r="DW44" i="12" s="1"/>
  <c r="DX44" i="12" s="1"/>
  <c r="DY44" i="12" s="1"/>
  <c r="DZ44" i="12" s="1"/>
  <c r="EA44" i="12" s="1"/>
  <c r="EB44" i="12" s="1"/>
  <c r="EC44" i="12" s="1"/>
  <c r="ED44" i="12" s="1"/>
  <c r="EE44" i="12" s="1"/>
  <c r="EF44" i="12" s="1"/>
  <c r="EG44" i="12" s="1"/>
  <c r="EH44" i="12" s="1"/>
  <c r="EI44" i="12" s="1"/>
  <c r="EJ44" i="12" s="1"/>
  <c r="EK44" i="12" s="1"/>
  <c r="EL44" i="12" s="1"/>
  <c r="EM44" i="12" s="1"/>
  <c r="EN44" i="12" s="1"/>
  <c r="EO44" i="12" s="1"/>
  <c r="EP44" i="12" s="1"/>
  <c r="EQ44" i="12" s="1"/>
  <c r="ER44" i="12" s="1"/>
  <c r="EC43" i="12"/>
  <c r="DX43" i="12"/>
  <c r="DS43" i="12"/>
  <c r="DN43" i="12"/>
  <c r="DI43" i="12"/>
  <c r="DD43" i="12"/>
  <c r="CY43" i="12"/>
  <c r="CS43" i="12"/>
  <c r="CS42" i="12" s="1"/>
  <c r="CN43" i="12"/>
  <c r="CO43" i="12" s="1"/>
  <c r="CI43" i="12"/>
  <c r="CJ43" i="12" s="1"/>
  <c r="CD43" i="12"/>
  <c r="CE43" i="12" s="1"/>
  <c r="BY43" i="12"/>
  <c r="BY42" i="12" s="1"/>
  <c r="BT43" i="12"/>
  <c r="BU43" i="12" s="1"/>
  <c r="DN42" i="12"/>
  <c r="DI42" i="12"/>
  <c r="DD42" i="12"/>
  <c r="CY42" i="12"/>
  <c r="CW42" i="12"/>
  <c r="CW47" i="12" s="1"/>
  <c r="CV42" i="12"/>
  <c r="CV47" i="12" s="1"/>
  <c r="CU42" i="12"/>
  <c r="CU47" i="12" s="1"/>
  <c r="CR42" i="12"/>
  <c r="CR47" i="12" s="1"/>
  <c r="CQ42" i="12"/>
  <c r="CQ47" i="12" s="1"/>
  <c r="CP42" i="12"/>
  <c r="CP47" i="12" s="1"/>
  <c r="CM42" i="12"/>
  <c r="CM47" i="12" s="1"/>
  <c r="CL42" i="12"/>
  <c r="CL47" i="12" s="1"/>
  <c r="CK42" i="12"/>
  <c r="CK47" i="12" s="1"/>
  <c r="CH42" i="12"/>
  <c r="CH47" i="12" s="1"/>
  <c r="CG42" i="12"/>
  <c r="CG47" i="12" s="1"/>
  <c r="CF42" i="12"/>
  <c r="CF47" i="12" s="1"/>
  <c r="CC42" i="12"/>
  <c r="CC47" i="12" s="1"/>
  <c r="CB42" i="12"/>
  <c r="CB47" i="12" s="1"/>
  <c r="CA42" i="12"/>
  <c r="CA47" i="12" s="1"/>
  <c r="BX42" i="12"/>
  <c r="BX47" i="12" s="1"/>
  <c r="BW42" i="12"/>
  <c r="BW47" i="12" s="1"/>
  <c r="BV42" i="12"/>
  <c r="BV47" i="12" s="1"/>
  <c r="BS42" i="12"/>
  <c r="BS47" i="12" s="1"/>
  <c r="BR42" i="12"/>
  <c r="BR47" i="12" s="1"/>
  <c r="DN38" i="12"/>
  <c r="DS38" i="12" s="1"/>
  <c r="DV38" i="12" s="1"/>
  <c r="DW38" i="12" s="1"/>
  <c r="DX38" i="12" s="1"/>
  <c r="DY38" i="12" s="1"/>
  <c r="DZ38" i="12" s="1"/>
  <c r="EA38" i="12" s="1"/>
  <c r="EB38" i="12" s="1"/>
  <c r="EC38" i="12" s="1"/>
  <c r="ED38" i="12" s="1"/>
  <c r="DI38" i="12"/>
  <c r="DD38" i="12"/>
  <c r="CY38" i="12"/>
  <c r="CT38" i="12"/>
  <c r="CO38" i="12"/>
  <c r="CJ38" i="12"/>
  <c r="CE38" i="12"/>
  <c r="BZ38" i="12"/>
  <c r="BU38" i="12"/>
  <c r="DN37" i="12"/>
  <c r="DN52" i="12" s="1"/>
  <c r="DI37" i="12"/>
  <c r="DI52" i="12" s="1"/>
  <c r="DD37" i="12"/>
  <c r="DD52" i="12" s="1"/>
  <c r="CY37" i="12"/>
  <c r="CY52" i="12" s="1"/>
  <c r="CT37" i="12"/>
  <c r="CT52" i="12" s="1"/>
  <c r="CO37" i="12"/>
  <c r="CO52" i="12" s="1"/>
  <c r="CJ37" i="12"/>
  <c r="CJ52" i="12" s="1"/>
  <c r="CE37" i="12"/>
  <c r="CE52" i="12" s="1"/>
  <c r="BZ37" i="12"/>
  <c r="BZ52" i="12" s="1"/>
  <c r="BU37" i="12"/>
  <c r="BU52" i="12" s="1"/>
  <c r="DN36" i="12"/>
  <c r="DI36" i="12"/>
  <c r="DD36" i="12"/>
  <c r="CY36" i="12"/>
  <c r="CT36" i="12"/>
  <c r="CO36" i="12"/>
  <c r="CJ36" i="12"/>
  <c r="CE36" i="12"/>
  <c r="BZ36" i="12"/>
  <c r="BU36" i="12"/>
  <c r="DN35" i="12"/>
  <c r="DI35" i="12"/>
  <c r="DD35" i="12"/>
  <c r="CY35" i="12"/>
  <c r="CT35" i="12"/>
  <c r="CO35" i="12"/>
  <c r="CJ35" i="12"/>
  <c r="CE35" i="12"/>
  <c r="BZ35" i="12"/>
  <c r="BU35" i="12"/>
  <c r="DM34" i="12"/>
  <c r="DN34" i="12" s="1"/>
  <c r="DL34" i="12"/>
  <c r="DL40" i="12" s="1"/>
  <c r="DL48" i="12" s="1"/>
  <c r="DK34" i="12"/>
  <c r="DK40" i="12" s="1"/>
  <c r="DK48" i="12" s="1"/>
  <c r="DJ34" i="12"/>
  <c r="DJ40" i="12" s="1"/>
  <c r="DH34" i="12"/>
  <c r="DH40" i="12" s="1"/>
  <c r="DG34" i="12"/>
  <c r="DG40" i="12" s="1"/>
  <c r="DF34" i="12"/>
  <c r="DF40" i="12" s="1"/>
  <c r="DE34" i="12"/>
  <c r="DE40" i="12" s="1"/>
  <c r="DC34" i="12"/>
  <c r="DC40" i="12" s="1"/>
  <c r="DB34" i="12"/>
  <c r="DB40" i="12" s="1"/>
  <c r="DA34" i="12"/>
  <c r="DA40" i="12" s="1"/>
  <c r="CZ34" i="12"/>
  <c r="CZ40" i="12" s="1"/>
  <c r="CX34" i="12"/>
  <c r="CX40" i="12" s="1"/>
  <c r="CX39" i="12" s="1"/>
  <c r="CW34" i="12"/>
  <c r="CW40" i="12" s="1"/>
  <c r="CV34" i="12"/>
  <c r="CV40" i="12" s="1"/>
  <c r="CU34" i="12"/>
  <c r="CU40" i="12" s="1"/>
  <c r="CS34" i="12"/>
  <c r="CS40" i="12" s="1"/>
  <c r="CS39" i="12" s="1"/>
  <c r="CR34" i="12"/>
  <c r="CR40" i="12" s="1"/>
  <c r="CR39" i="12" s="1"/>
  <c r="CQ34" i="12"/>
  <c r="CQ40" i="12" s="1"/>
  <c r="CP34" i="12"/>
  <c r="CP40" i="12" s="1"/>
  <c r="CP39" i="12" s="1"/>
  <c r="CN34" i="12"/>
  <c r="CO34" i="12" s="1"/>
  <c r="CM34" i="12"/>
  <c r="CM40" i="12" s="1"/>
  <c r="CL34" i="12"/>
  <c r="CL40" i="12" s="1"/>
  <c r="CK34" i="12"/>
  <c r="CK40" i="12" s="1"/>
  <c r="CI34" i="12"/>
  <c r="CH34" i="12"/>
  <c r="CH40" i="12" s="1"/>
  <c r="CG34" i="12"/>
  <c r="CG40" i="12" s="1"/>
  <c r="CF34" i="12"/>
  <c r="CF40" i="12" s="1"/>
  <c r="CD34" i="12"/>
  <c r="CD40" i="12" s="1"/>
  <c r="CC34" i="12"/>
  <c r="CC40" i="12" s="1"/>
  <c r="CB34" i="12"/>
  <c r="CB40" i="12" s="1"/>
  <c r="CA34" i="12"/>
  <c r="CA40" i="12" s="1"/>
  <c r="BY34" i="12"/>
  <c r="BY40" i="12" s="1"/>
  <c r="BX34" i="12"/>
  <c r="BX40" i="12" s="1"/>
  <c r="BW34" i="12"/>
  <c r="BW40" i="12" s="1"/>
  <c r="BV34" i="12"/>
  <c r="BV40" i="12" s="1"/>
  <c r="BT34" i="12"/>
  <c r="BU34" i="12" s="1"/>
  <c r="BS34" i="12"/>
  <c r="BS40" i="12" s="1"/>
  <c r="BR34" i="12"/>
  <c r="BR40" i="12" s="1"/>
  <c r="EC33" i="12"/>
  <c r="DX33" i="12"/>
  <c r="DS33" i="12"/>
  <c r="DN33" i="12"/>
  <c r="DI33" i="12"/>
  <c r="DD33" i="12"/>
  <c r="CY33" i="12"/>
  <c r="CT33" i="12"/>
  <c r="CO33" i="12"/>
  <c r="CJ33" i="12"/>
  <c r="CE33" i="12"/>
  <c r="BZ33" i="12"/>
  <c r="BU33" i="12"/>
  <c r="DN31" i="12"/>
  <c r="DI31" i="12"/>
  <c r="DD31" i="12"/>
  <c r="CY31" i="12"/>
  <c r="CT31" i="12"/>
  <c r="CO31" i="12"/>
  <c r="CJ31" i="12"/>
  <c r="CE31" i="12"/>
  <c r="BZ31" i="12"/>
  <c r="BU31" i="12"/>
  <c r="DN30" i="12"/>
  <c r="DI30" i="12"/>
  <c r="DD30" i="12"/>
  <c r="CY30" i="12"/>
  <c r="CT30" i="12"/>
  <c r="CO30" i="12"/>
  <c r="CJ30" i="12"/>
  <c r="CE30" i="12"/>
  <c r="BZ30" i="12"/>
  <c r="BU30" i="12"/>
  <c r="DN29" i="12"/>
  <c r="DI29" i="12"/>
  <c r="DD29" i="12"/>
  <c r="CY29" i="12"/>
  <c r="CT29" i="12"/>
  <c r="CO29" i="12"/>
  <c r="CJ29" i="12"/>
  <c r="CE29" i="12"/>
  <c r="BZ29" i="12"/>
  <c r="BU29" i="12"/>
  <c r="DN28" i="12"/>
  <c r="DO20" i="13" s="1"/>
  <c r="DI28" i="12"/>
  <c r="DJ20" i="13" s="1"/>
  <c r="DD28" i="12"/>
  <c r="DE20" i="13" s="1"/>
  <c r="CY28" i="12"/>
  <c r="CT28" i="12"/>
  <c r="CO28" i="12"/>
  <c r="CJ28" i="12"/>
  <c r="CE28" i="12"/>
  <c r="BZ28" i="12"/>
  <c r="BU28" i="12"/>
  <c r="DN24" i="12"/>
  <c r="DS24" i="12" s="1"/>
  <c r="DV24" i="12" s="1"/>
  <c r="DW24" i="12" s="1"/>
  <c r="DX24" i="12" s="1"/>
  <c r="DY24" i="12" s="1"/>
  <c r="DZ24" i="12" s="1"/>
  <c r="EA24" i="12" s="1"/>
  <c r="EB24" i="12" s="1"/>
  <c r="EC24" i="12" s="1"/>
  <c r="ED24" i="12" s="1"/>
  <c r="EE24" i="12" s="1"/>
  <c r="EF24" i="12" s="1"/>
  <c r="EG24" i="12" s="1"/>
  <c r="EH24" i="12" s="1"/>
  <c r="EI24" i="12" s="1"/>
  <c r="EJ24" i="12" s="1"/>
  <c r="EK24" i="12" s="1"/>
  <c r="EL24" i="12" s="1"/>
  <c r="EM24" i="12" s="1"/>
  <c r="EN24" i="12" s="1"/>
  <c r="EO24" i="12" s="1"/>
  <c r="EP24" i="12" s="1"/>
  <c r="EQ24" i="12" s="1"/>
  <c r="ER24" i="12" s="1"/>
  <c r="DI24" i="12"/>
  <c r="DD24" i="12"/>
  <c r="CY24" i="12"/>
  <c r="CT24" i="12"/>
  <c r="CO24" i="12"/>
  <c r="CJ24" i="12"/>
  <c r="CE24" i="12"/>
  <c r="BZ24" i="12"/>
  <c r="BU24" i="12"/>
  <c r="DN23" i="12"/>
  <c r="DI23" i="12"/>
  <c r="DD23" i="12"/>
  <c r="CY23" i="12"/>
  <c r="CT23" i="12"/>
  <c r="CO23" i="12"/>
  <c r="CJ23" i="12"/>
  <c r="CE23" i="12"/>
  <c r="BZ23" i="12"/>
  <c r="BU23" i="12"/>
  <c r="DN22" i="12"/>
  <c r="DS22" i="12" s="1"/>
  <c r="DL22" i="12"/>
  <c r="DI22" i="12"/>
  <c r="DD22" i="12"/>
  <c r="CY22" i="12"/>
  <c r="CT22" i="12"/>
  <c r="CO22" i="12"/>
  <c r="CJ22" i="12"/>
  <c r="CE22" i="12"/>
  <c r="BZ22" i="12"/>
  <c r="BU22" i="12"/>
  <c r="DN20" i="12"/>
  <c r="DI20" i="12"/>
  <c r="DD20" i="12"/>
  <c r="CY20" i="12"/>
  <c r="CT20" i="12"/>
  <c r="CO20" i="12"/>
  <c r="CJ20" i="12"/>
  <c r="CE20" i="12"/>
  <c r="BZ20" i="12"/>
  <c r="BU20" i="12"/>
  <c r="DN17" i="12"/>
  <c r="DI17" i="12"/>
  <c r="DD17" i="12"/>
  <c r="CY17" i="12"/>
  <c r="CT17" i="12"/>
  <c r="CO17" i="12"/>
  <c r="CJ17" i="12"/>
  <c r="CE17" i="12"/>
  <c r="BZ17" i="12"/>
  <c r="BU17" i="12"/>
  <c r="DN16" i="12"/>
  <c r="DS16" i="12" s="1"/>
  <c r="DV16" i="12" s="1"/>
  <c r="DW16" i="12" s="1"/>
  <c r="DX16" i="12" s="1"/>
  <c r="DY16" i="12" s="1"/>
  <c r="DZ16" i="12" s="1"/>
  <c r="EA16" i="12" s="1"/>
  <c r="EB16" i="12" s="1"/>
  <c r="EC16" i="12" s="1"/>
  <c r="ED16" i="12" s="1"/>
  <c r="EE16" i="12" s="1"/>
  <c r="EF16" i="12" s="1"/>
  <c r="EG16" i="12" s="1"/>
  <c r="EH16" i="12" s="1"/>
  <c r="EI16" i="12" s="1"/>
  <c r="EJ16" i="12" s="1"/>
  <c r="EK16" i="12" s="1"/>
  <c r="EL16" i="12" s="1"/>
  <c r="EM16" i="12" s="1"/>
  <c r="EN16" i="12" s="1"/>
  <c r="EO16" i="12" s="1"/>
  <c r="EP16" i="12" s="1"/>
  <c r="EQ16" i="12" s="1"/>
  <c r="ER16" i="12" s="1"/>
  <c r="DI16" i="12"/>
  <c r="DD16" i="12"/>
  <c r="CY16" i="12"/>
  <c r="CT16" i="12"/>
  <c r="CO16" i="12"/>
  <c r="CJ16" i="12"/>
  <c r="CE16" i="12"/>
  <c r="BZ16" i="12"/>
  <c r="BU16" i="12"/>
  <c r="DN15" i="12"/>
  <c r="DI15" i="12"/>
  <c r="DD15" i="12"/>
  <c r="CY15" i="12"/>
  <c r="CT15" i="12"/>
  <c r="CO15" i="12"/>
  <c r="CJ15" i="12"/>
  <c r="CE15" i="12"/>
  <c r="BZ15" i="12"/>
  <c r="BU15" i="12"/>
  <c r="DN13" i="12"/>
  <c r="DI13" i="12"/>
  <c r="DD13" i="12"/>
  <c r="CY13" i="12"/>
  <c r="CT13" i="12"/>
  <c r="CO13" i="12"/>
  <c r="CJ13" i="12"/>
  <c r="CE13" i="12"/>
  <c r="BZ13" i="12"/>
  <c r="BU13" i="12"/>
  <c r="DN12" i="12"/>
  <c r="DI12" i="12"/>
  <c r="DD12" i="12"/>
  <c r="CY12" i="12"/>
  <c r="CT12" i="12"/>
  <c r="CO12" i="12"/>
  <c r="CJ12" i="12"/>
  <c r="CE12" i="12"/>
  <c r="BZ12" i="12"/>
  <c r="BU12" i="12"/>
  <c r="DN11" i="12"/>
  <c r="DO19" i="13" s="1"/>
  <c r="DI11" i="12"/>
  <c r="DJ19" i="13" s="1"/>
  <c r="DD11" i="12"/>
  <c r="DE19" i="13" s="1"/>
  <c r="CY11" i="12"/>
  <c r="CT11" i="12"/>
  <c r="CO11" i="12"/>
  <c r="CJ11" i="12"/>
  <c r="CE11" i="12"/>
  <c r="BZ11" i="12"/>
  <c r="BU11" i="12"/>
  <c r="DN10" i="12"/>
  <c r="DO18" i="13" s="1"/>
  <c r="DI10" i="12"/>
  <c r="DJ18" i="13" s="1"/>
  <c r="DD10" i="12"/>
  <c r="DE18" i="13" s="1"/>
  <c r="CY10" i="12"/>
  <c r="CT10" i="12"/>
  <c r="CO10" i="12"/>
  <c r="CJ10" i="12"/>
  <c r="CE10" i="12"/>
  <c r="BZ10" i="12"/>
  <c r="BU10" i="12"/>
  <c r="DN9" i="12"/>
  <c r="DI9" i="12"/>
  <c r="DD9" i="12"/>
  <c r="CY9" i="12"/>
  <c r="CT9" i="12"/>
  <c r="CO9" i="12"/>
  <c r="CJ9" i="12"/>
  <c r="CE9" i="12"/>
  <c r="BZ9" i="12"/>
  <c r="BU9" i="12"/>
  <c r="BR8" i="12"/>
  <c r="BR7" i="12" s="1"/>
  <c r="N5" i="12"/>
  <c r="J5" i="12"/>
  <c r="K5" i="12" s="1"/>
  <c r="L5" i="12" s="1"/>
  <c r="E5" i="12"/>
  <c r="F5" i="12" s="1"/>
  <c r="G5" i="12" s="1"/>
  <c r="H5" i="12" s="1"/>
  <c r="M5" i="12" s="1"/>
  <c r="R5" i="12" s="1"/>
  <c r="W5" i="12" s="1"/>
  <c r="AB5" i="12" s="1"/>
  <c r="AG5" i="12" s="1"/>
  <c r="AL5" i="12" s="1"/>
  <c r="AQ5" i="12" s="1"/>
  <c r="AV5" i="12" s="1"/>
  <c r="BA5" i="12" s="1"/>
  <c r="BF5" i="12" s="1"/>
  <c r="BK5" i="12" s="1"/>
  <c r="BP5" i="12" s="1"/>
  <c r="BU5" i="12" s="1"/>
  <c r="BZ5" i="12" s="1"/>
  <c r="CE5" i="12" s="1"/>
  <c r="CJ5" i="12" s="1"/>
  <c r="CO5" i="12" s="1"/>
  <c r="CT5" i="12" s="1"/>
  <c r="CY5" i="12" s="1"/>
  <c r="DD5" i="12" s="1"/>
  <c r="DI5" i="12" s="1"/>
  <c r="DN5" i="12" s="1"/>
  <c r="DS5" i="12" s="1"/>
  <c r="DX5" i="12" s="1"/>
  <c r="EC5" i="12" s="1"/>
  <c r="EH5" i="12" s="1"/>
  <c r="EM5" i="12" s="1"/>
  <c r="ER5" i="12" s="1"/>
  <c r="C5" i="12"/>
  <c r="H4" i="12"/>
  <c r="G4" i="12"/>
  <c r="F4" i="12"/>
  <c r="E4" i="12"/>
  <c r="D4" i="12"/>
  <c r="DY140" i="2"/>
  <c r="DY139" i="2"/>
  <c r="DY138" i="2"/>
  <c r="DY137" i="2"/>
  <c r="ED137" i="2" s="1"/>
  <c r="EI137" i="2" s="1"/>
  <c r="EN137" i="2" s="1"/>
  <c r="DI128" i="2"/>
  <c r="DD128" i="2"/>
  <c r="CY128" i="2"/>
  <c r="CT128" i="2"/>
  <c r="CO128" i="2"/>
  <c r="CJ128" i="2"/>
  <c r="CE128" i="2"/>
  <c r="BZ128" i="2"/>
  <c r="BU128" i="2"/>
  <c r="EB126" i="2"/>
  <c r="EA126" i="2"/>
  <c r="DZ126" i="2"/>
  <c r="DY126" i="2"/>
  <c r="DW126" i="2"/>
  <c r="DV126" i="2"/>
  <c r="DM126" i="2"/>
  <c r="DL126" i="2"/>
  <c r="DK126" i="2"/>
  <c r="DJ126" i="2"/>
  <c r="DH126" i="2"/>
  <c r="DE126" i="2"/>
  <c r="DC126" i="2"/>
  <c r="DA126" i="2"/>
  <c r="CZ126" i="2"/>
  <c r="CX126" i="2"/>
  <c r="CW126" i="2"/>
  <c r="CV126" i="2"/>
  <c r="CU126" i="2"/>
  <c r="CS126" i="2"/>
  <c r="CR126" i="2"/>
  <c r="CQ126" i="2"/>
  <c r="CP126" i="2"/>
  <c r="CN126" i="2"/>
  <c r="CM126" i="2"/>
  <c r="CL126" i="2"/>
  <c r="CK126" i="2"/>
  <c r="CI126" i="2"/>
  <c r="CH126" i="2"/>
  <c r="CG126" i="2"/>
  <c r="CF126" i="2"/>
  <c r="CD126" i="2"/>
  <c r="CC126" i="2"/>
  <c r="CB126" i="2"/>
  <c r="CA126" i="2"/>
  <c r="BY126" i="2"/>
  <c r="BX126" i="2"/>
  <c r="BW126" i="2"/>
  <c r="BV126" i="2"/>
  <c r="BT126" i="2"/>
  <c r="BS126" i="2"/>
  <c r="BR126" i="2"/>
  <c r="BQ126" i="2"/>
  <c r="EB125" i="2"/>
  <c r="EA125" i="2"/>
  <c r="DZ125" i="2"/>
  <c r="DY125" i="2"/>
  <c r="DW125" i="2"/>
  <c r="DV125" i="2"/>
  <c r="DM125" i="2"/>
  <c r="DK125" i="2"/>
  <c r="DF125" i="2"/>
  <c r="DE125" i="2"/>
  <c r="CX125" i="2"/>
  <c r="CW125" i="2"/>
  <c r="CV125" i="2"/>
  <c r="CU125" i="2"/>
  <c r="CS125" i="2"/>
  <c r="CR125" i="2"/>
  <c r="CQ125" i="2"/>
  <c r="CP125" i="2"/>
  <c r="CN125" i="2"/>
  <c r="CM125" i="2"/>
  <c r="CL125" i="2"/>
  <c r="CK125" i="2"/>
  <c r="CI125" i="2"/>
  <c r="CH125" i="2"/>
  <c r="CG125" i="2"/>
  <c r="CF125" i="2"/>
  <c r="CD125" i="2"/>
  <c r="CC125" i="2"/>
  <c r="CB125" i="2"/>
  <c r="CA125" i="2"/>
  <c r="BY125" i="2"/>
  <c r="BX125" i="2"/>
  <c r="BW125" i="2"/>
  <c r="BV125" i="2"/>
  <c r="BT125" i="2"/>
  <c r="BS125" i="2"/>
  <c r="BR125" i="2"/>
  <c r="BQ125" i="2"/>
  <c r="DM124" i="2"/>
  <c r="EA123" i="2"/>
  <c r="DZ123" i="2"/>
  <c r="DV123" i="2"/>
  <c r="DL123" i="2"/>
  <c r="EC110" i="2"/>
  <c r="DX110" i="2"/>
  <c r="DS110" i="2"/>
  <c r="DN110" i="2"/>
  <c r="DG110" i="2"/>
  <c r="DG126" i="2" s="1"/>
  <c r="DF110" i="2"/>
  <c r="DF126" i="2" s="1"/>
  <c r="DB110" i="2"/>
  <c r="DB126" i="2" s="1"/>
  <c r="CY110" i="2"/>
  <c r="CT110" i="2"/>
  <c r="CO110" i="2"/>
  <c r="CJ110" i="2"/>
  <c r="CE110" i="2"/>
  <c r="BZ110" i="2"/>
  <c r="BU110" i="2"/>
  <c r="DF93" i="2"/>
  <c r="DF100" i="2" s="1"/>
  <c r="DK101" i="2" s="1"/>
  <c r="DE93" i="2"/>
  <c r="DC93" i="2"/>
  <c r="DB93" i="2"/>
  <c r="DB123" i="2" s="1"/>
  <c r="DA93" i="2"/>
  <c r="DA123" i="2" s="1"/>
  <c r="CZ93" i="2"/>
  <c r="CX93" i="2"/>
  <c r="CX123" i="2" s="1"/>
  <c r="CW93" i="2"/>
  <c r="CW123" i="2" s="1"/>
  <c r="CV93" i="2"/>
  <c r="CV123" i="2" s="1"/>
  <c r="CU93" i="2"/>
  <c r="CS93" i="2"/>
  <c r="CR93" i="2"/>
  <c r="CQ93" i="2"/>
  <c r="CP93" i="2"/>
  <c r="CN93" i="2"/>
  <c r="CN123" i="2" s="1"/>
  <c r="CM93" i="2"/>
  <c r="CM123" i="2" s="1"/>
  <c r="CL93" i="2"/>
  <c r="CL123" i="2" s="1"/>
  <c r="CK93" i="2"/>
  <c r="CI93" i="2"/>
  <c r="CH93" i="2"/>
  <c r="CG93" i="2"/>
  <c r="CF93" i="2"/>
  <c r="CD93" i="2"/>
  <c r="CC93" i="2"/>
  <c r="CB93" i="2"/>
  <c r="CA93" i="2"/>
  <c r="CA123" i="2" s="1"/>
  <c r="BY93" i="2"/>
  <c r="BY123" i="2" s="1"/>
  <c r="BX93" i="2"/>
  <c r="BX123" i="2" s="1"/>
  <c r="BW93" i="2"/>
  <c r="BV93" i="2"/>
  <c r="BT93" i="2"/>
  <c r="BS93" i="2"/>
  <c r="BR93" i="2"/>
  <c r="BR123" i="2" s="1"/>
  <c r="BQ93" i="2"/>
  <c r="BQ123" i="2" s="1"/>
  <c r="DD92" i="2"/>
  <c r="CY92" i="2"/>
  <c r="CT92" i="2"/>
  <c r="CO92" i="2"/>
  <c r="CJ92" i="2"/>
  <c r="CE92" i="2"/>
  <c r="BZ92" i="2"/>
  <c r="BU92" i="2"/>
  <c r="DD91" i="2"/>
  <c r="CY91" i="2"/>
  <c r="CT91" i="2"/>
  <c r="CO91" i="2"/>
  <c r="CJ91" i="2"/>
  <c r="CE91" i="2"/>
  <c r="BZ91" i="2"/>
  <c r="BU91" i="2"/>
  <c r="DD90" i="2"/>
  <c r="CY90" i="2"/>
  <c r="CT90" i="2"/>
  <c r="CO90" i="2"/>
  <c r="CJ90" i="2"/>
  <c r="CE90" i="2"/>
  <c r="BZ90" i="2"/>
  <c r="BU90" i="2"/>
  <c r="DD89" i="2"/>
  <c r="CY89" i="2"/>
  <c r="CT89" i="2"/>
  <c r="CO89" i="2"/>
  <c r="CJ89" i="2"/>
  <c r="CE89" i="2"/>
  <c r="BZ89" i="2"/>
  <c r="BU89" i="2"/>
  <c r="DL108" i="2"/>
  <c r="DK108" i="2"/>
  <c r="DK9" i="13" s="1"/>
  <c r="DK8" i="13" s="1"/>
  <c r="DJ108" i="2"/>
  <c r="DJ9" i="13" s="1"/>
  <c r="DJ8" i="13" s="1"/>
  <c r="DH108" i="2"/>
  <c r="DH9" i="13" s="1"/>
  <c r="DH8" i="13" s="1"/>
  <c r="DG108" i="2"/>
  <c r="DG9" i="13" s="1"/>
  <c r="DG8" i="13" s="1"/>
  <c r="DF108" i="2"/>
  <c r="DF9" i="13" s="1"/>
  <c r="DE108" i="2"/>
  <c r="DE9" i="13" s="1"/>
  <c r="DE8" i="13" s="1"/>
  <c r="DC108" i="2"/>
  <c r="DC9" i="13" s="1"/>
  <c r="DB108" i="2"/>
  <c r="DB9" i="13" s="1"/>
  <c r="DA108" i="2"/>
  <c r="DA9" i="13" s="1"/>
  <c r="CZ108" i="2"/>
  <c r="CZ9" i="13" s="1"/>
  <c r="CZ8" i="13" s="1"/>
  <c r="CX108" i="2"/>
  <c r="CX9" i="13" s="1"/>
  <c r="CW108" i="2"/>
  <c r="CW9" i="13" s="1"/>
  <c r="CV108" i="2"/>
  <c r="CU108" i="2"/>
  <c r="CU9" i="13" s="1"/>
  <c r="CU8" i="13" s="1"/>
  <c r="CS108" i="2"/>
  <c r="CS9" i="13" s="1"/>
  <c r="CR108" i="2"/>
  <c r="CR9" i="13" s="1"/>
  <c r="CQ108" i="2"/>
  <c r="CQ9" i="13" s="1"/>
  <c r="CP108" i="2"/>
  <c r="CP9" i="13" s="1"/>
  <c r="CP8" i="13" s="1"/>
  <c r="CN108" i="2"/>
  <c r="CM108" i="2"/>
  <c r="CM9" i="13" s="1"/>
  <c r="CL108" i="2"/>
  <c r="CL9" i="13" s="1"/>
  <c r="CK108" i="2"/>
  <c r="CK9" i="13" s="1"/>
  <c r="CK8" i="13" s="1"/>
  <c r="CI108" i="2"/>
  <c r="CI9" i="13" s="1"/>
  <c r="CH108" i="2"/>
  <c r="CH9" i="13" s="1"/>
  <c r="CG108" i="2"/>
  <c r="CG9" i="13" s="1"/>
  <c r="CF108" i="2"/>
  <c r="CD108" i="2"/>
  <c r="CD9" i="13" s="1"/>
  <c r="CC108" i="2"/>
  <c r="CC9" i="13" s="1"/>
  <c r="CB108" i="2"/>
  <c r="CB9" i="13" s="1"/>
  <c r="CA108" i="2"/>
  <c r="CA9" i="13" s="1"/>
  <c r="CA8" i="13" s="1"/>
  <c r="BY108" i="2"/>
  <c r="BY9" i="13" s="1"/>
  <c r="BX108" i="2"/>
  <c r="BW108" i="2"/>
  <c r="BW9" i="13" s="1"/>
  <c r="BV108" i="2"/>
  <c r="BV9" i="13" s="1"/>
  <c r="BV8" i="13" s="1"/>
  <c r="BT108" i="2"/>
  <c r="BT9" i="13" s="1"/>
  <c r="BS108" i="2"/>
  <c r="BS9" i="13" s="1"/>
  <c r="BR108" i="2"/>
  <c r="BR9" i="13" s="1"/>
  <c r="BQ108" i="2"/>
  <c r="BQ9" i="13" s="1"/>
  <c r="DN107" i="2"/>
  <c r="DI107" i="2"/>
  <c r="DD107" i="2"/>
  <c r="CY107" i="2"/>
  <c r="CT107" i="2"/>
  <c r="CO107" i="2"/>
  <c r="CJ107" i="2"/>
  <c r="CE107" i="2"/>
  <c r="BZ107" i="2"/>
  <c r="BU107" i="2"/>
  <c r="DN106" i="2"/>
  <c r="DI106" i="2"/>
  <c r="DD106" i="2"/>
  <c r="CY106" i="2"/>
  <c r="CT106" i="2"/>
  <c r="CO106" i="2"/>
  <c r="CJ106" i="2"/>
  <c r="CE106" i="2"/>
  <c r="BZ106" i="2"/>
  <c r="BU106" i="2"/>
  <c r="DN105" i="2"/>
  <c r="DI105" i="2"/>
  <c r="DD105" i="2"/>
  <c r="CY105" i="2"/>
  <c r="CT105" i="2"/>
  <c r="CO105" i="2"/>
  <c r="CJ105" i="2"/>
  <c r="CE105" i="2"/>
  <c r="BZ105" i="2"/>
  <c r="BU105" i="2"/>
  <c r="DN104" i="2"/>
  <c r="DI104" i="2"/>
  <c r="DD104" i="2"/>
  <c r="CY104" i="2"/>
  <c r="CT104" i="2"/>
  <c r="CO104" i="2"/>
  <c r="CJ104" i="2"/>
  <c r="CE104" i="2"/>
  <c r="BZ104" i="2"/>
  <c r="BU104" i="2"/>
  <c r="DL122" i="2"/>
  <c r="DK122" i="2"/>
  <c r="DJ122" i="2"/>
  <c r="DH122" i="2"/>
  <c r="DF122" i="2"/>
  <c r="DC86" i="2"/>
  <c r="DB86" i="2"/>
  <c r="DA86" i="2"/>
  <c r="CZ86" i="2"/>
  <c r="CX86" i="2"/>
  <c r="CW86" i="2"/>
  <c r="CV86" i="2"/>
  <c r="CU86" i="2"/>
  <c r="CS86" i="2"/>
  <c r="CR86" i="2"/>
  <c r="CQ86" i="2"/>
  <c r="CP86" i="2"/>
  <c r="CN86" i="2"/>
  <c r="CM86" i="2"/>
  <c r="CL86" i="2"/>
  <c r="CK86" i="2"/>
  <c r="CI86" i="2"/>
  <c r="CH86" i="2"/>
  <c r="CG86" i="2"/>
  <c r="CF86" i="2"/>
  <c r="CD86" i="2"/>
  <c r="CC86" i="2"/>
  <c r="CB86" i="2"/>
  <c r="CA86" i="2"/>
  <c r="BY86" i="2"/>
  <c r="BX86" i="2"/>
  <c r="BW86" i="2"/>
  <c r="BV86" i="2"/>
  <c r="BT86" i="2"/>
  <c r="BS86" i="2"/>
  <c r="BR86" i="2"/>
  <c r="BQ86" i="2"/>
  <c r="DD85" i="2"/>
  <c r="CY85" i="2"/>
  <c r="CT85" i="2"/>
  <c r="CO85" i="2"/>
  <c r="CJ85" i="2"/>
  <c r="CE85" i="2"/>
  <c r="BZ85" i="2"/>
  <c r="BU85" i="2"/>
  <c r="DD84" i="2"/>
  <c r="CY84" i="2"/>
  <c r="CT84" i="2"/>
  <c r="CO84" i="2"/>
  <c r="CJ84" i="2"/>
  <c r="CE84" i="2"/>
  <c r="BZ84" i="2"/>
  <c r="BU84" i="2"/>
  <c r="DD83" i="2"/>
  <c r="CY83" i="2"/>
  <c r="CT83" i="2"/>
  <c r="CO83" i="2"/>
  <c r="CJ83" i="2"/>
  <c r="CE83" i="2"/>
  <c r="BZ83" i="2"/>
  <c r="BU83" i="2"/>
  <c r="DD82" i="2"/>
  <c r="CY82" i="2"/>
  <c r="CT82" i="2"/>
  <c r="CO82" i="2"/>
  <c r="CJ82" i="2"/>
  <c r="CE82" i="2"/>
  <c r="BZ82" i="2"/>
  <c r="BU82" i="2"/>
  <c r="BQ80" i="2"/>
  <c r="BU79" i="2"/>
  <c r="BT79" i="2"/>
  <c r="BS79" i="2"/>
  <c r="BR79" i="2"/>
  <c r="BQ79" i="2"/>
  <c r="EC76" i="2"/>
  <c r="DX76" i="2"/>
  <c r="DS76" i="2"/>
  <c r="DN76" i="2"/>
  <c r="DI76" i="2"/>
  <c r="DD76" i="2"/>
  <c r="CY76" i="2"/>
  <c r="CT76" i="2"/>
  <c r="CO76" i="2"/>
  <c r="CJ76" i="2"/>
  <c r="CE76" i="2"/>
  <c r="BZ76" i="2"/>
  <c r="BU76" i="2"/>
  <c r="DM75" i="2"/>
  <c r="DL75" i="2"/>
  <c r="DK75" i="2"/>
  <c r="DJ75" i="2"/>
  <c r="DH75" i="2"/>
  <c r="DG75" i="2"/>
  <c r="DF75" i="2"/>
  <c r="DE75" i="2"/>
  <c r="CZ75" i="2"/>
  <c r="CU75" i="2"/>
  <c r="CP75" i="2"/>
  <c r="CK75" i="2"/>
  <c r="CF75" i="2"/>
  <c r="CA75" i="2"/>
  <c r="BV75" i="2"/>
  <c r="BQ75" i="2"/>
  <c r="DM131" i="2"/>
  <c r="DK131" i="2"/>
  <c r="DI131" i="2"/>
  <c r="DH131" i="2"/>
  <c r="DG131" i="2"/>
  <c r="DF131" i="2"/>
  <c r="DE131" i="2"/>
  <c r="DD131" i="2"/>
  <c r="DC131" i="2"/>
  <c r="DB131" i="2"/>
  <c r="DA131" i="2"/>
  <c r="CZ131" i="2"/>
  <c r="CX131" i="2"/>
  <c r="CW131" i="2"/>
  <c r="CV131" i="2"/>
  <c r="CU131" i="2"/>
  <c r="CS131" i="2"/>
  <c r="CR131" i="2"/>
  <c r="CQ131" i="2"/>
  <c r="CP131" i="2"/>
  <c r="CO131" i="2"/>
  <c r="CN131" i="2"/>
  <c r="CM131" i="2"/>
  <c r="CL131" i="2"/>
  <c r="CK131" i="2"/>
  <c r="CJ131" i="2"/>
  <c r="CI131" i="2"/>
  <c r="CH131" i="2"/>
  <c r="CG131" i="2"/>
  <c r="CF131" i="2"/>
  <c r="CE131" i="2"/>
  <c r="CD131" i="2"/>
  <c r="CC131" i="2"/>
  <c r="CB131" i="2"/>
  <c r="CA131" i="2"/>
  <c r="BZ131" i="2"/>
  <c r="BY131" i="2"/>
  <c r="BX131" i="2"/>
  <c r="BW131" i="2"/>
  <c r="BV131" i="2"/>
  <c r="BU131" i="2"/>
  <c r="BT131" i="2"/>
  <c r="BS131" i="2"/>
  <c r="BR131" i="2"/>
  <c r="BQ131" i="2"/>
  <c r="DN70" i="2"/>
  <c r="DN131" i="2" s="1"/>
  <c r="CY70" i="2"/>
  <c r="CY131" i="2" s="1"/>
  <c r="CT70" i="2"/>
  <c r="CT131" i="2" s="1"/>
  <c r="DN69" i="2"/>
  <c r="CY69" i="2"/>
  <c r="CT69" i="2"/>
  <c r="BT60" i="2"/>
  <c r="BS60" i="2"/>
  <c r="BR60" i="2"/>
  <c r="BQ60" i="2"/>
  <c r="DN57" i="2"/>
  <c r="DH57" i="2"/>
  <c r="DH60" i="2" s="1"/>
  <c r="DI60" i="2" s="1"/>
  <c r="DC57" i="2"/>
  <c r="DC60" i="2" s="1"/>
  <c r="DD60" i="2" s="1"/>
  <c r="CY57" i="2"/>
  <c r="CT57" i="2"/>
  <c r="CO57" i="2"/>
  <c r="CJ57" i="2"/>
  <c r="CE57" i="2"/>
  <c r="BZ57" i="2"/>
  <c r="BU57" i="2"/>
  <c r="EC54" i="2"/>
  <c r="DX54" i="2"/>
  <c r="DS54" i="2"/>
  <c r="DN54" i="2"/>
  <c r="DH54" i="2"/>
  <c r="DI54" i="2" s="1"/>
  <c r="DC54" i="2"/>
  <c r="DD54" i="2" s="1"/>
  <c r="CY54" i="2"/>
  <c r="CT54" i="2"/>
  <c r="CO54" i="2"/>
  <c r="CJ54" i="2"/>
  <c r="CE54" i="2"/>
  <c r="BZ54" i="2"/>
  <c r="BU54" i="2"/>
  <c r="EC53" i="2"/>
  <c r="DX53" i="2"/>
  <c r="DS53" i="2"/>
  <c r="DL53" i="2"/>
  <c r="DL125" i="2" s="1"/>
  <c r="DJ53" i="2"/>
  <c r="DJ125" i="2" s="1"/>
  <c r="DG53" i="2"/>
  <c r="DB53" i="2"/>
  <c r="DB125" i="2" s="1"/>
  <c r="DA53" i="2"/>
  <c r="DA125" i="2" s="1"/>
  <c r="CZ53" i="2"/>
  <c r="CY53" i="2"/>
  <c r="CT53" i="2"/>
  <c r="CO53" i="2"/>
  <c r="CJ53" i="2"/>
  <c r="CE53" i="2"/>
  <c r="BZ53" i="2"/>
  <c r="BU53" i="2"/>
  <c r="DM52" i="2"/>
  <c r="DL52" i="2"/>
  <c r="DK52" i="2"/>
  <c r="DK55" i="2" s="1"/>
  <c r="DJ52" i="2"/>
  <c r="DG52" i="2"/>
  <c r="DF52" i="2"/>
  <c r="DF55" i="2" s="1"/>
  <c r="DE52" i="2"/>
  <c r="DB52" i="2"/>
  <c r="DA52" i="2"/>
  <c r="CZ52" i="2"/>
  <c r="CX52" i="2"/>
  <c r="CX55" i="2" s="1"/>
  <c r="CW52" i="2"/>
  <c r="CW55" i="2" s="1"/>
  <c r="CV52" i="2"/>
  <c r="CV55" i="2" s="1"/>
  <c r="CU52" i="2"/>
  <c r="CU55" i="2" s="1"/>
  <c r="CS52" i="2"/>
  <c r="CS55" i="2" s="1"/>
  <c r="CR52" i="2"/>
  <c r="CR55" i="2" s="1"/>
  <c r="CQ52" i="2"/>
  <c r="CQ55" i="2" s="1"/>
  <c r="CP52" i="2"/>
  <c r="CP55" i="2" s="1"/>
  <c r="CN52" i="2"/>
  <c r="CN55" i="2" s="1"/>
  <c r="CM52" i="2"/>
  <c r="CM55" i="2" s="1"/>
  <c r="CL52" i="2"/>
  <c r="CK52" i="2"/>
  <c r="CK55" i="2" s="1"/>
  <c r="CI52" i="2"/>
  <c r="CI55" i="2" s="1"/>
  <c r="CH52" i="2"/>
  <c r="CH55" i="2" s="1"/>
  <c r="CG52" i="2"/>
  <c r="CG55" i="2" s="1"/>
  <c r="CF52" i="2"/>
  <c r="CF55" i="2" s="1"/>
  <c r="CD52" i="2"/>
  <c r="CD55" i="2" s="1"/>
  <c r="CC52" i="2"/>
  <c r="CC55" i="2" s="1"/>
  <c r="CB52" i="2"/>
  <c r="CB55" i="2" s="1"/>
  <c r="CA52" i="2"/>
  <c r="BY52" i="2"/>
  <c r="BX52" i="2"/>
  <c r="BX55" i="2" s="1"/>
  <c r="BW52" i="2"/>
  <c r="BW55" i="2" s="1"/>
  <c r="BV52" i="2"/>
  <c r="BV55" i="2" s="1"/>
  <c r="BT52" i="2"/>
  <c r="BT55" i="2" s="1"/>
  <c r="BS52" i="2"/>
  <c r="BS55" i="2" s="1"/>
  <c r="BR52" i="2"/>
  <c r="BR55" i="2" s="1"/>
  <c r="BQ52" i="2"/>
  <c r="DN51" i="2"/>
  <c r="DI51" i="2"/>
  <c r="DC51" i="2"/>
  <c r="DD51" i="2" s="1"/>
  <c r="CY51" i="2"/>
  <c r="CT51" i="2"/>
  <c r="CO51" i="2"/>
  <c r="CJ51" i="2"/>
  <c r="CE51" i="2"/>
  <c r="BZ51" i="2"/>
  <c r="BU51" i="2"/>
  <c r="DN50" i="2"/>
  <c r="DH50" i="2"/>
  <c r="DH52" i="2" s="1"/>
  <c r="DC50" i="2"/>
  <c r="CY50" i="2"/>
  <c r="CT50" i="2"/>
  <c r="CO50" i="2"/>
  <c r="CJ50" i="2"/>
  <c r="CE50" i="2"/>
  <c r="BZ50" i="2"/>
  <c r="BU50" i="2"/>
  <c r="DM41" i="2"/>
  <c r="DL41" i="2"/>
  <c r="DQ43" i="2" s="1"/>
  <c r="DK41" i="2"/>
  <c r="DJ41" i="2"/>
  <c r="DH41" i="2"/>
  <c r="DH62" i="12" s="1"/>
  <c r="DH63" i="12" s="1"/>
  <c r="DG41" i="2"/>
  <c r="DG62" i="12" s="1"/>
  <c r="DG63" i="12" s="1"/>
  <c r="DF41" i="2"/>
  <c r="DE41" i="2"/>
  <c r="DE62" i="12" s="1"/>
  <c r="DE63" i="12" s="1"/>
  <c r="DC41" i="2"/>
  <c r="DC62" i="12" s="1"/>
  <c r="DC63" i="12" s="1"/>
  <c r="DB41" i="2"/>
  <c r="DB62" i="12" s="1"/>
  <c r="DB63" i="12" s="1"/>
  <c r="DA41" i="2"/>
  <c r="DA62" i="12" s="1"/>
  <c r="DA63" i="12" s="1"/>
  <c r="CZ41" i="2"/>
  <c r="CZ62" i="12" s="1"/>
  <c r="CZ63" i="12" s="1"/>
  <c r="CX41" i="2"/>
  <c r="CW41" i="2"/>
  <c r="CW62" i="12" s="1"/>
  <c r="CW63" i="12" s="1"/>
  <c r="CV41" i="2"/>
  <c r="CU41" i="2"/>
  <c r="CU62" i="12" s="1"/>
  <c r="CU63" i="12" s="1"/>
  <c r="CS41" i="2"/>
  <c r="CS62" i="12" s="1"/>
  <c r="CS63" i="12" s="1"/>
  <c r="CR41" i="2"/>
  <c r="CR62" i="12" s="1"/>
  <c r="CR63" i="12" s="1"/>
  <c r="CQ41" i="2"/>
  <c r="CP41" i="2"/>
  <c r="CN41" i="2"/>
  <c r="CM41" i="2"/>
  <c r="CM62" i="12" s="1"/>
  <c r="CM63" i="12" s="1"/>
  <c r="CL41" i="2"/>
  <c r="CL62" i="12" s="1"/>
  <c r="CL63" i="12" s="1"/>
  <c r="CK41" i="2"/>
  <c r="CK62" i="12" s="1"/>
  <c r="CK63" i="12" s="1"/>
  <c r="CI41" i="2"/>
  <c r="CH41" i="2"/>
  <c r="CG41" i="2"/>
  <c r="CG62" i="12" s="1"/>
  <c r="CF41" i="2"/>
  <c r="CD41" i="2"/>
  <c r="CD62" i="12" s="1"/>
  <c r="CC41" i="2"/>
  <c r="CC62" i="12" s="1"/>
  <c r="CB41" i="2"/>
  <c r="CB62" i="12" s="1"/>
  <c r="CA41" i="2"/>
  <c r="BY41" i="2"/>
  <c r="BY62" i="12" s="1"/>
  <c r="BX41" i="2"/>
  <c r="BW41" i="2"/>
  <c r="BW62" i="12" s="1"/>
  <c r="BV41" i="2"/>
  <c r="BV62" i="12" s="1"/>
  <c r="BT41" i="2"/>
  <c r="BT62" i="12" s="1"/>
  <c r="BS41" i="2"/>
  <c r="BR41" i="2"/>
  <c r="BQ41" i="2"/>
  <c r="BQ62" i="12" s="1"/>
  <c r="DN39" i="2"/>
  <c r="DI39" i="2"/>
  <c r="DD39" i="2"/>
  <c r="CY39" i="2"/>
  <c r="CT39" i="2"/>
  <c r="CO39" i="2"/>
  <c r="CJ39" i="2"/>
  <c r="CE39" i="2"/>
  <c r="BZ39" i="2"/>
  <c r="BU39" i="2"/>
  <c r="DN37" i="2"/>
  <c r="DI37" i="2"/>
  <c r="DD37" i="2"/>
  <c r="CY37" i="2"/>
  <c r="CT37" i="2"/>
  <c r="CO37" i="2"/>
  <c r="CJ37" i="2"/>
  <c r="CE37" i="2"/>
  <c r="BZ37" i="2"/>
  <c r="BU37" i="2"/>
  <c r="DN35" i="2"/>
  <c r="DI35" i="2"/>
  <c r="DD35" i="2"/>
  <c r="CY35" i="2"/>
  <c r="CT35" i="2"/>
  <c r="CO35" i="2"/>
  <c r="CJ35" i="2"/>
  <c r="CE35" i="2"/>
  <c r="BZ35" i="2"/>
  <c r="BU35" i="2"/>
  <c r="DN33" i="2"/>
  <c r="DI33" i="2"/>
  <c r="DD33" i="2"/>
  <c r="CY33" i="2"/>
  <c r="CT33" i="2"/>
  <c r="CO33" i="2"/>
  <c r="CJ33" i="2"/>
  <c r="CE33" i="2"/>
  <c r="BZ33" i="2"/>
  <c r="BU33" i="2"/>
  <c r="DN31" i="2"/>
  <c r="DI31" i="2"/>
  <c r="DD31" i="2"/>
  <c r="CY31" i="2"/>
  <c r="CT31" i="2"/>
  <c r="CO31" i="2"/>
  <c r="CJ31" i="2"/>
  <c r="CE31" i="2"/>
  <c r="BZ31" i="2"/>
  <c r="BU31" i="2"/>
  <c r="BU27" i="2"/>
  <c r="BT27" i="2"/>
  <c r="BS27" i="2"/>
  <c r="BR27" i="2"/>
  <c r="BQ27" i="2"/>
  <c r="DM22" i="2"/>
  <c r="DM23" i="2" s="1"/>
  <c r="DL22" i="2"/>
  <c r="DL23" i="2" s="1"/>
  <c r="DK22" i="2"/>
  <c r="DK23" i="2" s="1"/>
  <c r="DJ22" i="2"/>
  <c r="DJ23" i="2" s="1"/>
  <c r="DH22" i="2"/>
  <c r="DH23" i="2" s="1"/>
  <c r="DG22" i="2"/>
  <c r="DG23" i="2" s="1"/>
  <c r="DF22" i="2"/>
  <c r="DE22" i="2"/>
  <c r="DE23" i="2" s="1"/>
  <c r="DC22" i="2"/>
  <c r="DC23" i="2" s="1"/>
  <c r="DB22" i="2"/>
  <c r="DB23" i="2" s="1"/>
  <c r="DA22" i="2"/>
  <c r="DA23" i="2" s="1"/>
  <c r="CZ22" i="2"/>
  <c r="CZ23" i="2" s="1"/>
  <c r="CX22" i="2"/>
  <c r="CX23" i="2" s="1"/>
  <c r="CW22" i="2"/>
  <c r="CW23" i="2" s="1"/>
  <c r="CV22" i="2"/>
  <c r="CV23" i="2" s="1"/>
  <c r="CU22" i="2"/>
  <c r="CS22" i="2"/>
  <c r="CS23" i="2" s="1"/>
  <c r="CR22" i="2"/>
  <c r="CR23" i="2" s="1"/>
  <c r="CQ22" i="2"/>
  <c r="CQ23" i="2" s="1"/>
  <c r="CP22" i="2"/>
  <c r="CP23" i="2" s="1"/>
  <c r="CN22" i="2"/>
  <c r="CN23" i="2" s="1"/>
  <c r="CM22" i="2"/>
  <c r="CM23" i="2" s="1"/>
  <c r="CL22" i="2"/>
  <c r="CL23" i="2" s="1"/>
  <c r="CK22" i="2"/>
  <c r="CI22" i="2"/>
  <c r="CI23" i="2" s="1"/>
  <c r="CH22" i="2"/>
  <c r="CH23" i="2" s="1"/>
  <c r="CG22" i="2"/>
  <c r="CG23" i="2" s="1"/>
  <c r="CF22" i="2"/>
  <c r="CD22" i="2"/>
  <c r="CD23" i="2" s="1"/>
  <c r="CC22" i="2"/>
  <c r="CC23" i="2" s="1"/>
  <c r="CB22" i="2"/>
  <c r="CB23" i="2" s="1"/>
  <c r="CA22" i="2"/>
  <c r="CA23" i="2" s="1"/>
  <c r="BY22" i="2"/>
  <c r="BY23" i="2" s="1"/>
  <c r="BX22" i="2"/>
  <c r="BW22" i="2"/>
  <c r="BW23" i="2" s="1"/>
  <c r="BV22" i="2"/>
  <c r="BV23" i="2" s="1"/>
  <c r="BT22" i="2"/>
  <c r="BT23" i="2" s="1"/>
  <c r="BS22" i="2"/>
  <c r="BS23" i="2" s="1"/>
  <c r="BR22" i="2"/>
  <c r="BQ22" i="2"/>
  <c r="BQ23" i="2" s="1"/>
  <c r="DM20" i="2"/>
  <c r="DL20" i="2"/>
  <c r="DL21" i="2" s="1"/>
  <c r="DK20" i="2"/>
  <c r="DK21" i="2" s="1"/>
  <c r="DJ20" i="2"/>
  <c r="DJ21" i="2" s="1"/>
  <c r="DH20" i="2"/>
  <c r="DH21" i="2" s="1"/>
  <c r="DG20" i="2"/>
  <c r="DG21" i="2" s="1"/>
  <c r="DF20" i="2"/>
  <c r="DF21" i="2" s="1"/>
  <c r="DE20" i="2"/>
  <c r="DC20" i="2"/>
  <c r="DC21" i="2" s="1"/>
  <c r="DB20" i="2"/>
  <c r="DB21" i="2" s="1"/>
  <c r="DA20" i="2"/>
  <c r="DA21" i="2" s="1"/>
  <c r="CZ20" i="2"/>
  <c r="CZ21" i="2" s="1"/>
  <c r="CX20" i="2"/>
  <c r="CX21" i="2" s="1"/>
  <c r="CW20" i="2"/>
  <c r="CV20" i="2"/>
  <c r="CV21" i="2" s="1"/>
  <c r="CU20" i="2"/>
  <c r="CU21" i="2" s="1"/>
  <c r="CS20" i="2"/>
  <c r="CS21" i="2" s="1"/>
  <c r="CR20" i="2"/>
  <c r="CR21" i="2" s="1"/>
  <c r="CQ20" i="2"/>
  <c r="CP20" i="2"/>
  <c r="CP21" i="2" s="1"/>
  <c r="CN20" i="2"/>
  <c r="CN21" i="2" s="1"/>
  <c r="CM20" i="2"/>
  <c r="CM21" i="2" s="1"/>
  <c r="CL20" i="2"/>
  <c r="CL21" i="2" s="1"/>
  <c r="CK20" i="2"/>
  <c r="CI20" i="2"/>
  <c r="CI21" i="2" s="1"/>
  <c r="CH20" i="2"/>
  <c r="CH21" i="2" s="1"/>
  <c r="CG20" i="2"/>
  <c r="CG21" i="2" s="1"/>
  <c r="CF20" i="2"/>
  <c r="CD20" i="2"/>
  <c r="CD21" i="2" s="1"/>
  <c r="CC20" i="2"/>
  <c r="CC21" i="2" s="1"/>
  <c r="CB20" i="2"/>
  <c r="CB21" i="2" s="1"/>
  <c r="CA20" i="2"/>
  <c r="CA21" i="2" s="1"/>
  <c r="BY20" i="2"/>
  <c r="BY21" i="2" s="1"/>
  <c r="BX20" i="2"/>
  <c r="BX21" i="2" s="1"/>
  <c r="BW20" i="2"/>
  <c r="BW21" i="2" s="1"/>
  <c r="BV20" i="2"/>
  <c r="BT20" i="2"/>
  <c r="BT21" i="2" s="1"/>
  <c r="BS20" i="2"/>
  <c r="BS21" i="2" s="1"/>
  <c r="BR20" i="2"/>
  <c r="BR21" i="2" s="1"/>
  <c r="BQ20" i="2"/>
  <c r="DM18" i="2"/>
  <c r="DL18" i="2"/>
  <c r="DL64" i="12" s="1"/>
  <c r="DK18" i="2"/>
  <c r="DK64" i="12" s="1"/>
  <c r="DJ18" i="2"/>
  <c r="DJ64" i="12" s="1"/>
  <c r="DH18" i="2"/>
  <c r="DH64" i="12" s="1"/>
  <c r="DG18" i="2"/>
  <c r="DG64" i="12" s="1"/>
  <c r="DF18" i="2"/>
  <c r="DF64" i="12" s="1"/>
  <c r="DE18" i="2"/>
  <c r="DE64" i="12" s="1"/>
  <c r="DC18" i="2"/>
  <c r="DC64" i="12" s="1"/>
  <c r="DB18" i="2"/>
  <c r="DB64" i="12" s="1"/>
  <c r="DA18" i="2"/>
  <c r="DA64" i="12" s="1"/>
  <c r="CZ18" i="2"/>
  <c r="CZ64" i="12" s="1"/>
  <c r="CX18" i="2"/>
  <c r="CX64" i="12" s="1"/>
  <c r="CW18" i="2"/>
  <c r="CW64" i="12" s="1"/>
  <c r="CV18" i="2"/>
  <c r="CV64" i="12" s="1"/>
  <c r="CU18" i="2"/>
  <c r="CU64" i="12" s="1"/>
  <c r="CS18" i="2"/>
  <c r="CS64" i="12" s="1"/>
  <c r="CR18" i="2"/>
  <c r="CR64" i="12" s="1"/>
  <c r="CQ18" i="2"/>
  <c r="CQ64" i="12" s="1"/>
  <c r="CP18" i="2"/>
  <c r="CP64" i="12" s="1"/>
  <c r="CN18" i="2"/>
  <c r="CN64" i="12" s="1"/>
  <c r="CM18" i="2"/>
  <c r="CM64" i="12" s="1"/>
  <c r="CL18" i="2"/>
  <c r="CL64" i="12" s="1"/>
  <c r="CK18" i="2"/>
  <c r="CK64" i="12" s="1"/>
  <c r="CI18" i="2"/>
  <c r="CI64" i="12" s="1"/>
  <c r="CH18" i="2"/>
  <c r="CH64" i="12" s="1"/>
  <c r="CG18" i="2"/>
  <c r="CG64" i="12" s="1"/>
  <c r="CF18" i="2"/>
  <c r="CF64" i="12" s="1"/>
  <c r="CD18" i="2"/>
  <c r="CD64" i="12" s="1"/>
  <c r="CC18" i="2"/>
  <c r="CC64" i="12" s="1"/>
  <c r="CB18" i="2"/>
  <c r="CB64" i="12" s="1"/>
  <c r="CA18" i="2"/>
  <c r="CA64" i="12" s="1"/>
  <c r="BY18" i="2"/>
  <c r="BY64" i="12" s="1"/>
  <c r="BX18" i="2"/>
  <c r="BX64" i="12" s="1"/>
  <c r="BW18" i="2"/>
  <c r="BW64" i="12" s="1"/>
  <c r="BV18" i="2"/>
  <c r="BV64" i="12" s="1"/>
  <c r="BT18" i="2"/>
  <c r="BT64" i="12" s="1"/>
  <c r="BS18" i="2"/>
  <c r="BS64" i="12" s="1"/>
  <c r="BR18" i="2"/>
  <c r="BR64" i="12" s="1"/>
  <c r="BQ18" i="2"/>
  <c r="DM16" i="2"/>
  <c r="DR17" i="2" s="1"/>
  <c r="DL16" i="2"/>
  <c r="DQ17" i="2" s="1"/>
  <c r="DK16" i="2"/>
  <c r="DP17" i="2" s="1"/>
  <c r="DJ16" i="2"/>
  <c r="DO17" i="2" s="1"/>
  <c r="DH16" i="2"/>
  <c r="DG16" i="2"/>
  <c r="DF16" i="2"/>
  <c r="DE16" i="2"/>
  <c r="DC16" i="2"/>
  <c r="DB16" i="2"/>
  <c r="DA16" i="2"/>
  <c r="CZ16" i="2"/>
  <c r="CX16" i="2"/>
  <c r="CW16" i="2"/>
  <c r="CV16" i="2"/>
  <c r="CU16" i="2"/>
  <c r="CS16" i="2"/>
  <c r="CR16" i="2"/>
  <c r="CQ16" i="2"/>
  <c r="CP16" i="2"/>
  <c r="CN16" i="2"/>
  <c r="CM16" i="2"/>
  <c r="CL16" i="2"/>
  <c r="CK16" i="2"/>
  <c r="CI16" i="2"/>
  <c r="CH16" i="2"/>
  <c r="CG16" i="2"/>
  <c r="CF16" i="2"/>
  <c r="CD16" i="2"/>
  <c r="CC16" i="2"/>
  <c r="CB16" i="2"/>
  <c r="CA16" i="2"/>
  <c r="BY16" i="2"/>
  <c r="BX16" i="2"/>
  <c r="BW16" i="2"/>
  <c r="BV16" i="2"/>
  <c r="BT16" i="2"/>
  <c r="BS16" i="2"/>
  <c r="BR16" i="2"/>
  <c r="BQ16" i="2"/>
  <c r="DN15" i="2"/>
  <c r="DI15" i="2"/>
  <c r="DD15" i="2"/>
  <c r="CY15" i="2"/>
  <c r="CT15" i="2"/>
  <c r="CO15" i="2"/>
  <c r="CJ15" i="2"/>
  <c r="CE15" i="2"/>
  <c r="BZ15" i="2"/>
  <c r="BU15" i="2"/>
  <c r="DM13" i="2"/>
  <c r="DR14" i="2" s="1"/>
  <c r="DL13" i="2"/>
  <c r="DQ14" i="2" s="1"/>
  <c r="DK13" i="2"/>
  <c r="DP14" i="2" s="1"/>
  <c r="DJ13" i="2"/>
  <c r="DO14" i="2" s="1"/>
  <c r="DH13" i="2"/>
  <c r="DG13" i="2"/>
  <c r="DF13" i="2"/>
  <c r="DE13" i="2"/>
  <c r="DC13" i="2"/>
  <c r="DB13" i="2"/>
  <c r="DA13" i="2"/>
  <c r="CZ13" i="2"/>
  <c r="CX13" i="2"/>
  <c r="CW13" i="2"/>
  <c r="CV13" i="2"/>
  <c r="CU13" i="2"/>
  <c r="CS13" i="2"/>
  <c r="CR13" i="2"/>
  <c r="CQ13" i="2"/>
  <c r="CP13" i="2"/>
  <c r="CN13" i="2"/>
  <c r="CM13" i="2"/>
  <c r="CL13" i="2"/>
  <c r="CK13" i="2"/>
  <c r="CI13" i="2"/>
  <c r="CH13" i="2"/>
  <c r="CG13" i="2"/>
  <c r="CF13" i="2"/>
  <c r="CD13" i="2"/>
  <c r="CC13" i="2"/>
  <c r="CB13" i="2"/>
  <c r="CA13" i="2"/>
  <c r="BY13" i="2"/>
  <c r="BX13" i="2"/>
  <c r="BW13" i="2"/>
  <c r="BV13" i="2"/>
  <c r="BT13" i="2"/>
  <c r="BS13" i="2"/>
  <c r="BR13" i="2"/>
  <c r="BQ13" i="2"/>
  <c r="DN12" i="2"/>
  <c r="DI12" i="2"/>
  <c r="DD12" i="2"/>
  <c r="CY12" i="2"/>
  <c r="CT12" i="2"/>
  <c r="CO12" i="2"/>
  <c r="CJ12" i="2"/>
  <c r="CE12" i="2"/>
  <c r="BZ12" i="2"/>
  <c r="BU12" i="2"/>
  <c r="DM10" i="2"/>
  <c r="DR11" i="2" s="1"/>
  <c r="DL10" i="2"/>
  <c r="DQ11" i="2" s="1"/>
  <c r="DK10" i="2"/>
  <c r="DJ10" i="2"/>
  <c r="DJ34" i="2" s="1"/>
  <c r="DH10" i="2"/>
  <c r="DG10" i="2"/>
  <c r="DG40" i="2" s="1"/>
  <c r="DF10" i="2"/>
  <c r="DF40" i="2" s="1"/>
  <c r="DE10" i="2"/>
  <c r="DE36" i="2" s="1"/>
  <c r="DC10" i="2"/>
  <c r="DC36" i="2" s="1"/>
  <c r="DB10" i="2"/>
  <c r="DA10" i="2"/>
  <c r="DA38" i="2" s="1"/>
  <c r="CZ10" i="2"/>
  <c r="CX10" i="2"/>
  <c r="CX32" i="2" s="1"/>
  <c r="CW10" i="2"/>
  <c r="CV10" i="2"/>
  <c r="CV40" i="2" s="1"/>
  <c r="CU10" i="2"/>
  <c r="CS10" i="2"/>
  <c r="CR10" i="2"/>
  <c r="CQ10" i="2"/>
  <c r="CQ32" i="2" s="1"/>
  <c r="CP10" i="2"/>
  <c r="CP38" i="2" s="1"/>
  <c r="CN10" i="2"/>
  <c r="CN36" i="2" s="1"/>
  <c r="CM10" i="2"/>
  <c r="CL10" i="2"/>
  <c r="CK10" i="2"/>
  <c r="CI10" i="2"/>
  <c r="CI36" i="2" s="1"/>
  <c r="CH10" i="2"/>
  <c r="CH36" i="2" s="1"/>
  <c r="CG10" i="2"/>
  <c r="CG147" i="2" s="1"/>
  <c r="CF10" i="2"/>
  <c r="CF40" i="2" s="1"/>
  <c r="CD10" i="2"/>
  <c r="CC10" i="2"/>
  <c r="CB10" i="2"/>
  <c r="CA10" i="2"/>
  <c r="CA32" i="2" s="1"/>
  <c r="BY10" i="2"/>
  <c r="BY34" i="2" s="1"/>
  <c r="BX10" i="2"/>
  <c r="BX32" i="2" s="1"/>
  <c r="BW10" i="2"/>
  <c r="BW32" i="2" s="1"/>
  <c r="BV10" i="2"/>
  <c r="BT10" i="2"/>
  <c r="BS10" i="2"/>
  <c r="BS32" i="2" s="1"/>
  <c r="BR10" i="2"/>
  <c r="BR32" i="2" s="1"/>
  <c r="BQ10" i="2"/>
  <c r="DM9" i="2"/>
  <c r="DL9" i="2"/>
  <c r="DK9" i="2"/>
  <c r="DJ9" i="2"/>
  <c r="DH9" i="2"/>
  <c r="DG9" i="2"/>
  <c r="DF9" i="2"/>
  <c r="DE9" i="2"/>
  <c r="DC9" i="2"/>
  <c r="DB9" i="2"/>
  <c r="DA9" i="2"/>
  <c r="CZ9" i="2"/>
  <c r="CX9" i="2"/>
  <c r="CW9" i="2"/>
  <c r="CV9" i="2"/>
  <c r="CU9" i="2"/>
  <c r="CS9" i="2"/>
  <c r="CR9" i="2"/>
  <c r="CQ9" i="2"/>
  <c r="CP9" i="2"/>
  <c r="CN9" i="2"/>
  <c r="CM9" i="2"/>
  <c r="CL9" i="2"/>
  <c r="CK9" i="2"/>
  <c r="CI9" i="2"/>
  <c r="CH9" i="2"/>
  <c r="CG9" i="2"/>
  <c r="CF9" i="2"/>
  <c r="CD9" i="2"/>
  <c r="CC9" i="2"/>
  <c r="CB9" i="2"/>
  <c r="CA9" i="2"/>
  <c r="BY9" i="2"/>
  <c r="BX9" i="2"/>
  <c r="BW9" i="2"/>
  <c r="BV9" i="2"/>
  <c r="DN8" i="2"/>
  <c r="DB11" i="35" s="1"/>
  <c r="DI8" i="2"/>
  <c r="DD8" i="2"/>
  <c r="CY8" i="2"/>
  <c r="CT8" i="2"/>
  <c r="CO8" i="2"/>
  <c r="CJ8" i="2"/>
  <c r="CE8" i="2"/>
  <c r="BZ8" i="2"/>
  <c r="BU8" i="2"/>
  <c r="DM7" i="2"/>
  <c r="DL7" i="2"/>
  <c r="DK7" i="2"/>
  <c r="DJ7" i="2"/>
  <c r="DH7" i="2"/>
  <c r="DG7" i="2"/>
  <c r="DF7" i="2"/>
  <c r="DE7" i="2"/>
  <c r="DC7" i="2"/>
  <c r="DB7" i="2"/>
  <c r="DA7" i="2"/>
  <c r="CZ7" i="2"/>
  <c r="CX7" i="2"/>
  <c r="CW7" i="2"/>
  <c r="CV7" i="2"/>
  <c r="CU7" i="2"/>
  <c r="CS7" i="2"/>
  <c r="CR7" i="2"/>
  <c r="CQ7" i="2"/>
  <c r="CP7" i="2"/>
  <c r="CN7" i="2"/>
  <c r="CM7" i="2"/>
  <c r="CL7" i="2"/>
  <c r="CK7" i="2"/>
  <c r="CI7" i="2"/>
  <c r="CH7" i="2"/>
  <c r="CG7" i="2"/>
  <c r="CF7" i="2"/>
  <c r="CD7" i="2"/>
  <c r="CC7" i="2"/>
  <c r="CB7" i="2"/>
  <c r="CA7" i="2"/>
  <c r="BY7" i="2"/>
  <c r="BX7" i="2"/>
  <c r="BW7" i="2"/>
  <c r="BV7" i="2"/>
  <c r="DN6" i="2"/>
  <c r="DB33" i="35" s="1"/>
  <c r="DI6" i="2"/>
  <c r="DA33" i="35" s="1"/>
  <c r="DD6" i="2"/>
  <c r="CZ33" i="35" s="1"/>
  <c r="CY6" i="2"/>
  <c r="CY33" i="35" s="1"/>
  <c r="CT6" i="2"/>
  <c r="CX33" i="35" s="1"/>
  <c r="CO6" i="2"/>
  <c r="CW33" i="35" s="1"/>
  <c r="CJ6" i="2"/>
  <c r="CV33" i="35" s="1"/>
  <c r="CE6" i="2"/>
  <c r="CU33" i="35" s="1"/>
  <c r="BZ6" i="2"/>
  <c r="CT33" i="35" s="1"/>
  <c r="BU6" i="2"/>
  <c r="N5" i="2"/>
  <c r="J5" i="2"/>
  <c r="E5" i="2"/>
  <c r="C2" i="2"/>
  <c r="J12" i="26"/>
  <c r="I12" i="26"/>
  <c r="E4" i="26"/>
  <c r="E2" i="26"/>
  <c r="H18" i="21"/>
  <c r="N12" i="21"/>
  <c r="M12" i="21" s="1"/>
  <c r="L12" i="21" s="1"/>
  <c r="K12" i="21" s="1"/>
  <c r="E6" i="21"/>
  <c r="F6" i="21" s="1"/>
  <c r="G6" i="21" s="1"/>
  <c r="H6" i="21" s="1"/>
  <c r="I6" i="21" s="1"/>
  <c r="J6" i="21" s="1"/>
  <c r="K6" i="21" s="1"/>
  <c r="L6" i="21" s="1"/>
  <c r="M6" i="21" s="1"/>
  <c r="N6" i="21" s="1"/>
  <c r="O6" i="21" s="1"/>
  <c r="B2" i="21"/>
  <c r="B88" i="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111" i="1" s="1"/>
  <c r="B112" i="1" s="1"/>
  <c r="B113" i="1" s="1"/>
  <c r="B114" i="1" s="1"/>
  <c r="B115" i="1" s="1"/>
  <c r="B116" i="1" s="1"/>
  <c r="B117" i="1" s="1"/>
  <c r="B118" i="1" s="1"/>
  <c r="B119" i="1" s="1"/>
  <c r="B120" i="1" s="1"/>
  <c r="B121" i="1" s="1"/>
  <c r="B122" i="1" s="1"/>
  <c r="B123" i="1" s="1"/>
  <c r="B124" i="1" s="1"/>
  <c r="B125" i="1" s="1"/>
  <c r="B126" i="1" s="1"/>
  <c r="B127" i="1" s="1"/>
  <c r="B128" i="1" s="1"/>
  <c r="B129" i="1" s="1"/>
  <c r="B130" i="1" s="1"/>
  <c r="B131" i="1" s="1"/>
  <c r="B132" i="1" s="1"/>
  <c r="B133" i="1" s="1"/>
  <c r="B134" i="1" s="1"/>
  <c r="B135" i="1" s="1"/>
  <c r="B136" i="1" s="1"/>
  <c r="B137" i="1" s="1"/>
  <c r="B138" i="1" s="1"/>
  <c r="B139" i="1" s="1"/>
  <c r="B140" i="1" s="1"/>
  <c r="B141" i="1" s="1"/>
  <c r="B142" i="1" s="1"/>
  <c r="B143" i="1" s="1"/>
  <c r="B144" i="1" s="1"/>
  <c r="B145" i="1" s="1"/>
  <c r="B146" i="1" s="1"/>
  <c r="B147" i="1" s="1"/>
  <c r="B148" i="1" s="1"/>
  <c r="B149" i="1" s="1"/>
  <c r="B150" i="1" s="1"/>
  <c r="B151" i="1" s="1"/>
  <c r="B152" i="1" s="1"/>
  <c r="B153" i="1" s="1"/>
  <c r="B154" i="1" s="1"/>
  <c r="B155" i="1" s="1"/>
  <c r="B156" i="1" s="1"/>
  <c r="B157" i="1" s="1"/>
  <c r="B158" i="1" s="1"/>
  <c r="B159" i="1" s="1"/>
  <c r="B160" i="1" s="1"/>
  <c r="B161" i="1" s="1"/>
  <c r="B162" i="1" s="1"/>
  <c r="B163" i="1" s="1"/>
  <c r="B164" i="1" s="1"/>
  <c r="B165" i="1" s="1"/>
  <c r="B166" i="1" s="1"/>
  <c r="B167" i="1" s="1"/>
  <c r="B168" i="1" s="1"/>
  <c r="B169" i="1" s="1"/>
  <c r="B170" i="1" s="1"/>
  <c r="B171" i="1" s="1"/>
  <c r="B172" i="1" s="1"/>
  <c r="B173" i="1" s="1"/>
  <c r="B174" i="1" s="1"/>
  <c r="B175" i="1" s="1"/>
  <c r="B176" i="1" s="1"/>
  <c r="B177" i="1" s="1"/>
  <c r="B178" i="1" s="1"/>
  <c r="B179" i="1" s="1"/>
  <c r="B180" i="1" s="1"/>
  <c r="B181" i="1" s="1"/>
  <c r="B182" i="1" s="1"/>
  <c r="B183" i="1" s="1"/>
  <c r="B184" i="1" s="1"/>
  <c r="B185" i="1" s="1"/>
  <c r="B186" i="1" s="1"/>
  <c r="B187" i="1" s="1"/>
  <c r="B188" i="1" s="1"/>
  <c r="B189" i="1" s="1"/>
  <c r="B190" i="1" s="1"/>
  <c r="B191" i="1" s="1"/>
  <c r="B192" i="1" s="1"/>
  <c r="B193" i="1" s="1"/>
  <c r="B194" i="1" s="1"/>
  <c r="B195" i="1" s="1"/>
  <c r="B196" i="1" s="1"/>
  <c r="B197" i="1" s="1"/>
  <c r="B198" i="1" s="1"/>
  <c r="B199" i="1" s="1"/>
  <c r="B200" i="1" s="1"/>
  <c r="B201" i="1" s="1"/>
  <c r="B202" i="1" s="1"/>
  <c r="B203" i="1" s="1"/>
  <c r="B204" i="1" s="1"/>
  <c r="B205" i="1" s="1"/>
  <c r="B206" i="1" s="1"/>
  <c r="B207" i="1" s="1"/>
  <c r="B208" i="1" s="1"/>
  <c r="B209" i="1" s="1"/>
  <c r="B210" i="1" s="1"/>
  <c r="B211" i="1" s="1"/>
  <c r="B212" i="1" s="1"/>
  <c r="B213" i="1" s="1"/>
  <c r="B214" i="1" s="1"/>
  <c r="B215" i="1" s="1"/>
  <c r="B216" i="1" s="1"/>
  <c r="B217" i="1" s="1"/>
  <c r="B218" i="1" s="1"/>
  <c r="B219" i="1" s="1"/>
  <c r="B220" i="1" s="1"/>
  <c r="B221" i="1" s="1"/>
  <c r="B222" i="1" s="1"/>
  <c r="B223" i="1" s="1"/>
  <c r="B224" i="1" s="1"/>
  <c r="B225" i="1" s="1"/>
  <c r="B226" i="1" s="1"/>
  <c r="B227" i="1" s="1"/>
  <c r="B228" i="1" s="1"/>
  <c r="B229" i="1" s="1"/>
  <c r="B230" i="1" s="1"/>
  <c r="B231" i="1" s="1"/>
  <c r="B232" i="1" s="1"/>
  <c r="B233" i="1" s="1"/>
  <c r="B234" i="1" s="1"/>
  <c r="B235" i="1" s="1"/>
  <c r="B236" i="1" s="1"/>
  <c r="B237" i="1" s="1"/>
  <c r="B238" i="1" s="1"/>
  <c r="B239" i="1" s="1"/>
  <c r="B240" i="1" s="1"/>
  <c r="B241" i="1" s="1"/>
  <c r="B242" i="1" s="1"/>
  <c r="B243" i="1" s="1"/>
  <c r="B244" i="1" s="1"/>
  <c r="B245" i="1" s="1"/>
  <c r="B246" i="1" s="1"/>
  <c r="B247" i="1" s="1"/>
  <c r="B248" i="1" s="1"/>
  <c r="B249" i="1" s="1"/>
  <c r="B250" i="1" s="1"/>
  <c r="B251" i="1" s="1"/>
  <c r="B252" i="1" s="1"/>
  <c r="B253" i="1" s="1"/>
  <c r="B254" i="1" s="1"/>
  <c r="B255" i="1" s="1"/>
  <c r="B256" i="1" s="1"/>
  <c r="B257" i="1" s="1"/>
  <c r="B258" i="1" s="1"/>
  <c r="B259" i="1" s="1"/>
  <c r="B260" i="1" s="1"/>
  <c r="B261" i="1" s="1"/>
  <c r="B262" i="1" s="1"/>
  <c r="B263" i="1" s="1"/>
  <c r="B264" i="1" s="1"/>
  <c r="B265" i="1" s="1"/>
  <c r="B266" i="1" s="1"/>
  <c r="B267" i="1" s="1"/>
  <c r="B268" i="1" s="1"/>
  <c r="B269" i="1" s="1"/>
  <c r="B270" i="1" s="1"/>
  <c r="B271" i="1" s="1"/>
  <c r="B272" i="1" s="1"/>
  <c r="B273" i="1" s="1"/>
  <c r="B274" i="1" s="1"/>
  <c r="B275" i="1" s="1"/>
  <c r="B276" i="1" s="1"/>
  <c r="B277" i="1" s="1"/>
  <c r="B278" i="1" s="1"/>
  <c r="B279" i="1" s="1"/>
  <c r="B280" i="1" s="1"/>
  <c r="B281" i="1" s="1"/>
  <c r="B282" i="1" s="1"/>
  <c r="B283" i="1" s="1"/>
  <c r="B284" i="1" s="1"/>
  <c r="B285" i="1" s="1"/>
  <c r="B286" i="1" s="1"/>
  <c r="B287" i="1" s="1"/>
  <c r="B288" i="1" s="1"/>
  <c r="B289" i="1" s="1"/>
  <c r="B290" i="1" s="1"/>
  <c r="B291" i="1" s="1"/>
  <c r="B292" i="1" s="1"/>
  <c r="B293" i="1" s="1"/>
  <c r="B294" i="1" s="1"/>
  <c r="B295" i="1" s="1"/>
  <c r="B296" i="1" s="1"/>
  <c r="B297" i="1" s="1"/>
  <c r="B298" i="1" s="1"/>
  <c r="B299" i="1" s="1"/>
  <c r="B300" i="1" s="1"/>
  <c r="B301" i="1" s="1"/>
  <c r="B302" i="1" s="1"/>
  <c r="B303" i="1" s="1"/>
  <c r="B304" i="1" s="1"/>
  <c r="B305" i="1" s="1"/>
  <c r="B306" i="1" s="1"/>
  <c r="B307" i="1" s="1"/>
  <c r="B308" i="1" s="1"/>
  <c r="B309" i="1" s="1"/>
  <c r="B310" i="1" s="1"/>
  <c r="B311" i="1" s="1"/>
  <c r="B312" i="1" s="1"/>
  <c r="B313" i="1" s="1"/>
  <c r="B314" i="1" s="1"/>
  <c r="B315" i="1" s="1"/>
  <c r="B316" i="1" s="1"/>
  <c r="B317" i="1" s="1"/>
  <c r="B318" i="1" s="1"/>
  <c r="B319" i="1" s="1"/>
  <c r="B320" i="1" s="1"/>
  <c r="B321" i="1" s="1"/>
  <c r="B322" i="1" s="1"/>
  <c r="B323" i="1" s="1"/>
  <c r="B324" i="1" s="1"/>
  <c r="B325" i="1" s="1"/>
  <c r="B326" i="1" s="1"/>
  <c r="B327" i="1" s="1"/>
  <c r="B328" i="1" s="1"/>
  <c r="B329" i="1" s="1"/>
  <c r="B330" i="1" s="1"/>
  <c r="B331" i="1" s="1"/>
  <c r="B332" i="1" s="1"/>
  <c r="B333" i="1" s="1"/>
  <c r="B334" i="1" s="1"/>
  <c r="B335" i="1" s="1"/>
  <c r="B336" i="1" s="1"/>
  <c r="B337" i="1" s="1"/>
  <c r="B338" i="1" s="1"/>
  <c r="B339" i="1" s="1"/>
  <c r="B340" i="1" s="1"/>
  <c r="B341" i="1" s="1"/>
  <c r="B342" i="1" s="1"/>
  <c r="B343" i="1" s="1"/>
  <c r="B344" i="1" s="1"/>
  <c r="B345" i="1" s="1"/>
  <c r="B346" i="1" s="1"/>
  <c r="B347" i="1" s="1"/>
  <c r="B348" i="1" s="1"/>
  <c r="B349" i="1" s="1"/>
  <c r="B350" i="1" s="1"/>
  <c r="B351" i="1" s="1"/>
  <c r="B352" i="1" s="1"/>
  <c r="B353" i="1" s="1"/>
  <c r="B354" i="1" s="1"/>
  <c r="B355" i="1" s="1"/>
  <c r="B356" i="1" s="1"/>
  <c r="B357" i="1" s="1"/>
  <c r="B358" i="1" s="1"/>
  <c r="B359" i="1" s="1"/>
  <c r="B360" i="1" s="1"/>
  <c r="B361" i="1" s="1"/>
  <c r="B362" i="1" s="1"/>
  <c r="B363" i="1" s="1"/>
  <c r="B364" i="1" s="1"/>
  <c r="B365" i="1" s="1"/>
  <c r="B366" i="1" s="1"/>
  <c r="B367" i="1" s="1"/>
  <c r="B368" i="1" s="1"/>
  <c r="B369" i="1" s="1"/>
  <c r="B370" i="1" s="1"/>
  <c r="B371" i="1" s="1"/>
  <c r="B372" i="1" s="1"/>
  <c r="B373" i="1" s="1"/>
  <c r="B374" i="1" s="1"/>
  <c r="B375" i="1" s="1"/>
  <c r="B376" i="1" s="1"/>
  <c r="B377" i="1" s="1"/>
  <c r="B378" i="1" s="1"/>
  <c r="B379" i="1" s="1"/>
  <c r="B380" i="1" s="1"/>
  <c r="B381" i="1" s="1"/>
  <c r="B382" i="1" s="1"/>
  <c r="B383" i="1" s="1"/>
  <c r="B384" i="1" s="1"/>
  <c r="B385" i="1" s="1"/>
  <c r="B386" i="1" s="1"/>
  <c r="B387" i="1" s="1"/>
  <c r="B388" i="1" s="1"/>
  <c r="B389" i="1" s="1"/>
  <c r="B390" i="1" s="1"/>
  <c r="B391" i="1" s="1"/>
  <c r="B392" i="1" s="1"/>
  <c r="B393" i="1" s="1"/>
  <c r="B394" i="1" s="1"/>
  <c r="B395" i="1" s="1"/>
  <c r="B396" i="1" s="1"/>
  <c r="B397" i="1" s="1"/>
  <c r="B398" i="1" s="1"/>
  <c r="B399" i="1" s="1"/>
  <c r="B400" i="1" s="1"/>
  <c r="B401" i="1" s="1"/>
  <c r="B402" i="1" s="1"/>
  <c r="B403" i="1" s="1"/>
  <c r="B404" i="1" s="1"/>
  <c r="B405" i="1" s="1"/>
  <c r="B406" i="1" s="1"/>
  <c r="B407" i="1" s="1"/>
  <c r="B408" i="1" s="1"/>
  <c r="B409" i="1" s="1"/>
  <c r="B410" i="1" s="1"/>
  <c r="B411" i="1" s="1"/>
  <c r="B412" i="1" s="1"/>
  <c r="B413" i="1" s="1"/>
  <c r="B414" i="1" s="1"/>
  <c r="B415" i="1" s="1"/>
  <c r="B416" i="1" s="1"/>
  <c r="B417" i="1" s="1"/>
  <c r="B418" i="1" s="1"/>
  <c r="B419" i="1" s="1"/>
  <c r="B420" i="1" s="1"/>
  <c r="B421" i="1" s="1"/>
  <c r="B422" i="1" s="1"/>
  <c r="B423" i="1" s="1"/>
  <c r="B424" i="1" s="1"/>
  <c r="B425" i="1" s="1"/>
  <c r="B426" i="1" s="1"/>
  <c r="B427" i="1" s="1"/>
  <c r="B428" i="1" s="1"/>
  <c r="B429" i="1" s="1"/>
  <c r="B430" i="1" s="1"/>
  <c r="B431" i="1" s="1"/>
  <c r="B432" i="1" s="1"/>
  <c r="B433" i="1" s="1"/>
  <c r="B434" i="1" s="1"/>
  <c r="B435" i="1" s="1"/>
  <c r="B436" i="1" s="1"/>
  <c r="B437" i="1" s="1"/>
  <c r="B438" i="1" s="1"/>
  <c r="B439" i="1" s="1"/>
  <c r="B440" i="1" s="1"/>
  <c r="B441" i="1" s="1"/>
  <c r="B442" i="1" s="1"/>
  <c r="B443" i="1" s="1"/>
  <c r="B444" i="1" s="1"/>
  <c r="B445" i="1" s="1"/>
  <c r="B446" i="1" s="1"/>
  <c r="B447" i="1" s="1"/>
  <c r="B448" i="1" s="1"/>
  <c r="B449" i="1" s="1"/>
  <c r="B450" i="1" s="1"/>
  <c r="B451" i="1" s="1"/>
  <c r="B452" i="1" s="1"/>
  <c r="B453" i="1" s="1"/>
  <c r="B454" i="1" s="1"/>
  <c r="B455" i="1" s="1"/>
  <c r="B456" i="1" s="1"/>
  <c r="B457" i="1" s="1"/>
  <c r="B458" i="1" s="1"/>
  <c r="B459" i="1" s="1"/>
  <c r="B460" i="1" s="1"/>
  <c r="B461" i="1" s="1"/>
  <c r="B462" i="1" s="1"/>
  <c r="B463" i="1" s="1"/>
  <c r="B464" i="1" s="1"/>
  <c r="B465" i="1" s="1"/>
  <c r="B466" i="1" s="1"/>
  <c r="B467" i="1" s="1"/>
  <c r="B468" i="1" s="1"/>
  <c r="B469" i="1" s="1"/>
  <c r="B470" i="1" s="1"/>
  <c r="B471" i="1" s="1"/>
  <c r="B472" i="1" s="1"/>
  <c r="B473" i="1" s="1"/>
  <c r="B474" i="1" s="1"/>
  <c r="B475" i="1" s="1"/>
  <c r="B476" i="1" s="1"/>
  <c r="B477" i="1" s="1"/>
  <c r="B478" i="1" s="1"/>
  <c r="B479" i="1" s="1"/>
  <c r="B480" i="1" s="1"/>
  <c r="B481" i="1" s="1"/>
  <c r="B482" i="1" s="1"/>
  <c r="B483" i="1" s="1"/>
  <c r="B484" i="1" s="1"/>
  <c r="B485" i="1" s="1"/>
  <c r="B486" i="1" s="1"/>
  <c r="B487" i="1" s="1"/>
  <c r="B488" i="1" s="1"/>
  <c r="B489" i="1" s="1"/>
  <c r="B490" i="1" s="1"/>
  <c r="B491" i="1" s="1"/>
  <c r="B492" i="1" s="1"/>
  <c r="B493" i="1" s="1"/>
  <c r="B494" i="1" s="1"/>
  <c r="B495" i="1" s="1"/>
  <c r="B496" i="1" s="1"/>
  <c r="B497" i="1" s="1"/>
  <c r="B498" i="1" s="1"/>
  <c r="B499" i="1" s="1"/>
  <c r="B500" i="1" s="1"/>
  <c r="B501" i="1" s="1"/>
  <c r="B502" i="1" s="1"/>
  <c r="B503" i="1" s="1"/>
  <c r="B504" i="1" s="1"/>
  <c r="B505" i="1" s="1"/>
  <c r="B506" i="1" s="1"/>
  <c r="B507" i="1" s="1"/>
  <c r="B508" i="1" s="1"/>
  <c r="B509" i="1" s="1"/>
  <c r="B510" i="1" s="1"/>
  <c r="B511" i="1" s="1"/>
  <c r="B512" i="1" s="1"/>
  <c r="B513" i="1" s="1"/>
  <c r="B514" i="1" s="1"/>
  <c r="B515" i="1" s="1"/>
  <c r="B516" i="1" s="1"/>
  <c r="B517" i="1" s="1"/>
  <c r="B518" i="1" s="1"/>
  <c r="B519" i="1" s="1"/>
  <c r="B520" i="1" s="1"/>
  <c r="B521" i="1" s="1"/>
  <c r="B522" i="1" s="1"/>
  <c r="B523" i="1" s="1"/>
  <c r="B524" i="1" s="1"/>
  <c r="B525" i="1" s="1"/>
  <c r="B526" i="1" s="1"/>
  <c r="B527" i="1" s="1"/>
  <c r="B528" i="1" s="1"/>
  <c r="B529" i="1" s="1"/>
  <c r="B530" i="1" s="1"/>
  <c r="B531" i="1" s="1"/>
  <c r="B532" i="1" s="1"/>
  <c r="B533" i="1" s="1"/>
  <c r="B534" i="1" s="1"/>
  <c r="B535" i="1" s="1"/>
  <c r="B536" i="1" s="1"/>
  <c r="B537" i="1" s="1"/>
  <c r="B538" i="1" s="1"/>
  <c r="B539" i="1" s="1"/>
  <c r="B540" i="1" s="1"/>
  <c r="B541" i="1" s="1"/>
  <c r="B542" i="1" s="1"/>
  <c r="B543" i="1" s="1"/>
  <c r="B544" i="1" s="1"/>
  <c r="B545" i="1" s="1"/>
  <c r="B546" i="1" s="1"/>
  <c r="B547" i="1" s="1"/>
  <c r="B548" i="1" s="1"/>
  <c r="B549" i="1" s="1"/>
  <c r="B550" i="1" s="1"/>
  <c r="B551" i="1" s="1"/>
  <c r="B552" i="1" s="1"/>
  <c r="B553" i="1" s="1"/>
  <c r="B554" i="1" s="1"/>
  <c r="B555" i="1" s="1"/>
  <c r="B556" i="1" s="1"/>
  <c r="B557" i="1" s="1"/>
  <c r="B558" i="1" s="1"/>
  <c r="B559" i="1" s="1"/>
  <c r="B560" i="1" s="1"/>
  <c r="B561" i="1" s="1"/>
  <c r="B562" i="1" s="1"/>
  <c r="B563" i="1" s="1"/>
  <c r="B564" i="1" s="1"/>
  <c r="B565" i="1" s="1"/>
  <c r="B566" i="1" s="1"/>
  <c r="B567" i="1" s="1"/>
  <c r="B568" i="1" s="1"/>
  <c r="B569" i="1" s="1"/>
  <c r="B570" i="1" s="1"/>
  <c r="B571" i="1" s="1"/>
  <c r="B572" i="1" s="1"/>
  <c r="B573" i="1" s="1"/>
  <c r="B574" i="1" s="1"/>
  <c r="B575" i="1" s="1"/>
  <c r="B576" i="1" s="1"/>
  <c r="B577" i="1" s="1"/>
  <c r="B578" i="1" s="1"/>
  <c r="B579" i="1" s="1"/>
  <c r="B580" i="1" s="1"/>
  <c r="B581" i="1" s="1"/>
  <c r="B582" i="1" s="1"/>
  <c r="B583" i="1" s="1"/>
  <c r="B584" i="1" s="1"/>
  <c r="B585" i="1" s="1"/>
  <c r="B586" i="1" s="1"/>
  <c r="D45" i="1"/>
  <c r="D44" i="1"/>
  <c r="C44" i="1"/>
  <c r="K39" i="1"/>
  <c r="J39" i="1"/>
  <c r="C36" i="1"/>
  <c r="K30" i="1"/>
  <c r="J30" i="1"/>
  <c r="K24" i="1"/>
  <c r="J24" i="1"/>
  <c r="G7" i="1"/>
  <c r="G8" i="1" s="1"/>
  <c r="F7" i="1"/>
  <c r="F8" i="1" s="1"/>
  <c r="C7" i="1"/>
  <c r="C8" i="1" s="1"/>
  <c r="J23" i="25"/>
  <c r="DX22" i="25"/>
  <c r="DQ22" i="25"/>
  <c r="DT22" i="25" s="1"/>
  <c r="DJ22" i="25"/>
  <c r="DK22" i="25" s="1"/>
  <c r="DC22" i="25"/>
  <c r="DF22" i="25" s="1"/>
  <c r="CO22" i="25"/>
  <c r="CP22" i="25" s="1"/>
  <c r="CH22" i="25"/>
  <c r="CI22" i="25" s="1"/>
  <c r="CA22" i="25"/>
  <c r="CD22" i="25" s="1"/>
  <c r="BT22" i="25"/>
  <c r="BU22" i="25" s="1"/>
  <c r="BF22" i="25"/>
  <c r="BG22" i="25" s="1"/>
  <c r="AY22" i="25"/>
  <c r="BB22" i="25" s="1"/>
  <c r="AR22" i="25"/>
  <c r="AS22" i="25" s="1"/>
  <c r="J22" i="25"/>
  <c r="DX21" i="25"/>
  <c r="DQ21" i="25"/>
  <c r="DT21" i="25" s="1"/>
  <c r="DJ21" i="25"/>
  <c r="DM21" i="25" s="1"/>
  <c r="DC21" i="25"/>
  <c r="DF21" i="25" s="1"/>
  <c r="CO21" i="25"/>
  <c r="CP21" i="25" s="1"/>
  <c r="CH21" i="25"/>
  <c r="CK21" i="25" s="1"/>
  <c r="CA21" i="25"/>
  <c r="CB21" i="25" s="1"/>
  <c r="BT21" i="25"/>
  <c r="BW21" i="25" s="1"/>
  <c r="BF21" i="25"/>
  <c r="BI21" i="25" s="1"/>
  <c r="AY21" i="25"/>
  <c r="BB21" i="25" s="1"/>
  <c r="AR21" i="25"/>
  <c r="AU21" i="25" s="1"/>
  <c r="J21" i="25"/>
  <c r="DX20" i="25"/>
  <c r="DQ20" i="25"/>
  <c r="DT20" i="25" s="1"/>
  <c r="DJ20" i="25"/>
  <c r="DK20" i="25" s="1"/>
  <c r="DC20" i="25"/>
  <c r="DF20" i="25" s="1"/>
  <c r="CO20" i="25"/>
  <c r="CP20" i="25" s="1"/>
  <c r="CH20" i="25"/>
  <c r="CK20" i="25" s="1"/>
  <c r="CA20" i="25"/>
  <c r="CB20" i="25" s="1"/>
  <c r="BT20" i="25"/>
  <c r="BU20" i="25" s="1"/>
  <c r="BF20" i="25"/>
  <c r="BG20" i="25" s="1"/>
  <c r="AY20" i="25"/>
  <c r="BB20" i="25" s="1"/>
  <c r="AR20" i="25"/>
  <c r="AS20" i="25" s="1"/>
  <c r="J20" i="25"/>
  <c r="I19" i="25"/>
  <c r="J19" i="25" s="1"/>
  <c r="J18" i="25"/>
  <c r="AB17" i="25"/>
  <c r="V17" i="25"/>
  <c r="P17" i="25"/>
  <c r="J17" i="25"/>
  <c r="J16" i="25"/>
  <c r="AB15" i="25"/>
  <c r="V15" i="25"/>
  <c r="P15" i="25"/>
  <c r="J15" i="25"/>
  <c r="J14" i="25"/>
  <c r="AB13" i="25"/>
  <c r="V13" i="25"/>
  <c r="P13" i="25"/>
  <c r="J13" i="25"/>
  <c r="J12" i="25"/>
  <c r="J11" i="25"/>
  <c r="J10" i="25"/>
  <c r="E8" i="25"/>
  <c r="AJ7" i="25"/>
  <c r="K7" i="25"/>
  <c r="K6" i="25"/>
  <c r="BS4" i="25"/>
  <c r="BZ4" i="25" s="1"/>
  <c r="CG4" i="25" s="1"/>
  <c r="CN4" i="25" s="1"/>
  <c r="DB4" i="25" s="1"/>
  <c r="DI4" i="25" s="1"/>
  <c r="DP4" i="25" s="1"/>
  <c r="DW4" i="25" s="1"/>
  <c r="S31" i="37"/>
  <c r="E37" i="42" a="1"/>
  <c r="E30" i="37" a="1"/>
  <c r="E24" i="42" a="1"/>
  <c r="E19" i="42" a="1"/>
  <c r="E43" i="37" a="1"/>
  <c r="E41" i="42" a="1"/>
  <c r="E16" i="37" a="1"/>
  <c r="E46" i="37" a="1"/>
  <c r="E37" i="37" a="1"/>
  <c r="CU178" i="35" a="1"/>
  <c r="E29" i="37" a="1"/>
  <c r="E30" i="42" a="1"/>
  <c r="E9" i="37" a="1"/>
  <c r="E28" i="37" a="1"/>
  <c r="E32" i="42" a="1"/>
  <c r="E20" i="37" a="1"/>
  <c r="CT178" i="35" a="1"/>
  <c r="E21" i="42" a="1"/>
  <c r="E12" i="37" a="1"/>
  <c r="E41" i="37" a="1"/>
  <c r="E36" i="42" a="1"/>
  <c r="E38" i="42" a="1"/>
  <c r="E45" i="37" a="1"/>
  <c r="E40" i="37" a="1"/>
  <c r="E39" i="42" a="1"/>
  <c r="E39" i="37" a="1"/>
  <c r="E17" i="42" a="1"/>
  <c r="E34" i="37" a="1"/>
  <c r="E42" i="37" a="1"/>
  <c r="E36" i="37" a="1"/>
  <c r="E19" i="37" a="1"/>
  <c r="E14" i="37" a="1"/>
  <c r="E33" i="37" a="1"/>
  <c r="E40" i="42" a="1"/>
  <c r="E13" i="42" a="1"/>
  <c r="E13" i="37" a="1"/>
  <c r="E15" i="37" a="1"/>
  <c r="E38" i="37" a="1"/>
  <c r="E47" i="37" a="1"/>
  <c r="E22" i="42" a="1"/>
  <c r="E21" i="37" a="1"/>
  <c r="E44" i="37" a="1"/>
  <c r="E14" i="42" a="1"/>
  <c r="E31" i="42" a="1"/>
  <c r="E35" i="42" a="1"/>
  <c r="E26" i="42" a="1"/>
  <c r="E11" i="42" a="1"/>
  <c r="E18" i="42" a="1"/>
  <c r="E15" i="42" a="1"/>
  <c r="E18" i="37" a="1"/>
  <c r="E29" i="42" a="1"/>
  <c r="E16" i="42" a="1"/>
  <c r="E28" i="42" a="1"/>
  <c r="E25" i="42" a="1"/>
  <c r="E12" i="42" a="1"/>
  <c r="E10" i="37" a="1"/>
  <c r="E35" i="37" a="1"/>
  <c r="E17" i="37" a="1"/>
  <c r="E27" i="42" a="1"/>
  <c r="E11" i="37" a="1"/>
  <c r="AK6" i="37" l="1"/>
  <c r="P6" i="37" s="1"/>
  <c r="O6" i="37" s="1"/>
  <c r="DJ48" i="12"/>
  <c r="CL48" i="12"/>
  <c r="EI1" i="2"/>
  <c r="EE1" i="2"/>
  <c r="EF1" i="2" s="1"/>
  <c r="EG1" i="2" s="1"/>
  <c r="ED17" i="13"/>
  <c r="EE38" i="12"/>
  <c r="BS7" i="25"/>
  <c r="K8" i="25"/>
  <c r="AQ7" i="25"/>
  <c r="Q7" i="25"/>
  <c r="Q6" i="25"/>
  <c r="K48" i="1"/>
  <c r="O12" i="21"/>
  <c r="P12" i="21" s="1"/>
  <c r="Q12" i="21" s="1"/>
  <c r="Y4" i="40"/>
  <c r="CN42" i="12"/>
  <c r="CO42" i="12" s="1"/>
  <c r="CO47" i="12" s="1"/>
  <c r="CI42" i="12"/>
  <c r="CJ42" i="12" s="1"/>
  <c r="CJ47" i="12" s="1"/>
  <c r="CQ48" i="12"/>
  <c r="BP149" i="14"/>
  <c r="DG125" i="2"/>
  <c r="DH53" i="2"/>
  <c r="DI53" i="2" s="1"/>
  <c r="DM62" i="12"/>
  <c r="DM63" i="12" s="1"/>
  <c r="DR43" i="2"/>
  <c r="CJ20" i="14"/>
  <c r="DR41" i="14"/>
  <c r="DR45" i="14"/>
  <c r="DM93" i="14"/>
  <c r="DR92" i="14"/>
  <c r="AO150" i="35"/>
  <c r="DR98" i="14"/>
  <c r="DR97" i="14" s="1"/>
  <c r="DN79" i="14"/>
  <c r="DS80" i="14" s="1"/>
  <c r="DS65" i="14"/>
  <c r="DI149" i="14"/>
  <c r="DO26" i="14"/>
  <c r="DS27" i="14"/>
  <c r="DN36" i="14"/>
  <c r="DS37" i="14" s="1"/>
  <c r="DR37" i="14"/>
  <c r="DO82" i="14"/>
  <c r="DR83" i="14"/>
  <c r="CV35" i="14"/>
  <c r="AN150" i="35"/>
  <c r="DQ98" i="14"/>
  <c r="DQ97" i="14" s="1"/>
  <c r="CV83" i="14"/>
  <c r="DL44" i="14"/>
  <c r="DL45" i="14" s="1"/>
  <c r="DQ41" i="14"/>
  <c r="DQ45" i="14"/>
  <c r="CC35" i="14"/>
  <c r="BK149" i="14"/>
  <c r="CT178" i="35"/>
  <c r="CU178" i="35"/>
  <c r="DE74" i="14"/>
  <c r="AH156" i="35" s="1"/>
  <c r="DK45" i="14"/>
  <c r="DH45" i="14"/>
  <c r="DG45" i="14"/>
  <c r="DF45" i="14"/>
  <c r="DE45" i="14"/>
  <c r="CW82" i="14"/>
  <c r="DW49" i="14"/>
  <c r="AS92" i="35"/>
  <c r="DV49" i="14"/>
  <c r="AR92" i="35"/>
  <c r="DZ49" i="14"/>
  <c r="AU92" i="35"/>
  <c r="DY49" i="14"/>
  <c r="AT92" i="35"/>
  <c r="DW51" i="14"/>
  <c r="DW32" i="14" s="1"/>
  <c r="AS93" i="35"/>
  <c r="DZ51" i="14"/>
  <c r="AU93" i="35"/>
  <c r="DY51" i="14"/>
  <c r="AT93" i="35"/>
  <c r="DO40" i="14"/>
  <c r="DM44" i="14"/>
  <c r="DM45" i="14" s="1"/>
  <c r="DO41" i="14"/>
  <c r="DJ44" i="14"/>
  <c r="DJ45" i="14" s="1"/>
  <c r="DO45" i="14"/>
  <c r="F5" i="14"/>
  <c r="G5" i="14" s="1"/>
  <c r="CS31" i="35"/>
  <c r="CS22" i="35"/>
  <c r="CS20" i="35"/>
  <c r="CS15" i="35"/>
  <c r="T3" i="35"/>
  <c r="P3" i="35"/>
  <c r="L3" i="35"/>
  <c r="H3" i="35"/>
  <c r="DP41" i="14"/>
  <c r="DP45" i="14"/>
  <c r="CI24" i="14"/>
  <c r="CV37" i="14"/>
  <c r="BY35" i="14"/>
  <c r="BP183" i="14"/>
  <c r="CV92" i="14"/>
  <c r="CP35" i="14"/>
  <c r="CT65" i="14"/>
  <c r="CX194" i="35" s="1"/>
  <c r="CG37" i="14"/>
  <c r="BW35" i="14"/>
  <c r="BV35" i="14"/>
  <c r="DG83" i="14"/>
  <c r="CF37" i="14"/>
  <c r="DC35" i="14"/>
  <c r="CN35" i="14"/>
  <c r="DL92" i="14"/>
  <c r="CI37" i="14"/>
  <c r="CU92" i="14"/>
  <c r="DH37" i="14"/>
  <c r="DI153" i="14"/>
  <c r="DJ163" i="14"/>
  <c r="DJ162" i="14"/>
  <c r="AM150" i="35"/>
  <c r="DP98" i="14"/>
  <c r="DO94" i="14"/>
  <c r="DJ93" i="14"/>
  <c r="DO92" i="14"/>
  <c r="DY81" i="14"/>
  <c r="ED81" i="14" s="1"/>
  <c r="DO83" i="14"/>
  <c r="N16" i="26"/>
  <c r="G12" i="1"/>
  <c r="CO66" i="14"/>
  <c r="C12" i="1"/>
  <c r="D31" i="1" s="1"/>
  <c r="CA20" i="14"/>
  <c r="CA17" i="14"/>
  <c r="BT100" i="2"/>
  <c r="BT102" i="2" s="1"/>
  <c r="CI100" i="2"/>
  <c r="CI102" i="2" s="1"/>
  <c r="DV16" i="2"/>
  <c r="DL56" i="13"/>
  <c r="DS31" i="13"/>
  <c r="DV31" i="13"/>
  <c r="DW31" i="13"/>
  <c r="DW32" i="13" s="1"/>
  <c r="DI17" i="13"/>
  <c r="DH46" i="13"/>
  <c r="BY100" i="2"/>
  <c r="CN100" i="2"/>
  <c r="CN102" i="2" s="1"/>
  <c r="BS100" i="2"/>
  <c r="BS102" i="2" s="1"/>
  <c r="BV100" i="2"/>
  <c r="BV102" i="2" s="1"/>
  <c r="BW100" i="2"/>
  <c r="BW102" i="2" s="1"/>
  <c r="BQ100" i="2"/>
  <c r="BQ102" i="2" s="1"/>
  <c r="CF100" i="2"/>
  <c r="CF102" i="2" s="1"/>
  <c r="CU100" i="2"/>
  <c r="CU102" i="2" s="1"/>
  <c r="CG100" i="2"/>
  <c r="CG102" i="2" s="1"/>
  <c r="CV100" i="2"/>
  <c r="CV102" i="2" s="1"/>
  <c r="CD11" i="13"/>
  <c r="CD100" i="2"/>
  <c r="CS11" i="13"/>
  <c r="CS100" i="2"/>
  <c r="DF102" i="2"/>
  <c r="CH11" i="13"/>
  <c r="CH100" i="2"/>
  <c r="CW122" i="2"/>
  <c r="CW100" i="2"/>
  <c r="CC11" i="13"/>
  <c r="CC100" i="2"/>
  <c r="CR11" i="13"/>
  <c r="CR100" i="2"/>
  <c r="CX11" i="13"/>
  <c r="CX100" i="2"/>
  <c r="CK11" i="13"/>
  <c r="CK100" i="2"/>
  <c r="CZ11" i="13"/>
  <c r="CZ100" i="2"/>
  <c r="CL11" i="13"/>
  <c r="CL100" i="2"/>
  <c r="DA11" i="13"/>
  <c r="DF68" i="13" s="1"/>
  <c r="DA100" i="2"/>
  <c r="BX100" i="2"/>
  <c r="CM100" i="2"/>
  <c r="DB11" i="13"/>
  <c r="DB100" i="2"/>
  <c r="DC100" i="2"/>
  <c r="DL34" i="2"/>
  <c r="DL102" i="2"/>
  <c r="CA100" i="2"/>
  <c r="CP11" i="13"/>
  <c r="CP100" i="2"/>
  <c r="CB11" i="13"/>
  <c r="CB100" i="2"/>
  <c r="CQ100" i="2"/>
  <c r="BR11" i="13"/>
  <c r="BR100" i="2"/>
  <c r="CW42" i="2"/>
  <c r="D7" i="1"/>
  <c r="D8" i="1" s="1"/>
  <c r="H7" i="1"/>
  <c r="H8" i="1" s="1"/>
  <c r="D30" i="21" s="1"/>
  <c r="CJ22" i="2"/>
  <c r="CJ23" i="2" s="1"/>
  <c r="CY22" i="2"/>
  <c r="CY23" i="2" s="1"/>
  <c r="DK43" i="2"/>
  <c r="CE16" i="2"/>
  <c r="BQ19" i="2"/>
  <c r="CK22" i="25"/>
  <c r="DD20" i="25"/>
  <c r="CU42" i="2"/>
  <c r="CZ55" i="2"/>
  <c r="BQ42" i="2"/>
  <c r="DJ17" i="2"/>
  <c r="CK14" i="2"/>
  <c r="DB55" i="2"/>
  <c r="DK93" i="14"/>
  <c r="DP92" i="14"/>
  <c r="DF14" i="2"/>
  <c r="CY16" i="2"/>
  <c r="CD14" i="2"/>
  <c r="CU14" i="2"/>
  <c r="BZ7" i="2"/>
  <c r="CE9" i="2"/>
  <c r="CG14" i="2"/>
  <c r="DA14" i="2"/>
  <c r="DN16" i="2"/>
  <c r="DS126" i="2"/>
  <c r="BZ20" i="2"/>
  <c r="BZ21" i="2" s="1"/>
  <c r="CO20" i="2"/>
  <c r="CO21" i="2" s="1"/>
  <c r="DC14" i="2"/>
  <c r="DE14" i="2"/>
  <c r="CG43" i="2"/>
  <c r="BY124" i="2"/>
  <c r="BW20" i="25"/>
  <c r="CR14" i="2"/>
  <c r="CP17" i="2"/>
  <c r="DN7" i="2"/>
  <c r="DH14" i="2"/>
  <c r="BT6" i="14"/>
  <c r="BT38" i="14" s="1"/>
  <c r="CY9" i="2"/>
  <c r="DE32" i="2"/>
  <c r="CW43" i="2"/>
  <c r="CY86" i="2"/>
  <c r="CD20" i="25"/>
  <c r="CN11" i="2"/>
  <c r="DD22" i="2"/>
  <c r="DD23" i="2" s="1"/>
  <c r="BI22" i="25"/>
  <c r="CR22" i="25"/>
  <c r="CT9" i="2"/>
  <c r="DF11" i="2"/>
  <c r="AI162" i="35" s="1"/>
  <c r="CH14" i="2"/>
  <c r="CA17" i="2"/>
  <c r="AZ21" i="25"/>
  <c r="CE22" i="2"/>
  <c r="CE23" i="2" s="1"/>
  <c r="CO52" i="2"/>
  <c r="CR20" i="25"/>
  <c r="CE18" i="2"/>
  <c r="CQ17" i="2"/>
  <c r="CJ18" i="2"/>
  <c r="BW14" i="2"/>
  <c r="CD17" i="2"/>
  <c r="DG17" i="2"/>
  <c r="CE125" i="2"/>
  <c r="DS125" i="2"/>
  <c r="CW14" i="2"/>
  <c r="DC17" i="2"/>
  <c r="EA20" i="25"/>
  <c r="DE17" i="2"/>
  <c r="DF17" i="2"/>
  <c r="CS17" i="2"/>
  <c r="DE124" i="2"/>
  <c r="DX125" i="2"/>
  <c r="BW22" i="25"/>
  <c r="DA185" i="35"/>
  <c r="CO18" i="2"/>
  <c r="DM22" i="25"/>
  <c r="CX11" i="2"/>
  <c r="AC162" i="35" s="1"/>
  <c r="CT18" i="2"/>
  <c r="BY14" i="2"/>
  <c r="DK14" i="2"/>
  <c r="CU17" i="2"/>
  <c r="DG55" i="2"/>
  <c r="CC17" i="2"/>
  <c r="CP14" i="2"/>
  <c r="DD13" i="2"/>
  <c r="CG17" i="2"/>
  <c r="CO22" i="2"/>
  <c r="CO23" i="2" s="1"/>
  <c r="BY32" i="2"/>
  <c r="BU125" i="2"/>
  <c r="CJ125" i="2"/>
  <c r="CY125" i="2"/>
  <c r="CY13" i="2"/>
  <c r="BX17" i="2"/>
  <c r="BZ9" i="2"/>
  <c r="DD18" i="2"/>
  <c r="CB14" i="2"/>
  <c r="CH17" i="2"/>
  <c r="CW32" i="2"/>
  <c r="BQ43" i="2"/>
  <c r="CL6" i="14"/>
  <c r="DM20" i="25"/>
  <c r="AU20" i="25"/>
  <c r="CR21" i="25"/>
  <c r="DR21" i="25"/>
  <c r="DR22" i="25"/>
  <c r="CP11" i="2"/>
  <c r="CX17" i="2"/>
  <c r="BU20" i="2"/>
  <c r="BU21" i="2" s="1"/>
  <c r="CJ20" i="2"/>
  <c r="CJ21" i="2" s="1"/>
  <c r="CK21" i="2"/>
  <c r="CL55" i="2"/>
  <c r="CO55" i="2" s="1"/>
  <c r="CG124" i="2"/>
  <c r="CV11" i="2"/>
  <c r="AA162" i="35" s="1"/>
  <c r="DI13" i="2"/>
  <c r="DI16" i="2"/>
  <c r="DI22" i="2"/>
  <c r="DI23" i="2" s="1"/>
  <c r="CG32" i="2"/>
  <c r="CM43" i="2"/>
  <c r="DK62" i="12"/>
  <c r="DK63" i="12" s="1"/>
  <c r="DP43" i="2"/>
  <c r="CT108" i="2"/>
  <c r="CW124" i="2"/>
  <c r="BU151" i="2"/>
  <c r="CT10" i="2"/>
  <c r="CT125" i="2"/>
  <c r="CZ40" i="14"/>
  <c r="EA22" i="25"/>
  <c r="DL11" i="2"/>
  <c r="AN162" i="35" s="1"/>
  <c r="CY20" i="2"/>
  <c r="CY21" i="2" s="1"/>
  <c r="CU185" i="35"/>
  <c r="DD21" i="25"/>
  <c r="DY21" i="25"/>
  <c r="CB22" i="25"/>
  <c r="BU13" i="2"/>
  <c r="DK17" i="2"/>
  <c r="CX14" i="2"/>
  <c r="BZ16" i="2"/>
  <c r="CW17" i="2"/>
  <c r="BZ41" i="2"/>
  <c r="BZ62" i="12" s="1"/>
  <c r="CT55" i="2"/>
  <c r="BV14" i="2"/>
  <c r="CZ14" i="2"/>
  <c r="CI17" i="2"/>
  <c r="DM17" i="2"/>
  <c r="DR20" i="25"/>
  <c r="DK21" i="25"/>
  <c r="CY185" i="35"/>
  <c r="CT16" i="2"/>
  <c r="BX11" i="2"/>
  <c r="CL14" i="2"/>
  <c r="BW17" i="2"/>
  <c r="CK17" i="2"/>
  <c r="BY19" i="2"/>
  <c r="BZ22" i="2"/>
  <c r="BZ23" i="2" s="1"/>
  <c r="DC43" i="2"/>
  <c r="DI50" i="2"/>
  <c r="DF6" i="14"/>
  <c r="CI20" i="25"/>
  <c r="DK34" i="2"/>
  <c r="DP11" i="2"/>
  <c r="AQ162" i="35" s="1"/>
  <c r="DD22" i="25"/>
  <c r="BZ13" i="2"/>
  <c r="DD41" i="2"/>
  <c r="DD62" i="12" s="1"/>
  <c r="CT7" i="2"/>
  <c r="CM42" i="2"/>
  <c r="CF11" i="2"/>
  <c r="CC14" i="2"/>
  <c r="DB14" i="2"/>
  <c r="CO16" i="2"/>
  <c r="CL17" i="2"/>
  <c r="DA17" i="2"/>
  <c r="CG19" i="2"/>
  <c r="DD20" i="2"/>
  <c r="DD21" i="2" s="1"/>
  <c r="CU23" i="2"/>
  <c r="DE43" i="2"/>
  <c r="CJ55" i="2"/>
  <c r="EC125" i="2"/>
  <c r="BI20" i="25"/>
  <c r="EA21" i="25"/>
  <c r="BY43" i="2"/>
  <c r="CD21" i="25"/>
  <c r="BV17" i="2"/>
  <c r="DD16" i="2"/>
  <c r="CH11" i="2"/>
  <c r="CS14" i="2"/>
  <c r="BY17" i="2"/>
  <c r="CM17" i="2"/>
  <c r="DB17" i="2"/>
  <c r="CW19" i="2"/>
  <c r="CT20" i="2"/>
  <c r="CT21" i="2" s="1"/>
  <c r="DI20" i="2"/>
  <c r="DI21" i="2" s="1"/>
  <c r="CF21" i="2"/>
  <c r="DL55" i="2"/>
  <c r="DD108" i="2"/>
  <c r="BQ124" i="2"/>
  <c r="BU22" i="2"/>
  <c r="BU23" i="2" s="1"/>
  <c r="AU22" i="25"/>
  <c r="CE86" i="2"/>
  <c r="BU16" i="2"/>
  <c r="CM14" i="2"/>
  <c r="DE19" i="2"/>
  <c r="BQ32" i="2"/>
  <c r="BW43" i="2"/>
  <c r="DN52" i="2"/>
  <c r="DI110" i="2"/>
  <c r="CG6" i="14"/>
  <c r="CG42" i="14" s="1"/>
  <c r="CJ126" i="2"/>
  <c r="CY93" i="2"/>
  <c r="DX126" i="2"/>
  <c r="BZ126" i="2"/>
  <c r="BU126" i="2"/>
  <c r="AE28" i="40"/>
  <c r="AB29" i="40"/>
  <c r="CJ7" i="2"/>
  <c r="CT34" i="35"/>
  <c r="CT11" i="35"/>
  <c r="DI9" i="2"/>
  <c r="BT64" i="13"/>
  <c r="BT67" i="12"/>
  <c r="BT61" i="12"/>
  <c r="BT56" i="12"/>
  <c r="BT59" i="12"/>
  <c r="BT150" i="2"/>
  <c r="BT147" i="2"/>
  <c r="BT145" i="2"/>
  <c r="BT144" i="2"/>
  <c r="BT143" i="2"/>
  <c r="BT142" i="2"/>
  <c r="BT148" i="2"/>
  <c r="BT138" i="2"/>
  <c r="BT65" i="12"/>
  <c r="BT139" i="2"/>
  <c r="BT140" i="2"/>
  <c r="BT137" i="2"/>
  <c r="BT36" i="2"/>
  <c r="BT149" i="2"/>
  <c r="BT40" i="2"/>
  <c r="CB64" i="13"/>
  <c r="CB67" i="13" s="1"/>
  <c r="K35" i="35"/>
  <c r="K5" i="35"/>
  <c r="K9" i="35" s="1"/>
  <c r="CB56" i="12"/>
  <c r="CB59" i="12"/>
  <c r="CB65" i="12"/>
  <c r="CB61" i="12"/>
  <c r="CB67" i="12"/>
  <c r="CB140" i="2"/>
  <c r="CB149" i="2"/>
  <c r="CB145" i="2"/>
  <c r="CB144" i="2"/>
  <c r="CB143" i="2"/>
  <c r="CB142" i="2"/>
  <c r="CB147" i="2"/>
  <c r="CB138" i="2"/>
  <c r="CB148" i="2"/>
  <c r="CB150" i="2"/>
  <c r="CB137" i="2"/>
  <c r="CB139" i="2"/>
  <c r="CB36" i="2"/>
  <c r="CB40" i="2"/>
  <c r="CJ10" i="2"/>
  <c r="CJ148" i="2" s="1"/>
  <c r="CR64" i="13"/>
  <c r="X35" i="35"/>
  <c r="X5" i="35"/>
  <c r="X9" i="35" s="1"/>
  <c r="CR149" i="2"/>
  <c r="CR67" i="12"/>
  <c r="CR55" i="12"/>
  <c r="CR57" i="12" s="1"/>
  <c r="CR61" i="12"/>
  <c r="CR150" i="2"/>
  <c r="CR56" i="12"/>
  <c r="CR148" i="2"/>
  <c r="CR140" i="2"/>
  <c r="CR145" i="2"/>
  <c r="CR144" i="2"/>
  <c r="CR143" i="2"/>
  <c r="CR142" i="2"/>
  <c r="CR138" i="2"/>
  <c r="CR147" i="2"/>
  <c r="CR59" i="12"/>
  <c r="CR139" i="2"/>
  <c r="CR137" i="2"/>
  <c r="CR36" i="2"/>
  <c r="CR40" i="2"/>
  <c r="AD35" i="35"/>
  <c r="CZ64" i="13"/>
  <c r="CZ67" i="13" s="1"/>
  <c r="AD5" i="35"/>
  <c r="AD9" i="35" s="1"/>
  <c r="CZ150" i="2"/>
  <c r="CZ56" i="12"/>
  <c r="CZ55" i="12"/>
  <c r="CZ61" i="12"/>
  <c r="CZ59" i="12"/>
  <c r="CZ140" i="2"/>
  <c r="CZ145" i="2"/>
  <c r="CZ144" i="2"/>
  <c r="CZ143" i="2"/>
  <c r="CZ142" i="2"/>
  <c r="CZ67" i="12"/>
  <c r="CZ149" i="2"/>
  <c r="CZ148" i="2"/>
  <c r="CZ138" i="2"/>
  <c r="CZ147" i="2"/>
  <c r="CZ137" i="2"/>
  <c r="CZ139" i="2"/>
  <c r="CZ36" i="2"/>
  <c r="CZ40" i="2"/>
  <c r="AK35" i="35"/>
  <c r="AK5" i="35"/>
  <c r="AK9" i="35" s="1"/>
  <c r="DH64" i="13"/>
  <c r="DH67" i="13" s="1"/>
  <c r="DH67" i="12"/>
  <c r="DH55" i="12"/>
  <c r="DH61" i="12"/>
  <c r="DH56" i="12"/>
  <c r="DH59" i="12"/>
  <c r="DH140" i="2"/>
  <c r="DH145" i="2"/>
  <c r="DH144" i="2"/>
  <c r="DH143" i="2"/>
  <c r="DH142" i="2"/>
  <c r="DH150" i="2"/>
  <c r="DH138" i="2"/>
  <c r="DH148" i="2"/>
  <c r="DH149" i="2"/>
  <c r="DH139" i="2"/>
  <c r="DH36" i="2"/>
  <c r="DH40" i="2"/>
  <c r="CT13" i="2"/>
  <c r="CF17" i="2"/>
  <c r="CN17" i="2"/>
  <c r="CV17" i="2"/>
  <c r="DL17" i="2"/>
  <c r="BW19" i="2"/>
  <c r="CM19" i="2"/>
  <c r="CU19" i="2"/>
  <c r="DC19" i="2"/>
  <c r="DK19" i="2"/>
  <c r="CE20" i="2"/>
  <c r="CE21" i="2" s="1"/>
  <c r="BV21" i="2"/>
  <c r="CT22" i="2"/>
  <c r="CT23" i="2" s="1"/>
  <c r="CK23" i="2"/>
  <c r="BT24" i="2"/>
  <c r="CB24" i="2"/>
  <c r="CR24" i="2"/>
  <c r="CZ24" i="2"/>
  <c r="DH24" i="2"/>
  <c r="DH29" i="2" s="1"/>
  <c r="CM32" i="2"/>
  <c r="CU32" i="2"/>
  <c r="DC32" i="2"/>
  <c r="DK32" i="2"/>
  <c r="BQ34" i="2"/>
  <c r="CG34" i="2"/>
  <c r="CP34" i="2"/>
  <c r="CZ34" i="2"/>
  <c r="BQ36" i="2"/>
  <c r="CA36" i="2"/>
  <c r="CM36" i="2"/>
  <c r="DA36" i="2"/>
  <c r="CH38" i="2"/>
  <c r="BX40" i="2"/>
  <c r="CQ40" i="2"/>
  <c r="CI62" i="12"/>
  <c r="CI43" i="2"/>
  <c r="CI42" i="2"/>
  <c r="BU60" i="2"/>
  <c r="BV87" i="2"/>
  <c r="CB94" i="2"/>
  <c r="DY20" i="25"/>
  <c r="DY22" i="25"/>
  <c r="F5" i="2"/>
  <c r="O5" i="2"/>
  <c r="DB185" i="35"/>
  <c r="DI7" i="2"/>
  <c r="CU34" i="35"/>
  <c r="CU11" i="35"/>
  <c r="BU10" i="2"/>
  <c r="BU144" i="2" s="1"/>
  <c r="L35" i="35"/>
  <c r="L5" i="35"/>
  <c r="L9" i="35" s="1"/>
  <c r="CC64" i="13"/>
  <c r="CC59" i="12"/>
  <c r="CC65" i="12"/>
  <c r="CC61" i="12"/>
  <c r="CC150" i="2"/>
  <c r="CC67" i="12"/>
  <c r="CC56" i="12"/>
  <c r="CC149" i="2"/>
  <c r="CC145" i="2"/>
  <c r="CC144" i="2"/>
  <c r="CC143" i="2"/>
  <c r="CC142" i="2"/>
  <c r="CC147" i="2"/>
  <c r="CC148" i="2"/>
  <c r="CC137" i="2"/>
  <c r="CC140" i="2"/>
  <c r="CC139" i="2"/>
  <c r="CC138" i="2"/>
  <c r="CC40" i="2"/>
  <c r="R35" i="35"/>
  <c r="R5" i="35"/>
  <c r="R9" i="35" s="1"/>
  <c r="CK64" i="13"/>
  <c r="CK67" i="13" s="1"/>
  <c r="CK67" i="12"/>
  <c r="CK56" i="12"/>
  <c r="CK148" i="2"/>
  <c r="CK59" i="12"/>
  <c r="CK61" i="12"/>
  <c r="CK150" i="2"/>
  <c r="CK145" i="2"/>
  <c r="CK144" i="2"/>
  <c r="CK143" i="2"/>
  <c r="CK142" i="2"/>
  <c r="CK147" i="2"/>
  <c r="CK149" i="2"/>
  <c r="CK55" i="12"/>
  <c r="CK57" i="12" s="1"/>
  <c r="CK139" i="2"/>
  <c r="CK137" i="2"/>
  <c r="CK138" i="2"/>
  <c r="CK140" i="2"/>
  <c r="CK94" i="2"/>
  <c r="CK40" i="2"/>
  <c r="Y35" i="35"/>
  <c r="Y5" i="35"/>
  <c r="Y9" i="35" s="1"/>
  <c r="CS64" i="13"/>
  <c r="CS67" i="12"/>
  <c r="CS56" i="12"/>
  <c r="CS61" i="12"/>
  <c r="CS145" i="2"/>
  <c r="CS144" i="2"/>
  <c r="CS143" i="2"/>
  <c r="CS142" i="2"/>
  <c r="CS137" i="2"/>
  <c r="CS55" i="12"/>
  <c r="CS65" i="12" s="1"/>
  <c r="CS150" i="2"/>
  <c r="CS147" i="2"/>
  <c r="CS59" i="12"/>
  <c r="CS148" i="2"/>
  <c r="CS138" i="2"/>
  <c r="CS140" i="2"/>
  <c r="CS139" i="2"/>
  <c r="CS87" i="2"/>
  <c r="CS149" i="2"/>
  <c r="CS40" i="2"/>
  <c r="AE35" i="35"/>
  <c r="AE5" i="35"/>
  <c r="AE9" i="35" s="1"/>
  <c r="DA64" i="13"/>
  <c r="DA67" i="13" s="1"/>
  <c r="DA67" i="12"/>
  <c r="DA61" i="12"/>
  <c r="DA59" i="12"/>
  <c r="DA145" i="2"/>
  <c r="DA144" i="2"/>
  <c r="DA143" i="2"/>
  <c r="DA142" i="2"/>
  <c r="DA55" i="12"/>
  <c r="DA66" i="12" s="1"/>
  <c r="DA149" i="2"/>
  <c r="DA137" i="2"/>
  <c r="DA148" i="2"/>
  <c r="DA56" i="12"/>
  <c r="DA150" i="2"/>
  <c r="DA139" i="2"/>
  <c r="DA140" i="2"/>
  <c r="DA138" i="2"/>
  <c r="DA87" i="2"/>
  <c r="DA147" i="2"/>
  <c r="DA40" i="2"/>
  <c r="DI10" i="2"/>
  <c r="BY11" i="2"/>
  <c r="CG11" i="2"/>
  <c r="CW11" i="2"/>
  <c r="AB162" i="35" s="1"/>
  <c r="DE11" i="2"/>
  <c r="AH162" i="35" s="1"/>
  <c r="CE13" i="2"/>
  <c r="BX14" i="2"/>
  <c r="CF14" i="2"/>
  <c r="CN14" i="2"/>
  <c r="CV14" i="2"/>
  <c r="DL14" i="2"/>
  <c r="BX19" i="2"/>
  <c r="CF19" i="2"/>
  <c r="CN19" i="2"/>
  <c r="CV19" i="2"/>
  <c r="DL19" i="2"/>
  <c r="CC24" i="2"/>
  <c r="CK24" i="2"/>
  <c r="CS24" i="2"/>
  <c r="DA24" i="2"/>
  <c r="CF32" i="2"/>
  <c r="CN32" i="2"/>
  <c r="CV32" i="2"/>
  <c r="DL32" i="2"/>
  <c r="BR34" i="2"/>
  <c r="CH34" i="2"/>
  <c r="CR34" i="2"/>
  <c r="DA34" i="2"/>
  <c r="BR36" i="2"/>
  <c r="CC36" i="2"/>
  <c r="DF38" i="2"/>
  <c r="BR62" i="12"/>
  <c r="BR43" i="2"/>
  <c r="BR42" i="2"/>
  <c r="CA62" i="12"/>
  <c r="CE41" i="2"/>
  <c r="CA43" i="2"/>
  <c r="CA42" i="2"/>
  <c r="DL62" i="12"/>
  <c r="DL63" i="12" s="1"/>
  <c r="DL43" i="2"/>
  <c r="DL42" i="2"/>
  <c r="BW87" i="2"/>
  <c r="CV11" i="35"/>
  <c r="CV34" i="35"/>
  <c r="F35" i="35"/>
  <c r="BV64" i="13"/>
  <c r="BV67" i="13" s="1"/>
  <c r="F5" i="35"/>
  <c r="F9" i="35" s="1"/>
  <c r="BV65" i="12"/>
  <c r="BV56" i="12"/>
  <c r="BV149" i="2"/>
  <c r="BV59" i="12"/>
  <c r="BV150" i="2"/>
  <c r="BV147" i="2"/>
  <c r="BV148" i="2"/>
  <c r="BV138" i="2"/>
  <c r="BV67" i="12"/>
  <c r="BV139" i="2"/>
  <c r="BV61" i="12"/>
  <c r="BV145" i="2"/>
  <c r="BV140" i="2"/>
  <c r="BV143" i="2"/>
  <c r="BV137" i="2"/>
  <c r="BV142" i="2"/>
  <c r="BV36" i="2"/>
  <c r="BV144" i="2"/>
  <c r="BV40" i="2"/>
  <c r="BV38" i="2"/>
  <c r="M35" i="35"/>
  <c r="M5" i="35"/>
  <c r="M9" i="35" s="1"/>
  <c r="CD64" i="13"/>
  <c r="CD67" i="12"/>
  <c r="CD149" i="2"/>
  <c r="CD56" i="12"/>
  <c r="CD59" i="12"/>
  <c r="CD147" i="2"/>
  <c r="CD138" i="2"/>
  <c r="CD148" i="2"/>
  <c r="CD150" i="2"/>
  <c r="CD61" i="12"/>
  <c r="CD139" i="2"/>
  <c r="CD65" i="12"/>
  <c r="CD145" i="2"/>
  <c r="CD144" i="2"/>
  <c r="CD140" i="2"/>
  <c r="CD143" i="2"/>
  <c r="CD142" i="2"/>
  <c r="CD137" i="2"/>
  <c r="CD87" i="2"/>
  <c r="CD36" i="2"/>
  <c r="CD40" i="2"/>
  <c r="CD38" i="2"/>
  <c r="S5" i="35"/>
  <c r="S9" i="35" s="1"/>
  <c r="S35" i="35"/>
  <c r="CL64" i="13"/>
  <c r="CL67" i="13" s="1"/>
  <c r="CL56" i="12"/>
  <c r="CL59" i="12"/>
  <c r="CL67" i="12"/>
  <c r="CL147" i="2"/>
  <c r="CL138" i="2"/>
  <c r="CL149" i="2"/>
  <c r="CL61" i="12"/>
  <c r="CL55" i="12"/>
  <c r="CL57" i="12" s="1"/>
  <c r="CL148" i="2"/>
  <c r="CL139" i="2"/>
  <c r="CL142" i="2"/>
  <c r="CL137" i="2"/>
  <c r="CL150" i="2"/>
  <c r="CL144" i="2"/>
  <c r="CL145" i="2"/>
  <c r="CL140" i="2"/>
  <c r="CL143" i="2"/>
  <c r="CL36" i="2"/>
  <c r="CL40" i="2"/>
  <c r="CL38" i="2"/>
  <c r="CL87" i="2"/>
  <c r="AF5" i="35"/>
  <c r="AF9" i="35" s="1"/>
  <c r="DB64" i="13"/>
  <c r="AF35" i="35"/>
  <c r="DB149" i="2"/>
  <c r="DB67" i="12"/>
  <c r="DB150" i="2"/>
  <c r="DB55" i="12"/>
  <c r="DB65" i="12" s="1"/>
  <c r="DB61" i="12"/>
  <c r="DB148" i="2"/>
  <c r="DB138" i="2"/>
  <c r="DB59" i="12"/>
  <c r="DB147" i="2"/>
  <c r="DB139" i="2"/>
  <c r="DB56" i="12"/>
  <c r="DB140" i="2"/>
  <c r="DB143" i="2"/>
  <c r="DB145" i="2"/>
  <c r="DB144" i="2"/>
  <c r="DB137" i="2"/>
  <c r="DB87" i="2"/>
  <c r="DB36" i="2"/>
  <c r="DB40" i="2"/>
  <c r="DB38" i="2"/>
  <c r="DB142" i="2"/>
  <c r="DO11" i="2"/>
  <c r="AP162" i="35" s="1"/>
  <c r="AL35" i="35"/>
  <c r="AL5" i="35"/>
  <c r="AL9" i="35" s="1"/>
  <c r="DJ64" i="13"/>
  <c r="DJ67" i="13" s="1"/>
  <c r="DJ56" i="12"/>
  <c r="DJ59" i="12"/>
  <c r="DJ61" i="12"/>
  <c r="DJ67" i="12"/>
  <c r="DJ138" i="2"/>
  <c r="DJ150" i="2"/>
  <c r="DJ148" i="2"/>
  <c r="DJ149" i="2"/>
  <c r="DJ139" i="2"/>
  <c r="DJ55" i="12"/>
  <c r="DJ58" i="12" s="1"/>
  <c r="DJ145" i="2"/>
  <c r="DJ142" i="2"/>
  <c r="DJ137" i="2"/>
  <c r="DJ144" i="2"/>
  <c r="DJ87" i="2"/>
  <c r="DJ140" i="2"/>
  <c r="DJ147" i="2"/>
  <c r="DJ143" i="2"/>
  <c r="DJ36" i="2"/>
  <c r="DJ40" i="2"/>
  <c r="DJ38" i="2"/>
  <c r="BZ18" i="2"/>
  <c r="BV24" i="2"/>
  <c r="CD24" i="2"/>
  <c r="CL24" i="2"/>
  <c r="DB24" i="2"/>
  <c r="DJ24" i="2"/>
  <c r="BS34" i="2"/>
  <c r="CA34" i="2"/>
  <c r="CS34" i="2"/>
  <c r="DB34" i="2"/>
  <c r="BS36" i="2"/>
  <c r="BR38" i="2"/>
  <c r="CK38" i="2"/>
  <c r="DH38" i="2"/>
  <c r="CA40" i="2"/>
  <c r="CX40" i="2"/>
  <c r="BS62" i="12"/>
  <c r="BS43" i="2"/>
  <c r="BS42" i="2"/>
  <c r="CV62" i="12"/>
  <c r="CV63" i="12" s="1"/>
  <c r="CV43" i="2"/>
  <c r="CV42" i="2"/>
  <c r="BX11" i="13"/>
  <c r="BX87" i="2"/>
  <c r="BX122" i="2"/>
  <c r="CG11" i="13"/>
  <c r="CG87" i="2"/>
  <c r="CG122" i="2"/>
  <c r="AZ20" i="25"/>
  <c r="BU21" i="25"/>
  <c r="CI21" i="25"/>
  <c r="AZ22" i="25"/>
  <c r="CV185" i="35"/>
  <c r="CE7" i="2"/>
  <c r="CW11" i="35"/>
  <c r="CW34" i="35"/>
  <c r="DD9" i="2"/>
  <c r="G35" i="35"/>
  <c r="BW64" i="13"/>
  <c r="BW67" i="13" s="1"/>
  <c r="G5" i="35"/>
  <c r="G9" i="35" s="1"/>
  <c r="BW65" i="12"/>
  <c r="BW67" i="12"/>
  <c r="BW59" i="12"/>
  <c r="BW148" i="2"/>
  <c r="BW56" i="12"/>
  <c r="BW149" i="2"/>
  <c r="BW140" i="2"/>
  <c r="BW61" i="12"/>
  <c r="BW145" i="2"/>
  <c r="BW144" i="2"/>
  <c r="BW150" i="2"/>
  <c r="BW143" i="2"/>
  <c r="BW137" i="2"/>
  <c r="BW147" i="2"/>
  <c r="BW142" i="2"/>
  <c r="BW139" i="2"/>
  <c r="BW138" i="2"/>
  <c r="BW40" i="2"/>
  <c r="BW38" i="2"/>
  <c r="BW109" i="2"/>
  <c r="CE10" i="2"/>
  <c r="CE145" i="2" s="1"/>
  <c r="T35" i="35"/>
  <c r="T5" i="35"/>
  <c r="T9" i="35" s="1"/>
  <c r="CM64" i="13"/>
  <c r="CM59" i="12"/>
  <c r="CM55" i="12"/>
  <c r="CM65" i="12" s="1"/>
  <c r="CM61" i="12"/>
  <c r="CM149" i="2"/>
  <c r="CM67" i="12"/>
  <c r="CM56" i="12"/>
  <c r="CM147" i="2"/>
  <c r="CM148" i="2"/>
  <c r="CM140" i="2"/>
  <c r="CM142" i="2"/>
  <c r="CM137" i="2"/>
  <c r="CM150" i="2"/>
  <c r="CM144" i="2"/>
  <c r="CM145" i="2"/>
  <c r="CM138" i="2"/>
  <c r="CM143" i="2"/>
  <c r="CM139" i="2"/>
  <c r="CM40" i="2"/>
  <c r="CM109" i="2"/>
  <c r="CM38" i="2"/>
  <c r="CM87" i="2"/>
  <c r="Z35" i="35"/>
  <c r="Z5" i="35"/>
  <c r="Z9" i="35" s="1"/>
  <c r="CU64" i="13"/>
  <c r="CU67" i="13" s="1"/>
  <c r="CU67" i="12"/>
  <c r="CU56" i="12"/>
  <c r="CU148" i="2"/>
  <c r="CU59" i="12"/>
  <c r="CU55" i="12"/>
  <c r="CU57" i="12" s="1"/>
  <c r="CU61" i="12"/>
  <c r="CU150" i="2"/>
  <c r="CU147" i="2"/>
  <c r="CU149" i="2"/>
  <c r="CU140" i="2"/>
  <c r="CU138" i="2"/>
  <c r="CU144" i="2"/>
  <c r="CU142" i="2"/>
  <c r="CU145" i="2"/>
  <c r="CU40" i="2"/>
  <c r="CU109" i="2"/>
  <c r="CU143" i="2"/>
  <c r="CU38" i="2"/>
  <c r="CU139" i="2"/>
  <c r="DC64" i="13"/>
  <c r="AG35" i="35"/>
  <c r="AG5" i="35"/>
  <c r="AG9" i="35" s="1"/>
  <c r="DC67" i="12"/>
  <c r="DC56" i="12"/>
  <c r="DC55" i="12"/>
  <c r="DC58" i="12" s="1"/>
  <c r="DC61" i="12"/>
  <c r="DC149" i="2"/>
  <c r="DC148" i="2"/>
  <c r="DC59" i="12"/>
  <c r="DC147" i="2"/>
  <c r="DC140" i="2"/>
  <c r="DC143" i="2"/>
  <c r="DC145" i="2"/>
  <c r="DC142" i="2"/>
  <c r="DC144" i="2"/>
  <c r="DC137" i="2"/>
  <c r="DC150" i="2"/>
  <c r="DC139" i="2"/>
  <c r="DC138" i="2"/>
  <c r="DC109" i="2"/>
  <c r="DC40" i="2"/>
  <c r="DC38" i="2"/>
  <c r="AM35" i="35"/>
  <c r="AM5" i="35"/>
  <c r="AM9" i="35" s="1"/>
  <c r="DK64" i="13"/>
  <c r="DK67" i="13" s="1"/>
  <c r="DK149" i="2"/>
  <c r="DK55" i="12"/>
  <c r="DK58" i="12" s="1"/>
  <c r="DK61" i="12"/>
  <c r="DK59" i="12"/>
  <c r="DK150" i="2"/>
  <c r="DK148" i="2"/>
  <c r="DK56" i="12"/>
  <c r="DK140" i="2"/>
  <c r="DZ140" i="2" s="1"/>
  <c r="DK137" i="2"/>
  <c r="DZ137" i="2" s="1"/>
  <c r="EE137" i="2" s="1"/>
  <c r="EJ137" i="2" s="1"/>
  <c r="EO137" i="2" s="1"/>
  <c r="DK147" i="2"/>
  <c r="DK143" i="2"/>
  <c r="DK145" i="2"/>
  <c r="DK142" i="2"/>
  <c r="DK138" i="2"/>
  <c r="DZ138" i="2" s="1"/>
  <c r="DK144" i="2"/>
  <c r="DK109" i="2"/>
  <c r="DK40" i="2"/>
  <c r="DK139" i="2"/>
  <c r="DZ139" i="2" s="1"/>
  <c r="DK38" i="2"/>
  <c r="CA11" i="2"/>
  <c r="CI11" i="2"/>
  <c r="CQ11" i="2"/>
  <c r="DG11" i="2"/>
  <c r="AJ162" i="35" s="1"/>
  <c r="CO13" i="2"/>
  <c r="CY18" i="2"/>
  <c r="BR19" i="2"/>
  <c r="CH19" i="2"/>
  <c r="CP19" i="2"/>
  <c r="CX19" i="2"/>
  <c r="DF19" i="2"/>
  <c r="BQ21" i="2"/>
  <c r="CW21" i="2"/>
  <c r="DE21" i="2"/>
  <c r="BX23" i="2"/>
  <c r="CF23" i="2"/>
  <c r="BW24" i="2"/>
  <c r="CM24" i="2"/>
  <c r="CU24" i="2"/>
  <c r="DC24" i="2"/>
  <c r="DK24" i="2"/>
  <c r="DK29" i="2" s="1"/>
  <c r="CH32" i="2"/>
  <c r="CP32" i="2"/>
  <c r="DF32" i="2"/>
  <c r="BT34" i="2"/>
  <c r="CB34" i="2"/>
  <c r="CK34" i="2"/>
  <c r="DC34" i="2"/>
  <c r="CF36" i="2"/>
  <c r="CP36" i="2"/>
  <c r="DF36" i="2"/>
  <c r="BT38" i="2"/>
  <c r="CY52" i="2"/>
  <c r="DN53" i="2"/>
  <c r="DJ55" i="2"/>
  <c r="CW185" i="35"/>
  <c r="DD7" i="2"/>
  <c r="CX11" i="35"/>
  <c r="CX34" i="35"/>
  <c r="CO9" i="2"/>
  <c r="H35" i="35"/>
  <c r="BX64" i="13"/>
  <c r="H5" i="35"/>
  <c r="H9" i="35" s="1"/>
  <c r="BX65" i="12"/>
  <c r="BX150" i="2"/>
  <c r="BX67" i="12"/>
  <c r="BX61" i="12"/>
  <c r="BX59" i="12"/>
  <c r="BX139" i="2"/>
  <c r="BX56" i="12"/>
  <c r="BX149" i="2"/>
  <c r="BX145" i="2"/>
  <c r="BX144" i="2"/>
  <c r="BX143" i="2"/>
  <c r="BX142" i="2"/>
  <c r="BX148" i="2"/>
  <c r="BX147" i="2"/>
  <c r="BX138" i="2"/>
  <c r="BX137" i="2"/>
  <c r="BX140" i="2"/>
  <c r="BX38" i="2"/>
  <c r="BX94" i="2"/>
  <c r="N35" i="35"/>
  <c r="CF64" i="13"/>
  <c r="CF67" i="13" s="1"/>
  <c r="N5" i="35"/>
  <c r="N9" i="35" s="1"/>
  <c r="CF55" i="12"/>
  <c r="CF57" i="12" s="1"/>
  <c r="CF61" i="12"/>
  <c r="CF65" i="12"/>
  <c r="CF56" i="12"/>
  <c r="CF59" i="12"/>
  <c r="CF148" i="2"/>
  <c r="CF150" i="2"/>
  <c r="CF139" i="2"/>
  <c r="CF67" i="12"/>
  <c r="CF145" i="2"/>
  <c r="CF144" i="2"/>
  <c r="CF143" i="2"/>
  <c r="CF142" i="2"/>
  <c r="CF140" i="2"/>
  <c r="CF138" i="2"/>
  <c r="CF149" i="2"/>
  <c r="CF147" i="2"/>
  <c r="CF137" i="2"/>
  <c r="CF38" i="2"/>
  <c r="U35" i="35"/>
  <c r="U5" i="35"/>
  <c r="U9" i="35" s="1"/>
  <c r="CN64" i="13"/>
  <c r="CN55" i="12"/>
  <c r="CN66" i="12" s="1"/>
  <c r="CN61" i="12"/>
  <c r="CN67" i="12"/>
  <c r="CN56" i="12"/>
  <c r="CN59" i="12"/>
  <c r="CN149" i="2"/>
  <c r="CN148" i="2"/>
  <c r="CN139" i="2"/>
  <c r="CN150" i="2"/>
  <c r="CN145" i="2"/>
  <c r="CN144" i="2"/>
  <c r="CN143" i="2"/>
  <c r="CN142" i="2"/>
  <c r="CN147" i="2"/>
  <c r="CN138" i="2"/>
  <c r="CN140" i="2"/>
  <c r="CN137" i="2"/>
  <c r="CN38" i="2"/>
  <c r="AA35" i="35"/>
  <c r="AA5" i="35"/>
  <c r="AA9" i="35" s="1"/>
  <c r="CV64" i="13"/>
  <c r="CV67" i="13" s="1"/>
  <c r="CV56" i="12"/>
  <c r="CV59" i="12"/>
  <c r="CV55" i="12"/>
  <c r="CV58" i="12" s="1"/>
  <c r="CV147" i="2"/>
  <c r="CV61" i="12"/>
  <c r="CV67" i="12"/>
  <c r="CV150" i="2"/>
  <c r="CV139" i="2"/>
  <c r="CV149" i="2"/>
  <c r="CV145" i="2"/>
  <c r="CV144" i="2"/>
  <c r="CV143" i="2"/>
  <c r="CV142" i="2"/>
  <c r="CV140" i="2"/>
  <c r="CV137" i="2"/>
  <c r="CV148" i="2"/>
  <c r="CV138" i="2"/>
  <c r="CV36" i="2"/>
  <c r="CV38" i="2"/>
  <c r="CV94" i="2"/>
  <c r="DD10" i="2"/>
  <c r="DD145" i="2" s="1"/>
  <c r="AN35" i="35"/>
  <c r="AN5" i="35"/>
  <c r="AN9" i="35" s="1"/>
  <c r="DL64" i="13"/>
  <c r="DL67" i="13" s="1"/>
  <c r="DL55" i="12"/>
  <c r="DL66" i="12" s="1"/>
  <c r="DL61" i="12"/>
  <c r="DL150" i="2"/>
  <c r="DL148" i="2"/>
  <c r="DL59" i="12"/>
  <c r="DL149" i="2"/>
  <c r="DL139" i="2"/>
  <c r="EA139" i="2" s="1"/>
  <c r="DL56" i="12"/>
  <c r="DL147" i="2"/>
  <c r="DL145" i="2"/>
  <c r="DL144" i="2"/>
  <c r="DL143" i="2"/>
  <c r="DL142" i="2"/>
  <c r="DL137" i="2"/>
  <c r="DV137" i="2" s="1"/>
  <c r="EA137" i="2" s="1"/>
  <c r="EF137" i="2" s="1"/>
  <c r="EK137" i="2" s="1"/>
  <c r="EP137" i="2" s="1"/>
  <c r="DL140" i="2"/>
  <c r="EA140" i="2" s="1"/>
  <c r="DL138" i="2"/>
  <c r="EA138" i="2" s="1"/>
  <c r="DL36" i="2"/>
  <c r="DL38" i="2"/>
  <c r="CB11" i="2"/>
  <c r="CR11" i="2"/>
  <c r="CZ11" i="2"/>
  <c r="AD162" i="35" s="1"/>
  <c r="DH11" i="2"/>
  <c r="AK162" i="35" s="1"/>
  <c r="CA14" i="2"/>
  <c r="CI14" i="2"/>
  <c r="CQ14" i="2"/>
  <c r="DG14" i="2"/>
  <c r="CB17" i="2"/>
  <c r="CR17" i="2"/>
  <c r="CZ17" i="2"/>
  <c r="DH17" i="2"/>
  <c r="BS19" i="2"/>
  <c r="CA19" i="2"/>
  <c r="CI19" i="2"/>
  <c r="CQ19" i="2"/>
  <c r="DG19" i="2"/>
  <c r="BX24" i="2"/>
  <c r="CF24" i="2"/>
  <c r="CN24" i="2"/>
  <c r="CV24" i="2"/>
  <c r="CV44" i="2" s="1"/>
  <c r="DL24" i="2"/>
  <c r="CI32" i="2"/>
  <c r="DG32" i="2"/>
  <c r="CC34" i="2"/>
  <c r="CL34" i="2"/>
  <c r="CU34" i="2"/>
  <c r="BW36" i="2"/>
  <c r="CG36" i="2"/>
  <c r="CS36" i="2"/>
  <c r="CR38" i="2"/>
  <c r="CH40" i="2"/>
  <c r="CN62" i="12"/>
  <c r="CN63" i="12" s="1"/>
  <c r="CN43" i="2"/>
  <c r="CN42" i="2"/>
  <c r="CO41" i="2"/>
  <c r="CX62" i="12"/>
  <c r="CX63" i="12" s="1"/>
  <c r="CX43" i="2"/>
  <c r="CX42" i="2"/>
  <c r="DF62" i="12"/>
  <c r="DF63" i="12" s="1"/>
  <c r="DF43" i="2"/>
  <c r="DF42" i="2"/>
  <c r="BW42" i="2"/>
  <c r="DC42" i="2"/>
  <c r="DD57" i="2"/>
  <c r="K5" i="2"/>
  <c r="S5" i="2"/>
  <c r="CX185" i="35"/>
  <c r="CO7" i="2"/>
  <c r="CY11" i="35"/>
  <c r="CY34" i="35"/>
  <c r="BQ61" i="12"/>
  <c r="BQ149" i="2"/>
  <c r="BQ64" i="13"/>
  <c r="BQ150" i="2"/>
  <c r="BQ139" i="2"/>
  <c r="BQ140" i="2"/>
  <c r="BQ148" i="2"/>
  <c r="BQ147" i="2"/>
  <c r="BQ145" i="2"/>
  <c r="BQ137" i="2"/>
  <c r="BQ142" i="2"/>
  <c r="BQ138" i="2"/>
  <c r="BQ144" i="2"/>
  <c r="BQ143" i="2"/>
  <c r="BQ40" i="2"/>
  <c r="BQ38" i="2"/>
  <c r="I35" i="35"/>
  <c r="I5" i="35"/>
  <c r="I9" i="35" s="1"/>
  <c r="BY64" i="13"/>
  <c r="BY65" i="12"/>
  <c r="BY67" i="12"/>
  <c r="BY61" i="12"/>
  <c r="BY56" i="12"/>
  <c r="BY59" i="12"/>
  <c r="BY139" i="2"/>
  <c r="BY149" i="2"/>
  <c r="BY140" i="2"/>
  <c r="BY145" i="2"/>
  <c r="BY147" i="2"/>
  <c r="BY137" i="2"/>
  <c r="BY144" i="2"/>
  <c r="BY142" i="2"/>
  <c r="BY138" i="2"/>
  <c r="BY40" i="2"/>
  <c r="BY38" i="2"/>
  <c r="BY150" i="2"/>
  <c r="BY143" i="2"/>
  <c r="BY148" i="2"/>
  <c r="O35" i="35"/>
  <c r="O5" i="35"/>
  <c r="O9" i="35" s="1"/>
  <c r="CG55" i="12"/>
  <c r="CG57" i="12" s="1"/>
  <c r="CG61" i="12"/>
  <c r="CG150" i="2"/>
  <c r="CG65" i="12"/>
  <c r="CG67" i="12"/>
  <c r="CG59" i="12"/>
  <c r="CG64" i="13"/>
  <c r="CG67" i="13" s="1"/>
  <c r="CG148" i="2"/>
  <c r="CG139" i="2"/>
  <c r="CG56" i="12"/>
  <c r="CG140" i="2"/>
  <c r="CG145" i="2"/>
  <c r="CG137" i="2"/>
  <c r="CG143" i="2"/>
  <c r="CG138" i="2"/>
  <c r="CG149" i="2"/>
  <c r="CG142" i="2"/>
  <c r="CG144" i="2"/>
  <c r="CG40" i="2"/>
  <c r="CG38" i="2"/>
  <c r="CO10" i="2"/>
  <c r="CO36" i="2" s="1"/>
  <c r="AB35" i="35"/>
  <c r="AB5" i="35"/>
  <c r="AB9" i="35" s="1"/>
  <c r="CW59" i="12"/>
  <c r="CW55" i="12"/>
  <c r="CW66" i="12" s="1"/>
  <c r="CW61" i="12"/>
  <c r="CW64" i="13"/>
  <c r="CW149" i="2"/>
  <c r="CW67" i="12"/>
  <c r="CW56" i="12"/>
  <c r="CW150" i="2"/>
  <c r="CW147" i="2"/>
  <c r="CW139" i="2"/>
  <c r="CW140" i="2"/>
  <c r="CW145" i="2"/>
  <c r="CW148" i="2"/>
  <c r="CW137" i="2"/>
  <c r="CW144" i="2"/>
  <c r="CW143" i="2"/>
  <c r="CW142" i="2"/>
  <c r="CW138" i="2"/>
  <c r="CW40" i="2"/>
  <c r="CW38" i="2"/>
  <c r="AH35" i="35"/>
  <c r="AH5" i="35"/>
  <c r="AH9" i="35" s="1"/>
  <c r="DE64" i="13"/>
  <c r="DE67" i="13" s="1"/>
  <c r="DE67" i="12"/>
  <c r="DE55" i="12"/>
  <c r="DE66" i="12" s="1"/>
  <c r="DE61" i="12"/>
  <c r="DE56" i="12"/>
  <c r="DE148" i="2"/>
  <c r="DE59" i="12"/>
  <c r="DE150" i="2"/>
  <c r="DE149" i="2"/>
  <c r="DE139" i="2"/>
  <c r="DE147" i="2"/>
  <c r="DE140" i="2"/>
  <c r="DE145" i="2"/>
  <c r="DE137" i="2"/>
  <c r="DE142" i="2"/>
  <c r="DE138" i="2"/>
  <c r="DE144" i="2"/>
  <c r="DE143" i="2"/>
  <c r="DE40" i="2"/>
  <c r="DE38" i="2"/>
  <c r="DM150" i="2"/>
  <c r="CC11" i="2"/>
  <c r="CK11" i="2"/>
  <c r="CS11" i="2"/>
  <c r="DA11" i="2"/>
  <c r="AE162" i="35" s="1"/>
  <c r="BU18" i="2"/>
  <c r="DI18" i="2"/>
  <c r="BT19" i="2"/>
  <c r="CB19" i="2"/>
  <c r="CR19" i="2"/>
  <c r="CZ19" i="2"/>
  <c r="DH19" i="2"/>
  <c r="CQ21" i="2"/>
  <c r="BR23" i="2"/>
  <c r="DF23" i="2"/>
  <c r="BQ24" i="2"/>
  <c r="BY24" i="2"/>
  <c r="CG24" i="2"/>
  <c r="CW24" i="2"/>
  <c r="DE24" i="2"/>
  <c r="DE29" i="2" s="1"/>
  <c r="BT32" i="2"/>
  <c r="CB32" i="2"/>
  <c r="CR32" i="2"/>
  <c r="CZ32" i="2"/>
  <c r="DH32" i="2"/>
  <c r="BV34" i="2"/>
  <c r="CD34" i="2"/>
  <c r="CM34" i="2"/>
  <c r="CV34" i="2"/>
  <c r="DE34" i="2"/>
  <c r="BX36" i="2"/>
  <c r="CU36" i="2"/>
  <c r="DK36" i="2"/>
  <c r="CS38" i="2"/>
  <c r="CI40" i="2"/>
  <c r="CF62" i="12"/>
  <c r="CF43" i="2"/>
  <c r="CF42" i="2"/>
  <c r="CJ41" i="2"/>
  <c r="CP62" i="12"/>
  <c r="CP63" i="12" s="1"/>
  <c r="CT41" i="2"/>
  <c r="CP43" i="2"/>
  <c r="CP42" i="2"/>
  <c r="CY41" i="2"/>
  <c r="BY42" i="2"/>
  <c r="DE42" i="2"/>
  <c r="DC52" i="2"/>
  <c r="BZ52" i="2"/>
  <c r="BY55" i="2"/>
  <c r="BZ55" i="2" s="1"/>
  <c r="CZ125" i="2"/>
  <c r="DC53" i="2"/>
  <c r="DC125" i="2" s="1"/>
  <c r="DI57" i="2"/>
  <c r="CU137" i="2"/>
  <c r="AS21" i="25"/>
  <c r="BG21" i="25"/>
  <c r="CZ34" i="35"/>
  <c r="CZ11" i="35"/>
  <c r="BR61" i="12"/>
  <c r="BR56" i="12"/>
  <c r="BR64" i="13"/>
  <c r="BR59" i="12"/>
  <c r="BR148" i="2"/>
  <c r="BR65" i="12"/>
  <c r="BR67" i="12"/>
  <c r="BR149" i="2"/>
  <c r="BR139" i="2"/>
  <c r="BR150" i="2"/>
  <c r="BR140" i="2"/>
  <c r="BR147" i="2"/>
  <c r="BR145" i="2"/>
  <c r="BR144" i="2"/>
  <c r="BR143" i="2"/>
  <c r="BR142" i="2"/>
  <c r="BR138" i="2"/>
  <c r="BR137" i="2"/>
  <c r="BZ10" i="2"/>
  <c r="BZ137" i="2" s="1"/>
  <c r="P5" i="35"/>
  <c r="P9" i="35" s="1"/>
  <c r="P35" i="35"/>
  <c r="CH61" i="12"/>
  <c r="CH65" i="12"/>
  <c r="CH67" i="12"/>
  <c r="CH64" i="13"/>
  <c r="CH55" i="12"/>
  <c r="CH57" i="12" s="1"/>
  <c r="CH59" i="12"/>
  <c r="CH150" i="2"/>
  <c r="CH139" i="2"/>
  <c r="CH56" i="12"/>
  <c r="CH140" i="2"/>
  <c r="CH145" i="2"/>
  <c r="CH144" i="2"/>
  <c r="CH143" i="2"/>
  <c r="CH142" i="2"/>
  <c r="CH149" i="2"/>
  <c r="CH147" i="2"/>
  <c r="CH138" i="2"/>
  <c r="CH148" i="2"/>
  <c r="CH137" i="2"/>
  <c r="V35" i="35"/>
  <c r="V5" i="35"/>
  <c r="V9" i="35" s="1"/>
  <c r="CP61" i="12"/>
  <c r="CP150" i="2"/>
  <c r="CP64" i="13"/>
  <c r="CP67" i="13" s="1"/>
  <c r="CP56" i="12"/>
  <c r="CP59" i="12"/>
  <c r="CP55" i="12"/>
  <c r="CP66" i="12" s="1"/>
  <c r="CP149" i="2"/>
  <c r="CP139" i="2"/>
  <c r="CP148" i="2"/>
  <c r="CP140" i="2"/>
  <c r="CP67" i="12"/>
  <c r="CP145" i="2"/>
  <c r="CP144" i="2"/>
  <c r="CP143" i="2"/>
  <c r="CP142" i="2"/>
  <c r="CP138" i="2"/>
  <c r="CP147" i="2"/>
  <c r="CP137" i="2"/>
  <c r="AC35" i="35"/>
  <c r="AC5" i="35"/>
  <c r="CX61" i="12"/>
  <c r="CX64" i="13"/>
  <c r="CX67" i="12"/>
  <c r="CX56" i="12"/>
  <c r="CX59" i="12"/>
  <c r="CX55" i="12"/>
  <c r="CX58" i="12" s="1"/>
  <c r="CX150" i="2"/>
  <c r="CX147" i="2"/>
  <c r="CX139" i="2"/>
  <c r="CX140" i="2"/>
  <c r="CX149" i="2"/>
  <c r="CX145" i="2"/>
  <c r="CX144" i="2"/>
  <c r="CX143" i="2"/>
  <c r="CX142" i="2"/>
  <c r="CX148" i="2"/>
  <c r="CX138" i="2"/>
  <c r="CX87" i="2"/>
  <c r="CX137" i="2"/>
  <c r="AI35" i="35"/>
  <c r="AI5" i="35"/>
  <c r="AI9" i="35" s="1"/>
  <c r="DF61" i="12"/>
  <c r="DF56" i="12"/>
  <c r="DF59" i="12"/>
  <c r="DF147" i="2"/>
  <c r="DF64" i="13"/>
  <c r="DF67" i="13" s="1"/>
  <c r="DF67" i="12"/>
  <c r="DF55" i="12"/>
  <c r="DF65" i="12" s="1"/>
  <c r="DF139" i="2"/>
  <c r="DF140" i="2"/>
  <c r="DF145" i="2"/>
  <c r="DF144" i="2"/>
  <c r="DF143" i="2"/>
  <c r="DF142" i="2"/>
  <c r="DF150" i="2"/>
  <c r="DF138" i="2"/>
  <c r="DF87" i="2"/>
  <c r="DF137" i="2"/>
  <c r="DF149" i="2"/>
  <c r="DF148" i="2"/>
  <c r="BV11" i="2"/>
  <c r="CD11" i="2"/>
  <c r="CL11" i="2"/>
  <c r="DB11" i="2"/>
  <c r="AF162" i="35" s="1"/>
  <c r="DJ11" i="2"/>
  <c r="AL162" i="35" s="1"/>
  <c r="CJ13" i="2"/>
  <c r="CC19" i="2"/>
  <c r="CK19" i="2"/>
  <c r="CS19" i="2"/>
  <c r="DA19" i="2"/>
  <c r="BR24" i="2"/>
  <c r="CH24" i="2"/>
  <c r="CP24" i="2"/>
  <c r="CX24" i="2"/>
  <c r="DF24" i="2"/>
  <c r="DF29" i="2" s="1"/>
  <c r="CC32" i="2"/>
  <c r="CK32" i="2"/>
  <c r="CS32" i="2"/>
  <c r="DA32" i="2"/>
  <c r="BW34" i="2"/>
  <c r="CN34" i="2"/>
  <c r="CW34" i="2"/>
  <c r="DF34" i="2"/>
  <c r="BY36" i="2"/>
  <c r="CW36" i="2"/>
  <c r="CB38" i="2"/>
  <c r="CX38" i="2"/>
  <c r="BR40" i="2"/>
  <c r="CN40" i="2"/>
  <c r="BX62" i="12"/>
  <c r="BX43" i="2"/>
  <c r="BX42" i="2"/>
  <c r="CQ62" i="12"/>
  <c r="CQ63" i="12" s="1"/>
  <c r="CQ43" i="2"/>
  <c r="CQ42" i="2"/>
  <c r="DK42" i="2"/>
  <c r="CU43" i="2"/>
  <c r="BQ55" i="2"/>
  <c r="BU55" i="2" s="1"/>
  <c r="BU52" i="2"/>
  <c r="CA55" i="2"/>
  <c r="CE55" i="2" s="1"/>
  <c r="CE52" i="2"/>
  <c r="DL9" i="13"/>
  <c r="DL8" i="13" s="1"/>
  <c r="DN8" i="13" s="1"/>
  <c r="DL109" i="2"/>
  <c r="DL124" i="2"/>
  <c r="CZ185" i="35"/>
  <c r="CY7" i="2"/>
  <c r="DA34" i="35"/>
  <c r="DA11" i="35"/>
  <c r="CJ9" i="2"/>
  <c r="BS64" i="13"/>
  <c r="BS59" i="12"/>
  <c r="BS65" i="12"/>
  <c r="BS150" i="2"/>
  <c r="BS67" i="12"/>
  <c r="BS61" i="12"/>
  <c r="BS56" i="12"/>
  <c r="BS140" i="2"/>
  <c r="BS147" i="2"/>
  <c r="BS145" i="2"/>
  <c r="BS144" i="2"/>
  <c r="BS143" i="2"/>
  <c r="BS142" i="2"/>
  <c r="BS148" i="2"/>
  <c r="BS137" i="2"/>
  <c r="BS138" i="2"/>
  <c r="BS139" i="2"/>
  <c r="BS149" i="2"/>
  <c r="BS38" i="2"/>
  <c r="J35" i="35"/>
  <c r="CA64" i="13"/>
  <c r="CA67" i="13" s="1"/>
  <c r="J5" i="35"/>
  <c r="J9" i="35" s="1"/>
  <c r="CA67" i="12"/>
  <c r="CA56" i="12"/>
  <c r="CA148" i="2"/>
  <c r="CA59" i="12"/>
  <c r="CA65" i="12"/>
  <c r="CA61" i="12"/>
  <c r="CA150" i="2"/>
  <c r="CA140" i="2"/>
  <c r="CA149" i="2"/>
  <c r="CA145" i="2"/>
  <c r="CA144" i="2"/>
  <c r="CA143" i="2"/>
  <c r="CA142" i="2"/>
  <c r="CA137" i="2"/>
  <c r="CA147" i="2"/>
  <c r="CA138" i="2"/>
  <c r="CA139" i="2"/>
  <c r="CA38" i="2"/>
  <c r="CI64" i="13"/>
  <c r="Q5" i="35"/>
  <c r="Q9" i="35" s="1"/>
  <c r="Q35" i="35"/>
  <c r="CI65" i="12"/>
  <c r="CI67" i="12"/>
  <c r="CI149" i="2"/>
  <c r="CI56" i="12"/>
  <c r="CI55" i="12"/>
  <c r="CI57" i="12" s="1"/>
  <c r="CI61" i="12"/>
  <c r="CI150" i="2"/>
  <c r="CI140" i="2"/>
  <c r="CI145" i="2"/>
  <c r="CI144" i="2"/>
  <c r="CI143" i="2"/>
  <c r="CI142" i="2"/>
  <c r="CI137" i="2"/>
  <c r="CI147" i="2"/>
  <c r="CI59" i="12"/>
  <c r="CI148" i="2"/>
  <c r="CI139" i="2"/>
  <c r="CI138" i="2"/>
  <c r="CI38" i="2"/>
  <c r="CI34" i="2"/>
  <c r="CQ64" i="13"/>
  <c r="CQ67" i="13" s="1"/>
  <c r="W35" i="35"/>
  <c r="W5" i="35"/>
  <c r="W9" i="35" s="1"/>
  <c r="CQ67" i="12"/>
  <c r="CQ59" i="12"/>
  <c r="CQ55" i="12"/>
  <c r="CQ66" i="12" s="1"/>
  <c r="CQ61" i="12"/>
  <c r="CQ56" i="12"/>
  <c r="CQ148" i="2"/>
  <c r="CQ140" i="2"/>
  <c r="CQ145" i="2"/>
  <c r="CQ144" i="2"/>
  <c r="CQ143" i="2"/>
  <c r="CQ142" i="2"/>
  <c r="CQ137" i="2"/>
  <c r="CQ150" i="2"/>
  <c r="CQ147" i="2"/>
  <c r="CQ149" i="2"/>
  <c r="CQ138" i="2"/>
  <c r="CQ139" i="2"/>
  <c r="CQ38" i="2"/>
  <c r="CQ34" i="2"/>
  <c r="CQ36" i="2"/>
  <c r="CY10" i="2"/>
  <c r="AJ35" i="35"/>
  <c r="AJ5" i="35"/>
  <c r="AJ9" i="35" s="1"/>
  <c r="DG64" i="13"/>
  <c r="DG67" i="13" s="1"/>
  <c r="DG59" i="12"/>
  <c r="DG149" i="2"/>
  <c r="DG67" i="12"/>
  <c r="DG55" i="12"/>
  <c r="DG65" i="12" s="1"/>
  <c r="DG61" i="12"/>
  <c r="DG56" i="12"/>
  <c r="DG140" i="2"/>
  <c r="DG147" i="2"/>
  <c r="DG145" i="2"/>
  <c r="DG144" i="2"/>
  <c r="DG143" i="2"/>
  <c r="DG142" i="2"/>
  <c r="DG137" i="2"/>
  <c r="DG150" i="2"/>
  <c r="DG138" i="2"/>
  <c r="DG148" i="2"/>
  <c r="DG139" i="2"/>
  <c r="DG109" i="2"/>
  <c r="DG38" i="2"/>
  <c r="DG34" i="2"/>
  <c r="DG36" i="2"/>
  <c r="BW11" i="2"/>
  <c r="CM11" i="2"/>
  <c r="CU11" i="2"/>
  <c r="Z162" i="35" s="1"/>
  <c r="DC11" i="2"/>
  <c r="AG162" i="35" s="1"/>
  <c r="DK11" i="2"/>
  <c r="AM162" i="35" s="1"/>
  <c r="DJ14" i="2"/>
  <c r="CJ16" i="2"/>
  <c r="DZ16" i="2"/>
  <c r="EE16" i="2" s="1"/>
  <c r="EJ16" i="2" s="1"/>
  <c r="EO16" i="2" s="1"/>
  <c r="BV19" i="2"/>
  <c r="CD19" i="2"/>
  <c r="CL19" i="2"/>
  <c r="DB19" i="2"/>
  <c r="DJ19" i="2"/>
  <c r="BS24" i="2"/>
  <c r="CA24" i="2"/>
  <c r="CI24" i="2"/>
  <c r="CQ24" i="2"/>
  <c r="DG24" i="2"/>
  <c r="DG29" i="2" s="1"/>
  <c r="BV32" i="2"/>
  <c r="CD32" i="2"/>
  <c r="CL32" i="2"/>
  <c r="DB32" i="2"/>
  <c r="DJ32" i="2"/>
  <c r="BX34" i="2"/>
  <c r="CF34" i="2"/>
  <c r="CX34" i="2"/>
  <c r="DH34" i="2"/>
  <c r="CK36" i="2"/>
  <c r="CX36" i="2"/>
  <c r="CC38" i="2"/>
  <c r="CZ38" i="2"/>
  <c r="BS40" i="2"/>
  <c r="CP40" i="2"/>
  <c r="DL40" i="2"/>
  <c r="CH62" i="12"/>
  <c r="CH43" i="2"/>
  <c r="CH42" i="2"/>
  <c r="CG42" i="2"/>
  <c r="CY55" i="2"/>
  <c r="DE55" i="2"/>
  <c r="DI52" i="2"/>
  <c r="CJ52" i="2"/>
  <c r="BY11" i="13"/>
  <c r="BY87" i="2"/>
  <c r="CQ11" i="13"/>
  <c r="CQ122" i="2"/>
  <c r="CT86" i="2"/>
  <c r="CQ87" i="2"/>
  <c r="CM94" i="2"/>
  <c r="BZ125" i="2"/>
  <c r="DG42" i="2"/>
  <c r="DG43" i="2"/>
  <c r="BQ11" i="13"/>
  <c r="BQ87" i="2"/>
  <c r="BU86" i="2"/>
  <c r="CA11" i="13"/>
  <c r="CA122" i="2"/>
  <c r="CA87" i="2"/>
  <c r="CI11" i="13"/>
  <c r="CI122" i="2"/>
  <c r="CI87" i="2"/>
  <c r="CV9" i="13"/>
  <c r="CV8" i="13" s="1"/>
  <c r="CV109" i="2"/>
  <c r="CV124" i="2"/>
  <c r="BU41" i="2"/>
  <c r="DI41" i="2"/>
  <c r="BT42" i="2"/>
  <c r="CB42" i="2"/>
  <c r="CR42" i="2"/>
  <c r="CZ42" i="2"/>
  <c r="DH42" i="2"/>
  <c r="BT43" i="2"/>
  <c r="CB43" i="2"/>
  <c r="CR43" i="2"/>
  <c r="CZ43" i="2"/>
  <c r="DH43" i="2"/>
  <c r="CT52" i="2"/>
  <c r="CN9" i="13"/>
  <c r="CO9" i="13" s="1"/>
  <c r="CN109" i="2"/>
  <c r="CN124" i="2"/>
  <c r="CZ123" i="2"/>
  <c r="CZ94" i="2"/>
  <c r="DD93" i="2"/>
  <c r="DO43" i="2"/>
  <c r="DJ62" i="12"/>
  <c r="DJ63" i="12" s="1"/>
  <c r="CC42" i="2"/>
  <c r="CK42" i="2"/>
  <c r="CS42" i="2"/>
  <c r="DA42" i="2"/>
  <c r="CC43" i="2"/>
  <c r="CK43" i="2"/>
  <c r="CS43" i="2"/>
  <c r="DA43" i="2"/>
  <c r="DD50" i="2"/>
  <c r="DS51" i="2"/>
  <c r="BS11" i="13"/>
  <c r="BS122" i="2"/>
  <c r="BS87" i="2"/>
  <c r="CU11" i="13"/>
  <c r="CU122" i="2"/>
  <c r="DC11" i="13"/>
  <c r="DC122" i="2"/>
  <c r="CU87" i="2"/>
  <c r="CF9" i="13"/>
  <c r="CF8" i="13" s="1"/>
  <c r="CF109" i="2"/>
  <c r="CF124" i="2"/>
  <c r="CJ108" i="2"/>
  <c r="CG94" i="2"/>
  <c r="BQ122" i="2"/>
  <c r="BV42" i="2"/>
  <c r="CD42" i="2"/>
  <c r="CL42" i="2"/>
  <c r="DB42" i="2"/>
  <c r="DJ42" i="2"/>
  <c r="BV43" i="2"/>
  <c r="CD43" i="2"/>
  <c r="CL43" i="2"/>
  <c r="DB43" i="2"/>
  <c r="DJ43" i="2"/>
  <c r="BT11" i="13"/>
  <c r="BT122" i="2"/>
  <c r="BT87" i="2"/>
  <c r="CM11" i="13"/>
  <c r="CM122" i="2"/>
  <c r="CV11" i="13"/>
  <c r="CV87" i="2"/>
  <c r="CV122" i="2"/>
  <c r="DD86" i="2"/>
  <c r="BY122" i="2"/>
  <c r="CO125" i="2"/>
  <c r="BV11" i="13"/>
  <c r="BZ86" i="2"/>
  <c r="BV122" i="2"/>
  <c r="CN11" i="13"/>
  <c r="CN87" i="2"/>
  <c r="CN122" i="2"/>
  <c r="CW11" i="13"/>
  <c r="CW87" i="2"/>
  <c r="DC87" i="2"/>
  <c r="BX9" i="13"/>
  <c r="BZ9" i="13" s="1"/>
  <c r="BX109" i="2"/>
  <c r="BX124" i="2"/>
  <c r="DA55" i="2"/>
  <c r="BW11" i="13"/>
  <c r="BW122" i="2"/>
  <c r="CF11" i="13"/>
  <c r="CF87" i="2"/>
  <c r="CF122" i="2"/>
  <c r="CJ86" i="2"/>
  <c r="CO86" i="2"/>
  <c r="DK87" i="2"/>
  <c r="BS109" i="2"/>
  <c r="CA109" i="2"/>
  <c r="CI109" i="2"/>
  <c r="CQ109" i="2"/>
  <c r="CC94" i="2"/>
  <c r="CC122" i="2"/>
  <c r="CK122" i="2"/>
  <c r="CS122" i="2"/>
  <c r="DA122" i="2"/>
  <c r="CB123" i="2"/>
  <c r="CC124" i="2"/>
  <c r="CK124" i="2"/>
  <c r="CS124" i="2"/>
  <c r="DA124" i="2"/>
  <c r="DI126" i="2"/>
  <c r="CB87" i="2"/>
  <c r="CR87" i="2"/>
  <c r="CZ87" i="2"/>
  <c r="DH87" i="2"/>
  <c r="BU108" i="2"/>
  <c r="DI108" i="2"/>
  <c r="BT109" i="2"/>
  <c r="CB109" i="2"/>
  <c r="CR109" i="2"/>
  <c r="CZ109" i="2"/>
  <c r="DH109" i="2"/>
  <c r="CD94" i="2"/>
  <c r="DE94" i="2"/>
  <c r="CL94" i="2"/>
  <c r="DD110" i="2"/>
  <c r="CD122" i="2"/>
  <c r="CL122" i="2"/>
  <c r="DB122" i="2"/>
  <c r="CC123" i="2"/>
  <c r="BV124" i="2"/>
  <c r="CD124" i="2"/>
  <c r="CL124" i="2"/>
  <c r="DB124" i="2"/>
  <c r="DJ124" i="2"/>
  <c r="CT126" i="2"/>
  <c r="CC87" i="2"/>
  <c r="CK87" i="2"/>
  <c r="CC109" i="2"/>
  <c r="CK109" i="2"/>
  <c r="CS109" i="2"/>
  <c r="DA109" i="2"/>
  <c r="BV94" i="2"/>
  <c r="CE93" i="2"/>
  <c r="DF94" i="2"/>
  <c r="CD123" i="2"/>
  <c r="BW124" i="2"/>
  <c r="CM124" i="2"/>
  <c r="CU124" i="2"/>
  <c r="DC124" i="2"/>
  <c r="DK124" i="2"/>
  <c r="CE108" i="2"/>
  <c r="BV109" i="2"/>
  <c r="CD109" i="2"/>
  <c r="CL109" i="2"/>
  <c r="DB109" i="2"/>
  <c r="DJ109" i="2"/>
  <c r="CP94" i="2"/>
  <c r="CN94" i="2"/>
  <c r="DN126" i="2"/>
  <c r="CO108" i="2"/>
  <c r="DN108" i="2"/>
  <c r="CH94" i="2"/>
  <c r="DA94" i="2"/>
  <c r="BY94" i="2"/>
  <c r="CW94" i="2"/>
  <c r="BR122" i="2"/>
  <c r="CH122" i="2"/>
  <c r="CP122" i="2"/>
  <c r="CX122" i="2"/>
  <c r="BR124" i="2"/>
  <c r="CH124" i="2"/>
  <c r="CP124" i="2"/>
  <c r="CX124" i="2"/>
  <c r="DF124" i="2"/>
  <c r="DN125" i="2"/>
  <c r="CY126" i="2"/>
  <c r="BZ108" i="2"/>
  <c r="BQ109" i="2"/>
  <c r="BY109" i="2"/>
  <c r="CG109" i="2"/>
  <c r="CW109" i="2"/>
  <c r="DE109" i="2"/>
  <c r="BQ94" i="2"/>
  <c r="CS94" i="2"/>
  <c r="DB94" i="2"/>
  <c r="CA94" i="2"/>
  <c r="CX94" i="2"/>
  <c r="CP123" i="2"/>
  <c r="BS124" i="2"/>
  <c r="CA124" i="2"/>
  <c r="CI124" i="2"/>
  <c r="CQ124" i="2"/>
  <c r="DG124" i="2"/>
  <c r="EC126" i="2"/>
  <c r="BR87" i="2"/>
  <c r="CH87" i="2"/>
  <c r="CP87" i="2"/>
  <c r="CY108" i="2"/>
  <c r="BR109" i="2"/>
  <c r="CH109" i="2"/>
  <c r="CP109" i="2"/>
  <c r="CX109" i="2"/>
  <c r="DF109" i="2"/>
  <c r="BR94" i="2"/>
  <c r="CO93" i="2"/>
  <c r="CB122" i="2"/>
  <c r="CR122" i="2"/>
  <c r="CZ122" i="2"/>
  <c r="BT124" i="2"/>
  <c r="CB124" i="2"/>
  <c r="CR124" i="2"/>
  <c r="CZ124" i="2"/>
  <c r="DH124" i="2"/>
  <c r="O5" i="12"/>
  <c r="P5" i="12" s="1"/>
  <c r="Q5" i="12" s="1"/>
  <c r="S5" i="12"/>
  <c r="X5" i="12" s="1"/>
  <c r="CQ8" i="13"/>
  <c r="DA41" i="14"/>
  <c r="DK41" i="14"/>
  <c r="DL41" i="14"/>
  <c r="DG71" i="14"/>
  <c r="DG76" i="14" s="1"/>
  <c r="CK40" i="14"/>
  <c r="CQ97" i="14"/>
  <c r="W149" i="35" s="1"/>
  <c r="BS40" i="14"/>
  <c r="CD41" i="14"/>
  <c r="CQ70" i="14"/>
  <c r="CR71" i="14" s="1"/>
  <c r="CS44" i="35"/>
  <c r="CS42" i="35"/>
  <c r="CS40" i="35"/>
  <c r="CS58" i="35"/>
  <c r="CS64" i="35"/>
  <c r="CS60" i="35"/>
  <c r="CS66" i="35"/>
  <c r="CS62" i="35"/>
  <c r="DN122" i="2"/>
  <c r="DL87" i="2"/>
  <c r="DY32" i="2"/>
  <c r="ED32" i="2" s="1"/>
  <c r="EI32" i="2" s="1"/>
  <c r="EN32" i="2" s="1"/>
  <c r="CD42" i="12"/>
  <c r="CE42" i="12" s="1"/>
  <c r="CE47" i="12" s="1"/>
  <c r="BU40" i="12"/>
  <c r="BU39" i="12" s="1"/>
  <c r="DI47" i="12"/>
  <c r="DO21" i="13"/>
  <c r="DO22" i="13" s="1"/>
  <c r="DE21" i="13"/>
  <c r="DE22" i="13" s="1"/>
  <c r="DE47" i="12"/>
  <c r="DF47" i="12"/>
  <c r="DG47" i="12"/>
  <c r="DJ21" i="13"/>
  <c r="DJ22" i="13" s="1"/>
  <c r="DH47" i="12"/>
  <c r="DG22" i="13"/>
  <c r="DM22" i="13"/>
  <c r="DV51" i="2"/>
  <c r="DW51" i="2" s="1"/>
  <c r="DY51" i="2" s="1"/>
  <c r="DY16" i="2"/>
  <c r="ED16" i="2" s="1"/>
  <c r="EI16" i="2" s="1"/>
  <c r="EN16" i="2" s="1"/>
  <c r="DZ32" i="2"/>
  <c r="EE32" i="2" s="1"/>
  <c r="EJ32" i="2" s="1"/>
  <c r="EO32" i="2" s="1"/>
  <c r="BU93" i="2"/>
  <c r="BS94" i="2"/>
  <c r="BS123" i="2"/>
  <c r="CR94" i="2"/>
  <c r="CR123" i="2"/>
  <c r="CF94" i="2"/>
  <c r="CF123" i="2"/>
  <c r="CJ93" i="2"/>
  <c r="CO126" i="2"/>
  <c r="BT123" i="2"/>
  <c r="BT94" i="2"/>
  <c r="DD126" i="2"/>
  <c r="CE126" i="2"/>
  <c r="DC94" i="2"/>
  <c r="DC123" i="2"/>
  <c r="CQ94" i="2"/>
  <c r="CQ123" i="2"/>
  <c r="CT93" i="2"/>
  <c r="CH123" i="2"/>
  <c r="BW94" i="2"/>
  <c r="CI94" i="2"/>
  <c r="CU94" i="2"/>
  <c r="DG94" i="2"/>
  <c r="CK123" i="2"/>
  <c r="BZ93" i="2"/>
  <c r="CG123" i="2"/>
  <c r="CS123" i="2"/>
  <c r="DE123" i="2"/>
  <c r="BV123" i="2"/>
  <c r="DF123" i="2"/>
  <c r="BW123" i="2"/>
  <c r="CI123" i="2"/>
  <c r="CU123" i="2"/>
  <c r="DG123" i="2"/>
  <c r="Y29" i="40"/>
  <c r="Y28" i="40"/>
  <c r="BB28" i="40"/>
  <c r="AA29" i="40"/>
  <c r="BD28" i="40"/>
  <c r="BC28" i="40"/>
  <c r="Z29" i="40"/>
  <c r="X28" i="40"/>
  <c r="C2" i="13"/>
  <c r="L87" i="1"/>
  <c r="S87" i="1"/>
  <c r="CP70" i="14"/>
  <c r="CD21" i="14"/>
  <c r="CI41" i="14"/>
  <c r="CD94" i="14"/>
  <c r="CV82" i="14"/>
  <c r="CV93" i="14"/>
  <c r="AE8" i="35"/>
  <c r="AE83" i="35" s="1"/>
  <c r="CS6" i="14"/>
  <c r="CS38" i="14" s="1"/>
  <c r="CU6" i="14"/>
  <c r="CU42" i="14" s="1"/>
  <c r="DJ6" i="14"/>
  <c r="CR97" i="14"/>
  <c r="CR94" i="14" s="1"/>
  <c r="BF156" i="14"/>
  <c r="DL87" i="14"/>
  <c r="DE92" i="14"/>
  <c r="BY41" i="14"/>
  <c r="DC41" i="14"/>
  <c r="CE39" i="14"/>
  <c r="CY179" i="14"/>
  <c r="DE126" i="14"/>
  <c r="CB41" i="14"/>
  <c r="DH92" i="14"/>
  <c r="DG6" i="14"/>
  <c r="CR74" i="14"/>
  <c r="X156" i="35" s="1"/>
  <c r="BF149" i="14"/>
  <c r="DI27" i="14"/>
  <c r="CH37" i="14"/>
  <c r="DK37" i="14"/>
  <c r="CZ16" i="14"/>
  <c r="CZ19" i="14" s="1"/>
  <c r="BX40" i="14"/>
  <c r="CM41" i="14"/>
  <c r="DB41" i="14"/>
  <c r="DV63" i="14"/>
  <c r="EA63" i="14" s="1"/>
  <c r="EF63" i="14" s="1"/>
  <c r="CD70" i="14"/>
  <c r="CD71" i="14" s="1"/>
  <c r="CD87" i="14"/>
  <c r="CD84" i="14" s="1"/>
  <c r="DF92" i="14"/>
  <c r="BP150" i="14"/>
  <c r="BP158" i="14"/>
  <c r="AK8" i="35"/>
  <c r="AK83" i="35" s="1"/>
  <c r="AK88" i="35" s="1"/>
  <c r="DA40" i="14"/>
  <c r="BU34" i="14"/>
  <c r="BV37" i="14"/>
  <c r="DC40" i="14"/>
  <c r="CJ65" i="14"/>
  <c r="CV194" i="35" s="1"/>
  <c r="DG74" i="14"/>
  <c r="AJ156" i="35" s="1"/>
  <c r="CU83" i="14"/>
  <c r="DC87" i="14"/>
  <c r="DC84" i="14" s="1"/>
  <c r="DC85" i="14" s="1"/>
  <c r="CU93" i="14"/>
  <c r="BW37" i="14"/>
  <c r="CL37" i="14"/>
  <c r="CA41" i="14"/>
  <c r="CU70" i="14"/>
  <c r="CV71" i="14" s="1"/>
  <c r="CM37" i="14"/>
  <c r="DF37" i="14"/>
  <c r="CM6" i="14"/>
  <c r="CM38" i="14" s="1"/>
  <c r="CW83" i="14"/>
  <c r="BK151" i="14"/>
  <c r="BK156" i="14"/>
  <c r="CI21" i="14"/>
  <c r="CS41" i="14"/>
  <c r="BP151" i="14"/>
  <c r="BP156" i="14"/>
  <c r="BZ27" i="14"/>
  <c r="DC37" i="14"/>
  <c r="CJ66" i="14"/>
  <c r="CQ35" i="14"/>
  <c r="DA35" i="14"/>
  <c r="BX35" i="14"/>
  <c r="CA66" i="14"/>
  <c r="CT73" i="14"/>
  <c r="CT70" i="14" s="1"/>
  <c r="DH74" i="14"/>
  <c r="AK156" i="35" s="1"/>
  <c r="CE183" i="14"/>
  <c r="BU183" i="14"/>
  <c r="CE138" i="14"/>
  <c r="CE128" i="14" s="1"/>
  <c r="CX40" i="14"/>
  <c r="DK97" i="14"/>
  <c r="DK94" i="14" s="1"/>
  <c r="CY173" i="14"/>
  <c r="CJ149" i="14"/>
  <c r="CT27" i="14"/>
  <c r="CP17" i="14"/>
  <c r="CI74" i="14"/>
  <c r="Q156" i="35" s="1"/>
  <c r="DL6" i="14"/>
  <c r="DA83" i="14"/>
  <c r="CW92" i="14"/>
  <c r="BF158" i="14"/>
  <c r="DD27" i="14"/>
  <c r="CU20" i="14"/>
  <c r="CL40" i="14"/>
  <c r="BT40" i="14"/>
  <c r="BV74" i="14"/>
  <c r="BK150" i="14"/>
  <c r="BP154" i="14"/>
  <c r="BK158" i="14"/>
  <c r="AD8" i="35"/>
  <c r="AD83" i="35" s="1"/>
  <c r="Z6" i="37"/>
  <c r="DM97" i="14"/>
  <c r="AO149" i="35" s="1"/>
  <c r="AA28" i="40"/>
  <c r="Z28" i="40"/>
  <c r="X29" i="40"/>
  <c r="DY36" i="2"/>
  <c r="ED36" i="2" s="1"/>
  <c r="EI36" i="2" s="1"/>
  <c r="EN36" i="2" s="1"/>
  <c r="DV13" i="2"/>
  <c r="DZ36" i="2"/>
  <c r="EE36" i="2" s="1"/>
  <c r="EJ36" i="2" s="1"/>
  <c r="EO36" i="2" s="1"/>
  <c r="AP6" i="37"/>
  <c r="M8" i="35"/>
  <c r="DY34" i="2"/>
  <c r="ED34" i="2" s="1"/>
  <c r="EI34" i="2" s="1"/>
  <c r="EN34" i="2" s="1"/>
  <c r="DZ34" i="2"/>
  <c r="EE34" i="2" s="1"/>
  <c r="EJ34" i="2" s="1"/>
  <c r="EO34" i="2" s="1"/>
  <c r="R8" i="35"/>
  <c r="X8" i="35"/>
  <c r="DA206" i="35"/>
  <c r="DD122" i="14"/>
  <c r="DH87" i="14"/>
  <c r="DH84" i="14" s="1"/>
  <c r="DD149" i="14"/>
  <c r="DD151" i="14"/>
  <c r="DI34" i="14"/>
  <c r="DE35" i="14"/>
  <c r="CB35" i="14"/>
  <c r="CZ6" i="14"/>
  <c r="CZ38" i="14" s="1"/>
  <c r="BW74" i="14"/>
  <c r="CB16" i="14"/>
  <c r="CB21" i="14" s="1"/>
  <c r="DF41" i="14"/>
  <c r="CT20" i="14"/>
  <c r="CT66" i="14"/>
  <c r="CH74" i="14"/>
  <c r="P156" i="35" s="1"/>
  <c r="CY157" i="14"/>
  <c r="CX201" i="35"/>
  <c r="BV6" i="14"/>
  <c r="BV38" i="14" s="1"/>
  <c r="CF19" i="14"/>
  <c r="CX24" i="14"/>
  <c r="CC41" i="14"/>
  <c r="CP6" i="14"/>
  <c r="CP41" i="14"/>
  <c r="CP40" i="14"/>
  <c r="DD39" i="14"/>
  <c r="M19" i="26" s="1"/>
  <c r="CA40" i="14"/>
  <c r="CY63" i="14"/>
  <c r="DD65" i="14" s="1"/>
  <c r="CZ194" i="35" s="1"/>
  <c r="CX65" i="14"/>
  <c r="AC159" i="35" s="1"/>
  <c r="CH79" i="14"/>
  <c r="CH81" i="14" s="1"/>
  <c r="CU87" i="14"/>
  <c r="CU84" i="14" s="1"/>
  <c r="CU86" i="14" s="1"/>
  <c r="AB8" i="35"/>
  <c r="CY201" i="35"/>
  <c r="CF70" i="14"/>
  <c r="CF87" i="14"/>
  <c r="CF84" i="14" s="1"/>
  <c r="BT71" i="14"/>
  <c r="DD173" i="14"/>
  <c r="CP37" i="14"/>
  <c r="BU73" i="14"/>
  <c r="BU70" i="14" s="1"/>
  <c r="CQ37" i="14"/>
  <c r="DJ70" i="14"/>
  <c r="DO72" i="14" s="1"/>
  <c r="DF35" i="14"/>
  <c r="CM40" i="14"/>
  <c r="DK70" i="14"/>
  <c r="DP72" i="14" s="1"/>
  <c r="CA21" i="14"/>
  <c r="DL70" i="14"/>
  <c r="DQ72" i="14" s="1"/>
  <c r="BP173" i="14"/>
  <c r="DE124" i="14"/>
  <c r="DJ125" i="14" s="1"/>
  <c r="AH106" i="35"/>
  <c r="DH35" i="14"/>
  <c r="CO39" i="14"/>
  <c r="DI157" i="14"/>
  <c r="CJ128" i="14"/>
  <c r="BW6" i="14"/>
  <c r="BW38" i="14" s="1"/>
  <c r="CP21" i="14"/>
  <c r="DE41" i="14"/>
  <c r="CC40" i="14"/>
  <c r="CI70" i="14"/>
  <c r="DB82" i="14"/>
  <c r="DB83" i="14"/>
  <c r="CQ82" i="14"/>
  <c r="CV87" i="14"/>
  <c r="CV84" i="14" s="1"/>
  <c r="CZ201" i="35"/>
  <c r="CM81" i="14"/>
  <c r="CR83" i="14" s="1"/>
  <c r="CY183" i="14"/>
  <c r="DH70" i="14"/>
  <c r="DD183" i="14"/>
  <c r="BV19" i="14"/>
  <c r="BV66" i="14"/>
  <c r="CN40" i="14"/>
  <c r="CF97" i="14"/>
  <c r="N149" i="35" s="1"/>
  <c r="DN27" i="14"/>
  <c r="CX20" i="14"/>
  <c r="CX66" i="14"/>
  <c r="DC65" i="14"/>
  <c r="AG159" i="35" s="1"/>
  <c r="CI6" i="14"/>
  <c r="CI38" i="14" s="1"/>
  <c r="CY150" i="14"/>
  <c r="CY155" i="14"/>
  <c r="DA201" i="35"/>
  <c r="CA37" i="14"/>
  <c r="CN37" i="14"/>
  <c r="DB70" i="14"/>
  <c r="DC71" i="14" s="1"/>
  <c r="CE173" i="14"/>
  <c r="CE27" i="14"/>
  <c r="CW35" i="14"/>
  <c r="CV16" i="14"/>
  <c r="CH41" i="14"/>
  <c r="AR8" i="35"/>
  <c r="BZ66" i="14"/>
  <c r="CJ173" i="14"/>
  <c r="AO8" i="35"/>
  <c r="AO83" i="35" s="1"/>
  <c r="AO88" i="35" s="1"/>
  <c r="BU173" i="14"/>
  <c r="CW98" i="14"/>
  <c r="CJ27" i="14"/>
  <c r="CI35" i="14"/>
  <c r="DN34" i="14"/>
  <c r="DS35" i="14" s="1"/>
  <c r="CR37" i="14"/>
  <c r="DJ37" i="14"/>
  <c r="CU19" i="14"/>
  <c r="DL83" i="14"/>
  <c r="DJ83" i="14"/>
  <c r="DG92" i="14"/>
  <c r="CO173" i="14"/>
  <c r="BK183" i="14"/>
  <c r="BF154" i="14"/>
  <c r="CT7" i="35"/>
  <c r="DB92" i="14"/>
  <c r="DB93" i="14"/>
  <c r="CS82" i="14"/>
  <c r="CH35" i="14"/>
  <c r="DD36" i="14"/>
  <c r="DD37" i="14" s="1"/>
  <c r="CO27" i="14"/>
  <c r="CK35" i="14"/>
  <c r="DD34" i="14"/>
  <c r="CE65" i="14"/>
  <c r="CR87" i="14"/>
  <c r="DK125" i="14"/>
  <c r="CU7" i="35"/>
  <c r="CU201" i="35"/>
  <c r="CZ7" i="35"/>
  <c r="DD138" i="14"/>
  <c r="F12" i="1"/>
  <c r="CG16" i="14"/>
  <c r="DG35" i="14"/>
  <c r="DL35" i="14"/>
  <c r="CT34" i="14"/>
  <c r="CS35" i="14"/>
  <c r="CU37" i="14"/>
  <c r="CZ37" i="14"/>
  <c r="DG37" i="14"/>
  <c r="DL37" i="14"/>
  <c r="CK19" i="14"/>
  <c r="CK66" i="14"/>
  <c r="CK20" i="14"/>
  <c r="CL16" i="14"/>
  <c r="CK23" i="14"/>
  <c r="CP24" i="14" s="1"/>
  <c r="CP19" i="14"/>
  <c r="CQ6" i="14"/>
  <c r="CQ42" i="14" s="1"/>
  <c r="CQ41" i="14"/>
  <c r="CT39" i="14"/>
  <c r="DE54" i="14"/>
  <c r="DE58" i="14"/>
  <c r="DE60" i="14"/>
  <c r="DJ41" i="14"/>
  <c r="DI39" i="14"/>
  <c r="N19" i="26" s="1"/>
  <c r="DE56" i="14"/>
  <c r="DF40" i="14"/>
  <c r="DE40" i="14"/>
  <c r="BX70" i="14"/>
  <c r="CC72" i="14" s="1"/>
  <c r="BX74" i="14"/>
  <c r="CC74" i="14"/>
  <c r="BX6" i="14"/>
  <c r="BX42" i="14" s="1"/>
  <c r="DA87" i="14"/>
  <c r="DB90" i="14" s="1"/>
  <c r="DA70" i="14"/>
  <c r="DF72" i="14" s="1"/>
  <c r="CR40" i="14"/>
  <c r="CR41" i="14"/>
  <c r="CR6" i="14"/>
  <c r="BY74" i="14"/>
  <c r="BY70" i="14"/>
  <c r="CD74" i="14"/>
  <c r="BY6" i="14"/>
  <c r="CN97" i="14"/>
  <c r="CN87" i="14"/>
  <c r="CP90" i="14" s="1"/>
  <c r="CN70" i="14"/>
  <c r="CN74" i="14"/>
  <c r="U156" i="35" s="1"/>
  <c r="CN6" i="14"/>
  <c r="CN42" i="14" s="1"/>
  <c r="CZ87" i="14"/>
  <c r="CZ74" i="14"/>
  <c r="AD156" i="35" s="1"/>
  <c r="DD73" i="14"/>
  <c r="CZ70" i="14"/>
  <c r="V150" i="35"/>
  <c r="CU98" i="14"/>
  <c r="CP97" i="14"/>
  <c r="X5" i="14"/>
  <c r="T5" i="14"/>
  <c r="U5" i="14" s="1"/>
  <c r="V5" i="14" s="1"/>
  <c r="CG35" i="14"/>
  <c r="CJ34" i="14"/>
  <c r="DE6" i="14"/>
  <c r="DE12" i="14" s="1"/>
  <c r="BR40" i="14"/>
  <c r="BR6" i="14"/>
  <c r="BW41" i="14"/>
  <c r="BU39" i="14"/>
  <c r="CF40" i="14"/>
  <c r="CF41" i="14"/>
  <c r="CF21" i="14"/>
  <c r="CF6" i="14"/>
  <c r="CJ39" i="14"/>
  <c r="DM70" i="14"/>
  <c r="DI65" i="14"/>
  <c r="DA194" i="35" s="1"/>
  <c r="CW74" i="14"/>
  <c r="AB156" i="35" s="1"/>
  <c r="CW87" i="14"/>
  <c r="DB89" i="14" s="1"/>
  <c r="DB74" i="14"/>
  <c r="AF156" i="35" s="1"/>
  <c r="CW70" i="14"/>
  <c r="CW6" i="14"/>
  <c r="CK74" i="14"/>
  <c r="R156" i="35" s="1"/>
  <c r="CK87" i="14"/>
  <c r="CP74" i="14"/>
  <c r="V156" i="35" s="1"/>
  <c r="CK70" i="14"/>
  <c r="CK97" i="14"/>
  <c r="CO73" i="14"/>
  <c r="CX74" i="14"/>
  <c r="AC156" i="35" s="1"/>
  <c r="CX87" i="14"/>
  <c r="CX6" i="14"/>
  <c r="CL74" i="14"/>
  <c r="S156" i="35" s="1"/>
  <c r="CL97" i="14"/>
  <c r="CQ74" i="14"/>
  <c r="W156" i="35" s="1"/>
  <c r="CL70" i="14"/>
  <c r="CX37" i="14"/>
  <c r="BS6" i="14"/>
  <c r="CI79" i="14"/>
  <c r="CN81" i="14"/>
  <c r="CS83" i="14" s="1"/>
  <c r="CN91" i="14"/>
  <c r="CS92" i="14" s="1"/>
  <c r="CU24" i="14"/>
  <c r="CL87" i="14"/>
  <c r="CQ89" i="14" s="1"/>
  <c r="CX70" i="14"/>
  <c r="DC72" i="14" s="1"/>
  <c r="DA74" i="14"/>
  <c r="AE156" i="35" s="1"/>
  <c r="CF66" i="14"/>
  <c r="CF23" i="14"/>
  <c r="CF17" i="14"/>
  <c r="CF20" i="14"/>
  <c r="DE37" i="14"/>
  <c r="DC74" i="14"/>
  <c r="AG156" i="35" s="1"/>
  <c r="CS37" i="14"/>
  <c r="CT36" i="14"/>
  <c r="CT37" i="14" s="1"/>
  <c r="CK6" i="14"/>
  <c r="CK17" i="14"/>
  <c r="CQ40" i="14"/>
  <c r="BS71" i="14"/>
  <c r="BR71" i="14"/>
  <c r="BW72" i="14"/>
  <c r="CA87" i="14"/>
  <c r="CA74" i="14"/>
  <c r="CE73" i="14"/>
  <c r="CF74" i="14"/>
  <c r="N156" i="35" s="1"/>
  <c r="CA6" i="14"/>
  <c r="CA42" i="14" s="1"/>
  <c r="CA70" i="14"/>
  <c r="CA97" i="14"/>
  <c r="CY34" i="14"/>
  <c r="CU35" i="14"/>
  <c r="CW37" i="14"/>
  <c r="DI36" i="14"/>
  <c r="DG58" i="14"/>
  <c r="DG54" i="14"/>
  <c r="DG60" i="14"/>
  <c r="DG56" i="14"/>
  <c r="DG41" i="14"/>
  <c r="DG40" i="14"/>
  <c r="CB97" i="14"/>
  <c r="CB87" i="14"/>
  <c r="CB74" i="14"/>
  <c r="CB70" i="14"/>
  <c r="CC71" i="14" s="1"/>
  <c r="CZ119" i="35"/>
  <c r="DD81" i="14"/>
  <c r="DD80" i="14"/>
  <c r="O5" i="14"/>
  <c r="BZ34" i="14"/>
  <c r="DJ35" i="14"/>
  <c r="BX37" i="14"/>
  <c r="CJ36" i="14"/>
  <c r="CU17" i="14"/>
  <c r="CU66" i="14"/>
  <c r="BZ39" i="14"/>
  <c r="BV21" i="14"/>
  <c r="BV40" i="14"/>
  <c r="BV41" i="14"/>
  <c r="CI40" i="14"/>
  <c r="CY39" i="14"/>
  <c r="CU40" i="14"/>
  <c r="CU41" i="14"/>
  <c r="CU21" i="14"/>
  <c r="DH58" i="14"/>
  <c r="DH54" i="14"/>
  <c r="DH56" i="14"/>
  <c r="DH41" i="14"/>
  <c r="DH40" i="14"/>
  <c r="DH60" i="14"/>
  <c r="DH6" i="14"/>
  <c r="DH12" i="14" s="1"/>
  <c r="BU138" i="14"/>
  <c r="BU128" i="14" s="1"/>
  <c r="BU66" i="14"/>
  <c r="BZ65" i="14"/>
  <c r="AQ7" i="35"/>
  <c r="AQ8" i="35" s="1"/>
  <c r="AQ83" i="35" s="1"/>
  <c r="AQ88" i="35" s="1"/>
  <c r="DE83" i="14"/>
  <c r="DE82" i="14"/>
  <c r="CR82" i="14"/>
  <c r="DK35" i="14"/>
  <c r="CD35" i="14"/>
  <c r="BY37" i="14"/>
  <c r="CD37" i="14"/>
  <c r="CK37" i="14"/>
  <c r="CB37" i="14"/>
  <c r="BW40" i="14"/>
  <c r="CV40" i="14"/>
  <c r="CV41" i="14"/>
  <c r="CW40" i="14"/>
  <c r="CV6" i="14"/>
  <c r="CH40" i="14"/>
  <c r="DF74" i="14"/>
  <c r="AI156" i="35" s="1"/>
  <c r="DG82" i="14"/>
  <c r="DF82" i="14"/>
  <c r="DF83" i="14"/>
  <c r="DA93" i="14"/>
  <c r="DA92" i="14"/>
  <c r="DD91" i="14"/>
  <c r="DA26" i="14"/>
  <c r="CL35" i="14"/>
  <c r="CX35" i="14"/>
  <c r="CZ35" i="14"/>
  <c r="BZ36" i="14"/>
  <c r="BZ37" i="14" s="1"/>
  <c r="CC37" i="14"/>
  <c r="CB6" i="14"/>
  <c r="CB42" i="14" s="1"/>
  <c r="CY229" i="35"/>
  <c r="CY230" i="35" s="1"/>
  <c r="CY19" i="14"/>
  <c r="CS24" i="14"/>
  <c r="CN24" i="14"/>
  <c r="AU7" i="35"/>
  <c r="DZ63" i="14"/>
  <c r="EE63" i="14" s="1"/>
  <c r="DK87" i="14"/>
  <c r="CY27" i="14"/>
  <c r="AP80" i="35"/>
  <c r="CA35" i="14"/>
  <c r="CE34" i="14"/>
  <c r="CF35" i="14"/>
  <c r="DB35" i="14"/>
  <c r="DA37" i="14"/>
  <c r="CH6" i="14"/>
  <c r="CZ41" i="14"/>
  <c r="DM6" i="14"/>
  <c r="DM12" i="14" s="1"/>
  <c r="CW7" i="35"/>
  <c r="CO65" i="14"/>
  <c r="CW194" i="35" s="1"/>
  <c r="CO20" i="14"/>
  <c r="CO138" i="14"/>
  <c r="CH72" i="14"/>
  <c r="CY73" i="14"/>
  <c r="DJ74" i="14"/>
  <c r="AL156" i="35" s="1"/>
  <c r="DJ87" i="14"/>
  <c r="CU82" i="14"/>
  <c r="CO34" i="14"/>
  <c r="DB37" i="14"/>
  <c r="CX7" i="35"/>
  <c r="CT138" i="14"/>
  <c r="CT81" i="14"/>
  <c r="DK74" i="14"/>
  <c r="AM156" i="35" s="1"/>
  <c r="DK6" i="14"/>
  <c r="CA79" i="14"/>
  <c r="CF81" i="14"/>
  <c r="CF91" i="14"/>
  <c r="AG106" i="35"/>
  <c r="DC124" i="14"/>
  <c r="DH125" i="14" s="1"/>
  <c r="DC126" i="14"/>
  <c r="CA19" i="14"/>
  <c r="CD24" i="14"/>
  <c r="CL41" i="14"/>
  <c r="CG40" i="14"/>
  <c r="CX41" i="14"/>
  <c r="CS40" i="14"/>
  <c r="DF60" i="14"/>
  <c r="AI99" i="35" s="1"/>
  <c r="DF58" i="14"/>
  <c r="AI98" i="35" s="1"/>
  <c r="DF54" i="14"/>
  <c r="AI96" i="35" s="1"/>
  <c r="DF56" i="14"/>
  <c r="AI97" i="35" s="1"/>
  <c r="DB40" i="14"/>
  <c r="CN41" i="14"/>
  <c r="BZ73" i="14"/>
  <c r="CM74" i="14"/>
  <c r="T156" i="35" s="1"/>
  <c r="CM97" i="14"/>
  <c r="CM87" i="14"/>
  <c r="CM70" i="14"/>
  <c r="CR72" i="14" s="1"/>
  <c r="DL97" i="14"/>
  <c r="DL74" i="14"/>
  <c r="AN156" i="35" s="1"/>
  <c r="CM93" i="14"/>
  <c r="CZ93" i="14"/>
  <c r="CZ92" i="14"/>
  <c r="AL150" i="35"/>
  <c r="DJ97" i="14"/>
  <c r="DO99" i="14" s="1"/>
  <c r="BX41" i="14"/>
  <c r="CK41" i="14"/>
  <c r="CW41" i="14"/>
  <c r="AC7" i="35"/>
  <c r="AG8" i="35" s="1"/>
  <c r="AG83" i="35" s="1"/>
  <c r="CX91" i="14"/>
  <c r="CX81" i="14"/>
  <c r="CZ82" i="14" s="1"/>
  <c r="BV70" i="14"/>
  <c r="CQ92" i="14"/>
  <c r="CX22" i="14"/>
  <c r="DL56" i="14"/>
  <c r="DQ57" i="14" s="1"/>
  <c r="DL54" i="14"/>
  <c r="DL60" i="14"/>
  <c r="DQ61" i="14" s="1"/>
  <c r="DL58" i="14"/>
  <c r="DL40" i="14"/>
  <c r="DE87" i="14"/>
  <c r="DE70" i="14"/>
  <c r="CG79" i="14"/>
  <c r="CL81" i="14"/>
  <c r="CQ83" i="14" s="1"/>
  <c r="CZ83" i="14"/>
  <c r="CR93" i="14"/>
  <c r="CR92" i="14"/>
  <c r="DJ92" i="14"/>
  <c r="DE93" i="14"/>
  <c r="Y150" i="35"/>
  <c r="CS97" i="14"/>
  <c r="CT159" i="14"/>
  <c r="N8" i="35"/>
  <c r="J8" i="35"/>
  <c r="Z8" i="35"/>
  <c r="V8" i="35"/>
  <c r="AI8" i="35"/>
  <c r="AI83" i="35" s="1"/>
  <c r="AI88" i="35" s="1"/>
  <c r="AM8" i="35"/>
  <c r="AM83" i="35" s="1"/>
  <c r="AM88" i="35" s="1"/>
  <c r="CG70" i="14"/>
  <c r="CG74" i="14"/>
  <c r="O156" i="35" s="1"/>
  <c r="CG97" i="14"/>
  <c r="CS70" i="14"/>
  <c r="DF87" i="14"/>
  <c r="DA82" i="14"/>
  <c r="M149" i="35"/>
  <c r="DE97" i="14"/>
  <c r="DA6" i="14"/>
  <c r="DA42" i="14" s="1"/>
  <c r="BY40" i="14"/>
  <c r="DI138" i="14"/>
  <c r="DA7" i="35"/>
  <c r="DI126" i="14"/>
  <c r="CH97" i="14"/>
  <c r="CK81" i="14"/>
  <c r="CK91" i="14"/>
  <c r="CO79" i="14"/>
  <c r="CT80" i="14" s="1"/>
  <c r="CG87" i="14"/>
  <c r="CT91" i="14"/>
  <c r="DF97" i="14"/>
  <c r="CC6" i="14"/>
  <c r="CC42" i="14" s="1"/>
  <c r="DB58" i="14"/>
  <c r="AF98" i="35" s="1"/>
  <c r="DB56" i="14"/>
  <c r="AF97" i="35" s="1"/>
  <c r="DB60" i="14"/>
  <c r="AF99" i="35" s="1"/>
  <c r="DB6" i="14"/>
  <c r="DB54" i="14"/>
  <c r="AF96" i="35" s="1"/>
  <c r="CG41" i="14"/>
  <c r="H12" i="1"/>
  <c r="DN138" i="14"/>
  <c r="CU74" i="14"/>
  <c r="Z156" i="35" s="1"/>
  <c r="CL93" i="14"/>
  <c r="DC82" i="14"/>
  <c r="CH87" i="14"/>
  <c r="DG97" i="14"/>
  <c r="AC150" i="35"/>
  <c r="DC98" i="14"/>
  <c r="CX97" i="14"/>
  <c r="CM35" i="14"/>
  <c r="CR35" i="14"/>
  <c r="CN21" i="14"/>
  <c r="CA23" i="14"/>
  <c r="CA24" i="14" s="1"/>
  <c r="BQ6" i="14"/>
  <c r="BQ42" i="14" s="1"/>
  <c r="CD6" i="14"/>
  <c r="CD40" i="14"/>
  <c r="DC54" i="14"/>
  <c r="AG96" i="35" s="1"/>
  <c r="DC58" i="14"/>
  <c r="AG98" i="35" s="1"/>
  <c r="DC60" i="14"/>
  <c r="AG99" i="35" s="1"/>
  <c r="DC6" i="14"/>
  <c r="DC56" i="14"/>
  <c r="AG97" i="35" s="1"/>
  <c r="CB40" i="14"/>
  <c r="AP7" i="35"/>
  <c r="AP8" i="35" s="1"/>
  <c r="AP83" i="35" s="1"/>
  <c r="AP88" i="35" s="1"/>
  <c r="CZ64" i="14"/>
  <c r="CJ73" i="14"/>
  <c r="CV74" i="14"/>
  <c r="AA156" i="35" s="1"/>
  <c r="DI73" i="14"/>
  <c r="CS74" i="14"/>
  <c r="Y156" i="35" s="1"/>
  <c r="CQ85" i="14"/>
  <c r="CI87" i="14"/>
  <c r="DG87" i="14"/>
  <c r="DM88" i="14"/>
  <c r="CI97" i="14"/>
  <c r="DH97" i="14"/>
  <c r="DX162" i="14"/>
  <c r="DN183" i="14"/>
  <c r="DI151" i="14"/>
  <c r="DI150" i="14"/>
  <c r="DI183" i="14"/>
  <c r="DI155" i="14"/>
  <c r="CC97" i="14"/>
  <c r="CC87" i="14"/>
  <c r="CV98" i="14"/>
  <c r="W150" i="35"/>
  <c r="CQ90" i="14"/>
  <c r="DD150" i="14"/>
  <c r="CO159" i="14"/>
  <c r="CO149" i="14"/>
  <c r="BZ149" i="14"/>
  <c r="BZ158" i="14"/>
  <c r="BZ156" i="14"/>
  <c r="BZ154" i="14"/>
  <c r="BZ150" i="14"/>
  <c r="BZ151" i="14"/>
  <c r="CY149" i="14"/>
  <c r="CJ158" i="14"/>
  <c r="CJ156" i="14"/>
  <c r="CJ154" i="14"/>
  <c r="CJ150" i="14"/>
  <c r="CJ151" i="14"/>
  <c r="CJ183" i="14"/>
  <c r="CO183" i="14"/>
  <c r="BU159" i="14"/>
  <c r="DN173" i="14"/>
  <c r="DI173" i="14"/>
  <c r="DD157" i="14"/>
  <c r="DD155" i="14"/>
  <c r="DD153" i="14"/>
  <c r="CT149" i="14"/>
  <c r="CT173" i="14"/>
  <c r="CE158" i="14"/>
  <c r="CE156" i="14"/>
  <c r="CE154" i="14"/>
  <c r="CE150" i="14"/>
  <c r="CE149" i="14"/>
  <c r="K8" i="35"/>
  <c r="W8" i="35"/>
  <c r="AA8" i="35"/>
  <c r="CY153" i="14"/>
  <c r="AE106" i="35"/>
  <c r="DA126" i="14"/>
  <c r="DA124" i="14"/>
  <c r="DF125" i="14" s="1"/>
  <c r="CS146" i="35"/>
  <c r="CS153" i="35" s="1"/>
  <c r="CS159" i="35" s="1"/>
  <c r="AF106" i="35"/>
  <c r="DB126" i="14"/>
  <c r="DB124" i="14"/>
  <c r="DG125" i="14" s="1"/>
  <c r="AH8" i="35"/>
  <c r="AH83" i="35" s="1"/>
  <c r="AL8" i="35"/>
  <c r="AL83" i="35" s="1"/>
  <c r="AL88" i="35" s="1"/>
  <c r="CP66" i="14"/>
  <c r="DH82" i="14"/>
  <c r="DI91" i="14"/>
  <c r="DI93" i="14" s="1"/>
  <c r="BK173" i="14"/>
  <c r="BW16" i="14"/>
  <c r="CQ16" i="14"/>
  <c r="CP20" i="14"/>
  <c r="BY21" i="14"/>
  <c r="CK21" i="14"/>
  <c r="DJ54" i="14"/>
  <c r="DO55" i="14" s="1"/>
  <c r="DJ60" i="14"/>
  <c r="DO61" i="14" s="1"/>
  <c r="DJ58" i="14"/>
  <c r="DO59" i="14" s="1"/>
  <c r="DJ56" i="14"/>
  <c r="DO57" i="14" s="1"/>
  <c r="DJ40" i="14"/>
  <c r="CE66" i="14"/>
  <c r="CX119" i="35"/>
  <c r="BU149" i="14"/>
  <c r="BV17" i="14"/>
  <c r="DK54" i="14"/>
  <c r="DP55" i="14" s="1"/>
  <c r="DK60" i="14"/>
  <c r="DP61" i="14" s="1"/>
  <c r="DK58" i="14"/>
  <c r="DP59" i="14" s="1"/>
  <c r="DK56" i="14"/>
  <c r="DP57" i="14" s="1"/>
  <c r="DK40" i="14"/>
  <c r="CV7" i="35"/>
  <c r="CY119" i="35"/>
  <c r="CY80" i="14"/>
  <c r="BZ138" i="14"/>
  <c r="Q8" i="35"/>
  <c r="BZ173" i="14"/>
  <c r="L8" i="35"/>
  <c r="P8" i="35"/>
  <c r="AJ8" i="35"/>
  <c r="AJ83" i="35" s="1"/>
  <c r="AJ88" i="35" s="1"/>
  <c r="BF150" i="14"/>
  <c r="CS151" i="35"/>
  <c r="CS157" i="35" s="1"/>
  <c r="E144" i="35"/>
  <c r="S8" i="35"/>
  <c r="O8" i="35"/>
  <c r="DL125" i="14"/>
  <c r="AN8" i="35"/>
  <c r="AN83" i="35" s="1"/>
  <c r="AN88" i="35" s="1"/>
  <c r="DB206" i="35"/>
  <c r="DN123" i="14"/>
  <c r="U8" i="35"/>
  <c r="Y8" i="35"/>
  <c r="CV201" i="35"/>
  <c r="CW201" i="35"/>
  <c r="AF8" i="35"/>
  <c r="AF83" i="35" s="1"/>
  <c r="T8" i="35"/>
  <c r="CS19" i="35"/>
  <c r="DX169" i="14"/>
  <c r="DX165" i="14"/>
  <c r="DK83" i="14"/>
  <c r="DL93" i="14"/>
  <c r="DK82" i="14"/>
  <c r="DK92" i="14"/>
  <c r="DL82" i="14"/>
  <c r="DH83" i="14"/>
  <c r="DJ82" i="14"/>
  <c r="DM125" i="14"/>
  <c r="DH93" i="14"/>
  <c r="DI81" i="14"/>
  <c r="DA119" i="35"/>
  <c r="DI80" i="14"/>
  <c r="DI124" i="14"/>
  <c r="DM83" i="14"/>
  <c r="DM92" i="14"/>
  <c r="DN126" i="14"/>
  <c r="O16" i="26"/>
  <c r="DM82" i="14"/>
  <c r="I12" i="1"/>
  <c r="DN65" i="14"/>
  <c r="DB194" i="35" s="1"/>
  <c r="DN91" i="14"/>
  <c r="DS92" i="14" s="1"/>
  <c r="DB7" i="35"/>
  <c r="DW63" i="14"/>
  <c r="AS7" i="35"/>
  <c r="AS8" i="35" s="1"/>
  <c r="DM37" i="14"/>
  <c r="DM35" i="14"/>
  <c r="CA48" i="12"/>
  <c r="CA39" i="12"/>
  <c r="CB48" i="12"/>
  <c r="CB39" i="12"/>
  <c r="BZ34" i="12"/>
  <c r="BZ40" i="12" s="1"/>
  <c r="CS48" i="12"/>
  <c r="CQ39" i="12"/>
  <c r="CN40" i="12"/>
  <c r="CN39" i="12" s="1"/>
  <c r="DD34" i="12"/>
  <c r="DD40" i="12" s="1"/>
  <c r="DD39" i="12" s="1"/>
  <c r="DK39" i="12"/>
  <c r="DL39" i="12"/>
  <c r="DE39" i="12"/>
  <c r="DE48" i="12"/>
  <c r="DV12" i="12"/>
  <c r="DW12" i="12" s="1"/>
  <c r="DS12" i="12"/>
  <c r="BR39" i="12"/>
  <c r="BR48" i="12"/>
  <c r="DC48" i="12"/>
  <c r="DC39" i="12"/>
  <c r="BS48" i="12"/>
  <c r="BS39" i="12"/>
  <c r="CO40" i="12"/>
  <c r="CR48" i="12"/>
  <c r="DB39" i="12"/>
  <c r="DB48" i="12"/>
  <c r="CP48" i="12"/>
  <c r="CE34" i="12"/>
  <c r="CE40" i="12" s="1"/>
  <c r="CZ39" i="12"/>
  <c r="CZ48" i="12"/>
  <c r="DA39" i="12"/>
  <c r="DA48" i="12"/>
  <c r="CD39" i="12"/>
  <c r="CF48" i="12"/>
  <c r="CF39" i="12"/>
  <c r="CS47" i="12"/>
  <c r="CT42" i="12"/>
  <c r="CT43" i="12"/>
  <c r="CY46" i="12"/>
  <c r="CG39" i="12"/>
  <c r="CG48" i="12"/>
  <c r="CM48" i="12"/>
  <c r="CM39" i="12"/>
  <c r="CC39" i="12"/>
  <c r="CC48" i="12"/>
  <c r="DN47" i="12"/>
  <c r="CZ47" i="12"/>
  <c r="BV39" i="12"/>
  <c r="BV48" i="12"/>
  <c r="CU39" i="12"/>
  <c r="CU48" i="12"/>
  <c r="DD46" i="12"/>
  <c r="DD47" i="12" s="1"/>
  <c r="BT42" i="12"/>
  <c r="CX48" i="12"/>
  <c r="CL39" i="12"/>
  <c r="DA47" i="12"/>
  <c r="DF48" i="12"/>
  <c r="DF39" i="12"/>
  <c r="CT34" i="12"/>
  <c r="CT40" i="12" s="1"/>
  <c r="BT40" i="12"/>
  <c r="CH48" i="12"/>
  <c r="CH39" i="12"/>
  <c r="DH39" i="12"/>
  <c r="DH48" i="12"/>
  <c r="BZ42" i="12"/>
  <c r="BY47" i="12"/>
  <c r="BW48" i="12"/>
  <c r="BW39" i="12"/>
  <c r="CI40" i="12"/>
  <c r="CJ34" i="12"/>
  <c r="CJ40" i="12" s="1"/>
  <c r="CV39" i="12"/>
  <c r="CV48" i="12"/>
  <c r="BZ43" i="12"/>
  <c r="BX39" i="12"/>
  <c r="BX48" i="12"/>
  <c r="CW39" i="12"/>
  <c r="CW48" i="12"/>
  <c r="DB47" i="12"/>
  <c r="DL22" i="13"/>
  <c r="DG48" i="12"/>
  <c r="DG39" i="12"/>
  <c r="CK39" i="12"/>
  <c r="CK48" i="12"/>
  <c r="BY39" i="12"/>
  <c r="BY48" i="12"/>
  <c r="DJ39" i="12"/>
  <c r="DJ47" i="12"/>
  <c r="DI34" i="12"/>
  <c r="DI40" i="12" s="1"/>
  <c r="CY34" i="12"/>
  <c r="CY40" i="12" s="1"/>
  <c r="DS36" i="12"/>
  <c r="DV36" i="12"/>
  <c r="DW36" i="12" s="1"/>
  <c r="DN40" i="12"/>
  <c r="DN39" i="12" s="1"/>
  <c r="DV31" i="12"/>
  <c r="DW31" i="12" s="1"/>
  <c r="DS31" i="12"/>
  <c r="DM40" i="12"/>
  <c r="DS23" i="12"/>
  <c r="DV23" i="12"/>
  <c r="DW23" i="12" s="1"/>
  <c r="DM56" i="13"/>
  <c r="DN86" i="2"/>
  <c r="DM55" i="2"/>
  <c r="DN41" i="2"/>
  <c r="DM43" i="2"/>
  <c r="DN18" i="2"/>
  <c r="DM64" i="12"/>
  <c r="DW16" i="2"/>
  <c r="DN9" i="2"/>
  <c r="DB34" i="35"/>
  <c r="DM42" i="2"/>
  <c r="DM74" i="14"/>
  <c r="AO156" i="35" s="1"/>
  <c r="DN73" i="14"/>
  <c r="DS74" i="14" s="1"/>
  <c r="DN22" i="2"/>
  <c r="DM139" i="2"/>
  <c r="EB139" i="2" s="1"/>
  <c r="DN20" i="2"/>
  <c r="DM32" i="2"/>
  <c r="DM36" i="2"/>
  <c r="DM40" i="2"/>
  <c r="DM87" i="2"/>
  <c r="DM143" i="2"/>
  <c r="DM56" i="12"/>
  <c r="DM14" i="2"/>
  <c r="DM60" i="14"/>
  <c r="DR61" i="14" s="1"/>
  <c r="DM58" i="14"/>
  <c r="DR59" i="14" s="1"/>
  <c r="DM56" i="14"/>
  <c r="DR57" i="14" s="1"/>
  <c r="DM54" i="14"/>
  <c r="DR55" i="14" s="1"/>
  <c r="DM40" i="14"/>
  <c r="DM41" i="14"/>
  <c r="DN39" i="14"/>
  <c r="DN13" i="2"/>
  <c r="DM21" i="2"/>
  <c r="DM19" i="2"/>
  <c r="DM34" i="2"/>
  <c r="DM38" i="2"/>
  <c r="DM144" i="2"/>
  <c r="DM138" i="2"/>
  <c r="EB138" i="2" s="1"/>
  <c r="DM55" i="12"/>
  <c r="DM140" i="2"/>
  <c r="EB140" i="2" s="1"/>
  <c r="DM149" i="2"/>
  <c r="AO5" i="35"/>
  <c r="AO9" i="35" s="1"/>
  <c r="DM64" i="13"/>
  <c r="DM67" i="13" s="1"/>
  <c r="AO35" i="35"/>
  <c r="DM145" i="2"/>
  <c r="DM109" i="2"/>
  <c r="DM59" i="12"/>
  <c r="DM148" i="2"/>
  <c r="DM142" i="2"/>
  <c r="DM24" i="2"/>
  <c r="DN10" i="2"/>
  <c r="DM11" i="2"/>
  <c r="AO162" i="35" s="1"/>
  <c r="DM61" i="12"/>
  <c r="S26" i="42"/>
  <c r="L8" i="42"/>
  <c r="S21" i="42"/>
  <c r="S23" i="42"/>
  <c r="S28" i="42"/>
  <c r="S41" i="42"/>
  <c r="N8" i="42"/>
  <c r="AA7" i="42"/>
  <c r="AE7" i="42" s="1"/>
  <c r="S38" i="42"/>
  <c r="H5" i="42"/>
  <c r="H6" i="42"/>
  <c r="CW28" i="13"/>
  <c r="DN15" i="13"/>
  <c r="DN18" i="13"/>
  <c r="D8" i="21"/>
  <c r="E8" i="21"/>
  <c r="EB28" i="13"/>
  <c r="CN13" i="13"/>
  <c r="DE37" i="13"/>
  <c r="DE46" i="13" s="1"/>
  <c r="DK56" i="13"/>
  <c r="DP58" i="13" s="1"/>
  <c r="CY19" i="13"/>
  <c r="DF46" i="13"/>
  <c r="DB41" i="13"/>
  <c r="DG46" i="13"/>
  <c r="DM46" i="13"/>
  <c r="DN36" i="13"/>
  <c r="BR42" i="13"/>
  <c r="BR43" i="13" s="1"/>
  <c r="BR8" i="13"/>
  <c r="DK46" i="13"/>
  <c r="CQ17" i="13"/>
  <c r="CR17" i="13" s="1"/>
  <c r="CS17" i="13" s="1"/>
  <c r="CJ20" i="13"/>
  <c r="DL46" i="13"/>
  <c r="DG56" i="13"/>
  <c r="DG59" i="13" s="1"/>
  <c r="CT9" i="13"/>
  <c r="BS17" i="13"/>
  <c r="BT17" i="13" s="1"/>
  <c r="BU17" i="13" s="1"/>
  <c r="CB8" i="13"/>
  <c r="DI9" i="13"/>
  <c r="DN20" i="13"/>
  <c r="DI19" i="13"/>
  <c r="DF66" i="13"/>
  <c r="BU9" i="13"/>
  <c r="DN19" i="13"/>
  <c r="DY28" i="13"/>
  <c r="DI18" i="13"/>
  <c r="CC19" i="13"/>
  <c r="CD19" i="13" s="1"/>
  <c r="D7" i="21"/>
  <c r="DN66" i="13"/>
  <c r="DZ28" i="13"/>
  <c r="CG36" i="13"/>
  <c r="CG37" i="13" s="1"/>
  <c r="CZ56" i="13"/>
  <c r="CZ59" i="13" s="1"/>
  <c r="CG17" i="13"/>
  <c r="CH17" i="13" s="1"/>
  <c r="CI17" i="13" s="1"/>
  <c r="DE56" i="13"/>
  <c r="DE59" i="13" s="1"/>
  <c r="DH22" i="13"/>
  <c r="DI20" i="13"/>
  <c r="BQ8" i="13"/>
  <c r="CL42" i="13"/>
  <c r="CL43" i="13" s="1"/>
  <c r="CM42" i="13" s="1"/>
  <c r="CM43" i="13" s="1"/>
  <c r="DI43" i="13"/>
  <c r="DK22" i="13"/>
  <c r="X5" i="13"/>
  <c r="AC5" i="13" s="1"/>
  <c r="T5" i="13"/>
  <c r="U5" i="13" s="1"/>
  <c r="V5" i="13" s="1"/>
  <c r="CS29" i="13"/>
  <c r="CT29" i="13" s="1"/>
  <c r="CJ34" i="13"/>
  <c r="DV20" i="12"/>
  <c r="DW20" i="12" s="1"/>
  <c r="DS20" i="12"/>
  <c r="DC13" i="13"/>
  <c r="CD44" i="13"/>
  <c r="CE44" i="13" s="1"/>
  <c r="CN41" i="13"/>
  <c r="CO41" i="13" s="1"/>
  <c r="CD29" i="13"/>
  <c r="CE29" i="13" s="1"/>
  <c r="DN17" i="13"/>
  <c r="BZ13" i="13"/>
  <c r="BZ40" i="13"/>
  <c r="CY30" i="13"/>
  <c r="BT34" i="13"/>
  <c r="BU34" i="13" s="1"/>
  <c r="CR15" i="13"/>
  <c r="CS15" i="13" s="1"/>
  <c r="CR19" i="13"/>
  <c r="CS19" i="13" s="1"/>
  <c r="DD20" i="13"/>
  <c r="DF22" i="13"/>
  <c r="BX35" i="13"/>
  <c r="BY35" i="13" s="1"/>
  <c r="BS28" i="13"/>
  <c r="BS55" i="13" s="1"/>
  <c r="CH30" i="13"/>
  <c r="CI30" i="13" s="1"/>
  <c r="BS41" i="13"/>
  <c r="DN43" i="13"/>
  <c r="O5" i="13"/>
  <c r="CE9" i="13"/>
  <c r="CW10" i="13"/>
  <c r="CW75" i="2" s="1"/>
  <c r="CW21" i="13"/>
  <c r="CY21" i="13" s="1"/>
  <c r="CG75" i="2"/>
  <c r="DF8" i="13"/>
  <c r="DI8" i="13" s="1"/>
  <c r="DD9" i="13"/>
  <c r="CH28" i="13"/>
  <c r="CH55" i="13" s="1"/>
  <c r="CZ46" i="13"/>
  <c r="CH10" i="13"/>
  <c r="CI10" i="13" s="1"/>
  <c r="CE20" i="13"/>
  <c r="BY41" i="13"/>
  <c r="BZ41" i="13" s="1"/>
  <c r="DF56" i="13"/>
  <c r="DF59" i="13" s="1"/>
  <c r="BS10" i="13"/>
  <c r="BT10" i="13" s="1"/>
  <c r="BS20" i="13"/>
  <c r="DI36" i="13"/>
  <c r="CG8" i="13"/>
  <c r="CR20" i="13"/>
  <c r="CS20" i="13" s="1"/>
  <c r="BS30" i="13"/>
  <c r="BS40" i="13"/>
  <c r="CW44" i="13"/>
  <c r="CX44" i="13" s="1"/>
  <c r="DH56" i="13"/>
  <c r="DH59" i="13" s="1"/>
  <c r="DD18" i="13"/>
  <c r="BR75" i="2"/>
  <c r="CH21" i="13"/>
  <c r="CJ21" i="13" s="1"/>
  <c r="EA28" i="13"/>
  <c r="DJ56" i="13"/>
  <c r="DI75" i="2"/>
  <c r="DC21" i="13"/>
  <c r="DD21" i="13" s="1"/>
  <c r="BR51" i="12"/>
  <c r="BR53" i="12" s="1"/>
  <c r="BR14" i="12"/>
  <c r="BR25" i="12" s="1"/>
  <c r="BZ18" i="13"/>
  <c r="DA8" i="13"/>
  <c r="DB10" i="13"/>
  <c r="CC18" i="13"/>
  <c r="BY20" i="13"/>
  <c r="BW8" i="13"/>
  <c r="BX10" i="13"/>
  <c r="DA37" i="13"/>
  <c r="DA46" i="13" s="1"/>
  <c r="DB28" i="13"/>
  <c r="DB55" i="13" s="1"/>
  <c r="CX35" i="13"/>
  <c r="CY35" i="13" s="1"/>
  <c r="BX17" i="13"/>
  <c r="BY17" i="13" s="1"/>
  <c r="CO21" i="13"/>
  <c r="CR18" i="13"/>
  <c r="CR13" i="13"/>
  <c r="DB19" i="13"/>
  <c r="DC19" i="13" s="1"/>
  <c r="CU37" i="13"/>
  <c r="CL8" i="13"/>
  <c r="CM10" i="13"/>
  <c r="CX15" i="13"/>
  <c r="CY15" i="13" s="1"/>
  <c r="CI19" i="13"/>
  <c r="CJ19" i="13" s="1"/>
  <c r="BY34" i="13"/>
  <c r="BZ34" i="13" s="1"/>
  <c r="CX17" i="13"/>
  <c r="CY17" i="13" s="1"/>
  <c r="CC28" i="13"/>
  <c r="CC55" i="13" s="1"/>
  <c r="CJ41" i="13"/>
  <c r="DE51" i="13"/>
  <c r="DF51" i="13" s="1"/>
  <c r="DG51" i="13" s="1"/>
  <c r="DH51" i="13" s="1"/>
  <c r="DI51" i="13" s="1"/>
  <c r="DJ51" i="13" s="1"/>
  <c r="DK51" i="13" s="1"/>
  <c r="DL51" i="13" s="1"/>
  <c r="DM51" i="13" s="1"/>
  <c r="DD51" i="13"/>
  <c r="DI56" i="13"/>
  <c r="CO29" i="13"/>
  <c r="DB30" i="13"/>
  <c r="DC30" i="13" s="1"/>
  <c r="EC30" i="13"/>
  <c r="CE34" i="13"/>
  <c r="DD35" i="13"/>
  <c r="CB36" i="13"/>
  <c r="CB37" i="13" s="1"/>
  <c r="CB42" i="13"/>
  <c r="CB43" i="13" s="1"/>
  <c r="CY51" i="13"/>
  <c r="CC35" i="13"/>
  <c r="CD35" i="13" s="1"/>
  <c r="CI44" i="13"/>
  <c r="CJ44" i="13" s="1"/>
  <c r="CM15" i="13"/>
  <c r="CN15" i="13" s="1"/>
  <c r="DB15" i="13"/>
  <c r="DC15" i="13" s="1"/>
  <c r="DB17" i="13"/>
  <c r="DC17" i="13" s="1"/>
  <c r="BY19" i="13"/>
  <c r="BZ19" i="13" s="1"/>
  <c r="CN19" i="13"/>
  <c r="CO19" i="13" s="1"/>
  <c r="CR21" i="13"/>
  <c r="CS21" i="13" s="1"/>
  <c r="CG42" i="13"/>
  <c r="CG43" i="13" s="1"/>
  <c r="CC13" i="13"/>
  <c r="CW18" i="13"/>
  <c r="CM28" i="13"/>
  <c r="CM55" i="13" s="1"/>
  <c r="CM30" i="13"/>
  <c r="CN30" i="13" s="1"/>
  <c r="CC40" i="13"/>
  <c r="CR44" i="13"/>
  <c r="CS44" i="13" s="1"/>
  <c r="CC10" i="13"/>
  <c r="CR10" i="13"/>
  <c r="CW13" i="13"/>
  <c r="CC17" i="13"/>
  <c r="CD17" i="13" s="1"/>
  <c r="BS18" i="13"/>
  <c r="BT18" i="13" s="1"/>
  <c r="CH18" i="13"/>
  <c r="BZ29" i="13"/>
  <c r="DS30" i="13"/>
  <c r="CH35" i="13"/>
  <c r="CI35" i="13" s="1"/>
  <c r="CH40" i="13"/>
  <c r="CT30" i="13"/>
  <c r="CR41" i="13"/>
  <c r="CS41" i="13" s="1"/>
  <c r="CR28" i="13"/>
  <c r="CR55" i="13" s="1"/>
  <c r="BX30" i="13"/>
  <c r="BY30" i="13" s="1"/>
  <c r="CP43" i="13"/>
  <c r="BU35" i="13"/>
  <c r="CK37" i="13"/>
  <c r="CR40" i="13"/>
  <c r="CS40" i="13" s="1"/>
  <c r="CY41" i="13"/>
  <c r="BW37" i="13"/>
  <c r="BX28" i="13"/>
  <c r="BX55" i="13" s="1"/>
  <c r="DD29" i="13"/>
  <c r="DX30" i="13"/>
  <c r="CO34" i="13"/>
  <c r="CQ36" i="13"/>
  <c r="CW40" i="13"/>
  <c r="CX40" i="13" s="1"/>
  <c r="CV42" i="13"/>
  <c r="CV43" i="13" s="1"/>
  <c r="CN18" i="13"/>
  <c r="DB24" i="13"/>
  <c r="DB54" i="13" s="1"/>
  <c r="CC30" i="13"/>
  <c r="CD30" i="13" s="1"/>
  <c r="CT34" i="13"/>
  <c r="BR36" i="13"/>
  <c r="BR37" i="13" s="1"/>
  <c r="DN37" i="13"/>
  <c r="DJ46" i="13"/>
  <c r="CO39" i="13"/>
  <c r="CC41" i="13"/>
  <c r="CD41" i="13" s="1"/>
  <c r="BW42" i="13"/>
  <c r="DX28" i="13"/>
  <c r="DX55" i="13" s="1"/>
  <c r="CO40" i="13"/>
  <c r="DB44" i="13"/>
  <c r="DC44" i="13" s="1"/>
  <c r="BZ44" i="13"/>
  <c r="CM44" i="13"/>
  <c r="CN44" i="13" s="1"/>
  <c r="BS29" i="13"/>
  <c r="BT29" i="13" s="1"/>
  <c r="CH29" i="13"/>
  <c r="CW29" i="13"/>
  <c r="E11" i="37"/>
  <c r="E40" i="42"/>
  <c r="E15" i="37"/>
  <c r="E21" i="42"/>
  <c r="E18" i="42"/>
  <c r="E12" i="37"/>
  <c r="E17" i="37"/>
  <c r="E20" i="37"/>
  <c r="E38" i="42"/>
  <c r="E33" i="37"/>
  <c r="E39" i="37"/>
  <c r="E17" i="42"/>
  <c r="E13" i="37"/>
  <c r="E14" i="37"/>
  <c r="E35" i="37"/>
  <c r="E34" i="37"/>
  <c r="E37" i="37"/>
  <c r="E9" i="37"/>
  <c r="E10" i="37"/>
  <c r="E16" i="37"/>
  <c r="E19" i="37"/>
  <c r="E29" i="37"/>
  <c r="E21" i="37"/>
  <c r="E41" i="42"/>
  <c r="E36" i="42"/>
  <c r="E18" i="37"/>
  <c r="E15" i="42"/>
  <c r="E40" i="37"/>
  <c r="E44" i="37"/>
  <c r="E30" i="37"/>
  <c r="E38" i="37"/>
  <c r="E41" i="37"/>
  <c r="E42" i="37"/>
  <c r="E12" i="42"/>
  <c r="E13" i="42"/>
  <c r="E24" i="42"/>
  <c r="E28" i="37"/>
  <c r="E46" i="37"/>
  <c r="E36" i="37"/>
  <c r="E43" i="37"/>
  <c r="E45" i="37"/>
  <c r="E11" i="42"/>
  <c r="E27" i="42"/>
  <c r="E29" i="42"/>
  <c r="E25" i="42"/>
  <c r="E32" i="42"/>
  <c r="E30" i="42"/>
  <c r="E16" i="42"/>
  <c r="E22" i="42"/>
  <c r="E39" i="42"/>
  <c r="E28" i="42"/>
  <c r="E37" i="42"/>
  <c r="E14" i="42"/>
  <c r="E35" i="42"/>
  <c r="E47" i="37"/>
  <c r="E19" i="42"/>
  <c r="E26" i="42"/>
  <c r="E31" i="42"/>
  <c r="Z31" i="37"/>
  <c r="CV178" i="35" a="1"/>
  <c r="CW178" i="35" a="1"/>
  <c r="CX178" i="35" a="1"/>
  <c r="DP97" i="14" l="1"/>
  <c r="DU98" i="14"/>
  <c r="DN37" i="14"/>
  <c r="DF30" i="2"/>
  <c r="L580" i="1"/>
  <c r="L582" i="1"/>
  <c r="L584" i="1"/>
  <c r="L586" i="1"/>
  <c r="L581" i="1"/>
  <c r="L583" i="1"/>
  <c r="L585" i="1"/>
  <c r="L579" i="1"/>
  <c r="S579" i="1"/>
  <c r="S585" i="1"/>
  <c r="S581" i="1"/>
  <c r="S580" i="1"/>
  <c r="S582" i="1"/>
  <c r="S584" i="1"/>
  <c r="S586" i="1"/>
  <c r="S583" i="1"/>
  <c r="P21" i="25"/>
  <c r="P23" i="25"/>
  <c r="P11" i="25"/>
  <c r="P14" i="25"/>
  <c r="P22" i="25"/>
  <c r="P16" i="25"/>
  <c r="P10" i="25"/>
  <c r="P12" i="25"/>
  <c r="P20" i="25"/>
  <c r="P18" i="25"/>
  <c r="CN47" i="12"/>
  <c r="DE30" i="2"/>
  <c r="S577" i="1"/>
  <c r="S575" i="1"/>
  <c r="S573" i="1"/>
  <c r="S578" i="1"/>
  <c r="S576" i="1"/>
  <c r="S574" i="1"/>
  <c r="S572" i="1"/>
  <c r="L578" i="1"/>
  <c r="L576" i="1"/>
  <c r="L574" i="1"/>
  <c r="L572" i="1"/>
  <c r="L577" i="1"/>
  <c r="L575" i="1"/>
  <c r="L573" i="1"/>
  <c r="EN1" i="2"/>
  <c r="EO1" i="2" s="1"/>
  <c r="EP1" i="2" s="1"/>
  <c r="EQ1" i="2" s="1"/>
  <c r="EJ1" i="2"/>
  <c r="EK1" i="2" s="1"/>
  <c r="EL1" i="2" s="1"/>
  <c r="EE17" i="13"/>
  <c r="EF38" i="12"/>
  <c r="DB7" i="25"/>
  <c r="BZ7" i="25"/>
  <c r="W7" i="25"/>
  <c r="AX7" i="25"/>
  <c r="Q8" i="25"/>
  <c r="W6" i="25"/>
  <c r="O19" i="25"/>
  <c r="P19" i="25" s="1"/>
  <c r="EB55" i="13"/>
  <c r="EG28" i="13"/>
  <c r="DY55" i="13"/>
  <c r="ED28" i="13"/>
  <c r="DZ55" i="13"/>
  <c r="EE28" i="13"/>
  <c r="EA55" i="13"/>
  <c r="EF28" i="13"/>
  <c r="L562" i="1"/>
  <c r="L563" i="1"/>
  <c r="L564" i="1"/>
  <c r="L568" i="1"/>
  <c r="L570" i="1"/>
  <c r="L571" i="1"/>
  <c r="L565" i="1"/>
  <c r="L566" i="1"/>
  <c r="L567" i="1"/>
  <c r="L569" i="1"/>
  <c r="S562" i="1"/>
  <c r="S563" i="1"/>
  <c r="S564" i="1"/>
  <c r="S568" i="1"/>
  <c r="S569" i="1"/>
  <c r="S565" i="1"/>
  <c r="S566" i="1"/>
  <c r="S567" i="1"/>
  <c r="S570" i="1"/>
  <c r="S571" i="1"/>
  <c r="DN80" i="14"/>
  <c r="DB119" i="35"/>
  <c r="DN124" i="14"/>
  <c r="DQ99" i="14"/>
  <c r="DD135" i="14"/>
  <c r="AX92" i="35"/>
  <c r="ED49" i="14"/>
  <c r="AY92" i="35"/>
  <c r="EE49" i="14"/>
  <c r="AX93" i="35"/>
  <c r="ED51" i="14"/>
  <c r="AY93" i="35"/>
  <c r="EE51" i="14"/>
  <c r="EI81" i="14"/>
  <c r="BE7" i="35"/>
  <c r="EK63" i="14"/>
  <c r="BD7" i="35"/>
  <c r="EF64" i="14"/>
  <c r="EJ63" i="14"/>
  <c r="Z4" i="40"/>
  <c r="DM59" i="13"/>
  <c r="DR60" i="13" s="1"/>
  <c r="DR58" i="13"/>
  <c r="DL59" i="13"/>
  <c r="DQ60" i="13" s="1"/>
  <c r="DQ58" i="13"/>
  <c r="CI47" i="12"/>
  <c r="DI21" i="13"/>
  <c r="DK30" i="2"/>
  <c r="DQ100" i="14"/>
  <c r="BY101" i="2"/>
  <c r="I31" i="1"/>
  <c r="H31" i="1"/>
  <c r="DQ27" i="2"/>
  <c r="DQ30" i="2"/>
  <c r="DL29" i="2"/>
  <c r="DL30" i="2" s="1"/>
  <c r="DR27" i="2"/>
  <c r="DR30" i="2"/>
  <c r="DM29" i="2"/>
  <c r="DM30" i="2" s="1"/>
  <c r="DG30" i="2"/>
  <c r="DH30" i="2"/>
  <c r="DJ29" i="2"/>
  <c r="DJ30" i="2" s="1"/>
  <c r="DO30" i="2"/>
  <c r="CD47" i="12"/>
  <c r="CD48" i="12"/>
  <c r="CV178" i="35"/>
  <c r="O19" i="26"/>
  <c r="DS41" i="14"/>
  <c r="DO71" i="14"/>
  <c r="DR72" i="14"/>
  <c r="DR99" i="14"/>
  <c r="DR100" i="14"/>
  <c r="DR94" i="14"/>
  <c r="DS97" i="14"/>
  <c r="DQ94" i="14"/>
  <c r="DH13" i="14"/>
  <c r="S556" i="1"/>
  <c r="S557" i="1"/>
  <c r="S559" i="1"/>
  <c r="S560" i="1"/>
  <c r="S558" i="1"/>
  <c r="S561" i="1"/>
  <c r="L559" i="1"/>
  <c r="L560" i="1"/>
  <c r="L561" i="1"/>
  <c r="L556" i="1"/>
  <c r="L557" i="1"/>
  <c r="L558" i="1"/>
  <c r="U561" i="1"/>
  <c r="U557" i="1"/>
  <c r="U556" i="1"/>
  <c r="U559" i="1"/>
  <c r="U560" i="1"/>
  <c r="U558" i="1"/>
  <c r="I559" i="1"/>
  <c r="I556" i="1"/>
  <c r="I558" i="1"/>
  <c r="I557" i="1"/>
  <c r="I560" i="1"/>
  <c r="I561" i="1"/>
  <c r="S554" i="1"/>
  <c r="S547" i="1"/>
  <c r="S548" i="1"/>
  <c r="S549" i="1"/>
  <c r="S550" i="1"/>
  <c r="S551" i="1"/>
  <c r="S552" i="1"/>
  <c r="S555" i="1"/>
  <c r="S553" i="1"/>
  <c r="L550" i="1"/>
  <c r="L551" i="1"/>
  <c r="L552" i="1"/>
  <c r="L554" i="1"/>
  <c r="L553" i="1"/>
  <c r="L547" i="1"/>
  <c r="L555" i="1"/>
  <c r="L548" i="1"/>
  <c r="L549" i="1"/>
  <c r="U552" i="1"/>
  <c r="U554" i="1"/>
  <c r="U547" i="1"/>
  <c r="U555" i="1"/>
  <c r="U548" i="1"/>
  <c r="U549" i="1"/>
  <c r="U550" i="1"/>
  <c r="U553" i="1"/>
  <c r="U551" i="1"/>
  <c r="I553" i="1"/>
  <c r="I547" i="1"/>
  <c r="I555" i="1"/>
  <c r="I548" i="1"/>
  <c r="I549" i="1"/>
  <c r="I550" i="1"/>
  <c r="I551" i="1"/>
  <c r="I552" i="1"/>
  <c r="I554" i="1"/>
  <c r="G31" i="1"/>
  <c r="U540" i="1"/>
  <c r="U545" i="1"/>
  <c r="U538" i="1"/>
  <c r="U543" i="1"/>
  <c r="U537" i="1"/>
  <c r="U542" i="1"/>
  <c r="U536" i="1"/>
  <c r="U541" i="1"/>
  <c r="U535" i="1"/>
  <c r="U546" i="1"/>
  <c r="U539" i="1"/>
  <c r="U544" i="1"/>
  <c r="S538" i="1"/>
  <c r="S543" i="1"/>
  <c r="S536" i="1"/>
  <c r="S545" i="1"/>
  <c r="S541" i="1"/>
  <c r="S546" i="1"/>
  <c r="S539" i="1"/>
  <c r="S540" i="1"/>
  <c r="S544" i="1"/>
  <c r="S537" i="1"/>
  <c r="S542" i="1"/>
  <c r="S535" i="1"/>
  <c r="I537" i="1"/>
  <c r="I542" i="1"/>
  <c r="I539" i="1"/>
  <c r="I535" i="1"/>
  <c r="I540" i="1"/>
  <c r="I538" i="1"/>
  <c r="I545" i="1"/>
  <c r="I543" i="1"/>
  <c r="I536" i="1"/>
  <c r="I546" i="1"/>
  <c r="I544" i="1"/>
  <c r="I541" i="1"/>
  <c r="L546" i="1"/>
  <c r="L539" i="1"/>
  <c r="L544" i="1"/>
  <c r="L537" i="1"/>
  <c r="L542" i="1"/>
  <c r="L535" i="1"/>
  <c r="L540" i="1"/>
  <c r="L545" i="1"/>
  <c r="L543" i="1"/>
  <c r="L536" i="1"/>
  <c r="L541" i="1"/>
  <c r="L538" i="1"/>
  <c r="DL84" i="14"/>
  <c r="DQ8" i="14"/>
  <c r="DQ13" i="14"/>
  <c r="CH68" i="13"/>
  <c r="DM13" i="14"/>
  <c r="EA36" i="2"/>
  <c r="EF36" i="2" s="1"/>
  <c r="EK36" i="2" s="1"/>
  <c r="EP36" i="2" s="1"/>
  <c r="EA34" i="2"/>
  <c r="EF34" i="2" s="1"/>
  <c r="EK34" i="2" s="1"/>
  <c r="EP34" i="2" s="1"/>
  <c r="EA16" i="2"/>
  <c r="EF16" i="2" s="1"/>
  <c r="EK16" i="2" s="1"/>
  <c r="EP16" i="2" s="1"/>
  <c r="CX178" i="35"/>
  <c r="CW178" i="35"/>
  <c r="DE13" i="14"/>
  <c r="AW92" i="35"/>
  <c r="EB49" i="14"/>
  <c r="AV92" i="35"/>
  <c r="EA49" i="14"/>
  <c r="AW93" i="35"/>
  <c r="EB51" i="14"/>
  <c r="DP94" i="14"/>
  <c r="DP95" i="14" s="1"/>
  <c r="DP100" i="14"/>
  <c r="DF38" i="14"/>
  <c r="DF12" i="14"/>
  <c r="DF13" i="14" s="1"/>
  <c r="DO13" i="14"/>
  <c r="DJ12" i="14"/>
  <c r="DJ13" i="14" s="1"/>
  <c r="DG38" i="14"/>
  <c r="DG12" i="14"/>
  <c r="DG13" i="14" s="1"/>
  <c r="CZ17" i="14"/>
  <c r="CZ66" i="14"/>
  <c r="CZ23" i="14"/>
  <c r="CZ24" i="14" s="1"/>
  <c r="CZ20" i="14"/>
  <c r="DA16" i="14"/>
  <c r="DL38" i="14"/>
  <c r="DL12" i="14"/>
  <c r="DL13" i="14" s="1"/>
  <c r="CV66" i="14"/>
  <c r="CV21" i="14"/>
  <c r="AB150" i="35"/>
  <c r="CW97" i="14"/>
  <c r="CX100" i="14" s="1"/>
  <c r="AC152" i="35" s="1"/>
  <c r="H5" i="14"/>
  <c r="P5" i="14"/>
  <c r="Q5" i="14" s="1"/>
  <c r="DP13" i="14"/>
  <c r="DK12" i="14"/>
  <c r="DK13" i="14" s="1"/>
  <c r="DS32" i="13"/>
  <c r="DS37" i="13"/>
  <c r="U3" i="35"/>
  <c r="Q3" i="35"/>
  <c r="M3" i="35"/>
  <c r="I3" i="35"/>
  <c r="CX28" i="13"/>
  <c r="CX67" i="13" s="1"/>
  <c r="CW55" i="13"/>
  <c r="CM68" i="13"/>
  <c r="CT38" i="2"/>
  <c r="CT150" i="2"/>
  <c r="CQ68" i="13"/>
  <c r="BX67" i="13"/>
  <c r="CT34" i="2"/>
  <c r="CT144" i="2"/>
  <c r="CZ58" i="12"/>
  <c r="CZ65" i="12"/>
  <c r="DH66" i="12"/>
  <c r="DH58" i="12"/>
  <c r="DP27" i="2"/>
  <c r="DP30" i="2"/>
  <c r="CM83" i="14"/>
  <c r="BK159" i="14"/>
  <c r="CJ79" i="14"/>
  <c r="CL42" i="14"/>
  <c r="CL38" i="14"/>
  <c r="DD126" i="14"/>
  <c r="CZ206" i="35"/>
  <c r="DD124" i="14"/>
  <c r="DI125" i="14" s="1"/>
  <c r="DN35" i="14"/>
  <c r="BP159" i="14"/>
  <c r="CO35" i="14"/>
  <c r="DM87" i="14"/>
  <c r="DO88" i="14"/>
  <c r="BZ35" i="14"/>
  <c r="DN19" i="2"/>
  <c r="CB101" i="2"/>
  <c r="BV68" i="13"/>
  <c r="DK59" i="13"/>
  <c r="DL58" i="13"/>
  <c r="DK58" i="13"/>
  <c r="DM58" i="13"/>
  <c r="CN101" i="2"/>
  <c r="BV101" i="2"/>
  <c r="BY68" i="13"/>
  <c r="CC68" i="13"/>
  <c r="BX68" i="13"/>
  <c r="BW68" i="13"/>
  <c r="CH67" i="13"/>
  <c r="BZ17" i="13"/>
  <c r="CW67" i="13"/>
  <c r="DB67" i="13"/>
  <c r="DI37" i="13"/>
  <c r="DJ59" i="13"/>
  <c r="DO58" i="13"/>
  <c r="CD68" i="13"/>
  <c r="CR67" i="13"/>
  <c r="EB31" i="13"/>
  <c r="D9" i="21"/>
  <c r="DE58" i="13"/>
  <c r="EA31" i="13"/>
  <c r="DV32" i="13"/>
  <c r="DV37" i="13" s="1"/>
  <c r="CM67" i="13"/>
  <c r="CC67" i="13"/>
  <c r="DI46" i="13"/>
  <c r="BY102" i="2"/>
  <c r="CZ101" i="2"/>
  <c r="CF101" i="2"/>
  <c r="BZ100" i="2"/>
  <c r="BZ102" i="2" s="1"/>
  <c r="CL101" i="2"/>
  <c r="CS58" i="12"/>
  <c r="CS57" i="12"/>
  <c r="CU101" i="2"/>
  <c r="CW68" i="13"/>
  <c r="DA68" i="13"/>
  <c r="CE11" i="13"/>
  <c r="CX68" i="13"/>
  <c r="CU68" i="13"/>
  <c r="CS68" i="13"/>
  <c r="CA101" i="2"/>
  <c r="CP101" i="2"/>
  <c r="CY14" i="2"/>
  <c r="CI68" i="13"/>
  <c r="CZ57" i="12"/>
  <c r="CM101" i="2"/>
  <c r="DB102" i="2"/>
  <c r="DG101" i="2"/>
  <c r="BX101" i="2"/>
  <c r="CQ102" i="2"/>
  <c r="CV101" i="2"/>
  <c r="CB102" i="2"/>
  <c r="CG101" i="2"/>
  <c r="CM102" i="2"/>
  <c r="CR101" i="2"/>
  <c r="BX102" i="2"/>
  <c r="CC101" i="2"/>
  <c r="CX102" i="2"/>
  <c r="DC101" i="2"/>
  <c r="DA102" i="2"/>
  <c r="DF101" i="2"/>
  <c r="DA101" i="2"/>
  <c r="CP68" i="13"/>
  <c r="CR102" i="2"/>
  <c r="CW101" i="2"/>
  <c r="CS102" i="2"/>
  <c r="CX101" i="2"/>
  <c r="CL102" i="2"/>
  <c r="CQ101" i="2"/>
  <c r="CC102" i="2"/>
  <c r="CH101" i="2"/>
  <c r="CD102" i="2"/>
  <c r="CI101" i="2"/>
  <c r="CK101" i="2"/>
  <c r="DC102" i="2"/>
  <c r="DH101" i="2"/>
  <c r="CW102" i="2"/>
  <c r="DB101" i="2"/>
  <c r="CS101" i="2"/>
  <c r="BR102" i="2"/>
  <c r="BW101" i="2"/>
  <c r="CD101" i="2"/>
  <c r="CO100" i="2"/>
  <c r="CK102" i="2"/>
  <c r="CJ100" i="2"/>
  <c r="CH102" i="2"/>
  <c r="CR58" i="12"/>
  <c r="CR66" i="12"/>
  <c r="CG68" i="13"/>
  <c r="CE109" i="2"/>
  <c r="DD11" i="13"/>
  <c r="CY100" i="2"/>
  <c r="CE100" i="2"/>
  <c r="CA102" i="2"/>
  <c r="CP102" i="2"/>
  <c r="CT100" i="2"/>
  <c r="DD100" i="2"/>
  <c r="CZ102" i="2"/>
  <c r="DV64" i="14"/>
  <c r="AV7" i="35"/>
  <c r="AV8" i="35" s="1"/>
  <c r="CR65" i="12"/>
  <c r="D29" i="21"/>
  <c r="DI143" i="2"/>
  <c r="CJ17" i="2"/>
  <c r="CO139" i="2"/>
  <c r="BU100" i="2"/>
  <c r="DI138" i="2"/>
  <c r="CT140" i="2"/>
  <c r="CT142" i="2"/>
  <c r="CT64" i="13"/>
  <c r="CT149" i="2"/>
  <c r="CL7" i="14"/>
  <c r="CT148" i="2"/>
  <c r="CT87" i="2"/>
  <c r="CT139" i="2"/>
  <c r="CT147" i="2"/>
  <c r="BZ139" i="2"/>
  <c r="D14" i="1"/>
  <c r="CT94" i="2"/>
  <c r="CT137" i="2"/>
  <c r="CT143" i="2"/>
  <c r="CT138" i="2"/>
  <c r="DF7" i="14"/>
  <c r="DJ66" i="12"/>
  <c r="BZ143" i="2"/>
  <c r="CX5" i="35"/>
  <c r="CX9" i="35" s="1"/>
  <c r="DF42" i="14"/>
  <c r="BU142" i="2"/>
  <c r="CR68" i="13"/>
  <c r="CT145" i="2"/>
  <c r="CY87" i="2"/>
  <c r="CL65" i="12"/>
  <c r="CT32" i="2"/>
  <c r="CJ14" i="2"/>
  <c r="DJ57" i="12"/>
  <c r="DF66" i="12"/>
  <c r="CT24" i="2"/>
  <c r="CT25" i="2" s="1"/>
  <c r="DI19" i="2"/>
  <c r="DI144" i="2"/>
  <c r="BZ145" i="2"/>
  <c r="BZ142" i="2"/>
  <c r="BZ94" i="2"/>
  <c r="BZ150" i="2"/>
  <c r="BZ148" i="2"/>
  <c r="BZ138" i="2"/>
  <c r="BZ140" i="2"/>
  <c r="CQ101" i="14"/>
  <c r="CQ102" i="14" s="1"/>
  <c r="BZ14" i="2"/>
  <c r="CE94" i="2"/>
  <c r="DK72" i="14"/>
  <c r="CT19" i="2"/>
  <c r="CT55" i="12"/>
  <c r="DN17" i="2"/>
  <c r="CL58" i="12"/>
  <c r="CT61" i="12"/>
  <c r="CT17" i="2"/>
  <c r="DJ65" i="12"/>
  <c r="CX35" i="35"/>
  <c r="CJ11" i="13"/>
  <c r="CT40" i="2"/>
  <c r="DD14" i="2"/>
  <c r="DN9" i="13"/>
  <c r="T5" i="12"/>
  <c r="U5" i="12" s="1"/>
  <c r="V5" i="12" s="1"/>
  <c r="CQ100" i="14"/>
  <c r="W152" i="35" s="1"/>
  <c r="CX57" i="12"/>
  <c r="CT36" i="2"/>
  <c r="CJ9" i="13"/>
  <c r="CQ94" i="14"/>
  <c r="CR95" i="14" s="1"/>
  <c r="DM99" i="14"/>
  <c r="AO151" i="35" s="1"/>
  <c r="AO155" i="35" s="1"/>
  <c r="CP71" i="14"/>
  <c r="CY143" i="2"/>
  <c r="DD144" i="2"/>
  <c r="DN14" i="2"/>
  <c r="CY145" i="2"/>
  <c r="CT109" i="2"/>
  <c r="DD17" i="2"/>
  <c r="CT11" i="13"/>
  <c r="CM57" i="12"/>
  <c r="CE19" i="2"/>
  <c r="DL57" i="12"/>
  <c r="CJ137" i="2"/>
  <c r="CJ40" i="2"/>
  <c r="DI17" i="2"/>
  <c r="BZ17" i="2"/>
  <c r="DF58" i="12"/>
  <c r="DI139" i="2"/>
  <c r="CM42" i="14"/>
  <c r="DA58" i="12"/>
  <c r="DL58" i="12"/>
  <c r="BZ147" i="2"/>
  <c r="DI145" i="2"/>
  <c r="CO148" i="2"/>
  <c r="CS66" i="12"/>
  <c r="CD101" i="14"/>
  <c r="CD105" i="14" s="1"/>
  <c r="CO150" i="2"/>
  <c r="BT42" i="14"/>
  <c r="DA57" i="12"/>
  <c r="CY142" i="2"/>
  <c r="DI142" i="2"/>
  <c r="CW8" i="13"/>
  <c r="DL60" i="13"/>
  <c r="DE57" i="13"/>
  <c r="AH168" i="35" s="1"/>
  <c r="CU65" i="12"/>
  <c r="DC90" i="14"/>
  <c r="DA65" i="12"/>
  <c r="DI124" i="2"/>
  <c r="DI109" i="2"/>
  <c r="CY150" i="2"/>
  <c r="DD139" i="2"/>
  <c r="DD138" i="2"/>
  <c r="CU186" i="35"/>
  <c r="DH65" i="12"/>
  <c r="CP72" i="14"/>
  <c r="CZ66" i="12"/>
  <c r="CY147" i="2"/>
  <c r="DF57" i="12"/>
  <c r="DG57" i="13"/>
  <c r="AJ168" i="35" s="1"/>
  <c r="DH57" i="12"/>
  <c r="CY109" i="2"/>
  <c r="CY138" i="2"/>
  <c r="DI140" i="2"/>
  <c r="DD109" i="2"/>
  <c r="CI22" i="14"/>
  <c r="CM66" i="12"/>
  <c r="CJ147" i="2"/>
  <c r="CY94" i="2"/>
  <c r="DD140" i="2"/>
  <c r="DD87" i="2"/>
  <c r="CY139" i="2"/>
  <c r="DD38" i="2"/>
  <c r="CE17" i="2"/>
  <c r="DA186" i="35"/>
  <c r="CF68" i="13"/>
  <c r="CP58" i="12"/>
  <c r="DC57" i="12"/>
  <c r="CZ42" i="14"/>
  <c r="DL65" i="12"/>
  <c r="DD150" i="2"/>
  <c r="DD142" i="2"/>
  <c r="DD94" i="2"/>
  <c r="CZ186" i="35"/>
  <c r="BU11" i="13"/>
  <c r="DL42" i="14"/>
  <c r="DB57" i="12"/>
  <c r="DD149" i="2"/>
  <c r="DI14" i="2"/>
  <c r="CM58" i="12"/>
  <c r="CO11" i="13"/>
  <c r="CQ58" i="12"/>
  <c r="CF71" i="14"/>
  <c r="DD143" i="2"/>
  <c r="DD148" i="2"/>
  <c r="CO87" i="2"/>
  <c r="DD137" i="2"/>
  <c r="BU19" i="2"/>
  <c r="CL66" i="12"/>
  <c r="CX66" i="12"/>
  <c r="DD147" i="2"/>
  <c r="DC66" i="12"/>
  <c r="DB186" i="35"/>
  <c r="DC65" i="12"/>
  <c r="DM94" i="14"/>
  <c r="CD22" i="14"/>
  <c r="CF89" i="14"/>
  <c r="DG7" i="14"/>
  <c r="DH86" i="14"/>
  <c r="DK66" i="12"/>
  <c r="CR100" i="14"/>
  <c r="X152" i="35" s="1"/>
  <c r="CX65" i="12"/>
  <c r="DK65" i="12"/>
  <c r="CJ143" i="2"/>
  <c r="CP57" i="12"/>
  <c r="DK57" i="12"/>
  <c r="CJ94" i="2"/>
  <c r="CJ87" i="2"/>
  <c r="CW186" i="35"/>
  <c r="BZ11" i="13"/>
  <c r="CS42" i="14"/>
  <c r="CW57" i="12"/>
  <c r="BZ109" i="2"/>
  <c r="BU145" i="2"/>
  <c r="CO149" i="2"/>
  <c r="DB68" i="13"/>
  <c r="BZ87" i="2"/>
  <c r="CJ109" i="2"/>
  <c r="BU137" i="2"/>
  <c r="DD53" i="2"/>
  <c r="CO38" i="2"/>
  <c r="CV66" i="12"/>
  <c r="DD122" i="2"/>
  <c r="CO147" i="2"/>
  <c r="CV68" i="13"/>
  <c r="CO140" i="2"/>
  <c r="BU140" i="2"/>
  <c r="CU90" i="14"/>
  <c r="CG38" i="14"/>
  <c r="BU139" i="2"/>
  <c r="CJ139" i="2"/>
  <c r="CE40" i="2"/>
  <c r="CE139" i="2"/>
  <c r="CJ36" i="2"/>
  <c r="CJ145" i="2"/>
  <c r="CE144" i="2"/>
  <c r="CJ142" i="2"/>
  <c r="CO143" i="2"/>
  <c r="CE14" i="2"/>
  <c r="DK57" i="13"/>
  <c r="AM168" i="35" s="1"/>
  <c r="CQ65" i="12"/>
  <c r="DG66" i="12"/>
  <c r="X149" i="35"/>
  <c r="CU85" i="14"/>
  <c r="CM7" i="14"/>
  <c r="CI72" i="14"/>
  <c r="CW58" i="12"/>
  <c r="BU150" i="2"/>
  <c r="DJ57" i="13"/>
  <c r="AL168" i="35" s="1"/>
  <c r="CQ57" i="12"/>
  <c r="DG58" i="12"/>
  <c r="CQ71" i="14"/>
  <c r="CU89" i="14"/>
  <c r="DB72" i="14"/>
  <c r="CV65" i="12"/>
  <c r="BU149" i="2"/>
  <c r="BU109" i="2"/>
  <c r="CE150" i="2"/>
  <c r="CE138" i="2"/>
  <c r="CE143" i="2"/>
  <c r="DC55" i="2"/>
  <c r="DD55" i="2" s="1"/>
  <c r="DD42" i="2"/>
  <c r="CN65" i="12"/>
  <c r="AM149" i="35"/>
  <c r="DP99" i="14"/>
  <c r="DB58" i="12"/>
  <c r="DL57" i="13"/>
  <c r="AN168" i="35" s="1"/>
  <c r="CO94" i="2"/>
  <c r="CO145" i="2"/>
  <c r="BU148" i="2"/>
  <c r="DN124" i="2"/>
  <c r="CE149" i="2"/>
  <c r="CO137" i="2"/>
  <c r="CO142" i="2"/>
  <c r="BU138" i="2"/>
  <c r="BU87" i="2"/>
  <c r="CY17" i="2"/>
  <c r="CM8" i="14"/>
  <c r="CN57" i="12"/>
  <c r="CL68" i="13"/>
  <c r="DG57" i="12"/>
  <c r="DE57" i="12"/>
  <c r="CU66" i="12"/>
  <c r="CV72" i="14"/>
  <c r="BU94" i="2"/>
  <c r="CK58" i="12"/>
  <c r="BU124" i="2"/>
  <c r="BU147" i="2"/>
  <c r="CT122" i="2"/>
  <c r="CO109" i="2"/>
  <c r="CJ150" i="2"/>
  <c r="CE148" i="2"/>
  <c r="CJ144" i="2"/>
  <c r="CE137" i="2"/>
  <c r="BZ43" i="2"/>
  <c r="BZ42" i="2"/>
  <c r="DH57" i="13"/>
  <c r="AK168" i="35" s="1"/>
  <c r="CU71" i="14"/>
  <c r="CU72" i="14"/>
  <c r="DE65" i="12"/>
  <c r="CK66" i="12"/>
  <c r="CJ149" i="2"/>
  <c r="CJ138" i="2"/>
  <c r="DD43" i="2"/>
  <c r="CN58" i="12"/>
  <c r="CZ57" i="13"/>
  <c r="AD168" i="35" s="1"/>
  <c r="DE58" i="12"/>
  <c r="DN55" i="2"/>
  <c r="DB66" i="12"/>
  <c r="CU58" i="12"/>
  <c r="CF72" i="14"/>
  <c r="CL8" i="14"/>
  <c r="CV57" i="12"/>
  <c r="BU143" i="2"/>
  <c r="CE147" i="2"/>
  <c r="DF57" i="13"/>
  <c r="AI168" i="35" s="1"/>
  <c r="CY11" i="13"/>
  <c r="CY9" i="13"/>
  <c r="CP65" i="12"/>
  <c r="CQ72" i="14"/>
  <c r="DK99" i="14"/>
  <c r="AM151" i="35" s="1"/>
  <c r="AM155" i="35" s="1"/>
  <c r="DL7" i="14"/>
  <c r="DP8" i="14"/>
  <c r="CK65" i="12"/>
  <c r="CW65" i="12"/>
  <c r="BZ149" i="2"/>
  <c r="CJ140" i="2"/>
  <c r="BZ144" i="2"/>
  <c r="CO124" i="2"/>
  <c r="CE140" i="2"/>
  <c r="BU123" i="2"/>
  <c r="CE123" i="2"/>
  <c r="DD123" i="2"/>
  <c r="L533" i="1"/>
  <c r="L534" i="1"/>
  <c r="L532" i="1"/>
  <c r="U533" i="1"/>
  <c r="U532" i="1"/>
  <c r="U534" i="1"/>
  <c r="I533" i="1"/>
  <c r="I534" i="1"/>
  <c r="I532" i="1"/>
  <c r="S532" i="1"/>
  <c r="S533" i="1"/>
  <c r="S534" i="1"/>
  <c r="U527" i="1"/>
  <c r="U524" i="1"/>
  <c r="U522" i="1"/>
  <c r="U526" i="1"/>
  <c r="U529" i="1"/>
  <c r="U525" i="1"/>
  <c r="U531" i="1"/>
  <c r="U530" i="1"/>
  <c r="U523" i="1"/>
  <c r="U528" i="1"/>
  <c r="I524" i="1"/>
  <c r="I529" i="1"/>
  <c r="I522" i="1"/>
  <c r="I531" i="1"/>
  <c r="I527" i="1"/>
  <c r="I530" i="1"/>
  <c r="I523" i="1"/>
  <c r="I528" i="1"/>
  <c r="I526" i="1"/>
  <c r="I525" i="1"/>
  <c r="L523" i="1"/>
  <c r="L528" i="1"/>
  <c r="L526" i="1"/>
  <c r="L531" i="1"/>
  <c r="L530" i="1"/>
  <c r="L524" i="1"/>
  <c r="L527" i="1"/>
  <c r="L529" i="1"/>
  <c r="L525" i="1"/>
  <c r="L522" i="1"/>
  <c r="S525" i="1"/>
  <c r="S527" i="1"/>
  <c r="S530" i="1"/>
  <c r="S523" i="1"/>
  <c r="S529" i="1"/>
  <c r="S528" i="1"/>
  <c r="S531" i="1"/>
  <c r="S522" i="1"/>
  <c r="S526" i="1"/>
  <c r="S524" i="1"/>
  <c r="O20" i="26"/>
  <c r="CR84" i="14"/>
  <c r="CT87" i="14"/>
  <c r="CT88" i="14" s="1"/>
  <c r="CR101" i="14"/>
  <c r="CR106" i="14" s="1"/>
  <c r="CR110" i="14" s="1"/>
  <c r="N20" i="26"/>
  <c r="N22" i="26" s="1"/>
  <c r="N23" i="26" s="1"/>
  <c r="M20" i="26"/>
  <c r="M22" i="26" s="1"/>
  <c r="M23" i="26" s="1"/>
  <c r="CU38" i="14"/>
  <c r="CX10" i="13"/>
  <c r="CX75" i="2" s="1"/>
  <c r="P5" i="13"/>
  <c r="DO7" i="14"/>
  <c r="CS90" i="14"/>
  <c r="CR90" i="14"/>
  <c r="CK68" i="13"/>
  <c r="CA68" i="13"/>
  <c r="CJ62" i="12"/>
  <c r="CJ43" i="2"/>
  <c r="CJ42" i="2"/>
  <c r="BV27" i="2"/>
  <c r="BQ25" i="2"/>
  <c r="BQ44" i="2"/>
  <c r="DA27" i="2"/>
  <c r="CV25" i="2"/>
  <c r="AA165" i="35" s="1"/>
  <c r="BW44" i="2"/>
  <c r="CB27" i="2"/>
  <c r="BW25" i="2"/>
  <c r="CY11" i="2"/>
  <c r="CL44" i="2"/>
  <c r="CQ27" i="2"/>
  <c r="CL25" i="2"/>
  <c r="CS44" i="2"/>
  <c r="CX27" i="2"/>
  <c r="CS25" i="2"/>
  <c r="Y165" i="35" s="1"/>
  <c r="CJ64" i="13"/>
  <c r="CV35" i="35"/>
  <c r="CV5" i="35"/>
  <c r="CV9" i="35" s="1"/>
  <c r="CJ55" i="12"/>
  <c r="CJ61" i="12"/>
  <c r="CJ34" i="2"/>
  <c r="CJ38" i="2"/>
  <c r="CO11" i="2"/>
  <c r="CJ24" i="2"/>
  <c r="CV85" i="14"/>
  <c r="DJ42" i="14"/>
  <c r="DO8" i="14"/>
  <c r="CY144" i="2"/>
  <c r="CT124" i="2"/>
  <c r="BZ124" i="2"/>
  <c r="CZ68" i="13"/>
  <c r="CY149" i="2"/>
  <c r="DF44" i="2"/>
  <c r="DF48" i="2" s="1"/>
  <c r="DK27" i="2"/>
  <c r="DF25" i="2"/>
  <c r="AI165" i="35" s="1"/>
  <c r="CN44" i="2"/>
  <c r="CS27" i="2"/>
  <c r="CN25" i="2"/>
  <c r="CO138" i="2"/>
  <c r="CD44" i="2"/>
  <c r="CI27" i="2"/>
  <c r="CD25" i="2"/>
  <c r="CK44" i="2"/>
  <c r="CP27" i="2"/>
  <c r="CK25" i="2"/>
  <c r="P5" i="2"/>
  <c r="CY32" i="2"/>
  <c r="CO19" i="2"/>
  <c r="CY140" i="2"/>
  <c r="CN68" i="13"/>
  <c r="CY148" i="2"/>
  <c r="DH125" i="2"/>
  <c r="DI125" i="2" s="1"/>
  <c r="DH55" i="2"/>
  <c r="DI55" i="2" s="1"/>
  <c r="CB68" i="13"/>
  <c r="DG44" i="2"/>
  <c r="DG48" i="2" s="1"/>
  <c r="DL27" i="2"/>
  <c r="DG25" i="2"/>
  <c r="AJ165" i="35" s="1"/>
  <c r="CX44" i="2"/>
  <c r="DC27" i="2"/>
  <c r="CX25" i="2"/>
  <c r="AC165" i="35" s="1"/>
  <c r="CY186" i="35"/>
  <c r="CF44" i="2"/>
  <c r="CK27" i="2"/>
  <c r="CF25" i="2"/>
  <c r="CY137" i="2"/>
  <c r="BV44" i="2"/>
  <c r="CA27" i="2"/>
  <c r="BV25" i="2"/>
  <c r="CV186" i="35"/>
  <c r="EA32" i="2"/>
  <c r="EF32" i="2" s="1"/>
  <c r="EK32" i="2" s="1"/>
  <c r="EP32" i="2" s="1"/>
  <c r="CC44" i="2"/>
  <c r="CH27" i="2"/>
  <c r="CC25" i="2"/>
  <c r="G5" i="2"/>
  <c r="CO122" i="2"/>
  <c r="BZ122" i="2"/>
  <c r="CJ124" i="2"/>
  <c r="CQ44" i="2"/>
  <c r="CV27" i="2"/>
  <c r="CQ25" i="2"/>
  <c r="W165" i="35" s="1"/>
  <c r="CP44" i="2"/>
  <c r="CU27" i="2"/>
  <c r="CP25" i="2"/>
  <c r="V165" i="35" s="1"/>
  <c r="CY62" i="12"/>
  <c r="CY43" i="2"/>
  <c r="CY42" i="2"/>
  <c r="BX44" i="2"/>
  <c r="CC27" i="2"/>
  <c r="BX25" i="2"/>
  <c r="DH44" i="2"/>
  <c r="DH48" i="2" s="1"/>
  <c r="DH25" i="2"/>
  <c r="AK165" i="35" s="1"/>
  <c r="CO17" i="2"/>
  <c r="CJ32" i="2"/>
  <c r="DD124" i="2"/>
  <c r="CY124" i="2"/>
  <c r="CJ122" i="2"/>
  <c r="DC68" i="13"/>
  <c r="DH68" i="13"/>
  <c r="DI62" i="12"/>
  <c r="DI43" i="2"/>
  <c r="DI42" i="2"/>
  <c r="CI44" i="2"/>
  <c r="CN27" i="2"/>
  <c r="CI25" i="2"/>
  <c r="CH44" i="2"/>
  <c r="CM27" i="2"/>
  <c r="CH25" i="2"/>
  <c r="CT35" i="35"/>
  <c r="CT5" i="35"/>
  <c r="CT9" i="35" s="1"/>
  <c r="BZ61" i="12"/>
  <c r="BZ64" i="13"/>
  <c r="CE11" i="2"/>
  <c r="BZ24" i="2"/>
  <c r="BZ40" i="2"/>
  <c r="DE44" i="2"/>
  <c r="DE48" i="2" s="1"/>
  <c r="DJ27" i="2"/>
  <c r="DE25" i="2"/>
  <c r="AH165" i="35" s="1"/>
  <c r="DD52" i="2"/>
  <c r="CY34" i="2"/>
  <c r="CZ35" i="35"/>
  <c r="CZ5" i="35"/>
  <c r="DD64" i="13"/>
  <c r="DD55" i="12"/>
  <c r="DD57" i="12" s="1"/>
  <c r="DD61" i="12"/>
  <c r="DD36" i="2"/>
  <c r="DI11" i="2"/>
  <c r="DD40" i="2"/>
  <c r="DD34" i="2"/>
  <c r="DD24" i="2"/>
  <c r="F14" i="1"/>
  <c r="DK44" i="2"/>
  <c r="DK25" i="2"/>
  <c r="CY19" i="2"/>
  <c r="BZ19" i="2"/>
  <c r="CE62" i="12"/>
  <c r="CE42" i="2"/>
  <c r="CE43" i="2"/>
  <c r="DA5" i="35"/>
  <c r="DA9" i="35" s="1"/>
  <c r="DA35" i="35"/>
  <c r="DI64" i="13"/>
  <c r="DI67" i="13" s="1"/>
  <c r="DI150" i="2"/>
  <c r="DI61" i="12"/>
  <c r="DI148" i="2"/>
  <c r="DI149" i="2"/>
  <c r="DI55" i="12"/>
  <c r="DI57" i="12" s="1"/>
  <c r="DI40" i="2"/>
  <c r="G14" i="1"/>
  <c r="DI32" i="2"/>
  <c r="DI38" i="2"/>
  <c r="DI24" i="2"/>
  <c r="DI25" i="2" s="1"/>
  <c r="G25" i="1" s="1"/>
  <c r="BU64" i="13"/>
  <c r="BU61" i="12"/>
  <c r="BU40" i="2"/>
  <c r="BU32" i="2"/>
  <c r="BU38" i="2"/>
  <c r="BZ11" i="2"/>
  <c r="CT6" i="35" s="1"/>
  <c r="CT170" i="35" s="1"/>
  <c r="BU24" i="2"/>
  <c r="CZ44" i="2"/>
  <c r="DE27" i="2"/>
  <c r="CZ25" i="2"/>
  <c r="AD165" i="35" s="1"/>
  <c r="BZ38" i="2"/>
  <c r="BZ36" i="2"/>
  <c r="CJ19" i="2"/>
  <c r="CY122" i="2"/>
  <c r="BU62" i="12"/>
  <c r="BU43" i="2"/>
  <c r="BU42" i="2"/>
  <c r="CA44" i="2"/>
  <c r="CF27" i="2"/>
  <c r="CA25" i="2"/>
  <c r="CY35" i="35"/>
  <c r="CY5" i="35"/>
  <c r="CY64" i="13"/>
  <c r="CY55" i="12"/>
  <c r="CY57" i="12" s="1"/>
  <c r="CY61" i="12"/>
  <c r="CY24" i="2"/>
  <c r="CY40" i="2"/>
  <c r="DD11" i="2"/>
  <c r="E14" i="1"/>
  <c r="CY38" i="2"/>
  <c r="BR44" i="2"/>
  <c r="BW27" i="2"/>
  <c r="BR25" i="2"/>
  <c r="DD125" i="2"/>
  <c r="DB27" i="2"/>
  <c r="CW25" i="2"/>
  <c r="AB165" i="35" s="1"/>
  <c r="CW44" i="2"/>
  <c r="CW35" i="35"/>
  <c r="CW5" i="35"/>
  <c r="CW9" i="35" s="1"/>
  <c r="CO55" i="12"/>
  <c r="CO61" i="12"/>
  <c r="CO64" i="13"/>
  <c r="CO144" i="2"/>
  <c r="CT11" i="2"/>
  <c r="C14" i="1"/>
  <c r="CO24" i="2"/>
  <c r="CO32" i="2"/>
  <c r="CO62" i="12"/>
  <c r="CO43" i="2"/>
  <c r="CO42" i="2"/>
  <c r="DC44" i="2"/>
  <c r="DH27" i="2"/>
  <c r="DC25" i="2"/>
  <c r="AG165" i="35" s="1"/>
  <c r="DO27" i="2"/>
  <c r="DJ44" i="2"/>
  <c r="DJ25" i="2"/>
  <c r="AL165" i="35" s="1"/>
  <c r="CO40" i="2"/>
  <c r="CR44" i="2"/>
  <c r="CW27" i="2"/>
  <c r="CR25" i="2"/>
  <c r="X165" i="35" s="1"/>
  <c r="CT14" i="2"/>
  <c r="DI34" i="2"/>
  <c r="DD32" i="2"/>
  <c r="CO34" i="2"/>
  <c r="DG72" i="14"/>
  <c r="CE124" i="2"/>
  <c r="BS44" i="2"/>
  <c r="BX27" i="2"/>
  <c r="BS25" i="2"/>
  <c r="CT62" i="12"/>
  <c r="CT43" i="2"/>
  <c r="CT42" i="2"/>
  <c r="CG44" i="2"/>
  <c r="CL27" i="2"/>
  <c r="CG25" i="2"/>
  <c r="T5" i="2"/>
  <c r="X5" i="2"/>
  <c r="CX186" i="35"/>
  <c r="CZ27" i="2"/>
  <c r="CU25" i="2"/>
  <c r="Z165" i="35" s="1"/>
  <c r="CU44" i="2"/>
  <c r="CO14" i="2"/>
  <c r="DB44" i="2"/>
  <c r="DG27" i="2"/>
  <c r="DB25" i="2"/>
  <c r="AF165" i="35" s="1"/>
  <c r="CB44" i="2"/>
  <c r="CG27" i="2"/>
  <c r="CB25" i="2"/>
  <c r="BU34" i="2"/>
  <c r="DD19" i="2"/>
  <c r="DI36" i="2"/>
  <c r="BZ34" i="2"/>
  <c r="CU8" i="14"/>
  <c r="BU122" i="2"/>
  <c r="CE122" i="2"/>
  <c r="BY44" i="2"/>
  <c r="CD27" i="2"/>
  <c r="BY25" i="2"/>
  <c r="L5" i="2"/>
  <c r="CY36" i="2"/>
  <c r="DL44" i="2"/>
  <c r="DL25" i="2"/>
  <c r="CR27" i="2"/>
  <c r="CM25" i="2"/>
  <c r="CM44" i="2"/>
  <c r="CU35" i="35"/>
  <c r="CU5" i="35"/>
  <c r="CE64" i="13"/>
  <c r="CE55" i="12"/>
  <c r="CE61" i="12"/>
  <c r="CE38" i="2"/>
  <c r="CE34" i="2"/>
  <c r="CE87" i="2"/>
  <c r="CJ11" i="2"/>
  <c r="CE142" i="2"/>
  <c r="CE24" i="2"/>
  <c r="CE36" i="2"/>
  <c r="DA44" i="2"/>
  <c r="DF27" i="2"/>
  <c r="DA25" i="2"/>
  <c r="AE165" i="35" s="1"/>
  <c r="BT44" i="2"/>
  <c r="BY27" i="2"/>
  <c r="BT25" i="2"/>
  <c r="BZ32" i="2"/>
  <c r="BU36" i="2"/>
  <c r="CE32" i="2"/>
  <c r="DN21" i="13"/>
  <c r="DN22" i="13"/>
  <c r="DI22" i="13"/>
  <c r="DX51" i="2"/>
  <c r="DZ51" i="2"/>
  <c r="EA51" i="2" s="1"/>
  <c r="EB51" i="2" s="1"/>
  <c r="ED51" i="2" s="1"/>
  <c r="M8" i="42"/>
  <c r="U520" i="1"/>
  <c r="U521" i="1"/>
  <c r="S520" i="1"/>
  <c r="S521" i="1"/>
  <c r="I520" i="1"/>
  <c r="I521" i="1"/>
  <c r="L520" i="1"/>
  <c r="L521" i="1"/>
  <c r="S517" i="1"/>
  <c r="S518" i="1"/>
  <c r="S519" i="1"/>
  <c r="I517" i="1"/>
  <c r="I518" i="1"/>
  <c r="I519" i="1"/>
  <c r="L517" i="1"/>
  <c r="L518" i="1"/>
  <c r="L519" i="1"/>
  <c r="U517" i="1"/>
  <c r="U519" i="1"/>
  <c r="U518" i="1"/>
  <c r="CJ123" i="2"/>
  <c r="BZ123" i="2"/>
  <c r="CT123" i="2"/>
  <c r="CO123" i="2"/>
  <c r="CY123" i="2"/>
  <c r="S516" i="1"/>
  <c r="S515" i="1"/>
  <c r="I516" i="1"/>
  <c r="I515" i="1"/>
  <c r="L515" i="1"/>
  <c r="L516" i="1"/>
  <c r="U515" i="1"/>
  <c r="U516" i="1"/>
  <c r="U98" i="1"/>
  <c r="U512" i="1"/>
  <c r="U513" i="1"/>
  <c r="U510" i="1"/>
  <c r="U514" i="1"/>
  <c r="U511" i="1"/>
  <c r="S429" i="1"/>
  <c r="S510" i="1"/>
  <c r="S511" i="1"/>
  <c r="S512" i="1"/>
  <c r="S513" i="1"/>
  <c r="S514" i="1"/>
  <c r="I98" i="1"/>
  <c r="I514" i="1"/>
  <c r="I510" i="1"/>
  <c r="I511" i="1"/>
  <c r="I512" i="1"/>
  <c r="I513" i="1"/>
  <c r="L457" i="1"/>
  <c r="L512" i="1"/>
  <c r="L513" i="1"/>
  <c r="L514" i="1"/>
  <c r="L511" i="1"/>
  <c r="L510" i="1"/>
  <c r="I294" i="1"/>
  <c r="I170" i="1"/>
  <c r="I131" i="1"/>
  <c r="I374" i="1"/>
  <c r="I349" i="1"/>
  <c r="I455" i="1"/>
  <c r="O13" i="1"/>
  <c r="I152" i="1"/>
  <c r="I188" i="1"/>
  <c r="I186" i="1"/>
  <c r="I320" i="1"/>
  <c r="I472" i="1"/>
  <c r="I459" i="1"/>
  <c r="I177" i="1"/>
  <c r="I196" i="1"/>
  <c r="I214" i="1"/>
  <c r="I323" i="1"/>
  <c r="I422" i="1"/>
  <c r="I469" i="1"/>
  <c r="I88" i="1"/>
  <c r="I211" i="1"/>
  <c r="I155" i="1"/>
  <c r="I207" i="1"/>
  <c r="I240" i="1"/>
  <c r="I171" i="1"/>
  <c r="I336" i="1"/>
  <c r="I331" i="1"/>
  <c r="I384" i="1"/>
  <c r="I333" i="1"/>
  <c r="I256" i="1"/>
  <c r="I304" i="1"/>
  <c r="I495" i="1"/>
  <c r="I117" i="1"/>
  <c r="I228" i="1"/>
  <c r="I327" i="1"/>
  <c r="I358" i="1"/>
  <c r="I355" i="1"/>
  <c r="I134" i="1"/>
  <c r="I144" i="1"/>
  <c r="I251" i="1"/>
  <c r="I366" i="1"/>
  <c r="I470" i="1"/>
  <c r="I485" i="1"/>
  <c r="I424" i="1"/>
  <c r="I138" i="1"/>
  <c r="I115" i="1"/>
  <c r="I318" i="1"/>
  <c r="I393" i="1"/>
  <c r="I345" i="1"/>
  <c r="I435" i="1"/>
  <c r="I162" i="1"/>
  <c r="I400" i="1"/>
  <c r="I252" i="1"/>
  <c r="I303" i="1"/>
  <c r="I172" i="1"/>
  <c r="I200" i="1"/>
  <c r="I241" i="1"/>
  <c r="I279" i="1"/>
  <c r="I242" i="1"/>
  <c r="I277" i="1"/>
  <c r="I437" i="1"/>
  <c r="I428" i="1"/>
  <c r="I503" i="1"/>
  <c r="I215" i="1"/>
  <c r="I99" i="1"/>
  <c r="I275" i="1"/>
  <c r="I245" i="1"/>
  <c r="I281" i="1"/>
  <c r="I427" i="1"/>
  <c r="I432" i="1"/>
  <c r="I113" i="1"/>
  <c r="I175" i="1"/>
  <c r="I216" i="1"/>
  <c r="I147" i="1"/>
  <c r="I218" i="1"/>
  <c r="I404" i="1"/>
  <c r="I224" i="1"/>
  <c r="I111" i="1"/>
  <c r="I292" i="1"/>
  <c r="I264" i="1"/>
  <c r="I306" i="1"/>
  <c r="I433" i="1"/>
  <c r="I487" i="1"/>
  <c r="I195" i="1"/>
  <c r="I139" i="1"/>
  <c r="I259" i="1"/>
  <c r="I290" i="1"/>
  <c r="I362" i="1"/>
  <c r="I373" i="1"/>
  <c r="I480" i="1"/>
  <c r="I213" i="1"/>
  <c r="I168" i="1"/>
  <c r="I136" i="1"/>
  <c r="I258" i="1"/>
  <c r="I194" i="1"/>
  <c r="I300" i="1"/>
  <c r="I449" i="1"/>
  <c r="I364" i="1"/>
  <c r="I493" i="1"/>
  <c r="I121" i="1"/>
  <c r="I197" i="1"/>
  <c r="I128" i="1"/>
  <c r="I160" i="1"/>
  <c r="I301" i="1"/>
  <c r="I234" i="1"/>
  <c r="I342" i="1"/>
  <c r="I322" i="1"/>
  <c r="I418" i="1"/>
  <c r="I391" i="1"/>
  <c r="I501" i="1"/>
  <c r="I233" i="1"/>
  <c r="I169" i="1"/>
  <c r="I220" i="1"/>
  <c r="I255" i="1"/>
  <c r="I334" i="1"/>
  <c r="I249" i="1"/>
  <c r="I375" i="1"/>
  <c r="I399" i="1"/>
  <c r="I461" i="1"/>
  <c r="I164" i="1"/>
  <c r="I101" i="1"/>
  <c r="I145" i="1"/>
  <c r="I185" i="1"/>
  <c r="I229" i="1"/>
  <c r="I278" i="1"/>
  <c r="I260" i="1"/>
  <c r="I257" i="1"/>
  <c r="I379" i="1"/>
  <c r="I402" i="1"/>
  <c r="I468" i="1"/>
  <c r="I90" i="1"/>
  <c r="I203" i="1"/>
  <c r="I116" i="1"/>
  <c r="I149" i="1"/>
  <c r="I209" i="1"/>
  <c r="I189" i="1"/>
  <c r="I120" i="1"/>
  <c r="I157" i="1"/>
  <c r="I123" i="1"/>
  <c r="I205" i="1"/>
  <c r="I183" i="1"/>
  <c r="I267" i="1"/>
  <c r="I309" i="1"/>
  <c r="I178" i="1"/>
  <c r="I226" i="1"/>
  <c r="I291" i="1"/>
  <c r="I390" i="1"/>
  <c r="I286" i="1"/>
  <c r="I397" i="1"/>
  <c r="I289" i="1"/>
  <c r="I370" i="1"/>
  <c r="I339" i="1"/>
  <c r="I475" i="1"/>
  <c r="I126" i="1"/>
  <c r="I156" i="1"/>
  <c r="I212" i="1"/>
  <c r="I243" i="1"/>
  <c r="I124" i="1"/>
  <c r="I180" i="1"/>
  <c r="I127" i="1"/>
  <c r="I208" i="1"/>
  <c r="I191" i="1"/>
  <c r="I295" i="1"/>
  <c r="I246" i="1"/>
  <c r="I182" i="1"/>
  <c r="I230" i="1"/>
  <c r="I315" i="1"/>
  <c r="I453" i="1"/>
  <c r="I307" i="1"/>
  <c r="I430" i="1"/>
  <c r="I296" i="1"/>
  <c r="I298" i="1"/>
  <c r="I343" i="1"/>
  <c r="I394" i="1"/>
  <c r="I423" i="1"/>
  <c r="I389" i="1"/>
  <c r="I361" i="1"/>
  <c r="I450" i="1"/>
  <c r="I352" i="1"/>
  <c r="I436" i="1"/>
  <c r="I462" i="1"/>
  <c r="I474" i="1"/>
  <c r="I473" i="1"/>
  <c r="I479" i="1"/>
  <c r="I498" i="1"/>
  <c r="I141" i="1"/>
  <c r="I137" i="1"/>
  <c r="I89" i="1"/>
  <c r="I441" i="1"/>
  <c r="I405" i="1"/>
  <c r="I365" i="1"/>
  <c r="I444" i="1"/>
  <c r="I356" i="1"/>
  <c r="I438" i="1"/>
  <c r="I478" i="1"/>
  <c r="I481" i="1"/>
  <c r="I484" i="1"/>
  <c r="I499" i="1"/>
  <c r="I505" i="1"/>
  <c r="I105" i="1"/>
  <c r="I110" i="1"/>
  <c r="I114" i="1"/>
  <c r="I305" i="1"/>
  <c r="I347" i="1"/>
  <c r="I409" i="1"/>
  <c r="I108" i="1"/>
  <c r="I173" i="1"/>
  <c r="I221" i="1"/>
  <c r="I187" i="1"/>
  <c r="I132" i="1"/>
  <c r="I193" i="1"/>
  <c r="I135" i="1"/>
  <c r="I217" i="1"/>
  <c r="I254" i="1"/>
  <c r="I308" i="1"/>
  <c r="I276" i="1"/>
  <c r="I190" i="1"/>
  <c r="I238" i="1"/>
  <c r="I250" i="1"/>
  <c r="I297" i="1"/>
  <c r="I382" i="1"/>
  <c r="I253" i="1"/>
  <c r="I313" i="1"/>
  <c r="I312" i="1"/>
  <c r="I351" i="1"/>
  <c r="I419" i="1"/>
  <c r="I425" i="1"/>
  <c r="I413" i="1"/>
  <c r="I369" i="1"/>
  <c r="I446" i="1"/>
  <c r="I360" i="1"/>
  <c r="I477" i="1"/>
  <c r="I482" i="1"/>
  <c r="I486" i="1"/>
  <c r="I431" i="1"/>
  <c r="I500" i="1"/>
  <c r="I508" i="1"/>
  <c r="I106" i="1"/>
  <c r="I125" i="1"/>
  <c r="I122" i="1"/>
  <c r="I109" i="1"/>
  <c r="I159" i="1"/>
  <c r="I227" i="1"/>
  <c r="I225" i="1"/>
  <c r="I140" i="1"/>
  <c r="I95" i="1"/>
  <c r="I143" i="1"/>
  <c r="I223" i="1"/>
  <c r="I284" i="1"/>
  <c r="I263" i="1"/>
  <c r="I293" i="1"/>
  <c r="I198" i="1"/>
  <c r="I268" i="1"/>
  <c r="I262" i="1"/>
  <c r="I314" i="1"/>
  <c r="I310" i="1"/>
  <c r="I261" i="1"/>
  <c r="I326" i="1"/>
  <c r="I350" i="1"/>
  <c r="I359" i="1"/>
  <c r="I406" i="1"/>
  <c r="I458" i="1"/>
  <c r="I429" i="1"/>
  <c r="I377" i="1"/>
  <c r="I388" i="1"/>
  <c r="I368" i="1"/>
  <c r="I398" i="1"/>
  <c r="I492" i="1"/>
  <c r="I490" i="1"/>
  <c r="I439" i="1"/>
  <c r="I502" i="1"/>
  <c r="I506" i="1"/>
  <c r="I104" i="1"/>
  <c r="I100" i="1"/>
  <c r="I133" i="1"/>
  <c r="I401" i="1"/>
  <c r="I504" i="1"/>
  <c r="I460" i="1"/>
  <c r="I443" i="1"/>
  <c r="I466" i="1"/>
  <c r="I509" i="1"/>
  <c r="I91" i="1"/>
  <c r="I97" i="1"/>
  <c r="I280" i="1"/>
  <c r="I202" i="1"/>
  <c r="I386" i="1"/>
  <c r="I378" i="1"/>
  <c r="I414" i="1"/>
  <c r="I381" i="1"/>
  <c r="I372" i="1"/>
  <c r="I236" i="1"/>
  <c r="I154" i="1"/>
  <c r="I163" i="1"/>
  <c r="I348" i="1"/>
  <c r="I287" i="1"/>
  <c r="I272" i="1"/>
  <c r="I206" i="1"/>
  <c r="I283" i="1"/>
  <c r="I311" i="1"/>
  <c r="I338" i="1"/>
  <c r="I324" i="1"/>
  <c r="I269" i="1"/>
  <c r="I332" i="1"/>
  <c r="I325" i="1"/>
  <c r="I367" i="1"/>
  <c r="I421" i="1"/>
  <c r="I408" i="1"/>
  <c r="I454" i="1"/>
  <c r="I385" i="1"/>
  <c r="I410" i="1"/>
  <c r="I376" i="1"/>
  <c r="I412" i="1"/>
  <c r="I465" i="1"/>
  <c r="I464" i="1"/>
  <c r="I447" i="1"/>
  <c r="I483" i="1"/>
  <c r="I192" i="1"/>
  <c r="I94" i="1"/>
  <c r="I204" i="1"/>
  <c r="I146" i="1"/>
  <c r="I316" i="1"/>
  <c r="I248" i="1"/>
  <c r="I270" i="1"/>
  <c r="I321" i="1"/>
  <c r="I317" i="1"/>
  <c r="I265" i="1"/>
  <c r="I329" i="1"/>
  <c r="I363" i="1"/>
  <c r="I396" i="1"/>
  <c r="I452" i="1"/>
  <c r="I395" i="1"/>
  <c r="I93" i="1"/>
  <c r="I165" i="1"/>
  <c r="I231" i="1"/>
  <c r="I103" i="1"/>
  <c r="I232" i="1"/>
  <c r="I201" i="1"/>
  <c r="I96" i="1"/>
  <c r="I181" i="1"/>
  <c r="I239" i="1"/>
  <c r="I237" i="1"/>
  <c r="I244" i="1"/>
  <c r="I107" i="1"/>
  <c r="I166" i="1"/>
  <c r="I235" i="1"/>
  <c r="I247" i="1"/>
  <c r="I337" i="1"/>
  <c r="I274" i="1"/>
  <c r="I210" i="1"/>
  <c r="I288" i="1"/>
  <c r="I330" i="1"/>
  <c r="I344" i="1"/>
  <c r="I340" i="1"/>
  <c r="I273" i="1"/>
  <c r="I299" i="1"/>
  <c r="I328" i="1"/>
  <c r="I371" i="1"/>
  <c r="I445" i="1"/>
  <c r="I411" i="1"/>
  <c r="I341" i="1"/>
  <c r="I392" i="1"/>
  <c r="I415" i="1"/>
  <c r="I380" i="1"/>
  <c r="I426" i="1"/>
  <c r="I496" i="1"/>
  <c r="I467" i="1"/>
  <c r="I451" i="1"/>
  <c r="I488" i="1"/>
  <c r="I184" i="1"/>
  <c r="I92" i="1"/>
  <c r="I102" i="1"/>
  <c r="I142" i="1"/>
  <c r="I179" i="1"/>
  <c r="I150" i="1"/>
  <c r="I119" i="1"/>
  <c r="I199" i="1"/>
  <c r="I176" i="1"/>
  <c r="I271" i="1"/>
  <c r="I302" i="1"/>
  <c r="I174" i="1"/>
  <c r="I222" i="1"/>
  <c r="I266" i="1"/>
  <c r="I346" i="1"/>
  <c r="I282" i="1"/>
  <c r="I354" i="1"/>
  <c r="I285" i="1"/>
  <c r="I319" i="1"/>
  <c r="I335" i="1"/>
  <c r="I383" i="1"/>
  <c r="I403" i="1"/>
  <c r="I456" i="1"/>
  <c r="I353" i="1"/>
  <c r="I420" i="1"/>
  <c r="I440" i="1"/>
  <c r="I407" i="1"/>
  <c r="I434" i="1"/>
  <c r="I471" i="1"/>
  <c r="I489" i="1"/>
  <c r="I463" i="1"/>
  <c r="I497" i="1"/>
  <c r="I158" i="1"/>
  <c r="I130" i="1"/>
  <c r="I161" i="1"/>
  <c r="I129" i="1"/>
  <c r="I387" i="1"/>
  <c r="I416" i="1"/>
  <c r="I357" i="1"/>
  <c r="I448" i="1"/>
  <c r="I442" i="1"/>
  <c r="I417" i="1"/>
  <c r="I457" i="1"/>
  <c r="I491" i="1"/>
  <c r="I494" i="1"/>
  <c r="I476" i="1"/>
  <c r="I507" i="1"/>
  <c r="I148" i="1"/>
  <c r="I151" i="1"/>
  <c r="S327" i="1"/>
  <c r="I167" i="1"/>
  <c r="S416" i="1"/>
  <c r="I112" i="1"/>
  <c r="I118" i="1"/>
  <c r="I219" i="1"/>
  <c r="I153" i="1"/>
  <c r="S250" i="1"/>
  <c r="S442" i="1"/>
  <c r="S132" i="1"/>
  <c r="S180" i="1"/>
  <c r="S285" i="1"/>
  <c r="S248" i="1"/>
  <c r="S261" i="1"/>
  <c r="S459" i="1"/>
  <c r="S263" i="1"/>
  <c r="S498" i="1"/>
  <c r="S282" i="1"/>
  <c r="S286" i="1"/>
  <c r="S209" i="1"/>
  <c r="S347" i="1"/>
  <c r="S156" i="1"/>
  <c r="S192" i="1"/>
  <c r="S390" i="1"/>
  <c r="S150" i="1"/>
  <c r="S185" i="1"/>
  <c r="S258" i="1"/>
  <c r="S362" i="1"/>
  <c r="S160" i="1"/>
  <c r="S241" i="1"/>
  <c r="S278" i="1"/>
  <c r="S366" i="1"/>
  <c r="S99" i="1"/>
  <c r="S218" i="1"/>
  <c r="S295" i="1"/>
  <c r="S345" i="1"/>
  <c r="S410" i="1"/>
  <c r="S102" i="1"/>
  <c r="S164" i="1"/>
  <c r="S215" i="1"/>
  <c r="S368" i="1"/>
  <c r="S475" i="1"/>
  <c r="S404" i="1"/>
  <c r="S499" i="1"/>
  <c r="S172" i="1"/>
  <c r="S120" i="1"/>
  <c r="S272" i="1"/>
  <c r="S428" i="1"/>
  <c r="S482" i="1"/>
  <c r="S138" i="1"/>
  <c r="S124" i="1"/>
  <c r="S281" i="1"/>
  <c r="S447" i="1"/>
  <c r="S496" i="1"/>
  <c r="L460" i="1"/>
  <c r="L474" i="1"/>
  <c r="L440" i="1"/>
  <c r="L424" i="1"/>
  <c r="L454" i="1"/>
  <c r="L130" i="1"/>
  <c r="L164" i="1"/>
  <c r="L158" i="1"/>
  <c r="L204" i="1"/>
  <c r="S121" i="1"/>
  <c r="S289" i="1"/>
  <c r="S303" i="1"/>
  <c r="S343" i="1"/>
  <c r="S374" i="1"/>
  <c r="S508" i="1"/>
  <c r="L134" i="1"/>
  <c r="L278" i="1"/>
  <c r="S189" i="1"/>
  <c r="S95" i="1"/>
  <c r="S125" i="1"/>
  <c r="S284" i="1"/>
  <c r="S319" i="1"/>
  <c r="S344" i="1"/>
  <c r="S454" i="1"/>
  <c r="S470" i="1"/>
  <c r="L272" i="1"/>
  <c r="S181" i="1"/>
  <c r="S129" i="1"/>
  <c r="S267" i="1"/>
  <c r="S291" i="1"/>
  <c r="S348" i="1"/>
  <c r="S509" i="1"/>
  <c r="S494" i="1"/>
  <c r="L230" i="1"/>
  <c r="S198" i="1"/>
  <c r="S244" i="1"/>
  <c r="S315" i="1"/>
  <c r="S352" i="1"/>
  <c r="L235" i="1"/>
  <c r="L499" i="1"/>
  <c r="L458" i="1"/>
  <c r="L92" i="1"/>
  <c r="L346" i="1"/>
  <c r="L441" i="1"/>
  <c r="L371" i="1"/>
  <c r="L142" i="1"/>
  <c r="L506" i="1"/>
  <c r="L234" i="1"/>
  <c r="L96" i="1"/>
  <c r="L479" i="1"/>
  <c r="L233" i="1"/>
  <c r="L366" i="1"/>
  <c r="L101" i="1"/>
  <c r="L237" i="1"/>
  <c r="L377" i="1"/>
  <c r="L252" i="1"/>
  <c r="L397" i="1"/>
  <c r="L138" i="1"/>
  <c r="L241" i="1"/>
  <c r="L248" i="1"/>
  <c r="L379" i="1"/>
  <c r="L443" i="1"/>
  <c r="L462" i="1"/>
  <c r="L112" i="1"/>
  <c r="L208" i="1"/>
  <c r="L238" i="1"/>
  <c r="L273" i="1"/>
  <c r="L292" i="1"/>
  <c r="L466" i="1"/>
  <c r="L116" i="1"/>
  <c r="L242" i="1"/>
  <c r="L277" i="1"/>
  <c r="L296" i="1"/>
  <c r="L483" i="1"/>
  <c r="L281" i="1"/>
  <c r="L488" i="1"/>
  <c r="L113" i="1"/>
  <c r="L268" i="1"/>
  <c r="L228" i="1"/>
  <c r="L247" i="1"/>
  <c r="L383" i="1"/>
  <c r="L352" i="1"/>
  <c r="L140" i="1"/>
  <c r="L212" i="1"/>
  <c r="L224" i="1"/>
  <c r="L308" i="1"/>
  <c r="L154" i="1"/>
  <c r="L90" i="1"/>
  <c r="L225" i="1"/>
  <c r="L219" i="1"/>
  <c r="L330" i="1"/>
  <c r="L451" i="1"/>
  <c r="L430" i="1"/>
  <c r="L94" i="1"/>
  <c r="L229" i="1"/>
  <c r="L231" i="1"/>
  <c r="L333" i="1"/>
  <c r="L447" i="1"/>
  <c r="L434" i="1"/>
  <c r="L149" i="1"/>
  <c r="L356" i="1"/>
  <c r="L173" i="1"/>
  <c r="L255" i="1"/>
  <c r="L123" i="1"/>
  <c r="L146" i="1"/>
  <c r="L177" i="1"/>
  <c r="L203" i="1"/>
  <c r="L259" i="1"/>
  <c r="L343" i="1"/>
  <c r="L408" i="1"/>
  <c r="L404" i="1"/>
  <c r="L453" i="1"/>
  <c r="L179" i="1"/>
  <c r="L232" i="1"/>
  <c r="L236" i="1"/>
  <c r="L174" i="1"/>
  <c r="L342" i="1"/>
  <c r="L337" i="1"/>
  <c r="L449" i="1"/>
  <c r="L119" i="1"/>
  <c r="L260" i="1"/>
  <c r="L148" i="1"/>
  <c r="L178" i="1"/>
  <c r="L385" i="1"/>
  <c r="L171" i="1"/>
  <c r="L167" i="1"/>
  <c r="L181" i="1"/>
  <c r="L152" i="1"/>
  <c r="L207" i="1"/>
  <c r="L182" i="1"/>
  <c r="L263" i="1"/>
  <c r="L400" i="1"/>
  <c r="L375" i="1"/>
  <c r="L411" i="1"/>
  <c r="L407" i="1"/>
  <c r="L93" i="1"/>
  <c r="L105" i="1"/>
  <c r="L485" i="1"/>
  <c r="L433" i="1"/>
  <c r="L426" i="1"/>
  <c r="L384" i="1"/>
  <c r="L304" i="1"/>
  <c r="L452" i="1"/>
  <c r="L378" i="1"/>
  <c r="L469" i="1"/>
  <c r="L309" i="1"/>
  <c r="L269" i="1"/>
  <c r="L293" i="1"/>
  <c r="L290" i="1"/>
  <c r="L301" i="1"/>
  <c r="L362" i="1"/>
  <c r="L222" i="1"/>
  <c r="L323" i="1"/>
  <c r="L227" i="1"/>
  <c r="L244" i="1"/>
  <c r="L188" i="1"/>
  <c r="L387" i="1"/>
  <c r="L221" i="1"/>
  <c r="L157" i="1"/>
  <c r="L104" i="1"/>
  <c r="L159" i="1"/>
  <c r="L110" i="1"/>
  <c r="L135" i="1"/>
  <c r="L131" i="1"/>
  <c r="L496" i="1"/>
  <c r="L490" i="1"/>
  <c r="L429" i="1"/>
  <c r="L422" i="1"/>
  <c r="L380" i="1"/>
  <c r="L300" i="1"/>
  <c r="L413" i="1"/>
  <c r="L439" i="1"/>
  <c r="L392" i="1"/>
  <c r="L401" i="1"/>
  <c r="L265" i="1"/>
  <c r="L455" i="1"/>
  <c r="L481" i="1"/>
  <c r="L294" i="1"/>
  <c r="L315" i="1"/>
  <c r="L218" i="1"/>
  <c r="L274" i="1"/>
  <c r="L223" i="1"/>
  <c r="L240" i="1"/>
  <c r="L184" i="1"/>
  <c r="L357" i="1"/>
  <c r="L217" i="1"/>
  <c r="L169" i="1"/>
  <c r="L100" i="1"/>
  <c r="L286" i="1"/>
  <c r="L106" i="1"/>
  <c r="L125" i="1"/>
  <c r="L484" i="1"/>
  <c r="L437" i="1"/>
  <c r="L414" i="1"/>
  <c r="L348" i="1"/>
  <c r="L444" i="1"/>
  <c r="L497" i="1"/>
  <c r="L350" i="1"/>
  <c r="L367" i="1"/>
  <c r="L349" i="1"/>
  <c r="L361" i="1"/>
  <c r="L358" i="1"/>
  <c r="L432" i="1"/>
  <c r="L202" i="1"/>
  <c r="L276" i="1"/>
  <c r="L199" i="1"/>
  <c r="L200" i="1"/>
  <c r="L298" i="1"/>
  <c r="L205" i="1"/>
  <c r="L136" i="1"/>
  <c r="L161" i="1"/>
  <c r="L126" i="1"/>
  <c r="L464" i="1"/>
  <c r="L270" i="1"/>
  <c r="L98" i="1"/>
  <c r="L436" i="1"/>
  <c r="L279" i="1"/>
  <c r="L137" i="1"/>
  <c r="L141" i="1"/>
  <c r="L470" i="1"/>
  <c r="L487" i="1"/>
  <c r="L410" i="1"/>
  <c r="L344" i="1"/>
  <c r="L448" i="1"/>
  <c r="L435" i="1"/>
  <c r="L370" i="1"/>
  <c r="L326" i="1"/>
  <c r="L303" i="1"/>
  <c r="L351" i="1"/>
  <c r="L353" i="1"/>
  <c r="L291" i="1"/>
  <c r="L198" i="1"/>
  <c r="L246" i="1"/>
  <c r="L253" i="1"/>
  <c r="L196" i="1"/>
  <c r="L284" i="1"/>
  <c r="L201" i="1"/>
  <c r="L132" i="1"/>
  <c r="L151" i="1"/>
  <c r="L118" i="1"/>
  <c r="L502" i="1"/>
  <c r="L503" i="1"/>
  <c r="L355" i="1"/>
  <c r="L374" i="1"/>
  <c r="L314" i="1"/>
  <c r="L288" i="1"/>
  <c r="L302" i="1"/>
  <c r="L102" i="1"/>
  <c r="L475" i="1"/>
  <c r="L283" i="1"/>
  <c r="L282" i="1"/>
  <c r="L256" i="1"/>
  <c r="L165" i="1"/>
  <c r="L493" i="1"/>
  <c r="L472" i="1"/>
  <c r="L405" i="1"/>
  <c r="L463" i="1"/>
  <c r="L319" i="1"/>
  <c r="L285" i="1"/>
  <c r="L428" i="1"/>
  <c r="L505" i="1"/>
  <c r="L482" i="1"/>
  <c r="L406" i="1"/>
  <c r="L340" i="1"/>
  <c r="L420" i="1"/>
  <c r="L393" i="1"/>
  <c r="L365" i="1"/>
  <c r="L313" i="1"/>
  <c r="L391" i="1"/>
  <c r="L338" i="1"/>
  <c r="L318" i="1"/>
  <c r="L266" i="1"/>
  <c r="L194" i="1"/>
  <c r="L345" i="1"/>
  <c r="L373" i="1"/>
  <c r="L192" i="1"/>
  <c r="L363" i="1"/>
  <c r="L197" i="1"/>
  <c r="L128" i="1"/>
  <c r="L262" i="1"/>
  <c r="L114" i="1"/>
  <c r="L478" i="1"/>
  <c r="L336" i="1"/>
  <c r="L306" i="1"/>
  <c r="L190" i="1"/>
  <c r="L180" i="1"/>
  <c r="L193" i="1"/>
  <c r="L249" i="1"/>
  <c r="L508" i="1"/>
  <c r="L332" i="1"/>
  <c r="L416" i="1"/>
  <c r="L341" i="1"/>
  <c r="L289" i="1"/>
  <c r="L369" i="1"/>
  <c r="L297" i="1"/>
  <c r="L299" i="1"/>
  <c r="L176" i="1"/>
  <c r="L189" i="1"/>
  <c r="L495" i="1"/>
  <c r="L359" i="1"/>
  <c r="L115" i="1"/>
  <c r="L477" i="1"/>
  <c r="L423" i="1"/>
  <c r="L287" i="1"/>
  <c r="L305" i="1"/>
  <c r="L258" i="1"/>
  <c r="L124" i="1"/>
  <c r="L500" i="1"/>
  <c r="L186" i="1"/>
  <c r="L120" i="1"/>
  <c r="L312" i="1"/>
  <c r="L147" i="1"/>
  <c r="L170" i="1"/>
  <c r="L251" i="1"/>
  <c r="L307" i="1"/>
  <c r="L334" i="1"/>
  <c r="L501" i="1"/>
  <c r="L445" i="1"/>
  <c r="L144" i="1"/>
  <c r="L360" i="1"/>
  <c r="L183" i="1"/>
  <c r="L250" i="1"/>
  <c r="L185" i="1"/>
  <c r="L156" i="1"/>
  <c r="L211" i="1"/>
  <c r="L206" i="1"/>
  <c r="L275" i="1"/>
  <c r="L335" i="1"/>
  <c r="L295" i="1"/>
  <c r="L431" i="1"/>
  <c r="L417" i="1"/>
  <c r="L504" i="1"/>
  <c r="L127" i="1"/>
  <c r="L195" i="1"/>
  <c r="L325" i="1"/>
  <c r="L163" i="1"/>
  <c r="L396" i="1"/>
  <c r="L191" i="1"/>
  <c r="L88" i="1"/>
  <c r="L209" i="1"/>
  <c r="L160" i="1"/>
  <c r="L215" i="1"/>
  <c r="L226" i="1"/>
  <c r="L399" i="1"/>
  <c r="L354" i="1"/>
  <c r="L381" i="1"/>
  <c r="L388" i="1"/>
  <c r="L418" i="1"/>
  <c r="L476" i="1"/>
  <c r="S489" i="1"/>
  <c r="S471" i="1"/>
  <c r="S420" i="1"/>
  <c r="S358" i="1"/>
  <c r="S457" i="1"/>
  <c r="S399" i="1"/>
  <c r="S437" i="1"/>
  <c r="S360" i="1"/>
  <c r="S391" i="1"/>
  <c r="S304" i="1"/>
  <c r="S199" i="1"/>
  <c r="S264" i="1"/>
  <c r="S116" i="1"/>
  <c r="S117" i="1"/>
  <c r="S103" i="1"/>
  <c r="S503" i="1"/>
  <c r="S353" i="1"/>
  <c r="S425" i="1"/>
  <c r="S356" i="1"/>
  <c r="S300" i="1"/>
  <c r="S396" i="1"/>
  <c r="S179" i="1"/>
  <c r="S238" i="1"/>
  <c r="S190" i="1"/>
  <c r="S288" i="1"/>
  <c r="S149" i="1"/>
  <c r="S216" i="1"/>
  <c r="S220" i="1"/>
  <c r="S167" i="1"/>
  <c r="S311" i="1"/>
  <c r="S367" i="1"/>
  <c r="S450" i="1"/>
  <c r="S440" i="1"/>
  <c r="S122" i="1"/>
  <c r="S449" i="1"/>
  <c r="S145" i="1"/>
  <c r="S153" i="1"/>
  <c r="S225" i="1"/>
  <c r="S226" i="1"/>
  <c r="S171" i="1"/>
  <c r="S330" i="1"/>
  <c r="S292" i="1"/>
  <c r="S474" i="1"/>
  <c r="S468" i="1"/>
  <c r="S444" i="1"/>
  <c r="S146" i="1"/>
  <c r="S109" i="1"/>
  <c r="S186" i="1"/>
  <c r="S256" i="1"/>
  <c r="S229" i="1"/>
  <c r="S203" i="1"/>
  <c r="S333" i="1"/>
  <c r="S407" i="1"/>
  <c r="S421" i="1"/>
  <c r="S446" i="1"/>
  <c r="S448" i="1"/>
  <c r="S152" i="1"/>
  <c r="S194" i="1"/>
  <c r="S158" i="1"/>
  <c r="S232" i="1"/>
  <c r="S207" i="1"/>
  <c r="S371" i="1"/>
  <c r="S334" i="1"/>
  <c r="S443" i="1"/>
  <c r="S422" i="1"/>
  <c r="S456" i="1"/>
  <c r="L145" i="1"/>
  <c r="L129" i="1"/>
  <c r="L155" i="1"/>
  <c r="L492" i="1"/>
  <c r="L473" i="1"/>
  <c r="L491" i="1"/>
  <c r="L425" i="1"/>
  <c r="L450" i="1"/>
  <c r="L402" i="1"/>
  <c r="L376" i="1"/>
  <c r="L328" i="1"/>
  <c r="L415" i="1"/>
  <c r="L389" i="1"/>
  <c r="L386" i="1"/>
  <c r="L419" i="1"/>
  <c r="L339" i="1"/>
  <c r="L347" i="1"/>
  <c r="L261" i="1"/>
  <c r="L317" i="1"/>
  <c r="L327" i="1"/>
  <c r="L311" i="1"/>
  <c r="L271" i="1"/>
  <c r="L264" i="1"/>
  <c r="L214" i="1"/>
  <c r="L166" i="1"/>
  <c r="L243" i="1"/>
  <c r="L322" i="1"/>
  <c r="L220" i="1"/>
  <c r="L172" i="1"/>
  <c r="L121" i="1"/>
  <c r="L107" i="1"/>
  <c r="L139" i="1"/>
  <c r="L143" i="1"/>
  <c r="L133" i="1"/>
  <c r="L486" i="1"/>
  <c r="L509" i="1"/>
  <c r="L471" i="1"/>
  <c r="L421" i="1"/>
  <c r="L446" i="1"/>
  <c r="L398" i="1"/>
  <c r="L372" i="1"/>
  <c r="L324" i="1"/>
  <c r="L395" i="1"/>
  <c r="L456" i="1"/>
  <c r="L382" i="1"/>
  <c r="L409" i="1"/>
  <c r="L331" i="1"/>
  <c r="L329" i="1"/>
  <c r="L257" i="1"/>
  <c r="L310" i="1"/>
  <c r="L321" i="1"/>
  <c r="L403" i="1"/>
  <c r="L267" i="1"/>
  <c r="L245" i="1"/>
  <c r="L210" i="1"/>
  <c r="L162" i="1"/>
  <c r="L239" i="1"/>
  <c r="L280" i="1"/>
  <c r="L216" i="1"/>
  <c r="L168" i="1"/>
  <c r="L254" i="1"/>
  <c r="L213" i="1"/>
  <c r="L150" i="1"/>
  <c r="L108" i="1"/>
  <c r="L175" i="1"/>
  <c r="L122" i="1"/>
  <c r="L153" i="1"/>
  <c r="L480" i="1"/>
  <c r="L465" i="1"/>
  <c r="L442" i="1"/>
  <c r="L394" i="1"/>
  <c r="L368" i="1"/>
  <c r="L320" i="1"/>
  <c r="L111" i="1"/>
  <c r="L117" i="1"/>
  <c r="L494" i="1"/>
  <c r="L468" i="1"/>
  <c r="L103" i="1"/>
  <c r="L498" i="1"/>
  <c r="L489" i="1"/>
  <c r="L461" i="1"/>
  <c r="L507" i="1"/>
  <c r="L438" i="1"/>
  <c r="L390" i="1"/>
  <c r="L364" i="1"/>
  <c r="L316" i="1"/>
  <c r="L459" i="1"/>
  <c r="L427" i="1"/>
  <c r="L467" i="1"/>
  <c r="L412" i="1"/>
  <c r="L99" i="1"/>
  <c r="S126" i="1"/>
  <c r="S142" i="1"/>
  <c r="S118" i="1"/>
  <c r="S157" i="1"/>
  <c r="S212" i="1"/>
  <c r="S137" i="1"/>
  <c r="S182" i="1"/>
  <c r="S193" i="1"/>
  <c r="S275" i="1"/>
  <c r="S257" i="1"/>
  <c r="S211" i="1"/>
  <c r="S308" i="1"/>
  <c r="S409" i="1"/>
  <c r="S307" i="1"/>
  <c r="S341" i="1"/>
  <c r="S398" i="1"/>
  <c r="S445" i="1"/>
  <c r="S370" i="1"/>
  <c r="S349" i="1"/>
  <c r="S438" i="1"/>
  <c r="S461" i="1"/>
  <c r="S98" i="1"/>
  <c r="S89" i="1"/>
  <c r="S93" i="1"/>
  <c r="S497" i="1"/>
  <c r="S485" i="1"/>
  <c r="S490" i="1"/>
  <c r="S478" i="1"/>
  <c r="S488" i="1"/>
  <c r="S392" i="1"/>
  <c r="S413" i="1"/>
  <c r="S427" i="1"/>
  <c r="S354" i="1"/>
  <c r="S439" i="1"/>
  <c r="S419" i="1"/>
  <c r="S384" i="1"/>
  <c r="S336" i="1"/>
  <c r="S337" i="1"/>
  <c r="S394" i="1"/>
  <c r="S274" i="1"/>
  <c r="S321" i="1"/>
  <c r="S318" i="1"/>
  <c r="S408" i="1"/>
  <c r="S243" i="1"/>
  <c r="S195" i="1"/>
  <c r="S255" i="1"/>
  <c r="S265" i="1"/>
  <c r="S273" i="1"/>
  <c r="S214" i="1"/>
  <c r="S174" i="1"/>
  <c r="S100" i="1"/>
  <c r="S240" i="1"/>
  <c r="S177" i="1"/>
  <c r="S184" i="1"/>
  <c r="S206" i="1"/>
  <c r="S143" i="1"/>
  <c r="S113" i="1"/>
  <c r="S493" i="1"/>
  <c r="S480" i="1"/>
  <c r="S477" i="1"/>
  <c r="S502" i="1"/>
  <c r="S483" i="1"/>
  <c r="S385" i="1"/>
  <c r="S405" i="1"/>
  <c r="S418" i="1"/>
  <c r="S350" i="1"/>
  <c r="S423" i="1"/>
  <c r="S414" i="1"/>
  <c r="S380" i="1"/>
  <c r="S332" i="1"/>
  <c r="S323" i="1"/>
  <c r="S359" i="1"/>
  <c r="S270" i="1"/>
  <c r="S314" i="1"/>
  <c r="S301" i="1"/>
  <c r="S322" i="1"/>
  <c r="S239" i="1"/>
  <c r="S191" i="1"/>
  <c r="S253" i="1"/>
  <c r="S249" i="1"/>
  <c r="S320" i="1"/>
  <c r="S208" i="1"/>
  <c r="S154" i="1"/>
  <c r="S96" i="1"/>
  <c r="S237" i="1"/>
  <c r="S155" i="1"/>
  <c r="S170" i="1"/>
  <c r="S200" i="1"/>
  <c r="S139" i="1"/>
  <c r="S127" i="1"/>
  <c r="S134" i="1"/>
  <c r="S115" i="1"/>
  <c r="S277" i="1"/>
  <c r="S148" i="1"/>
  <c r="S197" i="1"/>
  <c r="S101" i="1"/>
  <c r="S130" i="1"/>
  <c r="S111" i="1"/>
  <c r="S487" i="1"/>
  <c r="S467" i="1"/>
  <c r="S495" i="1"/>
  <c r="S501" i="1"/>
  <c r="S466" i="1"/>
  <c r="S381" i="1"/>
  <c r="S402" i="1"/>
  <c r="S411" i="1"/>
  <c r="S346" i="1"/>
  <c r="S403" i="1"/>
  <c r="S453" i="1"/>
  <c r="S376" i="1"/>
  <c r="S328" i="1"/>
  <c r="S316" i="1"/>
  <c r="S335" i="1"/>
  <c r="S266" i="1"/>
  <c r="S297" i="1"/>
  <c r="S294" i="1"/>
  <c r="S305" i="1"/>
  <c r="S235" i="1"/>
  <c r="S187" i="1"/>
  <c r="S251" i="1"/>
  <c r="S406" i="1"/>
  <c r="S205" i="1"/>
  <c r="S140" i="1"/>
  <c r="S92" i="1"/>
  <c r="S234" i="1"/>
  <c r="S165" i="1"/>
  <c r="S135" i="1"/>
  <c r="S97" i="1"/>
  <c r="S481" i="1"/>
  <c r="S460" i="1"/>
  <c r="S507" i="1"/>
  <c r="S500" i="1"/>
  <c r="S465" i="1"/>
  <c r="S377" i="1"/>
  <c r="S389" i="1"/>
  <c r="S393" i="1"/>
  <c r="S342" i="1"/>
  <c r="S397" i="1"/>
  <c r="S451" i="1"/>
  <c r="S372" i="1"/>
  <c r="S324" i="1"/>
  <c r="S299" i="1"/>
  <c r="S317" i="1"/>
  <c r="S262" i="1"/>
  <c r="S290" i="1"/>
  <c r="S287" i="1"/>
  <c r="S298" i="1"/>
  <c r="S231" i="1"/>
  <c r="S183" i="1"/>
  <c r="S309" i="1"/>
  <c r="S331" i="1"/>
  <c r="S260" i="1"/>
  <c r="S202" i="1"/>
  <c r="S136" i="1"/>
  <c r="S161" i="1"/>
  <c r="S228" i="1"/>
  <c r="S141" i="1"/>
  <c r="S159" i="1"/>
  <c r="S168" i="1"/>
  <c r="S131" i="1"/>
  <c r="S90" i="1"/>
  <c r="S123" i="1"/>
  <c r="S484" i="1"/>
  <c r="S452" i="1"/>
  <c r="S486" i="1"/>
  <c r="S492" i="1"/>
  <c r="S415" i="1"/>
  <c r="S369" i="1"/>
  <c r="S464" i="1"/>
  <c r="S382" i="1"/>
  <c r="S435" i="1"/>
  <c r="S463" i="1"/>
  <c r="S412" i="1"/>
  <c r="S364" i="1"/>
  <c r="S426" i="1"/>
  <c r="S383" i="1"/>
  <c r="S293" i="1"/>
  <c r="S254" i="1"/>
  <c r="S379" i="1"/>
  <c r="S279" i="1"/>
  <c r="S355" i="1"/>
  <c r="S223" i="1"/>
  <c r="S175" i="1"/>
  <c r="S259" i="1"/>
  <c r="S271" i="1"/>
  <c r="S245" i="1"/>
  <c r="S188" i="1"/>
  <c r="S128" i="1"/>
  <c r="S144" i="1"/>
  <c r="S222" i="1"/>
  <c r="S133" i="1"/>
  <c r="S233" i="1"/>
  <c r="S268" i="1"/>
  <c r="S176" i="1"/>
  <c r="S105" i="1"/>
  <c r="S162" i="1"/>
  <c r="S147" i="1"/>
  <c r="S119" i="1"/>
  <c r="S221" i="1"/>
  <c r="S169" i="1"/>
  <c r="S280" i="1"/>
  <c r="S219" i="1"/>
  <c r="S325" i="1"/>
  <c r="S338" i="1"/>
  <c r="S310" i="1"/>
  <c r="S375" i="1"/>
  <c r="S417" i="1"/>
  <c r="S441" i="1"/>
  <c r="S378" i="1"/>
  <c r="S357" i="1"/>
  <c r="S469" i="1"/>
  <c r="S491" i="1"/>
  <c r="S473" i="1"/>
  <c r="L187" i="1"/>
  <c r="L95" i="1"/>
  <c r="S106" i="1"/>
  <c r="S151" i="1"/>
  <c r="S110" i="1"/>
  <c r="S224" i="1"/>
  <c r="S204" i="1"/>
  <c r="S104" i="1"/>
  <c r="S178" i="1"/>
  <c r="S424" i="1"/>
  <c r="S296" i="1"/>
  <c r="S227" i="1"/>
  <c r="S363" i="1"/>
  <c r="S351" i="1"/>
  <c r="S313" i="1"/>
  <c r="S395" i="1"/>
  <c r="S430" i="1"/>
  <c r="S458" i="1"/>
  <c r="S386" i="1"/>
  <c r="S361" i="1"/>
  <c r="S472" i="1"/>
  <c r="S504" i="1"/>
  <c r="S476" i="1"/>
  <c r="L97" i="1"/>
  <c r="S94" i="1"/>
  <c r="S166" i="1"/>
  <c r="S312" i="1"/>
  <c r="S252" i="1"/>
  <c r="S88" i="1"/>
  <c r="S114" i="1"/>
  <c r="S173" i="1"/>
  <c r="S163" i="1"/>
  <c r="S230" i="1"/>
  <c r="S210" i="1"/>
  <c r="S108" i="1"/>
  <c r="S196" i="1"/>
  <c r="S247" i="1"/>
  <c r="S302" i="1"/>
  <c r="S306" i="1"/>
  <c r="S387" i="1"/>
  <c r="S388" i="1"/>
  <c r="S326" i="1"/>
  <c r="S434" i="1"/>
  <c r="S455" i="1"/>
  <c r="S479" i="1"/>
  <c r="S431" i="1"/>
  <c r="S365" i="1"/>
  <c r="S506" i="1"/>
  <c r="S432" i="1"/>
  <c r="S505" i="1"/>
  <c r="L109" i="1"/>
  <c r="S201" i="1"/>
  <c r="S91" i="1"/>
  <c r="S242" i="1"/>
  <c r="S236" i="1"/>
  <c r="S213" i="1"/>
  <c r="S112" i="1"/>
  <c r="S217" i="1"/>
  <c r="S269" i="1"/>
  <c r="S339" i="1"/>
  <c r="S276" i="1"/>
  <c r="S283" i="1"/>
  <c r="S246" i="1"/>
  <c r="S329" i="1"/>
  <c r="S340" i="1"/>
  <c r="S401" i="1"/>
  <c r="S400" i="1"/>
  <c r="S433" i="1"/>
  <c r="S373" i="1"/>
  <c r="S462" i="1"/>
  <c r="S436" i="1"/>
  <c r="S107" i="1"/>
  <c r="L91" i="1"/>
  <c r="L89" i="1"/>
  <c r="CB20" i="14"/>
  <c r="DJ7" i="14"/>
  <c r="CJ87" i="14"/>
  <c r="CJ88" i="14" s="1"/>
  <c r="DK100" i="14"/>
  <c r="AM152" i="35" s="1"/>
  <c r="DG8" i="14"/>
  <c r="CU7" i="14"/>
  <c r="DJ38" i="14"/>
  <c r="CM82" i="14"/>
  <c r="DK101" i="14"/>
  <c r="DG42" i="14"/>
  <c r="CA22" i="14"/>
  <c r="CV17" i="14"/>
  <c r="DN132" i="14"/>
  <c r="DN130" i="14"/>
  <c r="CQ21" i="14"/>
  <c r="CZ21" i="14"/>
  <c r="CZ22" i="14" s="1"/>
  <c r="DL8" i="14"/>
  <c r="AF6" i="37"/>
  <c r="CY87" i="14"/>
  <c r="CY84" i="14" s="1"/>
  <c r="CF101" i="14"/>
  <c r="CF102" i="14" s="1"/>
  <c r="DI92" i="14"/>
  <c r="CF99" i="14"/>
  <c r="N151" i="35" s="1"/>
  <c r="N155" i="35" s="1"/>
  <c r="EA13" i="2"/>
  <c r="EF13" i="2" s="1"/>
  <c r="EK13" i="2" s="1"/>
  <c r="EP13" i="2" s="1"/>
  <c r="DW13" i="2"/>
  <c r="DZ13" i="2"/>
  <c r="EE13" i="2" s="1"/>
  <c r="EJ13" i="2" s="1"/>
  <c r="EO13" i="2" s="1"/>
  <c r="DY13" i="2"/>
  <c r="ED13" i="2" s="1"/>
  <c r="EI13" i="2" s="1"/>
  <c r="EN13" i="2" s="1"/>
  <c r="AU6" i="37"/>
  <c r="AZ6" i="37" s="1"/>
  <c r="CE35" i="14"/>
  <c r="BV42" i="14"/>
  <c r="DM42" i="14"/>
  <c r="DN6" i="14"/>
  <c r="DN42" i="14" s="1"/>
  <c r="CY66" i="14"/>
  <c r="DH71" i="14"/>
  <c r="DH76" i="14" s="1"/>
  <c r="DH77" i="14" s="1"/>
  <c r="DH72" i="14"/>
  <c r="DL72" i="14"/>
  <c r="DM38" i="14"/>
  <c r="BV8" i="14"/>
  <c r="CY159" i="14"/>
  <c r="DJ71" i="14"/>
  <c r="DI35" i="14"/>
  <c r="CV86" i="14"/>
  <c r="BW7" i="14"/>
  <c r="DM71" i="14"/>
  <c r="DL71" i="14"/>
  <c r="DD115" i="35"/>
  <c r="DM7" i="14"/>
  <c r="CY7" i="35"/>
  <c r="CZ8" i="35" s="1"/>
  <c r="DH89" i="14"/>
  <c r="CV90" i="14"/>
  <c r="BV7" i="14"/>
  <c r="DH94" i="14"/>
  <c r="CV89" i="14"/>
  <c r="DK71" i="14"/>
  <c r="CP42" i="14"/>
  <c r="CP38" i="14"/>
  <c r="CY138" i="14"/>
  <c r="CY135" i="14" s="1"/>
  <c r="EC162" i="14"/>
  <c r="EH162" i="14" s="1"/>
  <c r="EM162" i="14" s="1"/>
  <c r="ER162" i="14" s="1"/>
  <c r="CJ132" i="14"/>
  <c r="CJ130" i="14" s="1"/>
  <c r="CE132" i="14"/>
  <c r="DK42" i="14"/>
  <c r="CS89" i="14"/>
  <c r="CW16" i="14"/>
  <c r="CW17" i="14" s="1"/>
  <c r="CB66" i="14"/>
  <c r="CB23" i="14"/>
  <c r="CC16" i="14"/>
  <c r="CB17" i="14"/>
  <c r="CY20" i="14"/>
  <c r="CI71" i="14"/>
  <c r="CV20" i="14"/>
  <c r="CI42" i="14"/>
  <c r="DI37" i="14"/>
  <c r="CY81" i="14"/>
  <c r="CY83" i="14" s="1"/>
  <c r="E12" i="1"/>
  <c r="E31" i="1" s="1"/>
  <c r="CZ8" i="14"/>
  <c r="CY65" i="14"/>
  <c r="CY194" i="35" s="1"/>
  <c r="CU8" i="35"/>
  <c r="BW42" i="14"/>
  <c r="BF159" i="14"/>
  <c r="DB98" i="14"/>
  <c r="DB97" i="14" s="1"/>
  <c r="DG99" i="14" s="1"/>
  <c r="AJ151" i="35" s="1"/>
  <c r="AJ155" i="35" s="1"/>
  <c r="CI7" i="14"/>
  <c r="AU8" i="35"/>
  <c r="CV23" i="14"/>
  <c r="CC79" i="14"/>
  <c r="CC84" i="14" s="1"/>
  <c r="CH91" i="14"/>
  <c r="AM99" i="35"/>
  <c r="DK61" i="14"/>
  <c r="DJ57" i="14"/>
  <c r="AL97" i="35"/>
  <c r="AH149" i="35"/>
  <c r="DE101" i="14"/>
  <c r="DE94" i="14"/>
  <c r="DI97" i="14"/>
  <c r="DJ100" i="14" s="1"/>
  <c r="AL152" i="35" s="1"/>
  <c r="CG99" i="14"/>
  <c r="O151" i="35" s="1"/>
  <c r="O155" i="35" s="1"/>
  <c r="O149" i="35"/>
  <c r="CG100" i="14"/>
  <c r="O152" i="35" s="1"/>
  <c r="CG101" i="14"/>
  <c r="CJ97" i="14"/>
  <c r="CO128" i="14"/>
  <c r="CY35" i="14"/>
  <c r="DD35" i="14"/>
  <c r="BS7" i="14"/>
  <c r="BS38" i="14"/>
  <c r="S149" i="35"/>
  <c r="CL100" i="14"/>
  <c r="S152" i="35" s="1"/>
  <c r="CL99" i="14"/>
  <c r="S151" i="35" s="1"/>
  <c r="S155" i="35" s="1"/>
  <c r="CL94" i="14"/>
  <c r="CL101" i="14"/>
  <c r="CZ89" i="14"/>
  <c r="CZ84" i="14"/>
  <c r="DD87" i="14"/>
  <c r="CZ90" i="14"/>
  <c r="U149" i="35"/>
  <c r="CN94" i="14"/>
  <c r="CN100" i="14"/>
  <c r="U152" i="35" s="1"/>
  <c r="CN101" i="14"/>
  <c r="CN99" i="14"/>
  <c r="U151" i="35" s="1"/>
  <c r="U155" i="35" s="1"/>
  <c r="BT7" i="14"/>
  <c r="CG23" i="14"/>
  <c r="CG17" i="14"/>
  <c r="CG66" i="14"/>
  <c r="CG21" i="14"/>
  <c r="CG22" i="14" s="1"/>
  <c r="CG20" i="14"/>
  <c r="CG19" i="14"/>
  <c r="CH16" i="14"/>
  <c r="AA150" i="35"/>
  <c r="DA98" i="14"/>
  <c r="CV97" i="14"/>
  <c r="DG90" i="14"/>
  <c r="DG84" i="14"/>
  <c r="DG89" i="14"/>
  <c r="AJ149" i="35"/>
  <c r="DG100" i="14"/>
  <c r="AJ152" i="35" s="1"/>
  <c r="DG94" i="14"/>
  <c r="DG101" i="14"/>
  <c r="DN97" i="14"/>
  <c r="DI159" i="14"/>
  <c r="CI84" i="14"/>
  <c r="CI90" i="14"/>
  <c r="CI89" i="14"/>
  <c r="AT7" i="35"/>
  <c r="AT8" i="35" s="1"/>
  <c r="DY63" i="14"/>
  <c r="CG89" i="14"/>
  <c r="CG90" i="14"/>
  <c r="CG84" i="14"/>
  <c r="DA8" i="35"/>
  <c r="AN149" i="35"/>
  <c r="DL99" i="14"/>
  <c r="AN151" i="35" s="1"/>
  <c r="AN155" i="35" s="1"/>
  <c r="DL101" i="14"/>
  <c r="DL100" i="14"/>
  <c r="AN152" i="35" s="1"/>
  <c r="DH90" i="14"/>
  <c r="BZ128" i="14"/>
  <c r="AM96" i="35"/>
  <c r="DK55" i="14"/>
  <c r="AL98" i="35"/>
  <c r="DJ59" i="14"/>
  <c r="CO87" i="14"/>
  <c r="CK84" i="14"/>
  <c r="CP89" i="14"/>
  <c r="CK89" i="14"/>
  <c r="BR7" i="14"/>
  <c r="BR38" i="14"/>
  <c r="BY42" i="14"/>
  <c r="BY8" i="14"/>
  <c r="BY7" i="14"/>
  <c r="BY38" i="14"/>
  <c r="AL99" i="35"/>
  <c r="DJ61" i="14"/>
  <c r="CE159" i="14"/>
  <c r="CD90" i="14"/>
  <c r="CC90" i="14"/>
  <c r="CW119" i="35"/>
  <c r="CO81" i="14"/>
  <c r="DI135" i="14"/>
  <c r="DI136" i="14"/>
  <c r="DI128" i="14"/>
  <c r="DI132" i="14" s="1"/>
  <c r="CG72" i="14"/>
  <c r="CH71" i="14"/>
  <c r="CG71" i="14"/>
  <c r="CL82" i="14"/>
  <c r="AN98" i="35"/>
  <c r="DL59" i="14"/>
  <c r="DB71" i="14"/>
  <c r="DG77" i="14" s="1"/>
  <c r="CQ99" i="14"/>
  <c r="W151" i="35" s="1"/>
  <c r="W155" i="35" s="1"/>
  <c r="CM71" i="14"/>
  <c r="CM72" i="14"/>
  <c r="CF85" i="14"/>
  <c r="DJ90" i="14"/>
  <c r="DJ89" i="14"/>
  <c r="DJ84" i="14"/>
  <c r="AQ80" i="35"/>
  <c r="BU132" i="14"/>
  <c r="BU130" i="14" s="1"/>
  <c r="CY41" i="14"/>
  <c r="DD41" i="14"/>
  <c r="DF8" i="14"/>
  <c r="CK92" i="14"/>
  <c r="CO91" i="14"/>
  <c r="CT92" i="14" s="1"/>
  <c r="CK93" i="14"/>
  <c r="AK99" i="35"/>
  <c r="DH61" i="14"/>
  <c r="DA84" i="14"/>
  <c r="DA89" i="14"/>
  <c r="DA90" i="14"/>
  <c r="CK22" i="14"/>
  <c r="DI70" i="14"/>
  <c r="DI74" i="14"/>
  <c r="DA193" i="35" s="1"/>
  <c r="DC42" i="14"/>
  <c r="DC7" i="14"/>
  <c r="DC8" i="14"/>
  <c r="DC38" i="14"/>
  <c r="CH90" i="14"/>
  <c r="CH84" i="14"/>
  <c r="CH89" i="14"/>
  <c r="DN135" i="14"/>
  <c r="DN136" i="14"/>
  <c r="DE84" i="14"/>
  <c r="DE90" i="14"/>
  <c r="DE89" i="14"/>
  <c r="DI87" i="14"/>
  <c r="AN96" i="35"/>
  <c r="DL55" i="14"/>
  <c r="CX83" i="14"/>
  <c r="CX82" i="14"/>
  <c r="CX8" i="35"/>
  <c r="CY74" i="14"/>
  <c r="CY193" i="35" s="1"/>
  <c r="CY70" i="14"/>
  <c r="CY72" i="14" s="1"/>
  <c r="DK89" i="14"/>
  <c r="DK90" i="14"/>
  <c r="DK84" i="14"/>
  <c r="DL90" i="14"/>
  <c r="AJ99" i="35"/>
  <c r="DG61" i="14"/>
  <c r="CA72" i="14"/>
  <c r="CA71" i="14"/>
  <c r="CP22" i="14"/>
  <c r="BZ6" i="14"/>
  <c r="BZ42" i="14" s="1"/>
  <c r="CX7" i="14"/>
  <c r="CX38" i="14"/>
  <c r="CX42" i="14"/>
  <c r="CX8" i="14"/>
  <c r="CW7" i="14"/>
  <c r="CW8" i="14"/>
  <c r="CW42" i="14"/>
  <c r="CW38" i="14"/>
  <c r="CJ41" i="14"/>
  <c r="CO41" i="14"/>
  <c r="CJ35" i="14"/>
  <c r="Z150" i="35"/>
  <c r="CZ98" i="14"/>
  <c r="CU97" i="14"/>
  <c r="BX7" i="14"/>
  <c r="BX38" i="14"/>
  <c r="BX8" i="14"/>
  <c r="AH97" i="35"/>
  <c r="DI56" i="14"/>
  <c r="CK24" i="14"/>
  <c r="CG91" i="14"/>
  <c r="CG94" i="14" s="1"/>
  <c r="CB79" i="14"/>
  <c r="CG81" i="14"/>
  <c r="BV72" i="14"/>
  <c r="BV71" i="14"/>
  <c r="AL149" i="35"/>
  <c r="DJ99" i="14"/>
  <c r="AL151" i="35" s="1"/>
  <c r="AL155" i="35" s="1"/>
  <c r="DJ101" i="14"/>
  <c r="DJ94" i="14"/>
  <c r="DO96" i="14" s="1"/>
  <c r="CP83" i="14"/>
  <c r="CK83" i="14"/>
  <c r="DA8" i="14"/>
  <c r="DA38" i="14"/>
  <c r="DE72" i="14"/>
  <c r="DF71" i="14"/>
  <c r="DF76" i="14" s="1"/>
  <c r="AN99" i="35"/>
  <c r="DL61" i="14"/>
  <c r="T149" i="35"/>
  <c r="CM100" i="14"/>
  <c r="T152" i="35" s="1"/>
  <c r="CM99" i="14"/>
  <c r="T151" i="35" s="1"/>
  <c r="T155" i="35" s="1"/>
  <c r="CM94" i="14"/>
  <c r="CM101" i="14"/>
  <c r="CF93" i="14"/>
  <c r="DE38" i="14"/>
  <c r="DE7" i="14"/>
  <c r="DE8" i="14"/>
  <c r="DJ8" i="14"/>
  <c r="DI6" i="14"/>
  <c r="DI42" i="14" s="1"/>
  <c r="V149" i="35"/>
  <c r="CP101" i="14"/>
  <c r="CP100" i="14"/>
  <c r="V152" i="35" s="1"/>
  <c r="CP94" i="14"/>
  <c r="CT97" i="14"/>
  <c r="CP99" i="14"/>
  <c r="V151" i="35" s="1"/>
  <c r="V155" i="35" s="1"/>
  <c r="DE42" i="14"/>
  <c r="DD128" i="14"/>
  <c r="DD136" i="14"/>
  <c r="DM72" i="14"/>
  <c r="AK149" i="35"/>
  <c r="DH100" i="14"/>
  <c r="AK152" i="35" s="1"/>
  <c r="DH101" i="14"/>
  <c r="CH99" i="14"/>
  <c r="P151" i="35" s="1"/>
  <c r="P155" i="35" s="1"/>
  <c r="P149" i="35"/>
  <c r="CH101" i="14"/>
  <c r="CH100" i="14"/>
  <c r="P152" i="35" s="1"/>
  <c r="Y149" i="35"/>
  <c r="CS101" i="14"/>
  <c r="CS100" i="14"/>
  <c r="Y152" i="35" s="1"/>
  <c r="CS99" i="14"/>
  <c r="Y151" i="35" s="1"/>
  <c r="Y155" i="35" s="1"/>
  <c r="CS94" i="14"/>
  <c r="AN97" i="35"/>
  <c r="DL57" i="14"/>
  <c r="CX93" i="14"/>
  <c r="CX92" i="14"/>
  <c r="CY91" i="14"/>
  <c r="DD92" i="14" s="1"/>
  <c r="BZ74" i="14"/>
  <c r="BZ70" i="14"/>
  <c r="BZ72" i="14" s="1"/>
  <c r="CF82" i="14"/>
  <c r="CH7" i="14"/>
  <c r="CH38" i="14"/>
  <c r="CH42" i="14"/>
  <c r="CH8" i="14"/>
  <c r="CB38" i="14"/>
  <c r="CB8" i="14"/>
  <c r="CB7" i="14"/>
  <c r="CG8" i="14"/>
  <c r="CJ37" i="14"/>
  <c r="CO37" i="14"/>
  <c r="AJ96" i="35"/>
  <c r="DG55" i="14"/>
  <c r="CE6" i="14"/>
  <c r="CA38" i="14"/>
  <c r="CA8" i="14"/>
  <c r="CA7" i="14"/>
  <c r="CN93" i="14"/>
  <c r="CX84" i="14"/>
  <c r="CX89" i="14"/>
  <c r="DC89" i="14"/>
  <c r="CX90" i="14"/>
  <c r="CW71" i="14"/>
  <c r="CW72" i="14"/>
  <c r="CF8" i="14"/>
  <c r="CG7" i="14"/>
  <c r="CF7" i="14"/>
  <c r="CF38" i="14"/>
  <c r="CJ6" i="14"/>
  <c r="CJ42" i="14" s="1"/>
  <c r="CF42" i="14"/>
  <c r="CS7" i="14"/>
  <c r="CR8" i="14"/>
  <c r="CR38" i="14"/>
  <c r="CR7" i="14"/>
  <c r="DI41" i="14"/>
  <c r="CL21" i="14"/>
  <c r="CL19" i="14"/>
  <c r="CM16" i="14"/>
  <c r="CL20" i="14"/>
  <c r="CL23" i="14"/>
  <c r="CL66" i="14"/>
  <c r="CL17" i="14"/>
  <c r="CJ159" i="14"/>
  <c r="L149" i="35"/>
  <c r="CC101" i="14"/>
  <c r="CD100" i="14"/>
  <c r="M152" i="35" s="1"/>
  <c r="CC100" i="14"/>
  <c r="L152" i="35" s="1"/>
  <c r="CM89" i="14"/>
  <c r="CM90" i="14"/>
  <c r="CM84" i="14"/>
  <c r="CT136" i="14"/>
  <c r="CT128" i="14"/>
  <c r="CT135" i="14"/>
  <c r="CL89" i="14"/>
  <c r="CL84" i="14"/>
  <c r="CL90" i="14"/>
  <c r="BY71" i="14"/>
  <c r="BY72" i="14"/>
  <c r="DA71" i="14"/>
  <c r="DA72" i="14"/>
  <c r="DM100" i="14"/>
  <c r="AO152" i="35" s="1"/>
  <c r="EC169" i="14"/>
  <c r="EH169" i="14" s="1"/>
  <c r="EM169" i="14" s="1"/>
  <c r="ER169" i="14" s="1"/>
  <c r="DC92" i="14"/>
  <c r="BZ159" i="14"/>
  <c r="Q149" i="35"/>
  <c r="CI101" i="14"/>
  <c r="CI100" i="14"/>
  <c r="Q152" i="35" s="1"/>
  <c r="CI99" i="14"/>
  <c r="Q151" i="35" s="1"/>
  <c r="Q155" i="35" s="1"/>
  <c r="DC83" i="14"/>
  <c r="AC9" i="35"/>
  <c r="AC8" i="35"/>
  <c r="CA91" i="14"/>
  <c r="CA94" i="14" s="1"/>
  <c r="CA81" i="14"/>
  <c r="CA82" i="14" s="1"/>
  <c r="CY37" i="14"/>
  <c r="CD72" i="14"/>
  <c r="DG59" i="14"/>
  <c r="AJ98" i="35"/>
  <c r="CK7" i="14"/>
  <c r="CO6" i="14"/>
  <c r="CK42" i="14"/>
  <c r="CK8" i="14"/>
  <c r="CP8" i="14"/>
  <c r="CK38" i="14"/>
  <c r="DB42" i="14"/>
  <c r="CF94" i="14"/>
  <c r="CP82" i="14"/>
  <c r="CN82" i="14"/>
  <c r="CF22" i="14"/>
  <c r="CR42" i="14"/>
  <c r="DD6" i="14"/>
  <c r="CN22" i="14"/>
  <c r="CS22" i="14"/>
  <c r="DL89" i="14"/>
  <c r="AJ97" i="35"/>
  <c r="DG57" i="14"/>
  <c r="J149" i="35"/>
  <c r="CA101" i="14"/>
  <c r="CE97" i="14"/>
  <c r="CV8" i="35"/>
  <c r="CQ20" i="14"/>
  <c r="CR16" i="14"/>
  <c r="CQ66" i="14"/>
  <c r="CQ23" i="14"/>
  <c r="CQ19" i="14"/>
  <c r="CQ17" i="14"/>
  <c r="CV19" i="14"/>
  <c r="CP92" i="14"/>
  <c r="DD159" i="14"/>
  <c r="CJ74" i="14"/>
  <c r="CV193" i="35" s="1"/>
  <c r="CJ70" i="14"/>
  <c r="DF84" i="14"/>
  <c r="DF90" i="14"/>
  <c r="DF89" i="14"/>
  <c r="DK38" i="14"/>
  <c r="DK8" i="14"/>
  <c r="DK7" i="14"/>
  <c r="AZ7" i="35"/>
  <c r="EA64" i="14"/>
  <c r="AY7" i="35"/>
  <c r="DD93" i="14"/>
  <c r="CR99" i="14"/>
  <c r="X151" i="35" s="1"/>
  <c r="X155" i="35" s="1"/>
  <c r="AK97" i="35"/>
  <c r="DH57" i="14"/>
  <c r="BZ41" i="14"/>
  <c r="CE41" i="14"/>
  <c r="CB71" i="14"/>
  <c r="CB72" i="14"/>
  <c r="CE70" i="14"/>
  <c r="CE74" i="14"/>
  <c r="CI81" i="14"/>
  <c r="CI91" i="14"/>
  <c r="CI94" i="14" s="1"/>
  <c r="CW89" i="14"/>
  <c r="CW84" i="14"/>
  <c r="CW90" i="14"/>
  <c r="AC5" i="14"/>
  <c r="Y5" i="14"/>
  <c r="CZ72" i="14"/>
  <c r="CZ71" i="14"/>
  <c r="CN38" i="14"/>
  <c r="CN8" i="14"/>
  <c r="CS8" i="14"/>
  <c r="CP7" i="14"/>
  <c r="CN7" i="14"/>
  <c r="BX71" i="14"/>
  <c r="BX72" i="14"/>
  <c r="AH99" i="35"/>
  <c r="DI60" i="14"/>
  <c r="DA214" i="35" s="1"/>
  <c r="DA220" i="35" s="1"/>
  <c r="CT35" i="14"/>
  <c r="AL96" i="35"/>
  <c r="DJ55" i="14"/>
  <c r="CC8" i="14"/>
  <c r="CC7" i="14"/>
  <c r="CC38" i="14"/>
  <c r="DH38" i="14"/>
  <c r="DH8" i="14"/>
  <c r="DH42" i="14"/>
  <c r="DH7" i="14"/>
  <c r="CX72" i="14"/>
  <c r="CX71" i="14"/>
  <c r="CQ8" i="14"/>
  <c r="CQ7" i="14"/>
  <c r="CT6" i="14"/>
  <c r="CT42" i="14" s="1"/>
  <c r="CQ38" i="14"/>
  <c r="CW8" i="35"/>
  <c r="BX16" i="14"/>
  <c r="BW66" i="14"/>
  <c r="CB19" i="14"/>
  <c r="BW19" i="14"/>
  <c r="BW23" i="14"/>
  <c r="BW17" i="14"/>
  <c r="AC149" i="35"/>
  <c r="CX99" i="14"/>
  <c r="AC151" i="35" s="1"/>
  <c r="AC155" i="35" s="1"/>
  <c r="CX101" i="14"/>
  <c r="CX94" i="14"/>
  <c r="AI149" i="35"/>
  <c r="DF100" i="14"/>
  <c r="AI152" i="35" s="1"/>
  <c r="DF94" i="14"/>
  <c r="DF101" i="14"/>
  <c r="BW71" i="14"/>
  <c r="CY6" i="14"/>
  <c r="CY42" i="14" s="1"/>
  <c r="CV8" i="14"/>
  <c r="CV42" i="14"/>
  <c r="CV38" i="14"/>
  <c r="CV7" i="14"/>
  <c r="DH55" i="14"/>
  <c r="AK96" i="35"/>
  <c r="BW21" i="14"/>
  <c r="CB22" i="14" s="1"/>
  <c r="AP156" i="35"/>
  <c r="CO74" i="14"/>
  <c r="CW193" i="35" s="1"/>
  <c r="CT74" i="14"/>
  <c r="CX193" i="35" s="1"/>
  <c r="CO70" i="14"/>
  <c r="CT72" i="14" s="1"/>
  <c r="AH98" i="35"/>
  <c r="DI58" i="14"/>
  <c r="AM97" i="35"/>
  <c r="DK57" i="14"/>
  <c r="CD8" i="14"/>
  <c r="CD7" i="14"/>
  <c r="CD38" i="14"/>
  <c r="CD42" i="14"/>
  <c r="CI8" i="14"/>
  <c r="AG150" i="35"/>
  <c r="DC97" i="14"/>
  <c r="DH99" i="14" s="1"/>
  <c r="AK151" i="35" s="1"/>
  <c r="AK155" i="35" s="1"/>
  <c r="DB38" i="14"/>
  <c r="DB7" i="14"/>
  <c r="DB8" i="14"/>
  <c r="CS71" i="14"/>
  <c r="CS72" i="14"/>
  <c r="AK98" i="35"/>
  <c r="DH59" i="14"/>
  <c r="CB90" i="14"/>
  <c r="CE87" i="14"/>
  <c r="CA84" i="14"/>
  <c r="CA85" i="14" s="1"/>
  <c r="CE37" i="14"/>
  <c r="CR89" i="14"/>
  <c r="DY70" i="14"/>
  <c r="ED70" i="14" s="1"/>
  <c r="EI70" i="14" s="1"/>
  <c r="EN70" i="14" s="1"/>
  <c r="CL71" i="14"/>
  <c r="CL72" i="14"/>
  <c r="R149" i="35"/>
  <c r="CO97" i="14"/>
  <c r="CK101" i="14"/>
  <c r="CK94" i="14"/>
  <c r="CK99" i="14"/>
  <c r="R151" i="35" s="1"/>
  <c r="R155" i="35" s="1"/>
  <c r="DD70" i="14"/>
  <c r="DD74" i="14"/>
  <c r="CZ193" i="35" s="1"/>
  <c r="CN71" i="14"/>
  <c r="CN72" i="14"/>
  <c r="AH96" i="35"/>
  <c r="DI54" i="14"/>
  <c r="CZ7" i="14"/>
  <c r="DM8" i="14"/>
  <c r="DB8" i="35"/>
  <c r="DI83" i="14"/>
  <c r="DL94" i="14"/>
  <c r="AM98" i="35"/>
  <c r="DK59" i="14"/>
  <c r="BQ7" i="14"/>
  <c r="BQ38" i="14"/>
  <c r="BU6" i="14"/>
  <c r="BU38" i="14" s="1"/>
  <c r="CT93" i="14"/>
  <c r="DA207" i="35"/>
  <c r="DJ72" i="14"/>
  <c r="CU22" i="14"/>
  <c r="K149" i="35"/>
  <c r="CB101" i="14"/>
  <c r="CB100" i="14"/>
  <c r="K152" i="35" s="1"/>
  <c r="CF24" i="14"/>
  <c r="BW8" i="14"/>
  <c r="BS42" i="14"/>
  <c r="CK72" i="14"/>
  <c r="CK71" i="14"/>
  <c r="BR42" i="14"/>
  <c r="CN90" i="14"/>
  <c r="CN84" i="14"/>
  <c r="CN89" i="14"/>
  <c r="CT41" i="14"/>
  <c r="EC165" i="14"/>
  <c r="EH165" i="14" s="1"/>
  <c r="EM165" i="14" s="1"/>
  <c r="ER165" i="14" s="1"/>
  <c r="DZ81" i="14"/>
  <c r="EE81" i="14" s="1"/>
  <c r="DV81" i="14"/>
  <c r="DN83" i="14"/>
  <c r="DW81" i="14"/>
  <c r="DW79" i="14" s="1"/>
  <c r="DB207" i="35"/>
  <c r="DX63" i="14"/>
  <c r="Q16" i="26" s="1"/>
  <c r="H16" i="26" s="1"/>
  <c r="AW7" i="35"/>
  <c r="AW8" i="35" s="1"/>
  <c r="DW64" i="14"/>
  <c r="EB63" i="14"/>
  <c r="EG63" i="14" s="1"/>
  <c r="DN93" i="14"/>
  <c r="DN92" i="14"/>
  <c r="DC194" i="35"/>
  <c r="P16" i="26"/>
  <c r="DC7" i="35"/>
  <c r="DC8" i="35" s="1"/>
  <c r="CN48" i="12"/>
  <c r="CT47" i="12"/>
  <c r="DN48" i="12"/>
  <c r="BT48" i="12"/>
  <c r="BT39" i="12"/>
  <c r="CY48" i="12"/>
  <c r="CY39" i="12"/>
  <c r="BT47" i="12"/>
  <c r="BU42" i="12"/>
  <c r="CE48" i="12"/>
  <c r="CE39" i="12"/>
  <c r="CT48" i="12"/>
  <c r="CT39" i="12"/>
  <c r="Y5" i="12"/>
  <c r="Z5" i="12" s="1"/>
  <c r="AA5" i="12" s="1"/>
  <c r="AC5" i="12"/>
  <c r="CI48" i="12"/>
  <c r="CI39" i="12"/>
  <c r="BZ48" i="12"/>
  <c r="BZ39" i="12"/>
  <c r="DI39" i="12"/>
  <c r="DI48" i="12"/>
  <c r="BZ47" i="12"/>
  <c r="CO48" i="12"/>
  <c r="CO39" i="12"/>
  <c r="DY12" i="12"/>
  <c r="DZ12" i="12" s="1"/>
  <c r="EA12" i="12" s="1"/>
  <c r="EB12" i="12" s="1"/>
  <c r="DX12" i="12"/>
  <c r="CJ39" i="12"/>
  <c r="CJ48" i="12"/>
  <c r="CY47" i="12"/>
  <c r="DD48" i="12"/>
  <c r="DY36" i="12"/>
  <c r="DZ36" i="12" s="1"/>
  <c r="EA36" i="12" s="1"/>
  <c r="EB36" i="12" s="1"/>
  <c r="DX36" i="12"/>
  <c r="DY31" i="12"/>
  <c r="DZ31" i="12" s="1"/>
  <c r="EA31" i="12" s="1"/>
  <c r="EB31" i="12" s="1"/>
  <c r="DX31" i="12"/>
  <c r="DM48" i="12"/>
  <c r="DM39" i="12"/>
  <c r="DY23" i="12"/>
  <c r="DZ23" i="12" s="1"/>
  <c r="EA23" i="12" s="1"/>
  <c r="EB23" i="12" s="1"/>
  <c r="DX23" i="12"/>
  <c r="DN46" i="13"/>
  <c r="DN56" i="13"/>
  <c r="DN58" i="13" s="1"/>
  <c r="D10" i="21" s="1"/>
  <c r="DS12" i="13"/>
  <c r="DV69" i="2"/>
  <c r="DW69" i="2" s="1"/>
  <c r="DY69" i="2" s="1"/>
  <c r="DS69" i="2"/>
  <c r="DN62" i="12"/>
  <c r="DN43" i="2"/>
  <c r="EB16" i="2"/>
  <c r="EG16" i="2" s="1"/>
  <c r="EL16" i="2" s="1"/>
  <c r="EQ16" i="2" s="1"/>
  <c r="DN23" i="2"/>
  <c r="DN74" i="14"/>
  <c r="DB193" i="35" s="1"/>
  <c r="DN70" i="14"/>
  <c r="DS72" i="14" s="1"/>
  <c r="DM57" i="13"/>
  <c r="AO168" i="35" s="1"/>
  <c r="DM61" i="14"/>
  <c r="DN60" i="14"/>
  <c r="DS61" i="14" s="1"/>
  <c r="DN41" i="14"/>
  <c r="DN138" i="2"/>
  <c r="DN61" i="12"/>
  <c r="DN149" i="2"/>
  <c r="DN143" i="2"/>
  <c r="DN64" i="13"/>
  <c r="DN67" i="13" s="1"/>
  <c r="DN145" i="2"/>
  <c r="DN109" i="2"/>
  <c r="DN139" i="2"/>
  <c r="DB5" i="35"/>
  <c r="DN142" i="2"/>
  <c r="DB35" i="35"/>
  <c r="DN150" i="2"/>
  <c r="DN148" i="2"/>
  <c r="DN24" i="2"/>
  <c r="H14" i="1"/>
  <c r="DN38" i="2"/>
  <c r="DN34" i="2"/>
  <c r="DN144" i="2"/>
  <c r="DN87" i="2"/>
  <c r="DN40" i="2"/>
  <c r="DN36" i="2"/>
  <c r="DN32" i="2"/>
  <c r="DN55" i="12"/>
  <c r="DN57" i="12" s="1"/>
  <c r="DN140" i="2"/>
  <c r="DN42" i="2"/>
  <c r="DN11" i="2"/>
  <c r="DN54" i="14"/>
  <c r="DM55" i="14"/>
  <c r="DR53" i="14" s="1"/>
  <c r="DN21" i="2"/>
  <c r="DM44" i="2"/>
  <c r="DM27" i="2"/>
  <c r="DM25" i="2"/>
  <c r="DM58" i="12"/>
  <c r="DM57" i="12"/>
  <c r="DM66" i="12"/>
  <c r="DM65" i="12"/>
  <c r="DN56" i="14"/>
  <c r="DS57" i="14" s="1"/>
  <c r="DM57" i="14"/>
  <c r="DN58" i="14"/>
  <c r="DM59" i="14"/>
  <c r="U485" i="1"/>
  <c r="CE13" i="13"/>
  <c r="F8" i="21"/>
  <c r="CT44" i="13"/>
  <c r="BT28" i="13"/>
  <c r="BT55" i="13" s="1"/>
  <c r="DX31" i="13"/>
  <c r="CE19" i="13"/>
  <c r="DD44" i="13"/>
  <c r="DB43" i="13"/>
  <c r="DC41" i="13"/>
  <c r="DC43" i="13" s="1"/>
  <c r="CH42" i="13"/>
  <c r="CH43" i="13" s="1"/>
  <c r="CO13" i="13"/>
  <c r="BT20" i="13"/>
  <c r="BU20" i="13" s="1"/>
  <c r="DG66" i="13"/>
  <c r="CT15" i="13"/>
  <c r="CT21" i="13"/>
  <c r="CJ17" i="13"/>
  <c r="CT17" i="13"/>
  <c r="Y5" i="13"/>
  <c r="Z5" i="13" s="1"/>
  <c r="AA5" i="13" s="1"/>
  <c r="EC28" i="13"/>
  <c r="EC55" i="13" s="1"/>
  <c r="DJ58" i="13"/>
  <c r="CE17" i="13"/>
  <c r="CH36" i="13"/>
  <c r="CH37" i="13" s="1"/>
  <c r="CE35" i="13"/>
  <c r="BS42" i="13"/>
  <c r="CY40" i="13"/>
  <c r="BT41" i="13"/>
  <c r="BU41" i="13" s="1"/>
  <c r="CY44" i="13"/>
  <c r="DR21" i="13"/>
  <c r="DR22" i="13" s="1"/>
  <c r="DY20" i="12"/>
  <c r="DZ20" i="12" s="1"/>
  <c r="EA20" i="12" s="1"/>
  <c r="EB20" i="12" s="1"/>
  <c r="DX20" i="12"/>
  <c r="CO44" i="13"/>
  <c r="DD30" i="13"/>
  <c r="CI28" i="13"/>
  <c r="CT19" i="13"/>
  <c r="DD13" i="13"/>
  <c r="DE60" i="13"/>
  <c r="BT40" i="13"/>
  <c r="CJ30" i="13"/>
  <c r="CE30" i="13"/>
  <c r="CT20" i="13"/>
  <c r="CH8" i="13"/>
  <c r="CH75" i="2"/>
  <c r="BZ35" i="13"/>
  <c r="CJ35" i="13"/>
  <c r="BT30" i="13"/>
  <c r="BU30" i="13" s="1"/>
  <c r="BS8" i="13"/>
  <c r="BS75" i="2"/>
  <c r="CN42" i="13"/>
  <c r="BX37" i="13"/>
  <c r="BY28" i="13"/>
  <c r="CT41" i="13"/>
  <c r="CW42" i="13"/>
  <c r="CW43" i="13" s="1"/>
  <c r="CM8" i="13"/>
  <c r="CN10" i="13"/>
  <c r="CM75" i="2"/>
  <c r="DD19" i="13"/>
  <c r="DY8" i="13"/>
  <c r="ED8" i="13" s="1"/>
  <c r="CO15" i="13"/>
  <c r="CE41" i="13"/>
  <c r="DC24" i="13"/>
  <c r="DC54" i="13" s="1"/>
  <c r="CT40" i="13"/>
  <c r="CI40" i="13"/>
  <c r="DI59" i="13"/>
  <c r="BZ20" i="13"/>
  <c r="CL36" i="13"/>
  <c r="CI18" i="13"/>
  <c r="CJ18" i="13" s="1"/>
  <c r="CY18" i="13"/>
  <c r="BZ30" i="13"/>
  <c r="CD40" i="13"/>
  <c r="CE40" i="13" s="1"/>
  <c r="DC10" i="13"/>
  <c r="DB8" i="13"/>
  <c r="DB75" i="2"/>
  <c r="CX29" i="13"/>
  <c r="CY29" i="13" s="1"/>
  <c r="CO18" i="13"/>
  <c r="DA56" i="13"/>
  <c r="CS28" i="13"/>
  <c r="CD28" i="13"/>
  <c r="CS13" i="13"/>
  <c r="CT18" i="13"/>
  <c r="BX8" i="13"/>
  <c r="BY10" i="13"/>
  <c r="BX75" i="2"/>
  <c r="CC42" i="13"/>
  <c r="CC43" i="13" s="1"/>
  <c r="CC36" i="13"/>
  <c r="CV36" i="13"/>
  <c r="AD5" i="13"/>
  <c r="AE5" i="13" s="1"/>
  <c r="AF5" i="13" s="1"/>
  <c r="AH5" i="13"/>
  <c r="DD17" i="13"/>
  <c r="BS36" i="13"/>
  <c r="CI8" i="13"/>
  <c r="CJ10" i="13"/>
  <c r="CI75" i="2"/>
  <c r="CQ37" i="13"/>
  <c r="BU18" i="13"/>
  <c r="BU29" i="13"/>
  <c r="BT8" i="13"/>
  <c r="BU10" i="13"/>
  <c r="BT75" i="2"/>
  <c r="CS10" i="13"/>
  <c r="CR8" i="13"/>
  <c r="CR75" i="2"/>
  <c r="DB37" i="13"/>
  <c r="DC28" i="13"/>
  <c r="CD18" i="13"/>
  <c r="CE18" i="13" s="1"/>
  <c r="CI29" i="13"/>
  <c r="CC8" i="13"/>
  <c r="CD10" i="13"/>
  <c r="CC75" i="2"/>
  <c r="CO30" i="13"/>
  <c r="CQ42" i="13"/>
  <c r="CX13" i="13"/>
  <c r="CN28" i="13"/>
  <c r="DD15" i="13"/>
  <c r="BW43" i="13"/>
  <c r="DN51" i="13"/>
  <c r="DO51" i="13" s="1"/>
  <c r="DP51" i="13" s="1"/>
  <c r="DQ51" i="13" s="1"/>
  <c r="DR51" i="13" s="1"/>
  <c r="U367" i="1"/>
  <c r="U433" i="1"/>
  <c r="U459" i="1"/>
  <c r="U95" i="1"/>
  <c r="U229" i="1"/>
  <c r="U251" i="1"/>
  <c r="U308" i="1"/>
  <c r="U227" i="1"/>
  <c r="U329" i="1"/>
  <c r="U164" i="1"/>
  <c r="U252" i="1"/>
  <c r="U377" i="1"/>
  <c r="U143" i="1"/>
  <c r="U319" i="1"/>
  <c r="U411" i="1"/>
  <c r="U218" i="1"/>
  <c r="U472" i="1"/>
  <c r="U316" i="1"/>
  <c r="U364" i="1"/>
  <c r="U475" i="1"/>
  <c r="U304" i="1"/>
  <c r="U181" i="1"/>
  <c r="U300" i="1"/>
  <c r="U503" i="1"/>
  <c r="U249" i="1"/>
  <c r="U478" i="1"/>
  <c r="U220" i="1"/>
  <c r="U409" i="1"/>
  <c r="U179" i="1"/>
  <c r="U413" i="1"/>
  <c r="U158" i="1"/>
  <c r="U139" i="1"/>
  <c r="U91" i="1"/>
  <c r="U222" i="1"/>
  <c r="U422" i="1"/>
  <c r="U487" i="1"/>
  <c r="U481" i="1"/>
  <c r="U504" i="1"/>
  <c r="U97" i="1"/>
  <c r="U152" i="1"/>
  <c r="U277" i="1"/>
  <c r="U185" i="1"/>
  <c r="U233" i="1"/>
  <c r="U265" i="1"/>
  <c r="U224" i="1"/>
  <c r="U253" i="1"/>
  <c r="U183" i="1"/>
  <c r="U231" i="1"/>
  <c r="U256" i="1"/>
  <c r="U328" i="1"/>
  <c r="U315" i="1"/>
  <c r="U311" i="1"/>
  <c r="U374" i="1"/>
  <c r="U307" i="1"/>
  <c r="U360" i="1"/>
  <c r="U401" i="1"/>
  <c r="U421" i="1"/>
  <c r="U456" i="1"/>
  <c r="U448" i="1"/>
  <c r="U333" i="1"/>
  <c r="U381" i="1"/>
  <c r="U415" i="1"/>
  <c r="U463" i="1"/>
  <c r="U155" i="1"/>
  <c r="U135" i="1"/>
  <c r="U178" i="1"/>
  <c r="U226" i="1"/>
  <c r="U372" i="1"/>
  <c r="U189" i="1"/>
  <c r="U237" i="1"/>
  <c r="U267" i="1"/>
  <c r="U228" i="1"/>
  <c r="U255" i="1"/>
  <c r="U187" i="1"/>
  <c r="U235" i="1"/>
  <c r="U260" i="1"/>
  <c r="U331" i="1"/>
  <c r="U336" i="1"/>
  <c r="U330" i="1"/>
  <c r="U410" i="1"/>
  <c r="U354" i="1"/>
  <c r="U370" i="1"/>
  <c r="U412" i="1"/>
  <c r="U445" i="1"/>
  <c r="U461" i="1"/>
  <c r="U289" i="1"/>
  <c r="U337" i="1"/>
  <c r="U385" i="1"/>
  <c r="U419" i="1"/>
  <c r="U479" i="1"/>
  <c r="U426" i="1"/>
  <c r="U492" i="1"/>
  <c r="U486" i="1"/>
  <c r="U470" i="1"/>
  <c r="U94" i="1"/>
  <c r="U136" i="1"/>
  <c r="U128" i="1"/>
  <c r="U148" i="1"/>
  <c r="U131" i="1"/>
  <c r="U182" i="1"/>
  <c r="U230" i="1"/>
  <c r="U145" i="1"/>
  <c r="U193" i="1"/>
  <c r="U241" i="1"/>
  <c r="U287" i="1"/>
  <c r="U232" i="1"/>
  <c r="U296" i="1"/>
  <c r="U191" i="1"/>
  <c r="U239" i="1"/>
  <c r="U264" i="1"/>
  <c r="U339" i="1"/>
  <c r="U346" i="1"/>
  <c r="U342" i="1"/>
  <c r="U254" i="1"/>
  <c r="U380" i="1"/>
  <c r="U378" i="1"/>
  <c r="U428" i="1"/>
  <c r="U390" i="1"/>
  <c r="U476" i="1"/>
  <c r="U293" i="1"/>
  <c r="U341" i="1"/>
  <c r="U392" i="1"/>
  <c r="U423" i="1"/>
  <c r="U493" i="1"/>
  <c r="U430" i="1"/>
  <c r="U499" i="1"/>
  <c r="U491" i="1"/>
  <c r="U489" i="1"/>
  <c r="U105" i="1"/>
  <c r="U332" i="1"/>
  <c r="U355" i="1"/>
  <c r="U363" i="1"/>
  <c r="U371" i="1"/>
  <c r="U258" i="1"/>
  <c r="U440" i="1"/>
  <c r="U388" i="1"/>
  <c r="U453" i="1"/>
  <c r="U397" i="1"/>
  <c r="U484" i="1"/>
  <c r="U297" i="1"/>
  <c r="U345" i="1"/>
  <c r="U420" i="1"/>
  <c r="U427" i="1"/>
  <c r="U505" i="1"/>
  <c r="U434" i="1"/>
  <c r="U500" i="1"/>
  <c r="U474" i="1"/>
  <c r="U494" i="1"/>
  <c r="U170" i="1"/>
  <c r="U156" i="1"/>
  <c r="U102" i="1"/>
  <c r="U110" i="1"/>
  <c r="U197" i="1"/>
  <c r="U396" i="1"/>
  <c r="U301" i="1"/>
  <c r="U349" i="1"/>
  <c r="U444" i="1"/>
  <c r="U431" i="1"/>
  <c r="U466" i="1"/>
  <c r="U438" i="1"/>
  <c r="U501" i="1"/>
  <c r="U495" i="1"/>
  <c r="U508" i="1"/>
  <c r="U140" i="1"/>
  <c r="U118" i="1"/>
  <c r="U414" i="1"/>
  <c r="U194" i="1"/>
  <c r="U157" i="1"/>
  <c r="U205" i="1"/>
  <c r="U292" i="1"/>
  <c r="U196" i="1"/>
  <c r="U261" i="1"/>
  <c r="U384" i="1"/>
  <c r="U203" i="1"/>
  <c r="U310" i="1"/>
  <c r="U276" i="1"/>
  <c r="U298" i="1"/>
  <c r="U473" i="1"/>
  <c r="U314" i="1"/>
  <c r="U266" i="1"/>
  <c r="U352" i="1"/>
  <c r="U436" i="1"/>
  <c r="U449" i="1"/>
  <c r="U471" i="1"/>
  <c r="U408" i="1"/>
  <c r="U305" i="1"/>
  <c r="U353" i="1"/>
  <c r="U387" i="1"/>
  <c r="U435" i="1"/>
  <c r="U483" i="1"/>
  <c r="U442" i="1"/>
  <c r="U506" i="1"/>
  <c r="U507" i="1"/>
  <c r="U176" i="1"/>
  <c r="U184" i="1"/>
  <c r="U113" i="1"/>
  <c r="U100" i="1"/>
  <c r="U236" i="1"/>
  <c r="U190" i="1"/>
  <c r="U201" i="1"/>
  <c r="U359" i="1"/>
  <c r="U441" i="1"/>
  <c r="U133" i="1"/>
  <c r="U129" i="1"/>
  <c r="U250" i="1"/>
  <c r="U200" i="1"/>
  <c r="U324" i="1"/>
  <c r="U429" i="1"/>
  <c r="U357" i="1"/>
  <c r="U446" i="1"/>
  <c r="U192" i="1"/>
  <c r="U89" i="1"/>
  <c r="U101" i="1"/>
  <c r="U92" i="1"/>
  <c r="U141" i="1"/>
  <c r="U186" i="1"/>
  <c r="U273" i="1"/>
  <c r="U195" i="1"/>
  <c r="U294" i="1"/>
  <c r="U213" i="1"/>
  <c r="U334" i="1"/>
  <c r="U274" i="1"/>
  <c r="U398" i="1"/>
  <c r="U375" i="1"/>
  <c r="U416" i="1"/>
  <c r="U452" i="1"/>
  <c r="U313" i="1"/>
  <c r="U361" i="1"/>
  <c r="U395" i="1"/>
  <c r="U443" i="1"/>
  <c r="U497" i="1"/>
  <c r="U450" i="1"/>
  <c r="U496" i="1"/>
  <c r="U477" i="1"/>
  <c r="U160" i="1"/>
  <c r="U126" i="1"/>
  <c r="U168" i="1"/>
  <c r="U106" i="1"/>
  <c r="U299" i="1"/>
  <c r="U243" i="1"/>
  <c r="U137" i="1"/>
  <c r="U153" i="1"/>
  <c r="U275" i="1"/>
  <c r="U302" i="1"/>
  <c r="U424" i="1"/>
  <c r="U119" i="1"/>
  <c r="U242" i="1"/>
  <c r="U180" i="1"/>
  <c r="U115" i="1"/>
  <c r="U198" i="1"/>
  <c r="U161" i="1"/>
  <c r="U343" i="1"/>
  <c r="U159" i="1"/>
  <c r="U323" i="1"/>
  <c r="U280" i="1"/>
  <c r="U318" i="1"/>
  <c r="U270" i="1"/>
  <c r="U457" i="1"/>
  <c r="U391" i="1"/>
  <c r="U464" i="1"/>
  <c r="U257" i="1"/>
  <c r="U211" i="1"/>
  <c r="U344" i="1"/>
  <c r="U281" i="1"/>
  <c r="U107" i="1"/>
  <c r="U335" i="1"/>
  <c r="U169" i="1"/>
  <c r="U217" i="1"/>
  <c r="U247" i="1"/>
  <c r="U208" i="1"/>
  <c r="U259" i="1"/>
  <c r="U167" i="1"/>
  <c r="U215" i="1"/>
  <c r="U394" i="1"/>
  <c r="U288" i="1"/>
  <c r="U358" i="1"/>
  <c r="U356" i="1"/>
  <c r="U338" i="1"/>
  <c r="U278" i="1"/>
  <c r="U306" i="1"/>
  <c r="U404" i="1"/>
  <c r="U379" i="1"/>
  <c r="U425" i="1"/>
  <c r="U389" i="1"/>
  <c r="U317" i="1"/>
  <c r="U365" i="1"/>
  <c r="U399" i="1"/>
  <c r="U447" i="1"/>
  <c r="U498" i="1"/>
  <c r="U454" i="1"/>
  <c r="U502" i="1"/>
  <c r="U490" i="1"/>
  <c r="U150" i="1"/>
  <c r="U120" i="1"/>
  <c r="U132" i="1"/>
  <c r="U138" i="1"/>
  <c r="U96" i="1"/>
  <c r="U238" i="1"/>
  <c r="U283" i="1"/>
  <c r="U393" i="1"/>
  <c r="U320" i="1"/>
  <c r="U209" i="1"/>
  <c r="U207" i="1"/>
  <c r="U400" i="1"/>
  <c r="U488" i="1"/>
  <c r="U166" i="1"/>
  <c r="U111" i="1"/>
  <c r="U350" i="1"/>
  <c r="U163" i="1"/>
  <c r="U348" i="1"/>
  <c r="U386" i="1"/>
  <c r="U151" i="1"/>
  <c r="U206" i="1"/>
  <c r="U162" i="1"/>
  <c r="U210" i="1"/>
  <c r="U245" i="1"/>
  <c r="U173" i="1"/>
  <c r="U221" i="1"/>
  <c r="U269" i="1"/>
  <c r="U212" i="1"/>
  <c r="U285" i="1"/>
  <c r="U171" i="1"/>
  <c r="U219" i="1"/>
  <c r="U244" i="1"/>
  <c r="U295" i="1"/>
  <c r="U376" i="1"/>
  <c r="U366" i="1"/>
  <c r="U340" i="1"/>
  <c r="U282" i="1"/>
  <c r="U326" i="1"/>
  <c r="U417" i="1"/>
  <c r="U383" i="1"/>
  <c r="U437" i="1"/>
  <c r="U402" i="1"/>
  <c r="U321" i="1"/>
  <c r="U369" i="1"/>
  <c r="U403" i="1"/>
  <c r="U451" i="1"/>
  <c r="U509" i="1"/>
  <c r="U458" i="1"/>
  <c r="U465" i="1"/>
  <c r="U467" i="1"/>
  <c r="U188" i="1"/>
  <c r="U109" i="1"/>
  <c r="U90" i="1"/>
  <c r="U127" i="1"/>
  <c r="U234" i="1"/>
  <c r="U149" i="1"/>
  <c r="U268" i="1"/>
  <c r="U123" i="1"/>
  <c r="U240" i="1"/>
  <c r="U199" i="1"/>
  <c r="U272" i="1"/>
  <c r="U368" i="1"/>
  <c r="U290" i="1"/>
  <c r="U262" i="1"/>
  <c r="U263" i="1"/>
  <c r="U322" i="1"/>
  <c r="U362" i="1"/>
  <c r="U460" i="1"/>
  <c r="U309" i="1"/>
  <c r="U439" i="1"/>
  <c r="U482" i="1"/>
  <c r="U174" i="1"/>
  <c r="U125" i="1"/>
  <c r="U202" i="1"/>
  <c r="U165" i="1"/>
  <c r="U204" i="1"/>
  <c r="U284" i="1"/>
  <c r="U327" i="1"/>
  <c r="U144" i="1"/>
  <c r="U103" i="1"/>
  <c r="U172" i="1"/>
  <c r="U146" i="1"/>
  <c r="U99" i="1"/>
  <c r="U214" i="1"/>
  <c r="U279" i="1"/>
  <c r="U177" i="1"/>
  <c r="U225" i="1"/>
  <c r="U271" i="1"/>
  <c r="U216" i="1"/>
  <c r="U246" i="1"/>
  <c r="U175" i="1"/>
  <c r="U223" i="1"/>
  <c r="U248" i="1"/>
  <c r="U312" i="1"/>
  <c r="U291" i="1"/>
  <c r="U382" i="1"/>
  <c r="U351" i="1"/>
  <c r="U286" i="1"/>
  <c r="U347" i="1"/>
  <c r="U432" i="1"/>
  <c r="U406" i="1"/>
  <c r="U418" i="1"/>
  <c r="U405" i="1"/>
  <c r="U325" i="1"/>
  <c r="U373" i="1"/>
  <c r="U407" i="1"/>
  <c r="U455" i="1"/>
  <c r="U469" i="1"/>
  <c r="U462" i="1"/>
  <c r="U468" i="1"/>
  <c r="U480" i="1"/>
  <c r="U147" i="1"/>
  <c r="U114" i="1"/>
  <c r="U124" i="1"/>
  <c r="U93" i="1"/>
  <c r="U88" i="1"/>
  <c r="U122" i="1"/>
  <c r="U142" i="1"/>
  <c r="U108" i="1"/>
  <c r="U117" i="1"/>
  <c r="U104" i="1"/>
  <c r="U112" i="1"/>
  <c r="U116" i="1"/>
  <c r="U154" i="1"/>
  <c r="U121" i="1"/>
  <c r="U130" i="1"/>
  <c r="U303" i="1"/>
  <c r="U134" i="1"/>
  <c r="D45" i="37"/>
  <c r="C45" i="37"/>
  <c r="B45" i="37"/>
  <c r="D38" i="37"/>
  <c r="C38" i="37"/>
  <c r="B38" i="37"/>
  <c r="D21" i="37"/>
  <c r="C21" i="37"/>
  <c r="B21" i="37"/>
  <c r="D17" i="42"/>
  <c r="C17" i="42"/>
  <c r="B17" i="42"/>
  <c r="D43" i="37"/>
  <c r="C43" i="37"/>
  <c r="B43" i="37"/>
  <c r="D30" i="37"/>
  <c r="C30" i="37"/>
  <c r="B30" i="37"/>
  <c r="D39" i="37"/>
  <c r="C39" i="37"/>
  <c r="B39" i="37"/>
  <c r="D37" i="42"/>
  <c r="C37" i="42"/>
  <c r="B37" i="42"/>
  <c r="D36" i="37"/>
  <c r="B36" i="37"/>
  <c r="C36" i="37"/>
  <c r="D29" i="37"/>
  <c r="C29" i="37"/>
  <c r="B29" i="37"/>
  <c r="D33" i="37"/>
  <c r="C33" i="37"/>
  <c r="B33" i="37"/>
  <c r="D28" i="42"/>
  <c r="C28" i="42"/>
  <c r="B28" i="42"/>
  <c r="B44" i="37"/>
  <c r="D44" i="37"/>
  <c r="C44" i="37"/>
  <c r="D19" i="37"/>
  <c r="C19" i="37"/>
  <c r="B19" i="37"/>
  <c r="D38" i="42"/>
  <c r="C38" i="42"/>
  <c r="B38" i="42"/>
  <c r="D31" i="42"/>
  <c r="C31" i="42"/>
  <c r="B31" i="42"/>
  <c r="B32" i="42"/>
  <c r="D32" i="42"/>
  <c r="C32" i="42"/>
  <c r="D40" i="37"/>
  <c r="B40" i="37"/>
  <c r="C40" i="37"/>
  <c r="B16" i="37"/>
  <c r="D16" i="37"/>
  <c r="C16" i="37"/>
  <c r="C20" i="37"/>
  <c r="D20" i="37"/>
  <c r="B20" i="37"/>
  <c r="D26" i="42"/>
  <c r="C26" i="42"/>
  <c r="B26" i="42"/>
  <c r="D25" i="42"/>
  <c r="C25" i="42"/>
  <c r="B25" i="42"/>
  <c r="D46" i="37"/>
  <c r="C46" i="37"/>
  <c r="B46" i="37"/>
  <c r="B15" i="42"/>
  <c r="D15" i="42"/>
  <c r="C15" i="42"/>
  <c r="D10" i="37"/>
  <c r="C10" i="37"/>
  <c r="B10" i="37"/>
  <c r="D17" i="37"/>
  <c r="C17" i="37"/>
  <c r="B17" i="37"/>
  <c r="D19" i="42"/>
  <c r="C19" i="42"/>
  <c r="B19" i="42"/>
  <c r="D39" i="42"/>
  <c r="C39" i="42"/>
  <c r="B39" i="42"/>
  <c r="C28" i="37"/>
  <c r="B28" i="37"/>
  <c r="D28" i="37"/>
  <c r="D9" i="37"/>
  <c r="C9" i="37"/>
  <c r="B9" i="37"/>
  <c r="D12" i="37"/>
  <c r="C12" i="37"/>
  <c r="B12" i="37"/>
  <c r="D47" i="37"/>
  <c r="C47" i="37"/>
  <c r="B47" i="37"/>
  <c r="D22" i="42"/>
  <c r="B22" i="42"/>
  <c r="C22" i="42"/>
  <c r="C24" i="42"/>
  <c r="B24" i="42"/>
  <c r="D24" i="42"/>
  <c r="D18" i="37"/>
  <c r="C18" i="37"/>
  <c r="B18" i="37"/>
  <c r="D37" i="37"/>
  <c r="C37" i="37"/>
  <c r="B37" i="37"/>
  <c r="D18" i="42"/>
  <c r="C18" i="42"/>
  <c r="B18" i="42"/>
  <c r="D16" i="42"/>
  <c r="B16" i="42"/>
  <c r="C16" i="42"/>
  <c r="C29" i="42"/>
  <c r="B29" i="42"/>
  <c r="D29" i="42"/>
  <c r="D13" i="42"/>
  <c r="C13" i="42"/>
  <c r="B13" i="42"/>
  <c r="B36" i="42"/>
  <c r="D36" i="42"/>
  <c r="C36" i="42"/>
  <c r="D34" i="37"/>
  <c r="C34" i="37"/>
  <c r="B34" i="37"/>
  <c r="D21" i="42"/>
  <c r="C21" i="42"/>
  <c r="B21" i="42"/>
  <c r="D27" i="42"/>
  <c r="C27" i="42"/>
  <c r="B27" i="42"/>
  <c r="D12" i="42"/>
  <c r="C12" i="42"/>
  <c r="B12" i="42"/>
  <c r="D35" i="37"/>
  <c r="C35" i="37"/>
  <c r="B35" i="37"/>
  <c r="C15" i="37"/>
  <c r="B15" i="37"/>
  <c r="D15" i="37"/>
  <c r="D35" i="42"/>
  <c r="C35" i="42"/>
  <c r="B35" i="42"/>
  <c r="D42" i="37"/>
  <c r="C42" i="37"/>
  <c r="B42" i="37"/>
  <c r="C14" i="37"/>
  <c r="B14" i="37"/>
  <c r="D14" i="37"/>
  <c r="B40" i="42"/>
  <c r="D40" i="42"/>
  <c r="C40" i="42"/>
  <c r="D14" i="42"/>
  <c r="C14" i="42"/>
  <c r="B14" i="42"/>
  <c r="C30" i="42"/>
  <c r="D30" i="42"/>
  <c r="B30" i="42"/>
  <c r="D11" i="42"/>
  <c r="C11" i="42"/>
  <c r="B11" i="42"/>
  <c r="D41" i="37"/>
  <c r="B41" i="37"/>
  <c r="C41" i="37"/>
  <c r="C41" i="42"/>
  <c r="B41" i="42"/>
  <c r="D41" i="42"/>
  <c r="C13" i="37"/>
  <c r="B13" i="37"/>
  <c r="F8" i="37" s="1"/>
  <c r="D13" i="37"/>
  <c r="D11" i="37"/>
  <c r="C11" i="37"/>
  <c r="B11" i="37"/>
  <c r="AF31" i="37"/>
  <c r="CY178" i="35" a="1"/>
  <c r="V12" i="25" l="1"/>
  <c r="V16" i="25"/>
  <c r="V14" i="25"/>
  <c r="V22" i="25"/>
  <c r="V20" i="25"/>
  <c r="V21" i="25"/>
  <c r="V18" i="25"/>
  <c r="V11" i="25"/>
  <c r="V10" i="25"/>
  <c r="V23" i="25"/>
  <c r="DO76" i="14"/>
  <c r="DO77" i="14" s="1"/>
  <c r="DT77" i="14"/>
  <c r="DI23" i="13"/>
  <c r="EF17" i="13"/>
  <c r="EG38" i="12"/>
  <c r="DI7" i="25"/>
  <c r="BE7" i="25"/>
  <c r="W8" i="25"/>
  <c r="CG7" i="25"/>
  <c r="AC6" i="25"/>
  <c r="EL28" i="13"/>
  <c r="EG55" i="13"/>
  <c r="ED55" i="13"/>
  <c r="EH28" i="13"/>
  <c r="EH55" i="13" s="1"/>
  <c r="H8" i="21" s="1"/>
  <c r="EI28" i="13"/>
  <c r="ED37" i="13"/>
  <c r="EE37" i="13"/>
  <c r="EJ28" i="13"/>
  <c r="EE55" i="13"/>
  <c r="EF55" i="13"/>
  <c r="EK28" i="13"/>
  <c r="DQ96" i="14"/>
  <c r="DS125" i="14"/>
  <c r="DN125" i="14"/>
  <c r="EB32" i="13"/>
  <c r="EG31" i="13"/>
  <c r="EA32" i="13"/>
  <c r="EF31" i="13"/>
  <c r="EE51" i="2"/>
  <c r="EC12" i="12"/>
  <c r="ED12" i="12"/>
  <c r="EC36" i="12"/>
  <c r="ED36" i="12"/>
  <c r="EE36" i="12" s="1"/>
  <c r="EF36" i="12" s="1"/>
  <c r="EG36" i="12" s="1"/>
  <c r="EC31" i="12"/>
  <c r="ED31" i="12"/>
  <c r="EE31" i="12" s="1"/>
  <c r="EF31" i="12" s="1"/>
  <c r="EG31" i="12" s="1"/>
  <c r="EC23" i="12"/>
  <c r="ED23" i="12"/>
  <c r="EE23" i="12" s="1"/>
  <c r="EF23" i="12" s="1"/>
  <c r="EG23" i="12" s="1"/>
  <c r="EC20" i="12"/>
  <c r="ED20" i="12"/>
  <c r="EE20" i="12" s="1"/>
  <c r="EF20" i="12" s="1"/>
  <c r="EG20" i="12" s="1"/>
  <c r="O22" i="26"/>
  <c r="O23" i="26" s="1"/>
  <c r="AF150" i="35"/>
  <c r="CY128" i="14"/>
  <c r="BA92" i="35"/>
  <c r="EG49" i="14"/>
  <c r="BD93" i="35"/>
  <c r="EJ51" i="14"/>
  <c r="BC93" i="35"/>
  <c r="EI51" i="14"/>
  <c r="BD92" i="35"/>
  <c r="EJ49" i="14"/>
  <c r="BA93" i="35"/>
  <c r="EG51" i="14"/>
  <c r="BC92" i="35"/>
  <c r="EI49" i="14"/>
  <c r="AZ92" i="35"/>
  <c r="EF49" i="14"/>
  <c r="DM60" i="13"/>
  <c r="EI8" i="13"/>
  <c r="EE8" i="13"/>
  <c r="EF8" i="13" s="1"/>
  <c r="EG8" i="13" s="1"/>
  <c r="EH8" i="13"/>
  <c r="BD8" i="35"/>
  <c r="EE82" i="14"/>
  <c r="EJ81" i="14"/>
  <c r="EO81" i="14" s="1"/>
  <c r="EE79" i="14"/>
  <c r="EE91" i="14" s="1"/>
  <c r="EE93" i="14" s="1"/>
  <c r="EN81" i="14"/>
  <c r="BF7" i="35"/>
  <c r="EL63" i="14"/>
  <c r="EL64" i="14" s="1"/>
  <c r="EG64" i="14"/>
  <c r="BJ7" i="35"/>
  <c r="EP63" i="14"/>
  <c r="BI7" i="35"/>
  <c r="BI8" i="35" s="1"/>
  <c r="EO63" i="14"/>
  <c r="EK64" i="14"/>
  <c r="DY64" i="14"/>
  <c r="ED63" i="14"/>
  <c r="AY8" i="35"/>
  <c r="BE6" i="37"/>
  <c r="N87" i="1"/>
  <c r="AA4" i="40"/>
  <c r="CV179" i="35"/>
  <c r="CW100" i="14"/>
  <c r="AB152" i="35" s="1"/>
  <c r="DE49" i="2"/>
  <c r="H32" i="1"/>
  <c r="DL86" i="14"/>
  <c r="E32" i="1"/>
  <c r="G32" i="1"/>
  <c r="DF49" i="2"/>
  <c r="DG49" i="2"/>
  <c r="DR45" i="2"/>
  <c r="DR49" i="2"/>
  <c r="DM48" i="2"/>
  <c r="DM49" i="2" s="1"/>
  <c r="DJ48" i="2"/>
  <c r="DJ49" i="2" s="1"/>
  <c r="DO49" i="2"/>
  <c r="DQ26" i="2"/>
  <c r="AN165" i="35"/>
  <c r="DP26" i="2"/>
  <c r="AM165" i="35"/>
  <c r="DR26" i="2"/>
  <c r="AO165" i="35"/>
  <c r="DQ45" i="2"/>
  <c r="DQ49" i="2"/>
  <c r="DL48" i="2"/>
  <c r="DL49" i="2" s="1"/>
  <c r="DP45" i="2"/>
  <c r="DK48" i="2"/>
  <c r="DK49" i="2" s="1"/>
  <c r="DP49" i="2"/>
  <c r="DH49" i="2"/>
  <c r="DV22" i="12"/>
  <c r="DM76" i="14"/>
  <c r="DM77" i="14" s="1"/>
  <c r="DR77" i="14"/>
  <c r="DS99" i="14"/>
  <c r="DS98" i="14"/>
  <c r="DR96" i="14"/>
  <c r="DS94" i="14"/>
  <c r="DR95" i="14"/>
  <c r="EB13" i="2"/>
  <c r="EG13" i="2" s="1"/>
  <c r="EL13" i="2" s="1"/>
  <c r="EQ13" i="2" s="1"/>
  <c r="CE79" i="14"/>
  <c r="CU119" i="35" s="1"/>
  <c r="F32" i="1"/>
  <c r="F31" i="1"/>
  <c r="DL76" i="14"/>
  <c r="DL77" i="14" s="1"/>
  <c r="DQ77" i="14"/>
  <c r="DP96" i="14"/>
  <c r="DQ95" i="14"/>
  <c r="CV22" i="14"/>
  <c r="CY136" i="14"/>
  <c r="DN128" i="14"/>
  <c r="DN134" i="14" s="1"/>
  <c r="CY178" i="35"/>
  <c r="CY179" i="35" s="1"/>
  <c r="DF77" i="14"/>
  <c r="DA20" i="14"/>
  <c r="DA66" i="14"/>
  <c r="DA21" i="14"/>
  <c r="DA22" i="14" s="1"/>
  <c r="DA23" i="14"/>
  <c r="DA24" i="14" s="1"/>
  <c r="DB16" i="14"/>
  <c r="DA19" i="14"/>
  <c r="DA17" i="14"/>
  <c r="AB149" i="35"/>
  <c r="CW101" i="14"/>
  <c r="CX104" i="14" s="1"/>
  <c r="CW94" i="14"/>
  <c r="CW96" i="14" s="1"/>
  <c r="CW99" i="14"/>
  <c r="AB151" i="35" s="1"/>
  <c r="AB155" i="35" s="1"/>
  <c r="M5" i="14"/>
  <c r="R5" i="14" s="1"/>
  <c r="W5" i="14" s="1"/>
  <c r="AB5" i="14" s="1"/>
  <c r="AG5" i="14" s="1"/>
  <c r="AL5" i="14" s="1"/>
  <c r="AQ5" i="14" s="1"/>
  <c r="AV5" i="14" s="1"/>
  <c r="BA5" i="14" s="1"/>
  <c r="BF5" i="14" s="1"/>
  <c r="BK5" i="14" s="1"/>
  <c r="BP5" i="14" s="1"/>
  <c r="BU5" i="14" s="1"/>
  <c r="BZ5" i="14" s="1"/>
  <c r="CE5" i="14" s="1"/>
  <c r="CJ5" i="14" s="1"/>
  <c r="CO5" i="14" s="1"/>
  <c r="CT5" i="14" s="1"/>
  <c r="CY5" i="14" s="1"/>
  <c r="DD5" i="14" s="1"/>
  <c r="DI5" i="14" s="1"/>
  <c r="DN5" i="14" s="1"/>
  <c r="DS5" i="14" s="1"/>
  <c r="DX5" i="14" s="1"/>
  <c r="EC5" i="14" s="1"/>
  <c r="EH5" i="14" s="1"/>
  <c r="EM5" i="14" s="1"/>
  <c r="ER5" i="14" s="1"/>
  <c r="DJ76" i="14"/>
  <c r="DP77" i="14"/>
  <c r="DK76" i="14"/>
  <c r="DK77" i="14" s="1"/>
  <c r="DN23" i="13"/>
  <c r="CX55" i="13"/>
  <c r="CY28" i="13"/>
  <c r="V3" i="35"/>
  <c r="CI67" i="13"/>
  <c r="CI55" i="13"/>
  <c r="BY67" i="13"/>
  <c r="BY55" i="13"/>
  <c r="CS67" i="13"/>
  <c r="CS55" i="13"/>
  <c r="CD67" i="13"/>
  <c r="CD55" i="13"/>
  <c r="DC67" i="13"/>
  <c r="DC55" i="13"/>
  <c r="CN67" i="13"/>
  <c r="CN55" i="13"/>
  <c r="DP60" i="13"/>
  <c r="DK60" i="13"/>
  <c r="DO60" i="13"/>
  <c r="DJ60" i="13"/>
  <c r="AZ8" i="35"/>
  <c r="CO80" i="14"/>
  <c r="CV119" i="35"/>
  <c r="CJ81" i="14"/>
  <c r="CO83" i="14" s="1"/>
  <c r="CZ207" i="35"/>
  <c r="DM84" i="14"/>
  <c r="DM85" i="14" s="1"/>
  <c r="DM90" i="14"/>
  <c r="DM101" i="14"/>
  <c r="DM105" i="14" s="1"/>
  <c r="DN87" i="14"/>
  <c r="DM89" i="14"/>
  <c r="CU179" i="35"/>
  <c r="CW179" i="35"/>
  <c r="DO87" i="14"/>
  <c r="DP88" i="14"/>
  <c r="CL83" i="14"/>
  <c r="CH82" i="14"/>
  <c r="EC31" i="13"/>
  <c r="BZ68" i="13"/>
  <c r="BU28" i="13"/>
  <c r="BU55" i="13" s="1"/>
  <c r="DB46" i="13"/>
  <c r="DN59" i="13"/>
  <c r="DN60" i="13" s="1"/>
  <c r="CY10" i="13"/>
  <c r="CE68" i="13"/>
  <c r="CD102" i="14"/>
  <c r="D32" i="1"/>
  <c r="CE101" i="2"/>
  <c r="CR102" i="14"/>
  <c r="CY27" i="2"/>
  <c r="CT68" i="13"/>
  <c r="DD102" i="2"/>
  <c r="CJ102" i="2"/>
  <c r="CO101" i="2"/>
  <c r="CT102" i="2"/>
  <c r="CY101" i="2"/>
  <c r="CO102" i="2"/>
  <c r="CT101" i="2"/>
  <c r="BU102" i="2"/>
  <c r="BZ101" i="2"/>
  <c r="CE102" i="2"/>
  <c r="CJ101" i="2"/>
  <c r="CY102" i="2"/>
  <c r="DD101" i="2"/>
  <c r="CY6" i="35"/>
  <c r="CY170" i="35" s="1"/>
  <c r="DM96" i="14"/>
  <c r="CQ105" i="14"/>
  <c r="CQ106" i="14"/>
  <c r="CQ110" i="14" s="1"/>
  <c r="CJ84" i="14"/>
  <c r="CB26" i="2"/>
  <c r="CO68" i="13"/>
  <c r="CD106" i="14"/>
  <c r="CD110" i="14" s="1"/>
  <c r="CR105" i="14"/>
  <c r="CJ68" i="13"/>
  <c r="CY68" i="13"/>
  <c r="CA26" i="2"/>
  <c r="DK106" i="14"/>
  <c r="CR104" i="14"/>
  <c r="CR107" i="14"/>
  <c r="DK102" i="14"/>
  <c r="CZ6" i="35"/>
  <c r="CZ170" i="35" s="1"/>
  <c r="DK105" i="14"/>
  <c r="DC26" i="2"/>
  <c r="CC26" i="2"/>
  <c r="CQ26" i="2"/>
  <c r="CX8" i="13"/>
  <c r="CY8" i="13" s="1"/>
  <c r="CY88" i="14"/>
  <c r="DN57" i="13"/>
  <c r="H28" i="1" s="1"/>
  <c r="DB26" i="2"/>
  <c r="CP26" i="2"/>
  <c r="CH26" i="2"/>
  <c r="DI57" i="13"/>
  <c r="G28" i="1" s="1"/>
  <c r="CL22" i="14"/>
  <c r="CY89" i="14"/>
  <c r="CW26" i="2"/>
  <c r="DL26" i="2"/>
  <c r="CT84" i="14"/>
  <c r="CY86" i="14" s="1"/>
  <c r="DM95" i="14"/>
  <c r="DD68" i="13"/>
  <c r="DK26" i="2"/>
  <c r="CM26" i="2"/>
  <c r="CX26" i="2"/>
  <c r="DN8" i="14"/>
  <c r="DL95" i="14"/>
  <c r="CI26" i="2"/>
  <c r="CW6" i="35"/>
  <c r="CW170" i="35" s="1"/>
  <c r="DN38" i="14"/>
  <c r="CZ9" i="35"/>
  <c r="CJ8" i="13"/>
  <c r="DH95" i="14"/>
  <c r="CU26" i="2"/>
  <c r="CZ26" i="2"/>
  <c r="BV26" i="2"/>
  <c r="DA26" i="2"/>
  <c r="BZ151" i="2"/>
  <c r="DX32" i="13"/>
  <c r="DA56" i="2"/>
  <c r="DF45" i="2"/>
  <c r="DA74" i="2"/>
  <c r="DA111" i="2" s="1"/>
  <c r="DA46" i="2"/>
  <c r="CR74" i="2"/>
  <c r="CR111" i="2" s="1"/>
  <c r="CR46" i="2"/>
  <c r="CW45" i="2"/>
  <c r="CR56" i="2"/>
  <c r="DC74" i="2"/>
  <c r="DC111" i="2" s="1"/>
  <c r="DC46" i="2"/>
  <c r="DC56" i="2"/>
  <c r="DH45" i="2"/>
  <c r="DI27" i="2"/>
  <c r="DD25" i="2"/>
  <c r="CC45" i="2"/>
  <c r="BX74" i="2"/>
  <c r="BX111" i="2" s="1"/>
  <c r="BX46" i="2"/>
  <c r="BX56" i="2"/>
  <c r="CA45" i="2"/>
  <c r="BV74" i="2"/>
  <c r="BV111" i="2" s="1"/>
  <c r="BV46" i="2"/>
  <c r="BZ44" i="2"/>
  <c r="BV56" i="2"/>
  <c r="CX74" i="2"/>
  <c r="CX111" i="2" s="1"/>
  <c r="CX46" i="2"/>
  <c r="CX56" i="2"/>
  <c r="DC45" i="2"/>
  <c r="CD26" i="2"/>
  <c r="CV6" i="35"/>
  <c r="CV170" i="35" s="1"/>
  <c r="CQ45" i="2"/>
  <c r="CL74" i="2"/>
  <c r="CL111" i="2" s="1"/>
  <c r="CL46" i="2"/>
  <c r="CL56" i="2"/>
  <c r="D25" i="1"/>
  <c r="BY74" i="2"/>
  <c r="BY111" i="2" s="1"/>
  <c r="BY46" i="2"/>
  <c r="BY56" i="2"/>
  <c r="CD45" i="2"/>
  <c r="AC5" i="2"/>
  <c r="Y5" i="2"/>
  <c r="DD27" i="2"/>
  <c r="CY25" i="2"/>
  <c r="E25" i="1" s="1"/>
  <c r="CA74" i="2"/>
  <c r="CA111" i="2" s="1"/>
  <c r="CA56" i="2"/>
  <c r="CF45" i="2"/>
  <c r="CE44" i="2"/>
  <c r="CA46" i="2"/>
  <c r="CE27" i="2"/>
  <c r="BZ25" i="2"/>
  <c r="CH74" i="2"/>
  <c r="CH111" i="2" s="1"/>
  <c r="CH46" i="2"/>
  <c r="CH56" i="2"/>
  <c r="CM45" i="2"/>
  <c r="CQ74" i="2"/>
  <c r="CQ111" i="2" s="1"/>
  <c r="CQ56" i="2"/>
  <c r="CQ46" i="2"/>
  <c r="DF74" i="2"/>
  <c r="DF111" i="2" s="1"/>
  <c r="DF46" i="2"/>
  <c r="DF56" i="2"/>
  <c r="DK45" i="2"/>
  <c r="DA45" i="2"/>
  <c r="CV74" i="2"/>
  <c r="CV111" i="2" s="1"/>
  <c r="CV46" i="2"/>
  <c r="CV56" i="2"/>
  <c r="Q5" i="13"/>
  <c r="DW70" i="14"/>
  <c r="EB70" i="14" s="1"/>
  <c r="EG70" i="14" s="1"/>
  <c r="EG73" i="14" s="1"/>
  <c r="DG45" i="2"/>
  <c r="DB74" i="2"/>
  <c r="DB111" i="2" s="1"/>
  <c r="DB46" i="2"/>
  <c r="DB56" i="2"/>
  <c r="U5" i="2"/>
  <c r="DO26" i="2"/>
  <c r="DJ26" i="2"/>
  <c r="CZ74" i="2"/>
  <c r="CZ111" i="2" s="1"/>
  <c r="CZ46" i="2"/>
  <c r="DD44" i="2"/>
  <c r="F19" i="1" s="1"/>
  <c r="DE45" i="2"/>
  <c r="CZ56" i="2"/>
  <c r="CC56" i="2"/>
  <c r="CH45" i="2"/>
  <c r="CC46" i="2"/>
  <c r="CC74" i="2"/>
  <c r="CC111" i="2" s="1"/>
  <c r="CF26" i="2"/>
  <c r="DG26" i="2"/>
  <c r="Q5" i="2"/>
  <c r="CI45" i="2"/>
  <c r="CD74" i="2"/>
  <c r="CD111" i="2" s="1"/>
  <c r="CD46" i="2"/>
  <c r="CD56" i="2"/>
  <c r="CO27" i="2"/>
  <c r="CJ25" i="2"/>
  <c r="BQ74" i="2"/>
  <c r="BQ111" i="2" s="1"/>
  <c r="BQ46" i="2"/>
  <c r="BU44" i="2"/>
  <c r="BQ56" i="2"/>
  <c r="BV45" i="2"/>
  <c r="BU8" i="13"/>
  <c r="DL74" i="2"/>
  <c r="DL111" i="2" s="1"/>
  <c r="DQ112" i="2" s="1"/>
  <c r="DL46" i="2"/>
  <c r="DL56" i="2"/>
  <c r="DO45" i="2"/>
  <c r="DJ74" i="2"/>
  <c r="DJ111" i="2" s="1"/>
  <c r="DJ46" i="2"/>
  <c r="DJ56" i="2"/>
  <c r="BZ27" i="2"/>
  <c r="BU25" i="2"/>
  <c r="CS26" i="2"/>
  <c r="BW26" i="2"/>
  <c r="DN99" i="14"/>
  <c r="DB192" i="35" s="1"/>
  <c r="DO100" i="14"/>
  <c r="CJ27" i="2"/>
  <c r="CE25" i="2"/>
  <c r="CG26" i="2"/>
  <c r="BS74" i="2"/>
  <c r="BS111" i="2" s="1"/>
  <c r="BS56" i="2"/>
  <c r="BX45" i="2"/>
  <c r="BS46" i="2"/>
  <c r="BR74" i="2"/>
  <c r="BR111" i="2" s="1"/>
  <c r="BR46" i="2"/>
  <c r="BR56" i="2"/>
  <c r="BW45" i="2"/>
  <c r="DE26" i="2"/>
  <c r="CI74" i="2"/>
  <c r="CI111" i="2" s="1"/>
  <c r="CI56" i="2"/>
  <c r="CN45" i="2"/>
  <c r="CI46" i="2"/>
  <c r="DH26" i="2"/>
  <c r="CK45" i="2"/>
  <c r="CF74" i="2"/>
  <c r="CF111" i="2" s="1"/>
  <c r="CF46" i="2"/>
  <c r="CJ44" i="2"/>
  <c r="CF56" i="2"/>
  <c r="DG74" i="2"/>
  <c r="DG111" i="2" s="1"/>
  <c r="DG56" i="2"/>
  <c r="DL45" i="2"/>
  <c r="DG46" i="2"/>
  <c r="CK26" i="2"/>
  <c r="CN26" i="2"/>
  <c r="CR85" i="14"/>
  <c r="CS85" i="14"/>
  <c r="BT74" i="2"/>
  <c r="BT111" i="2" s="1"/>
  <c r="BT46" i="2"/>
  <c r="BY45" i="2"/>
  <c r="BT56" i="2"/>
  <c r="CU6" i="35"/>
  <c r="CU170" i="35" s="1"/>
  <c r="CU9" i="35"/>
  <c r="CU74" i="2"/>
  <c r="CU111" i="2" s="1"/>
  <c r="CU46" i="2"/>
  <c r="CY44" i="2"/>
  <c r="E19" i="1" s="1"/>
  <c r="CU56" i="2"/>
  <c r="CZ45" i="2"/>
  <c r="CT27" i="2"/>
  <c r="CO25" i="2"/>
  <c r="CT26" i="2" s="1"/>
  <c r="DH74" i="2"/>
  <c r="DH111" i="2" s="1"/>
  <c r="DH46" i="2"/>
  <c r="DH56" i="2"/>
  <c r="CS56" i="2"/>
  <c r="CX45" i="2"/>
  <c r="CS74" i="2"/>
  <c r="CS111" i="2" s="1"/>
  <c r="CS46" i="2"/>
  <c r="BW74" i="2"/>
  <c r="BW111" i="2" s="1"/>
  <c r="BW46" i="2"/>
  <c r="BW56" i="2"/>
  <c r="CB45" i="2"/>
  <c r="CG74" i="2"/>
  <c r="CG111" i="2" s="1"/>
  <c r="CG46" i="2"/>
  <c r="CG56" i="2"/>
  <c r="CL45" i="2"/>
  <c r="CR26" i="2"/>
  <c r="CW74" i="2"/>
  <c r="CW111" i="2" s="1"/>
  <c r="CW46" i="2"/>
  <c r="CW56" i="2"/>
  <c r="DB45" i="2"/>
  <c r="DK74" i="2"/>
  <c r="DK111" i="2" s="1"/>
  <c r="DK46" i="2"/>
  <c r="DK56" i="2"/>
  <c r="DE74" i="2"/>
  <c r="DE46" i="2"/>
  <c r="DI44" i="2"/>
  <c r="G19" i="1" s="1"/>
  <c r="DE56" i="2"/>
  <c r="DJ45" i="2"/>
  <c r="BX26" i="2"/>
  <c r="CP74" i="2"/>
  <c r="CP111" i="2" s="1"/>
  <c r="CP46" i="2"/>
  <c r="CT44" i="2"/>
  <c r="CP56" i="2"/>
  <c r="CU45" i="2"/>
  <c r="H5" i="2"/>
  <c r="CK56" i="2"/>
  <c r="CP45" i="2"/>
  <c r="CK46" i="2"/>
  <c r="CK74" i="2"/>
  <c r="CK111" i="2" s="1"/>
  <c r="CO44" i="2"/>
  <c r="CS45" i="2"/>
  <c r="CN74" i="2"/>
  <c r="CN111" i="2" s="1"/>
  <c r="CN46" i="2"/>
  <c r="CN56" i="2"/>
  <c r="CL26" i="2"/>
  <c r="CF106" i="14"/>
  <c r="CM74" i="2"/>
  <c r="CM111" i="2" s="1"/>
  <c r="CM46" i="2"/>
  <c r="CM56" i="2"/>
  <c r="CR45" i="2"/>
  <c r="BY26" i="2"/>
  <c r="CB74" i="2"/>
  <c r="CB111" i="2" s="1"/>
  <c r="CB46" i="2"/>
  <c r="CG45" i="2"/>
  <c r="CB56" i="2"/>
  <c r="DA6" i="35"/>
  <c r="DA170" i="35" s="1"/>
  <c r="CX6" i="35"/>
  <c r="CX170" i="35" s="1"/>
  <c r="DF26" i="2"/>
  <c r="CV26" i="2"/>
  <c r="DX69" i="2"/>
  <c r="EC51" i="2"/>
  <c r="O15" i="1"/>
  <c r="CB84" i="14"/>
  <c r="CB85" i="14" s="1"/>
  <c r="CV24" i="14"/>
  <c r="DL96" i="14"/>
  <c r="DD134" i="14"/>
  <c r="CJ72" i="14"/>
  <c r="CW21" i="14"/>
  <c r="CY21" i="14" s="1"/>
  <c r="CY8" i="35"/>
  <c r="CY9" i="35"/>
  <c r="CJ91" i="14"/>
  <c r="DV94" i="14"/>
  <c r="CX17" i="14"/>
  <c r="CY17" i="14" s="1"/>
  <c r="CL24" i="14"/>
  <c r="CF105" i="14"/>
  <c r="CO94" i="14"/>
  <c r="CX179" i="35"/>
  <c r="CH94" i="14"/>
  <c r="CI95" i="14" s="1"/>
  <c r="CT89" i="14"/>
  <c r="CG24" i="14"/>
  <c r="CC81" i="14"/>
  <c r="CC91" i="14"/>
  <c r="DD83" i="14"/>
  <c r="CM92" i="14"/>
  <c r="CH93" i="14"/>
  <c r="DN98" i="14"/>
  <c r="DV70" i="14"/>
  <c r="CW19" i="14"/>
  <c r="CE72" i="14"/>
  <c r="CW23" i="14"/>
  <c r="CY23" i="14" s="1"/>
  <c r="CB24" i="14"/>
  <c r="CW66" i="14"/>
  <c r="CX18" i="14"/>
  <c r="CE130" i="14"/>
  <c r="CW20" i="14"/>
  <c r="CC21" i="14"/>
  <c r="CE21" i="14" s="1"/>
  <c r="CC23" i="14"/>
  <c r="CC66" i="14"/>
  <c r="CD17" i="14"/>
  <c r="CD18" i="14"/>
  <c r="CC20" i="14"/>
  <c r="CC17" i="14"/>
  <c r="CT132" i="14"/>
  <c r="CG85" i="14"/>
  <c r="CB104" i="14"/>
  <c r="CB105" i="14"/>
  <c r="CB102" i="14"/>
  <c r="CB106" i="14"/>
  <c r="CK102" i="14"/>
  <c r="CK105" i="14"/>
  <c r="CK106" i="14"/>
  <c r="DF105" i="14"/>
  <c r="DF104" i="14"/>
  <c r="DF102" i="14"/>
  <c r="DF106" i="14"/>
  <c r="DH102" i="14"/>
  <c r="DH104" i="14"/>
  <c r="DH105" i="14"/>
  <c r="DH106" i="14"/>
  <c r="DA7" i="14"/>
  <c r="DK85" i="14"/>
  <c r="DK86" i="14"/>
  <c r="DL85" i="14"/>
  <c r="CH86" i="14"/>
  <c r="CH85" i="14"/>
  <c r="DA85" i="14"/>
  <c r="DA86" i="14"/>
  <c r="DB85" i="14"/>
  <c r="DL104" i="14"/>
  <c r="DL105" i="14"/>
  <c r="DL103" i="14"/>
  <c r="DL102" i="14"/>
  <c r="DL106" i="14"/>
  <c r="CV99" i="14"/>
  <c r="AA151" i="35" s="1"/>
  <c r="AA155" i="35" s="1"/>
  <c r="AA149" i="35"/>
  <c r="CV94" i="14"/>
  <c r="CV101" i="14"/>
  <c r="CV100" i="14"/>
  <c r="AA152" i="35" s="1"/>
  <c r="CL105" i="14"/>
  <c r="CL102" i="14"/>
  <c r="CL104" i="14"/>
  <c r="CL106" i="14"/>
  <c r="CQ103" i="14"/>
  <c r="CJ101" i="14"/>
  <c r="CJ98" i="14"/>
  <c r="CJ99" i="14"/>
  <c r="CV192" i="35" s="1"/>
  <c r="CQ24" i="14"/>
  <c r="CP96" i="14"/>
  <c r="CT94" i="14"/>
  <c r="CQ95" i="14"/>
  <c r="CP95" i="14"/>
  <c r="DJ96" i="14"/>
  <c r="CO101" i="14"/>
  <c r="CO98" i="14"/>
  <c r="CO99" i="14"/>
  <c r="CW192" i="35" s="1"/>
  <c r="AP34" i="35"/>
  <c r="AP11" i="35"/>
  <c r="DF95" i="14"/>
  <c r="CI92" i="14"/>
  <c r="CI93" i="14"/>
  <c r="CM86" i="14"/>
  <c r="CM85" i="14"/>
  <c r="CR86" i="14"/>
  <c r="CP103" i="14"/>
  <c r="CP105" i="14"/>
  <c r="CP102" i="14"/>
  <c r="CP104" i="14"/>
  <c r="CP106" i="14"/>
  <c r="CQ104" i="14"/>
  <c r="CM102" i="14"/>
  <c r="CM104" i="14"/>
  <c r="CM105" i="14"/>
  <c r="CM106" i="14"/>
  <c r="DJ105" i="14"/>
  <c r="DJ102" i="14"/>
  <c r="DJ103" i="14"/>
  <c r="DJ106" i="14"/>
  <c r="DA212" i="35"/>
  <c r="DA218" i="35" s="1"/>
  <c r="DI49" i="14"/>
  <c r="AE150" i="35"/>
  <c r="DA97" i="14"/>
  <c r="DB100" i="14" s="1"/>
  <c r="AF152" i="35" s="1"/>
  <c r="AQ156" i="35"/>
  <c r="CL95" i="14"/>
  <c r="CQ96" i="14"/>
  <c r="CG104" i="14"/>
  <c r="CG105" i="14"/>
  <c r="CG102" i="14"/>
  <c r="CG106" i="14"/>
  <c r="DI89" i="14"/>
  <c r="DI88" i="14"/>
  <c r="DI84" i="14"/>
  <c r="DN94" i="14"/>
  <c r="DI94" i="14"/>
  <c r="DJ95" i="14" s="1"/>
  <c r="CI104" i="14"/>
  <c r="CI102" i="14"/>
  <c r="CI105" i="14"/>
  <c r="CI106" i="14"/>
  <c r="CL86" i="14"/>
  <c r="CL85" i="14"/>
  <c r="CQ86" i="14"/>
  <c r="CO93" i="14"/>
  <c r="CK85" i="14"/>
  <c r="CK86" i="14"/>
  <c r="CP86" i="14"/>
  <c r="CN102" i="14"/>
  <c r="CN105" i="14"/>
  <c r="CN104" i="14"/>
  <c r="CN106" i="14"/>
  <c r="CI82" i="14"/>
  <c r="CI83" i="14"/>
  <c r="CN86" i="14"/>
  <c r="CN85" i="14"/>
  <c r="CP85" i="14"/>
  <c r="CS86" i="14"/>
  <c r="DA211" i="35"/>
  <c r="DA217" i="35" s="1"/>
  <c r="DI47" i="14"/>
  <c r="AX7" i="35"/>
  <c r="DY79" i="14"/>
  <c r="DY80" i="14" s="1"/>
  <c r="AT156" i="35"/>
  <c r="CX96" i="14"/>
  <c r="CR103" i="14"/>
  <c r="DF86" i="14"/>
  <c r="DF85" i="14"/>
  <c r="CO8" i="14"/>
  <c r="CO38" i="14"/>
  <c r="CO42" i="14"/>
  <c r="CA93" i="14"/>
  <c r="CS105" i="14"/>
  <c r="CS103" i="14"/>
  <c r="CS102" i="14"/>
  <c r="CS104" i="14"/>
  <c r="CS106" i="14"/>
  <c r="CK82" i="14"/>
  <c r="CO84" i="14"/>
  <c r="CO88" i="14"/>
  <c r="DG105" i="14"/>
  <c r="DG104" i="14"/>
  <c r="DG102" i="14"/>
  <c r="DG106" i="14"/>
  <c r="DK103" i="14"/>
  <c r="CE8" i="14"/>
  <c r="CE38" i="14"/>
  <c r="CE42" i="14"/>
  <c r="CS95" i="14"/>
  <c r="CS96" i="14"/>
  <c r="CM95" i="14"/>
  <c r="CR96" i="14"/>
  <c r="DJ86" i="14"/>
  <c r="DJ85" i="14"/>
  <c r="DD38" i="14"/>
  <c r="DD8" i="14"/>
  <c r="DD42" i="14"/>
  <c r="CG95" i="14"/>
  <c r="DY73" i="14"/>
  <c r="CX105" i="14"/>
  <c r="CX103" i="14"/>
  <c r="CX102" i="14"/>
  <c r="CX106" i="14"/>
  <c r="CE98" i="14"/>
  <c r="CE101" i="14"/>
  <c r="CF83" i="14"/>
  <c r="DD132" i="14"/>
  <c r="CG82" i="14"/>
  <c r="Z149" i="35"/>
  <c r="CU99" i="14"/>
  <c r="Z151" i="35" s="1"/>
  <c r="Z155" i="35" s="1"/>
  <c r="CY97" i="14"/>
  <c r="CU101" i="14"/>
  <c r="CU100" i="14"/>
  <c r="Z152" i="35" s="1"/>
  <c r="CU94" i="14"/>
  <c r="DE85" i="14"/>
  <c r="DE86" i="14"/>
  <c r="DG95" i="14"/>
  <c r="CN95" i="14"/>
  <c r="DI98" i="14"/>
  <c r="DI101" i="14"/>
  <c r="DJ104" i="14" s="1"/>
  <c r="CW85" i="14"/>
  <c r="CW86" i="14"/>
  <c r="DB86" i="14"/>
  <c r="DI8" i="14"/>
  <c r="DI38" i="14"/>
  <c r="DK95" i="14"/>
  <c r="DK96" i="14"/>
  <c r="AG149" i="35"/>
  <c r="DC100" i="14"/>
  <c r="AG152" i="35" s="1"/>
  <c r="DC101" i="14"/>
  <c r="DH103" i="14" s="1"/>
  <c r="DC99" i="14"/>
  <c r="AG151" i="35" s="1"/>
  <c r="AG155" i="35" s="1"/>
  <c r="DC94" i="14"/>
  <c r="DE95" i="14" s="1"/>
  <c r="CY38" i="14"/>
  <c r="CY8" i="14"/>
  <c r="CT8" i="14"/>
  <c r="CT38" i="14"/>
  <c r="CA102" i="14"/>
  <c r="CA105" i="14"/>
  <c r="CA106" i="14"/>
  <c r="CN83" i="14"/>
  <c r="CC104" i="14"/>
  <c r="CC105" i="14"/>
  <c r="CC102" i="14"/>
  <c r="CC106" i="14"/>
  <c r="CM19" i="14"/>
  <c r="CM21" i="14"/>
  <c r="CM23" i="14"/>
  <c r="CM66" i="14"/>
  <c r="CN18" i="14"/>
  <c r="CN17" i="14"/>
  <c r="CM20" i="14"/>
  <c r="CM17" i="14"/>
  <c r="CB81" i="14"/>
  <c r="CG83" i="14" s="1"/>
  <c r="CB91" i="14"/>
  <c r="AD150" i="35"/>
  <c r="CZ97" i="14"/>
  <c r="N17" i="26"/>
  <c r="DI72" i="14"/>
  <c r="CT83" i="14"/>
  <c r="CQ22" i="14"/>
  <c r="DD72" i="14"/>
  <c r="M17" i="26"/>
  <c r="DA213" i="35"/>
  <c r="DA219" i="35" s="1"/>
  <c r="DI51" i="14"/>
  <c r="BY18" i="14"/>
  <c r="BX19" i="14"/>
  <c r="BX66" i="14"/>
  <c r="BX17" i="14"/>
  <c r="BY17" i="14"/>
  <c r="BX23" i="14"/>
  <c r="BX21" i="14"/>
  <c r="CC19" i="14"/>
  <c r="Z5" i="14"/>
  <c r="CX86" i="14"/>
  <c r="CX85" i="14"/>
  <c r="DC86" i="14"/>
  <c r="CH104" i="14"/>
  <c r="CH102" i="14"/>
  <c r="CH105" i="14"/>
  <c r="CH106" i="14"/>
  <c r="CG93" i="14"/>
  <c r="CL92" i="14"/>
  <c r="CD85" i="14"/>
  <c r="CD104" i="14"/>
  <c r="DE100" i="14"/>
  <c r="AH152" i="35" s="1"/>
  <c r="DK104" i="14"/>
  <c r="CR66" i="14"/>
  <c r="CS17" i="14"/>
  <c r="CR23" i="14"/>
  <c r="CR17" i="14"/>
  <c r="CR20" i="14"/>
  <c r="CR19" i="14"/>
  <c r="CS18" i="14"/>
  <c r="CR21" i="14"/>
  <c r="BU42" i="14"/>
  <c r="AH5" i="14"/>
  <c r="AD5" i="14"/>
  <c r="AE5" i="14" s="1"/>
  <c r="AF5" i="14" s="1"/>
  <c r="CT134" i="14"/>
  <c r="CN92" i="14"/>
  <c r="CY93" i="14"/>
  <c r="CY92" i="14"/>
  <c r="BZ38" i="14"/>
  <c r="BZ8" i="14"/>
  <c r="AR80" i="35"/>
  <c r="CF86" i="14"/>
  <c r="DI127" i="14"/>
  <c r="BZ132" i="14"/>
  <c r="CH17" i="14"/>
  <c r="CH19" i="14"/>
  <c r="CH20" i="14"/>
  <c r="CI17" i="14"/>
  <c r="CH23" i="14"/>
  <c r="CH66" i="14"/>
  <c r="CI18" i="14"/>
  <c r="CH21" i="14"/>
  <c r="DD88" i="14"/>
  <c r="DD84" i="14"/>
  <c r="DD89" i="14"/>
  <c r="DE105" i="14"/>
  <c r="DE102" i="14"/>
  <c r="DE106" i="14"/>
  <c r="CE88" i="14"/>
  <c r="CO72" i="14"/>
  <c r="DZ64" i="14"/>
  <c r="AF149" i="35"/>
  <c r="DB101" i="14"/>
  <c r="DB99" i="14"/>
  <c r="AF151" i="35" s="1"/>
  <c r="AF155" i="35" s="1"/>
  <c r="DB94" i="14"/>
  <c r="CJ38" i="14"/>
  <c r="CJ8" i="14"/>
  <c r="CT99" i="14"/>
  <c r="CX192" i="35" s="1"/>
  <c r="CT98" i="14"/>
  <c r="CT101" i="14"/>
  <c r="CF92" i="14"/>
  <c r="DE71" i="14"/>
  <c r="DE76" i="14" s="1"/>
  <c r="DE77" i="14" s="1"/>
  <c r="DI134" i="14"/>
  <c r="CI86" i="14"/>
  <c r="CI85" i="14"/>
  <c r="DG86" i="14"/>
  <c r="DG85" i="14"/>
  <c r="DH85" i="14"/>
  <c r="CZ86" i="14"/>
  <c r="CZ85" i="14"/>
  <c r="CO132" i="14"/>
  <c r="DZ82" i="14"/>
  <c r="DZ79" i="14"/>
  <c r="EA81" i="14"/>
  <c r="EF81" i="14" s="1"/>
  <c r="DV79" i="14"/>
  <c r="DX79" i="14" s="1"/>
  <c r="DV82" i="14"/>
  <c r="DC119" i="35"/>
  <c r="DY82" i="14"/>
  <c r="EB81" i="14"/>
  <c r="DW82" i="14"/>
  <c r="EB64" i="14"/>
  <c r="BA7" i="35"/>
  <c r="EC63" i="14"/>
  <c r="DW80" i="14"/>
  <c r="DD7" i="35"/>
  <c r="DD8" i="35" s="1"/>
  <c r="DX65" i="14"/>
  <c r="DD194" i="35" s="1"/>
  <c r="J12" i="1"/>
  <c r="J31" i="1" s="1"/>
  <c r="DX138" i="14"/>
  <c r="H9" i="26"/>
  <c r="DW91" i="14"/>
  <c r="BU47" i="12"/>
  <c r="BU48" i="12"/>
  <c r="AH5" i="12"/>
  <c r="AD5" i="12"/>
  <c r="AE5" i="12" s="1"/>
  <c r="AF5" i="12" s="1"/>
  <c r="DW37" i="13"/>
  <c r="DX37" i="13" s="1"/>
  <c r="DY37" i="13"/>
  <c r="DS70" i="2"/>
  <c r="DZ69" i="2"/>
  <c r="EA69" i="2" s="1"/>
  <c r="EB69" i="2" s="1"/>
  <c r="ED69" i="2" s="1"/>
  <c r="EE69" i="2" s="1"/>
  <c r="EF69" i="2" s="1"/>
  <c r="EG69" i="2" s="1"/>
  <c r="AS156" i="35"/>
  <c r="O17" i="26"/>
  <c r="DN72" i="14"/>
  <c r="DW94" i="14"/>
  <c r="DN27" i="2"/>
  <c r="DN25" i="2"/>
  <c r="DN59" i="14"/>
  <c r="DB213" i="35"/>
  <c r="DN51" i="14"/>
  <c r="DM26" i="2"/>
  <c r="DM46" i="2"/>
  <c r="DM74" i="2"/>
  <c r="DM56" i="2"/>
  <c r="DM45" i="2"/>
  <c r="DN44" i="2"/>
  <c r="H19" i="1" s="1"/>
  <c r="DB212" i="35"/>
  <c r="DN57" i="14"/>
  <c r="DN49" i="14"/>
  <c r="DS50" i="14" s="1"/>
  <c r="DB9" i="35"/>
  <c r="DB6" i="35"/>
  <c r="DB170" i="35" s="1"/>
  <c r="DN61" i="14"/>
  <c r="DB214" i="35"/>
  <c r="DB220" i="35" s="1"/>
  <c r="DN47" i="14"/>
  <c r="DN55" i="14"/>
  <c r="DB211" i="35"/>
  <c r="G8" i="21"/>
  <c r="DD43" i="13"/>
  <c r="CO28" i="13"/>
  <c r="BZ28" i="13"/>
  <c r="DD41" i="13"/>
  <c r="CD42" i="13"/>
  <c r="CE42" i="13" s="1"/>
  <c r="DH66" i="13"/>
  <c r="BS43" i="13"/>
  <c r="BT42" i="13" s="1"/>
  <c r="BT43" i="13" s="1"/>
  <c r="BU43" i="13" s="1"/>
  <c r="CJ28" i="13"/>
  <c r="BU40" i="13"/>
  <c r="CI36" i="13"/>
  <c r="CJ36" i="13" s="1"/>
  <c r="CI42" i="13"/>
  <c r="CJ42" i="13" s="1"/>
  <c r="CX42" i="13"/>
  <c r="CY75" i="2"/>
  <c r="CC37" i="13"/>
  <c r="AI5" i="13"/>
  <c r="AJ5" i="13" s="1"/>
  <c r="AK5" i="13" s="1"/>
  <c r="AM5" i="13"/>
  <c r="DC8" i="13"/>
  <c r="DD8" i="13" s="1"/>
  <c r="DC75" i="2"/>
  <c r="CJ40" i="13"/>
  <c r="DV8" i="13"/>
  <c r="CO42" i="13"/>
  <c r="CN43" i="13"/>
  <c r="CO43" i="13" s="1"/>
  <c r="BY8" i="13"/>
  <c r="BZ8" i="13" s="1"/>
  <c r="BY75" i="2"/>
  <c r="BZ10" i="13"/>
  <c r="DS41" i="13"/>
  <c r="CL37" i="13"/>
  <c r="DZ8" i="13"/>
  <c r="BS37" i="13"/>
  <c r="DS51" i="13"/>
  <c r="DT51" i="13" s="1"/>
  <c r="CJ29" i="13"/>
  <c r="DC37" i="13"/>
  <c r="DD37" i="13" s="1"/>
  <c r="CV37" i="13"/>
  <c r="DD24" i="13"/>
  <c r="DD54" i="13" s="1"/>
  <c r="CS8" i="13"/>
  <c r="CT8" i="13" s="1"/>
  <c r="CS75" i="2"/>
  <c r="CT10" i="13"/>
  <c r="CR36" i="13"/>
  <c r="CD8" i="13"/>
  <c r="CE8" i="13" s="1"/>
  <c r="CD75" i="2"/>
  <c r="CE10" i="13"/>
  <c r="BU75" i="2"/>
  <c r="CJ75" i="2"/>
  <c r="CT28" i="13"/>
  <c r="DD10" i="13"/>
  <c r="DA59" i="13"/>
  <c r="DA57" i="13"/>
  <c r="AE168" i="35" s="1"/>
  <c r="DF58" i="13"/>
  <c r="G23" i="1"/>
  <c r="DB56" i="13"/>
  <c r="CN8" i="13"/>
  <c r="CO8" i="13" s="1"/>
  <c r="CN75" i="2"/>
  <c r="CO10" i="13"/>
  <c r="CY13" i="13"/>
  <c r="CT13" i="13"/>
  <c r="BX42" i="13"/>
  <c r="DD28" i="13"/>
  <c r="CQ43" i="13"/>
  <c r="CE28" i="13"/>
  <c r="DS29" i="12"/>
  <c r="DT21" i="13" s="1"/>
  <c r="BY37" i="13"/>
  <c r="BZ37" i="13" s="1"/>
  <c r="DU51" i="13" l="1"/>
  <c r="DV51" i="13" s="1"/>
  <c r="DW51" i="13" s="1"/>
  <c r="BB7" i="35"/>
  <c r="BB8" i="35" s="1"/>
  <c r="R16" i="26"/>
  <c r="N579" i="1"/>
  <c r="N583" i="1"/>
  <c r="N580" i="1"/>
  <c r="N582" i="1"/>
  <c r="N584" i="1"/>
  <c r="N586" i="1"/>
  <c r="N585" i="1"/>
  <c r="N581" i="1"/>
  <c r="AB20" i="25"/>
  <c r="AB11" i="25"/>
  <c r="AB14" i="25"/>
  <c r="AB23" i="25"/>
  <c r="AB22" i="25"/>
  <c r="AB21" i="25"/>
  <c r="AB10" i="25"/>
  <c r="AB12" i="25"/>
  <c r="AB18" i="25"/>
  <c r="AB16" i="25"/>
  <c r="U19" i="25"/>
  <c r="V19" i="25" s="1"/>
  <c r="N577" i="1"/>
  <c r="N575" i="1"/>
  <c r="N573" i="1"/>
  <c r="N578" i="1"/>
  <c r="N576" i="1"/>
  <c r="N574" i="1"/>
  <c r="N572" i="1"/>
  <c r="EG17" i="13"/>
  <c r="EH17" i="13" s="1"/>
  <c r="EH38" i="12"/>
  <c r="EI38" i="12" s="1"/>
  <c r="CN7" i="25"/>
  <c r="DP7" i="25"/>
  <c r="AJ6" i="25"/>
  <c r="AC8" i="25"/>
  <c r="AA19" i="25"/>
  <c r="AB19" i="25" s="1"/>
  <c r="EQ28" i="13"/>
  <c r="EL55" i="13"/>
  <c r="EI37" i="13"/>
  <c r="EI55" i="13"/>
  <c r="EM28" i="13"/>
  <c r="EM55" i="13" s="1"/>
  <c r="I8" i="21" s="1"/>
  <c r="EN28" i="13"/>
  <c r="EJ37" i="13"/>
  <c r="EJ55" i="13"/>
  <c r="EO28" i="13"/>
  <c r="EP28" i="13"/>
  <c r="EK55" i="13"/>
  <c r="EL31" i="13"/>
  <c r="EG32" i="13"/>
  <c r="EG37" i="13" s="1"/>
  <c r="EH31" i="13"/>
  <c r="EK31" i="13"/>
  <c r="EF32" i="13"/>
  <c r="EE12" i="12"/>
  <c r="EI36" i="12"/>
  <c r="EJ36" i="12" s="1"/>
  <c r="EK36" i="12" s="1"/>
  <c r="EL36" i="12" s="1"/>
  <c r="EH36" i="12"/>
  <c r="EI31" i="12"/>
  <c r="EJ31" i="12" s="1"/>
  <c r="EK31" i="12" s="1"/>
  <c r="EL31" i="12" s="1"/>
  <c r="EH31" i="12"/>
  <c r="EI23" i="12"/>
  <c r="EJ23" i="12" s="1"/>
  <c r="EK23" i="12" s="1"/>
  <c r="EL23" i="12" s="1"/>
  <c r="EH23" i="12"/>
  <c r="EI20" i="12"/>
  <c r="EJ20" i="12" s="1"/>
  <c r="EK20" i="12" s="1"/>
  <c r="EL20" i="12" s="1"/>
  <c r="EH20" i="12"/>
  <c r="EF51" i="2"/>
  <c r="EG51" i="2" s="1"/>
  <c r="EI51" i="2" s="1"/>
  <c r="CY132" i="14"/>
  <c r="CY130" i="14" s="1"/>
  <c r="CY127" i="14"/>
  <c r="DC16" i="14"/>
  <c r="DB20" i="14"/>
  <c r="DI26" i="2"/>
  <c r="F25" i="1"/>
  <c r="EI69" i="2"/>
  <c r="EH69" i="2"/>
  <c r="DN26" i="2"/>
  <c r="H25" i="1"/>
  <c r="N558" i="1"/>
  <c r="N562" i="1"/>
  <c r="N563" i="1"/>
  <c r="N564" i="1"/>
  <c r="N568" i="1"/>
  <c r="N569" i="1"/>
  <c r="N571" i="1"/>
  <c r="N565" i="1"/>
  <c r="N566" i="1"/>
  <c r="N567" i="1"/>
  <c r="N570" i="1"/>
  <c r="DB19" i="14"/>
  <c r="DB66" i="14"/>
  <c r="DB23" i="14"/>
  <c r="DB24" i="14" s="1"/>
  <c r="CY134" i="14"/>
  <c r="DD127" i="14"/>
  <c r="DB21" i="14"/>
  <c r="DB22" i="14" s="1"/>
  <c r="DB17" i="14"/>
  <c r="CH24" i="14"/>
  <c r="DN127" i="14"/>
  <c r="EJ79" i="14"/>
  <c r="EJ91" i="14" s="1"/>
  <c r="EJ92" i="14" s="1"/>
  <c r="BE92" i="35"/>
  <c r="EK49" i="14"/>
  <c r="BH93" i="35"/>
  <c r="EN51" i="14"/>
  <c r="BM93" i="35" s="1"/>
  <c r="BI92" i="35"/>
  <c r="EO49" i="14"/>
  <c r="BH92" i="35"/>
  <c r="EN49" i="14"/>
  <c r="BM92" i="35" s="1"/>
  <c r="BI93" i="35"/>
  <c r="EO51" i="14"/>
  <c r="BF93" i="35"/>
  <c r="EL51" i="14"/>
  <c r="BF92" i="35"/>
  <c r="EL49" i="14"/>
  <c r="EE80" i="14"/>
  <c r="EL70" i="14"/>
  <c r="EL73" i="14" s="1"/>
  <c r="EJ8" i="13"/>
  <c r="EK8" i="13" s="1"/>
  <c r="EL8" i="13" s="1"/>
  <c r="EN8" i="13"/>
  <c r="BJ8" i="35"/>
  <c r="DG119" i="35"/>
  <c r="EJ82" i="14"/>
  <c r="EG81" i="14"/>
  <c r="ED82" i="14"/>
  <c r="EO82" i="14"/>
  <c r="EK81" i="14"/>
  <c r="EF82" i="14"/>
  <c r="EF79" i="14"/>
  <c r="EG8" i="2"/>
  <c r="BK7" i="35"/>
  <c r="EQ63" i="14"/>
  <c r="EQ64" i="14" s="1"/>
  <c r="EO79" i="14"/>
  <c r="EO91" i="14" s="1"/>
  <c r="EP64" i="14"/>
  <c r="BC7" i="35"/>
  <c r="BC8" i="35" s="1"/>
  <c r="EI63" i="14"/>
  <c r="ED64" i="14"/>
  <c r="EE64" i="14"/>
  <c r="EH63" i="14"/>
  <c r="ED73" i="14"/>
  <c r="ED79" i="14"/>
  <c r="ED91" i="14" s="1"/>
  <c r="AX8" i="35"/>
  <c r="BA8" i="35"/>
  <c r="BE8" i="35"/>
  <c r="N545" i="1"/>
  <c r="N123" i="1"/>
  <c r="N287" i="1"/>
  <c r="N276" i="1"/>
  <c r="N109" i="1"/>
  <c r="N151" i="1"/>
  <c r="N354" i="1"/>
  <c r="N428" i="1"/>
  <c r="N340" i="1"/>
  <c r="N447" i="1"/>
  <c r="N111" i="1"/>
  <c r="N368" i="1"/>
  <c r="N435" i="1"/>
  <c r="N390" i="1"/>
  <c r="N409" i="1"/>
  <c r="N459" i="1"/>
  <c r="N310" i="1"/>
  <c r="N100" i="1"/>
  <c r="N540" i="1"/>
  <c r="N334" i="1"/>
  <c r="N93" i="1"/>
  <c r="N275" i="1"/>
  <c r="N210" i="1"/>
  <c r="N142" i="1"/>
  <c r="N508" i="1"/>
  <c r="N108" i="1"/>
  <c r="N241" i="1"/>
  <c r="N148" i="1"/>
  <c r="N204" i="1"/>
  <c r="N237" i="1"/>
  <c r="N300" i="1"/>
  <c r="N330" i="1"/>
  <c r="N419" i="1"/>
  <c r="N286" i="1"/>
  <c r="N301" i="1"/>
  <c r="N556" i="1"/>
  <c r="N212" i="1"/>
  <c r="N335" i="1"/>
  <c r="N172" i="1"/>
  <c r="N391" i="1"/>
  <c r="N320" i="1"/>
  <c r="N542" i="1"/>
  <c r="N427" i="1"/>
  <c r="N110" i="1"/>
  <c r="N423" i="1"/>
  <c r="N239" i="1"/>
  <c r="N266" i="1"/>
  <c r="N319" i="1"/>
  <c r="N439" i="1"/>
  <c r="N97" i="1"/>
  <c r="N454" i="1"/>
  <c r="N363" i="1"/>
  <c r="N209" i="1"/>
  <c r="N426" i="1"/>
  <c r="N297" i="1"/>
  <c r="N217" i="1"/>
  <c r="N341" i="1"/>
  <c r="N304" i="1"/>
  <c r="N434" i="1"/>
  <c r="N263" i="1"/>
  <c r="N312" i="1"/>
  <c r="N288" i="1"/>
  <c r="N153" i="1"/>
  <c r="N378" i="1"/>
  <c r="N318" i="1"/>
  <c r="N164" i="1"/>
  <c r="N433" i="1"/>
  <c r="N375" i="1"/>
  <c r="N376" i="1"/>
  <c r="N443" i="1"/>
  <c r="N213" i="1"/>
  <c r="N343" i="1"/>
  <c r="N323" i="1"/>
  <c r="N348" i="1"/>
  <c r="N224" i="1"/>
  <c r="N446" i="1"/>
  <c r="N133" i="1"/>
  <c r="N357" i="1"/>
  <c r="N327" i="1"/>
  <c r="N441" i="1"/>
  <c r="N460" i="1"/>
  <c r="N559" i="1"/>
  <c r="N442" i="1"/>
  <c r="N272" i="1"/>
  <c r="N524" i="1"/>
  <c r="N484" i="1"/>
  <c r="N314" i="1"/>
  <c r="N255" i="1"/>
  <c r="N438" i="1"/>
  <c r="N156" i="1"/>
  <c r="N483" i="1"/>
  <c r="N326" i="1"/>
  <c r="N138" i="1"/>
  <c r="N481" i="1"/>
  <c r="N464" i="1"/>
  <c r="N278" i="1"/>
  <c r="N296" i="1"/>
  <c r="N380" i="1"/>
  <c r="N475" i="1"/>
  <c r="N231" i="1"/>
  <c r="N336" i="1"/>
  <c r="N468" i="1"/>
  <c r="N516" i="1"/>
  <c r="N416" i="1"/>
  <c r="N458" i="1"/>
  <c r="N450" i="1"/>
  <c r="N400" i="1"/>
  <c r="N185" i="1"/>
  <c r="N253" i="1"/>
  <c r="N501" i="1"/>
  <c r="N486" i="1"/>
  <c r="N553" i="1"/>
  <c r="N299" i="1"/>
  <c r="N497" i="1"/>
  <c r="N477" i="1"/>
  <c r="N362" i="1"/>
  <c r="N233" i="1"/>
  <c r="N496" i="1"/>
  <c r="N256" i="1"/>
  <c r="N196" i="1"/>
  <c r="N546" i="1"/>
  <c r="N507" i="1"/>
  <c r="N248" i="1"/>
  <c r="N194" i="1"/>
  <c r="N143" i="1"/>
  <c r="N506" i="1"/>
  <c r="N122" i="1"/>
  <c r="N511" i="1"/>
  <c r="N182" i="1"/>
  <c r="N150" i="1"/>
  <c r="N230" i="1"/>
  <c r="N350" i="1"/>
  <c r="N315" i="1"/>
  <c r="N284" i="1"/>
  <c r="N469" i="1"/>
  <c r="N388" i="1"/>
  <c r="N166" i="1"/>
  <c r="N211" i="1"/>
  <c r="N113" i="1"/>
  <c r="N187" i="1"/>
  <c r="N383" i="1"/>
  <c r="N155" i="1"/>
  <c r="N252" i="1"/>
  <c r="N154" i="1"/>
  <c r="N198" i="1"/>
  <c r="N345" i="1"/>
  <c r="N462" i="1"/>
  <c r="N503" i="1"/>
  <c r="N117" i="1"/>
  <c r="N461" i="1"/>
  <c r="N529" i="1"/>
  <c r="N271" i="1"/>
  <c r="N120" i="1"/>
  <c r="N167" i="1"/>
  <c r="N250" i="1"/>
  <c r="N425" i="1"/>
  <c r="N251" i="1"/>
  <c r="N476" i="1"/>
  <c r="N513" i="1"/>
  <c r="N159" i="1"/>
  <c r="N279" i="1"/>
  <c r="N173" i="1"/>
  <c r="N134" i="1"/>
  <c r="N303" i="1"/>
  <c r="N370" i="1"/>
  <c r="N487" i="1"/>
  <c r="N471" i="1"/>
  <c r="N512" i="1"/>
  <c r="N455" i="1"/>
  <c r="N112" i="1"/>
  <c r="N440" i="1"/>
  <c r="N412" i="1"/>
  <c r="N258" i="1"/>
  <c r="N463" i="1"/>
  <c r="N351" i="1"/>
  <c r="N552" i="1"/>
  <c r="N377" i="1"/>
  <c r="N191" i="1"/>
  <c r="N163" i="1"/>
  <c r="N392" i="1"/>
  <c r="N530" i="1"/>
  <c r="N466" i="1"/>
  <c r="N90" i="1"/>
  <c r="N179" i="1"/>
  <c r="N135" i="1"/>
  <c r="N171" i="1"/>
  <c r="N245" i="1"/>
  <c r="N247" i="1"/>
  <c r="N444" i="1"/>
  <c r="N234" i="1"/>
  <c r="N505" i="1"/>
  <c r="N242" i="1"/>
  <c r="N161" i="1"/>
  <c r="N219" i="1"/>
  <c r="N174" i="1"/>
  <c r="N290" i="1"/>
  <c r="N502" i="1"/>
  <c r="N449" i="1"/>
  <c r="N539" i="1"/>
  <c r="N522" i="1"/>
  <c r="N129" i="1"/>
  <c r="N306" i="1"/>
  <c r="N105" i="1"/>
  <c r="N403" i="1"/>
  <c r="N88" i="1"/>
  <c r="N321" i="1"/>
  <c r="N519" i="1"/>
  <c r="N137" i="1"/>
  <c r="N514" i="1"/>
  <c r="N94" i="1"/>
  <c r="N236" i="1"/>
  <c r="N125" i="1"/>
  <c r="N451" i="1"/>
  <c r="N289" i="1"/>
  <c r="N430" i="1"/>
  <c r="N517" i="1"/>
  <c r="N485" i="1"/>
  <c r="N291" i="1"/>
  <c r="N480" i="1"/>
  <c r="N92" i="1"/>
  <c r="N369" i="1"/>
  <c r="N420" i="1"/>
  <c r="N467" i="1"/>
  <c r="N560" i="1"/>
  <c r="N298" i="1"/>
  <c r="N130" i="1"/>
  <c r="N262" i="1"/>
  <c r="N147" i="1"/>
  <c r="N532" i="1"/>
  <c r="N523" i="1"/>
  <c r="N421" i="1"/>
  <c r="N422" i="1"/>
  <c r="N384" i="1"/>
  <c r="N128" i="1"/>
  <c r="N457" i="1"/>
  <c r="N177" i="1"/>
  <c r="N227" i="1"/>
  <c r="N293" i="1"/>
  <c r="N494" i="1"/>
  <c r="N355" i="1"/>
  <c r="N382" i="1"/>
  <c r="N474" i="1"/>
  <c r="N328" i="1"/>
  <c r="N145" i="1"/>
  <c r="N201" i="1"/>
  <c r="N500" i="1"/>
  <c r="N549" i="1"/>
  <c r="N470" i="1"/>
  <c r="N331" i="1"/>
  <c r="N333" i="1"/>
  <c r="N229" i="1"/>
  <c r="N410" i="1"/>
  <c r="N243" i="1"/>
  <c r="N192" i="1"/>
  <c r="N521" i="1"/>
  <c r="N398" i="1"/>
  <c r="N478" i="1"/>
  <c r="N431" i="1"/>
  <c r="N324" i="1"/>
  <c r="N249" i="1"/>
  <c r="N488" i="1"/>
  <c r="N415" i="1"/>
  <c r="N352" i="1"/>
  <c r="N520" i="1"/>
  <c r="N445" i="1"/>
  <c r="N499" i="1"/>
  <c r="N274" i="1"/>
  <c r="N292" i="1"/>
  <c r="N265" i="1"/>
  <c r="N178" i="1"/>
  <c r="N493" i="1"/>
  <c r="N397" i="1"/>
  <c r="N199" i="1"/>
  <c r="N358" i="1"/>
  <c r="N373" i="1"/>
  <c r="N246" i="1"/>
  <c r="N543" i="1"/>
  <c r="N203" i="1"/>
  <c r="N240" i="1"/>
  <c r="N102" i="1"/>
  <c r="N126" i="1"/>
  <c r="N302" i="1"/>
  <c r="N554" i="1"/>
  <c r="N91" i="1"/>
  <c r="N360" i="1"/>
  <c r="N309" i="1"/>
  <c r="N417" i="1"/>
  <c r="N188" i="1"/>
  <c r="N195" i="1"/>
  <c r="N190" i="1"/>
  <c r="N432" i="1"/>
  <c r="N401" i="1"/>
  <c r="N342" i="1"/>
  <c r="N228" i="1"/>
  <c r="N557" i="1"/>
  <c r="N180" i="1"/>
  <c r="N498" i="1"/>
  <c r="N294" i="1"/>
  <c r="N189" i="1"/>
  <c r="N406" i="1"/>
  <c r="N140" i="1"/>
  <c r="N531" i="1"/>
  <c r="N277" i="1"/>
  <c r="N379" i="1"/>
  <c r="N394" i="1"/>
  <c r="N107" i="1"/>
  <c r="N356" i="1"/>
  <c r="N158" i="1"/>
  <c r="N305" i="1"/>
  <c r="N411" i="1"/>
  <c r="N525" i="1"/>
  <c r="N270" i="1"/>
  <c r="N267" i="1"/>
  <c r="N226" i="1"/>
  <c r="N408" i="1"/>
  <c r="N371" i="1"/>
  <c r="N399" i="1"/>
  <c r="N152" i="1"/>
  <c r="N244" i="1"/>
  <c r="N115" i="1"/>
  <c r="N254" i="1"/>
  <c r="N317" i="1"/>
  <c r="N338" i="1"/>
  <c r="N536" i="1"/>
  <c r="N119" i="1"/>
  <c r="N361" i="1"/>
  <c r="N257" i="1"/>
  <c r="N207" i="1"/>
  <c r="N479" i="1"/>
  <c r="N437" i="1"/>
  <c r="N490" i="1"/>
  <c r="N492" i="1"/>
  <c r="N489" i="1"/>
  <c r="N515" i="1"/>
  <c r="N282" i="1"/>
  <c r="N170" i="1"/>
  <c r="N96" i="1"/>
  <c r="N223" i="1"/>
  <c r="N495" i="1"/>
  <c r="N146" i="1"/>
  <c r="N118" i="1"/>
  <c r="N385" i="1"/>
  <c r="N238" i="1"/>
  <c r="N160" i="1"/>
  <c r="N165" i="1"/>
  <c r="N260" i="1"/>
  <c r="N366" i="1"/>
  <c r="N413" i="1"/>
  <c r="N106" i="1"/>
  <c r="N132" i="1"/>
  <c r="N535" i="1"/>
  <c r="N504" i="1"/>
  <c r="N124" i="1"/>
  <c r="N221" i="1"/>
  <c r="N225" i="1"/>
  <c r="N429" i="1"/>
  <c r="N116" i="1"/>
  <c r="N316" i="1"/>
  <c r="N491" i="1"/>
  <c r="N534" i="1"/>
  <c r="N281" i="1"/>
  <c r="N181" i="1"/>
  <c r="N349" i="1"/>
  <c r="N121" i="1"/>
  <c r="N456" i="1"/>
  <c r="N169" i="1"/>
  <c r="N220" i="1"/>
  <c r="N283" i="1"/>
  <c r="N359" i="1"/>
  <c r="N98" i="1"/>
  <c r="N101" i="1"/>
  <c r="N206" i="1"/>
  <c r="N103" i="1"/>
  <c r="N202" i="1"/>
  <c r="N313" i="1"/>
  <c r="N405" i="1"/>
  <c r="N235" i="1"/>
  <c r="N555" i="1"/>
  <c r="N285" i="1"/>
  <c r="N414" i="1"/>
  <c r="N162" i="1"/>
  <c r="N200" i="1"/>
  <c r="N547" i="1"/>
  <c r="N482" i="1"/>
  <c r="N197" i="1"/>
  <c r="N526" i="1"/>
  <c r="N214" i="1"/>
  <c r="N268" i="1"/>
  <c r="N311" i="1"/>
  <c r="N139" i="1"/>
  <c r="N364" i="1"/>
  <c r="N465" i="1"/>
  <c r="N89" i="1"/>
  <c r="N232" i="1"/>
  <c r="N550" i="1"/>
  <c r="N381" i="1"/>
  <c r="N261" i="1"/>
  <c r="N95" i="1"/>
  <c r="N396" i="1"/>
  <c r="N424" i="1"/>
  <c r="N131" i="1"/>
  <c r="N193" i="1"/>
  <c r="N528" i="1"/>
  <c r="N99" i="1"/>
  <c r="N339" i="1"/>
  <c r="N402" i="1"/>
  <c r="N418" i="1"/>
  <c r="N183" i="1"/>
  <c r="N307" i="1"/>
  <c r="N114" i="1"/>
  <c r="N527" i="1"/>
  <c r="N273" i="1"/>
  <c r="N337" i="1"/>
  <c r="N533" i="1"/>
  <c r="N325" i="1"/>
  <c r="N168" i="1"/>
  <c r="N264" i="1"/>
  <c r="N208" i="1"/>
  <c r="N395" i="1"/>
  <c r="N269" i="1"/>
  <c r="N308" i="1"/>
  <c r="N329" i="1"/>
  <c r="N561" i="1"/>
  <c r="N518" i="1"/>
  <c r="N436" i="1"/>
  <c r="N186" i="1"/>
  <c r="N149" i="1"/>
  <c r="N404" i="1"/>
  <c r="N346" i="1"/>
  <c r="N136" i="1"/>
  <c r="N537" i="1"/>
  <c r="N452" i="1"/>
  <c r="N184" i="1"/>
  <c r="N176" i="1"/>
  <c r="N367" i="1"/>
  <c r="N372" i="1"/>
  <c r="N175" i="1"/>
  <c r="N205" i="1"/>
  <c r="N544" i="1"/>
  <c r="N551" i="1"/>
  <c r="N453" i="1"/>
  <c r="N387" i="1"/>
  <c r="N374" i="1"/>
  <c r="N344" i="1"/>
  <c r="N104" i="1"/>
  <c r="N280" i="1"/>
  <c r="N141" i="1"/>
  <c r="N389" i="1"/>
  <c r="N541" i="1"/>
  <c r="N509" i="1"/>
  <c r="N386" i="1"/>
  <c r="N157" i="1"/>
  <c r="N365" i="1"/>
  <c r="N216" i="1"/>
  <c r="N222" i="1"/>
  <c r="N215" i="1"/>
  <c r="N510" i="1"/>
  <c r="N473" i="1"/>
  <c r="N393" i="1"/>
  <c r="N259" i="1"/>
  <c r="N218" i="1"/>
  <c r="N332" i="1"/>
  <c r="N448" i="1"/>
  <c r="N472" i="1"/>
  <c r="N322" i="1"/>
  <c r="N548" i="1"/>
  <c r="N538" i="1"/>
  <c r="N353" i="1"/>
  <c r="N295" i="1"/>
  <c r="N144" i="1"/>
  <c r="N347" i="1"/>
  <c r="N127" i="1"/>
  <c r="N407" i="1"/>
  <c r="AB4" i="40"/>
  <c r="CE84" i="14"/>
  <c r="CJ86" i="14" s="1"/>
  <c r="CE81" i="14"/>
  <c r="CJ83" i="14" s="1"/>
  <c r="CJ80" i="14"/>
  <c r="CW105" i="14"/>
  <c r="CW103" i="14"/>
  <c r="CW102" i="14"/>
  <c r="CW106" i="14"/>
  <c r="CW110" i="14" s="1"/>
  <c r="CX95" i="14"/>
  <c r="DB234" i="35"/>
  <c r="DB235" i="35" s="1"/>
  <c r="DW22" i="12"/>
  <c r="DS96" i="14"/>
  <c r="DN129" i="14"/>
  <c r="DS127" i="14"/>
  <c r="CW104" i="14"/>
  <c r="DP87" i="14"/>
  <c r="DQ88" i="14"/>
  <c r="G45" i="1"/>
  <c r="DJ77" i="14"/>
  <c r="CY55" i="13"/>
  <c r="CY67" i="13"/>
  <c r="W3" i="35"/>
  <c r="CO67" i="13"/>
  <c r="CO55" i="13"/>
  <c r="BZ67" i="13"/>
  <c r="BZ55" i="13"/>
  <c r="CJ67" i="13"/>
  <c r="CJ55" i="13"/>
  <c r="CT67" i="13"/>
  <c r="CT55" i="13"/>
  <c r="DD67" i="13"/>
  <c r="DD55" i="13"/>
  <c r="CE67" i="13"/>
  <c r="CE55" i="13"/>
  <c r="DN88" i="14"/>
  <c r="DN89" i="14"/>
  <c r="CC24" i="14"/>
  <c r="DM86" i="14"/>
  <c r="DM104" i="14"/>
  <c r="DM103" i="14"/>
  <c r="DM102" i="14"/>
  <c r="DM106" i="14"/>
  <c r="CJ93" i="14"/>
  <c r="CO92" i="14"/>
  <c r="DN84" i="14"/>
  <c r="DN101" i="14"/>
  <c r="DN103" i="14" s="1"/>
  <c r="DO90" i="14"/>
  <c r="DO89" i="14"/>
  <c r="DO101" i="14"/>
  <c r="DO84" i="14"/>
  <c r="H23" i="1"/>
  <c r="DS21" i="13"/>
  <c r="BU42" i="13"/>
  <c r="CD43" i="13"/>
  <c r="CE43" i="13" s="1"/>
  <c r="CQ107" i="14"/>
  <c r="CS77" i="2"/>
  <c r="CS115" i="2" s="1"/>
  <c r="BU111" i="2"/>
  <c r="CT111" i="2"/>
  <c r="CY111" i="2"/>
  <c r="DD111" i="2"/>
  <c r="CO111" i="2"/>
  <c r="CE111" i="2"/>
  <c r="BZ111" i="2"/>
  <c r="CJ111" i="2"/>
  <c r="CR109" i="14"/>
  <c r="CT86" i="14"/>
  <c r="CD109" i="14"/>
  <c r="CD107" i="14"/>
  <c r="CD77" i="2"/>
  <c r="CD115" i="2" s="1"/>
  <c r="DK108" i="14"/>
  <c r="DW73" i="14"/>
  <c r="DW74" i="14" s="1"/>
  <c r="AW156" i="35" s="1"/>
  <c r="DK110" i="14"/>
  <c r="DK107" i="14"/>
  <c r="CC77" i="2"/>
  <c r="CM77" i="2"/>
  <c r="CR79" i="2" s="1"/>
  <c r="CH77" i="2"/>
  <c r="CC85" i="14"/>
  <c r="CG86" i="14"/>
  <c r="CE151" i="2"/>
  <c r="CR77" i="2"/>
  <c r="CR115" i="2" s="1"/>
  <c r="CC22" i="14"/>
  <c r="CX77" i="2"/>
  <c r="CX115" i="2" s="1"/>
  <c r="BY77" i="2"/>
  <c r="BY115" i="2" s="1"/>
  <c r="DB77" i="2"/>
  <c r="CI77" i="2"/>
  <c r="DC77" i="2"/>
  <c r="DE80" i="2" s="1"/>
  <c r="CN77" i="2"/>
  <c r="BX77" i="2"/>
  <c r="BX78" i="2" s="1"/>
  <c r="CH95" i="14"/>
  <c r="BT77" i="2"/>
  <c r="CE26" i="2"/>
  <c r="DS9" i="12"/>
  <c r="DZ37" i="13"/>
  <c r="DC207" i="35"/>
  <c r="DC206" i="35"/>
  <c r="DW71" i="14"/>
  <c r="BS114" i="2"/>
  <c r="BX112" i="2"/>
  <c r="V5" i="2"/>
  <c r="CF107" i="14"/>
  <c r="CF110" i="14"/>
  <c r="DK77" i="2"/>
  <c r="DK115" i="2" s="1"/>
  <c r="DL58" i="2"/>
  <c r="DL127" i="2" s="1"/>
  <c r="DL62" i="2"/>
  <c r="CE74" i="2"/>
  <c r="CA77" i="2"/>
  <c r="CA115" i="2" s="1"/>
  <c r="DC62" i="2"/>
  <c r="DC58" i="2"/>
  <c r="DC113" i="2"/>
  <c r="DA77" i="2"/>
  <c r="DA115" i="2" s="1"/>
  <c r="CT74" i="2"/>
  <c r="CP77" i="2"/>
  <c r="CP115" i="2" s="1"/>
  <c r="CC113" i="2"/>
  <c r="CB77" i="2"/>
  <c r="CB115" i="2" s="1"/>
  <c r="M5" i="2"/>
  <c r="CH113" i="2"/>
  <c r="CG77" i="2"/>
  <c r="CG115" i="2" s="1"/>
  <c r="CS113" i="2"/>
  <c r="CX112" i="2"/>
  <c r="CS114" i="2"/>
  <c r="CU62" i="2"/>
  <c r="CY56" i="2"/>
  <c r="CY58" i="2" s="1"/>
  <c r="CU58" i="2"/>
  <c r="BR58" i="2"/>
  <c r="BR62" i="2"/>
  <c r="BU56" i="2"/>
  <c r="BU58" i="2" s="1"/>
  <c r="BQ62" i="2"/>
  <c r="BQ58" i="2"/>
  <c r="DI45" i="2"/>
  <c r="DD46" i="2"/>
  <c r="F27" i="1" s="1"/>
  <c r="DB62" i="2"/>
  <c r="DB58" i="2"/>
  <c r="CM112" i="2"/>
  <c r="CH114" i="2"/>
  <c r="CY26" i="2"/>
  <c r="CD112" i="2"/>
  <c r="BY114" i="2"/>
  <c r="BY113" i="2"/>
  <c r="CX58" i="2"/>
  <c r="CX62" i="2"/>
  <c r="BX58" i="2"/>
  <c r="BX62" i="2"/>
  <c r="BW77" i="2"/>
  <c r="BW115" i="2" s="1"/>
  <c r="BX113" i="2"/>
  <c r="CH58" i="2"/>
  <c r="CH62" i="2"/>
  <c r="BY62" i="2"/>
  <c r="BY58" i="2"/>
  <c r="CN58" i="2"/>
  <c r="CN62" i="2"/>
  <c r="CK58" i="2"/>
  <c r="CK62" i="2"/>
  <c r="CO56" i="2"/>
  <c r="CO58" i="2" s="1"/>
  <c r="DI56" i="2"/>
  <c r="DI58" i="2" s="1"/>
  <c r="DE62" i="2"/>
  <c r="DE58" i="2"/>
  <c r="CW62" i="2"/>
  <c r="CW58" i="2"/>
  <c r="DH62" i="2"/>
  <c r="DH66" i="2" s="1"/>
  <c r="DH68" i="2" s="1"/>
  <c r="DH58" i="2"/>
  <c r="DD45" i="2"/>
  <c r="CY46" i="2"/>
  <c r="E27" i="1" s="1"/>
  <c r="BY112" i="2"/>
  <c r="BT113" i="2"/>
  <c r="BT114" i="2"/>
  <c r="DG58" i="2"/>
  <c r="DG62" i="2"/>
  <c r="DG66" i="2" s="1"/>
  <c r="DG68" i="2" s="1"/>
  <c r="DL77" i="2"/>
  <c r="DL115" i="2" s="1"/>
  <c r="BZ45" i="2"/>
  <c r="BU46" i="2"/>
  <c r="CD62" i="2"/>
  <c r="CD58" i="2"/>
  <c r="CC114" i="2"/>
  <c r="CH112" i="2"/>
  <c r="BZ26" i="2"/>
  <c r="CL62" i="2"/>
  <c r="CL58" i="2"/>
  <c r="DC114" i="2"/>
  <c r="DA58" i="2"/>
  <c r="DA62" i="2"/>
  <c r="BT62" i="2"/>
  <c r="BT58" i="2"/>
  <c r="CZ62" i="2"/>
  <c r="DD56" i="2"/>
  <c r="DD58" i="2" s="1"/>
  <c r="CZ58" i="2"/>
  <c r="DO95" i="14"/>
  <c r="DN45" i="2"/>
  <c r="DI46" i="2"/>
  <c r="G27" i="1" s="1"/>
  <c r="CS58" i="2"/>
  <c r="CS62" i="2"/>
  <c r="DG77" i="2"/>
  <c r="DG115" i="2" s="1"/>
  <c r="BS113" i="2"/>
  <c r="BR77" i="2"/>
  <c r="BR115" i="2" s="1"/>
  <c r="BR119" i="2" s="1"/>
  <c r="DJ62" i="2"/>
  <c r="DJ66" i="2" s="1"/>
  <c r="DJ58" i="2"/>
  <c r="DB113" i="2"/>
  <c r="DD74" i="2"/>
  <c r="CZ77" i="2"/>
  <c r="CZ115" i="2" s="1"/>
  <c r="DG112" i="2"/>
  <c r="DB114" i="2"/>
  <c r="Z5" i="2"/>
  <c r="CX114" i="2"/>
  <c r="DC112" i="2"/>
  <c r="BX114" i="2"/>
  <c r="CC112" i="2"/>
  <c r="CR62" i="2"/>
  <c r="CR58" i="2"/>
  <c r="CO74" i="2"/>
  <c r="CK77" i="2"/>
  <c r="CK115" i="2" s="1"/>
  <c r="CJ74" i="2"/>
  <c r="CF77" i="2"/>
  <c r="CF115" i="2" s="1"/>
  <c r="BZ74" i="2"/>
  <c r="BV77" i="2"/>
  <c r="BV115" i="2" s="1"/>
  <c r="CM62" i="2"/>
  <c r="CM58" i="2"/>
  <c r="CN114" i="2"/>
  <c r="CN113" i="2"/>
  <c r="CS112" i="2"/>
  <c r="CP58" i="2"/>
  <c r="CP62" i="2"/>
  <c r="CT56" i="2"/>
  <c r="CT58" i="2" s="1"/>
  <c r="CX113" i="2"/>
  <c r="CW77" i="2"/>
  <c r="CW115" i="2" s="1"/>
  <c r="DH77" i="2"/>
  <c r="DH115" i="2" s="1"/>
  <c r="CY74" i="2"/>
  <c r="CU77" i="2"/>
  <c r="CF58" i="2"/>
  <c r="CF62" i="2"/>
  <c r="CJ56" i="2"/>
  <c r="CJ58" i="2" s="1"/>
  <c r="CI58" i="2"/>
  <c r="CI62" i="2"/>
  <c r="BU74" i="2"/>
  <c r="BQ77" i="2"/>
  <c r="BQ115" i="2" s="1"/>
  <c r="BQ119" i="2" s="1"/>
  <c r="CD113" i="2"/>
  <c r="CI112" i="2"/>
  <c r="CD114" i="2"/>
  <c r="CV58" i="2"/>
  <c r="CV62" i="2"/>
  <c r="DF58" i="2"/>
  <c r="DF62" i="2"/>
  <c r="CQ58" i="2"/>
  <c r="CQ62" i="2"/>
  <c r="AH5" i="2"/>
  <c r="AD5" i="2"/>
  <c r="CM113" i="2"/>
  <c r="CL77" i="2"/>
  <c r="CL115" i="2" s="1"/>
  <c r="BZ56" i="2"/>
  <c r="BZ58" i="2" s="1"/>
  <c r="BV62" i="2"/>
  <c r="BV58" i="2"/>
  <c r="CY45" i="2"/>
  <c r="CT46" i="2"/>
  <c r="D27" i="1" s="1"/>
  <c r="D19" i="1"/>
  <c r="DI74" i="2"/>
  <c r="DE77" i="2"/>
  <c r="BW62" i="2"/>
  <c r="BW58" i="2"/>
  <c r="CJ46" i="2"/>
  <c r="CO45" i="2"/>
  <c r="CN112" i="2"/>
  <c r="CI113" i="2"/>
  <c r="CI114" i="2"/>
  <c r="DJ77" i="2"/>
  <c r="DJ115" i="2" s="1"/>
  <c r="BS77" i="2"/>
  <c r="BS115" i="2" s="1"/>
  <c r="BS119" i="2" s="1"/>
  <c r="CJ26" i="2"/>
  <c r="CC58" i="2"/>
  <c r="CC62" i="2"/>
  <c r="CQ77" i="2"/>
  <c r="CQ115" i="2" s="1"/>
  <c r="CR113" i="2"/>
  <c r="CE46" i="2"/>
  <c r="CJ45" i="2"/>
  <c r="BZ46" i="2"/>
  <c r="CE45" i="2"/>
  <c r="DD26" i="2"/>
  <c r="CG62" i="2"/>
  <c r="CG58" i="2"/>
  <c r="CA58" i="2"/>
  <c r="CA62" i="2"/>
  <c r="CE56" i="2"/>
  <c r="DK109" i="14"/>
  <c r="CB62" i="2"/>
  <c r="CB58" i="2"/>
  <c r="CM114" i="2"/>
  <c r="CR112" i="2"/>
  <c r="CO46" i="2"/>
  <c r="C27" i="1" s="1"/>
  <c r="CT45" i="2"/>
  <c r="C19" i="1"/>
  <c r="DK62" i="2"/>
  <c r="DK58" i="2"/>
  <c r="CO26" i="2"/>
  <c r="C25" i="1"/>
  <c r="BS58" i="2"/>
  <c r="BS62" i="2"/>
  <c r="CV77" i="2"/>
  <c r="CV115" i="2" s="1"/>
  <c r="DF77" i="2"/>
  <c r="DF115" i="2" s="1"/>
  <c r="CR114" i="2"/>
  <c r="CR24" i="14"/>
  <c r="DE104" i="14"/>
  <c r="CJ94" i="14"/>
  <c r="AR156" i="35"/>
  <c r="DS8" i="2"/>
  <c r="CE91" i="14"/>
  <c r="CE93" i="14" s="1"/>
  <c r="EA70" i="14"/>
  <c r="DV73" i="14"/>
  <c r="DI133" i="14"/>
  <c r="CC93" i="14"/>
  <c r="CC94" i="14"/>
  <c r="CD95" i="14" s="1"/>
  <c r="CH92" i="14"/>
  <c r="CD82" i="14"/>
  <c r="CH83" i="14"/>
  <c r="CT130" i="14"/>
  <c r="DN48" i="14"/>
  <c r="DN50" i="14"/>
  <c r="DN52" i="14"/>
  <c r="DN96" i="14"/>
  <c r="BZ21" i="14"/>
  <c r="CE22" i="14" s="1"/>
  <c r="DB219" i="35"/>
  <c r="DB96" i="14"/>
  <c r="CM22" i="14"/>
  <c r="CO21" i="14"/>
  <c r="CX108" i="14"/>
  <c r="CX110" i="14"/>
  <c r="CX107" i="14"/>
  <c r="CP110" i="14"/>
  <c r="CT106" i="14"/>
  <c r="CP107" i="14"/>
  <c r="CP109" i="14"/>
  <c r="CP108" i="14"/>
  <c r="CQ109" i="14"/>
  <c r="CO102" i="14"/>
  <c r="CO105" i="14"/>
  <c r="CV104" i="14"/>
  <c r="CV102" i="14"/>
  <c r="CV103" i="14"/>
  <c r="CV105" i="14"/>
  <c r="CV106" i="14"/>
  <c r="DF110" i="14"/>
  <c r="DF107" i="14"/>
  <c r="DF109" i="14"/>
  <c r="CH22" i="14"/>
  <c r="CJ21" i="14"/>
  <c r="CJ22" i="14" s="1"/>
  <c r="CZ94" i="14"/>
  <c r="DD97" i="14"/>
  <c r="AD149" i="35"/>
  <c r="CZ101" i="14"/>
  <c r="CZ100" i="14"/>
  <c r="AD152" i="35" s="1"/>
  <c r="CZ99" i="14"/>
  <c r="AD151" i="35" s="1"/>
  <c r="AD155" i="35" s="1"/>
  <c r="DE99" i="14"/>
  <c r="AH151" i="35" s="1"/>
  <c r="AH155" i="35" s="1"/>
  <c r="CA107" i="14"/>
  <c r="CE106" i="14"/>
  <c r="CA110" i="14"/>
  <c r="DG110" i="14"/>
  <c r="DG107" i="14"/>
  <c r="DG109" i="14"/>
  <c r="CT96" i="14"/>
  <c r="CV96" i="14"/>
  <c r="CV95" i="14"/>
  <c r="CW24" i="14"/>
  <c r="DE107" i="14"/>
  <c r="DE110" i="14"/>
  <c r="DI106" i="14"/>
  <c r="DD86" i="14"/>
  <c r="CH109" i="14"/>
  <c r="CH110" i="14"/>
  <c r="CH107" i="14"/>
  <c r="DB102" i="14"/>
  <c r="DB103" i="14"/>
  <c r="DB106" i="14"/>
  <c r="DB105" i="14"/>
  <c r="AS80" i="35"/>
  <c r="AA5" i="14"/>
  <c r="DC95" i="14"/>
  <c r="DC96" i="14"/>
  <c r="DH96" i="14"/>
  <c r="DJ108" i="14"/>
  <c r="DJ107" i="14"/>
  <c r="DJ110" i="14"/>
  <c r="CL109" i="14"/>
  <c r="CL107" i="14"/>
  <c r="CL110" i="14"/>
  <c r="CQ108" i="14"/>
  <c r="CB82" i="14"/>
  <c r="CC82" i="14"/>
  <c r="DC103" i="14"/>
  <c r="DC104" i="14"/>
  <c r="DC106" i="14"/>
  <c r="DE109" i="14" s="1"/>
  <c r="DC105" i="14"/>
  <c r="DC102" i="14"/>
  <c r="DD130" i="14"/>
  <c r="CS108" i="14"/>
  <c r="CS110" i="14"/>
  <c r="CS109" i="14"/>
  <c r="CS107" i="14"/>
  <c r="CT23" i="14"/>
  <c r="DL107" i="14"/>
  <c r="DL110" i="14"/>
  <c r="DL108" i="14"/>
  <c r="DL109" i="14"/>
  <c r="CB93" i="14"/>
  <c r="CB94" i="14"/>
  <c r="DI102" i="14"/>
  <c r="DI105" i="14"/>
  <c r="BZ130" i="14"/>
  <c r="DG103" i="14"/>
  <c r="AT11" i="35"/>
  <c r="AT34" i="35"/>
  <c r="CI109" i="14"/>
  <c r="CI107" i="14"/>
  <c r="CI110" i="14"/>
  <c r="CW95" i="14"/>
  <c r="AQ34" i="35"/>
  <c r="AQ11" i="35"/>
  <c r="CE105" i="14"/>
  <c r="CE102" i="14"/>
  <c r="CN107" i="14"/>
  <c r="CN110" i="14"/>
  <c r="CN109" i="14"/>
  <c r="DI86" i="14"/>
  <c r="EB82" i="14"/>
  <c r="CC107" i="14"/>
  <c r="CC110" i="14"/>
  <c r="CC109" i="14"/>
  <c r="CY94" i="14"/>
  <c r="CU96" i="14"/>
  <c r="CU95" i="14"/>
  <c r="AE149" i="35"/>
  <c r="DA101" i="14"/>
  <c r="DB104" i="14" s="1"/>
  <c r="DA100" i="14"/>
  <c r="AE152" i="35" s="1"/>
  <c r="DA94" i="14"/>
  <c r="DA99" i="14"/>
  <c r="AE151" i="35" s="1"/>
  <c r="AE155" i="35" s="1"/>
  <c r="DF99" i="14"/>
  <c r="AI151" i="35" s="1"/>
  <c r="AI155" i="35" s="1"/>
  <c r="CM109" i="14"/>
  <c r="CM107" i="14"/>
  <c r="CM110" i="14"/>
  <c r="CR108" i="14"/>
  <c r="AQ152" i="35"/>
  <c r="CK107" i="14"/>
  <c r="CO106" i="14"/>
  <c r="CK110" i="14"/>
  <c r="CO86" i="14"/>
  <c r="CR22" i="14"/>
  <c r="CT21" i="14"/>
  <c r="CW22" i="14"/>
  <c r="CO130" i="14"/>
  <c r="DC20" i="14"/>
  <c r="DC66" i="14"/>
  <c r="DC19" i="14"/>
  <c r="DC17" i="14"/>
  <c r="DC21" i="14"/>
  <c r="DC23" i="14"/>
  <c r="DD16" i="14"/>
  <c r="CG92" i="14"/>
  <c r="CU103" i="14"/>
  <c r="CU102" i="14"/>
  <c r="CU104" i="14"/>
  <c r="CU105" i="14"/>
  <c r="CU106" i="14"/>
  <c r="DY8" i="2"/>
  <c r="DY74" i="14"/>
  <c r="AX156" i="35" s="1"/>
  <c r="DY91" i="14"/>
  <c r="CT103" i="14"/>
  <c r="CT105" i="14"/>
  <c r="CT102" i="14"/>
  <c r="DI130" i="14"/>
  <c r="DI131" i="14" s="1"/>
  <c r="AI5" i="14"/>
  <c r="AM5" i="14"/>
  <c r="DG96" i="14"/>
  <c r="CY99" i="14"/>
  <c r="CY192" i="35" s="1"/>
  <c r="CY101" i="14"/>
  <c r="CY98" i="14"/>
  <c r="CM24" i="14"/>
  <c r="CO23" i="14"/>
  <c r="CG110" i="14"/>
  <c r="CG109" i="14"/>
  <c r="CG107" i="14"/>
  <c r="CJ106" i="14"/>
  <c r="CJ102" i="14"/>
  <c r="CJ105" i="14"/>
  <c r="DH109" i="14"/>
  <c r="DH110" i="14"/>
  <c r="DH107" i="14"/>
  <c r="CB107" i="14"/>
  <c r="CB110" i="14"/>
  <c r="CB109" i="14"/>
  <c r="EB79" i="14"/>
  <c r="EB91" i="14" s="1"/>
  <c r="EB92" i="14" s="1"/>
  <c r="AQ149" i="35"/>
  <c r="AQ151" i="35"/>
  <c r="AQ155" i="35" s="1"/>
  <c r="DZ91" i="14"/>
  <c r="EE92" i="14" s="1"/>
  <c r="DZ80" i="14"/>
  <c r="DV96" i="14"/>
  <c r="EA94" i="14"/>
  <c r="EF94" i="14" s="1"/>
  <c r="DV91" i="14"/>
  <c r="DV97" i="14" s="1"/>
  <c r="DV80" i="14"/>
  <c r="EA82" i="14"/>
  <c r="EA79" i="14"/>
  <c r="G9" i="26"/>
  <c r="F9" i="26" s="1"/>
  <c r="I9" i="26"/>
  <c r="J9" i="26" s="1"/>
  <c r="DW93" i="14"/>
  <c r="DW92" i="14"/>
  <c r="DX80" i="14"/>
  <c r="DD119" i="35"/>
  <c r="DX81" i="14"/>
  <c r="DX83" i="14" s="1"/>
  <c r="F16" i="26"/>
  <c r="J16" i="26"/>
  <c r="G16" i="26"/>
  <c r="I16" i="26"/>
  <c r="DD206" i="35"/>
  <c r="DE7" i="35"/>
  <c r="EC138" i="14"/>
  <c r="K12" i="1"/>
  <c r="EC65" i="14"/>
  <c r="DE194" i="35" s="1"/>
  <c r="AI5" i="12"/>
  <c r="AJ5" i="12" s="1"/>
  <c r="AK5" i="12" s="1"/>
  <c r="AM5" i="12"/>
  <c r="DS8" i="13"/>
  <c r="DS131" i="2"/>
  <c r="I7" i="1"/>
  <c r="EC69" i="2"/>
  <c r="EB94" i="14"/>
  <c r="EG94" i="14" s="1"/>
  <c r="DW97" i="14"/>
  <c r="DW96" i="14"/>
  <c r="AS11" i="35"/>
  <c r="AS34" i="35"/>
  <c r="EB73" i="14"/>
  <c r="EG74" i="14" s="1"/>
  <c r="AS151" i="35"/>
  <c r="AS155" i="35" s="1"/>
  <c r="AS149" i="35"/>
  <c r="DN56" i="2"/>
  <c r="DN58" i="2" s="1"/>
  <c r="DM58" i="2"/>
  <c r="DM127" i="2" s="1"/>
  <c r="DM62" i="2"/>
  <c r="EB34" i="2"/>
  <c r="EG34" i="2" s="1"/>
  <c r="EL34" i="2" s="1"/>
  <c r="EQ34" i="2" s="1"/>
  <c r="DM77" i="2"/>
  <c r="DO80" i="2" s="1"/>
  <c r="DN74" i="2"/>
  <c r="DB218" i="35"/>
  <c r="EB36" i="2"/>
  <c r="EG36" i="2" s="1"/>
  <c r="EL36" i="2" s="1"/>
  <c r="EQ36" i="2" s="1"/>
  <c r="DB217" i="35"/>
  <c r="EB32" i="2"/>
  <c r="EG32" i="2" s="1"/>
  <c r="EL32" i="2" s="1"/>
  <c r="EQ32" i="2" s="1"/>
  <c r="DN46" i="2"/>
  <c r="H27" i="1" s="1"/>
  <c r="DC46" i="13"/>
  <c r="DD46" i="13" s="1"/>
  <c r="CI43" i="13"/>
  <c r="CJ43" i="13" s="1"/>
  <c r="CE75" i="2"/>
  <c r="DI66" i="13"/>
  <c r="CI37" i="13"/>
  <c r="CJ37" i="13" s="1"/>
  <c r="CD36" i="13"/>
  <c r="CM36" i="13"/>
  <c r="CO75" i="2"/>
  <c r="CW36" i="13"/>
  <c r="BT36" i="13"/>
  <c r="EA8" i="13"/>
  <c r="DW8" i="13"/>
  <c r="BX43" i="13"/>
  <c r="DF60" i="13"/>
  <c r="DS37" i="12"/>
  <c r="CT75" i="2"/>
  <c r="CX43" i="13"/>
  <c r="CY43" i="13" s="1"/>
  <c r="CY42" i="13"/>
  <c r="DV12" i="13"/>
  <c r="DS15" i="12"/>
  <c r="BZ75" i="2"/>
  <c r="CR42" i="13"/>
  <c r="DB59" i="13"/>
  <c r="DB57" i="13"/>
  <c r="AF168" i="35" s="1"/>
  <c r="DG58" i="13"/>
  <c r="CR37" i="13"/>
  <c r="DC56" i="13"/>
  <c r="AN5" i="13"/>
  <c r="AR5" i="13"/>
  <c r="DD75" i="2"/>
  <c r="DY51" i="13" l="1"/>
  <c r="DZ51" i="13" s="1"/>
  <c r="EA51" i="13" s="1"/>
  <c r="EB51" i="13" s="1"/>
  <c r="EC51" i="13" s="1"/>
  <c r="DX51" i="13"/>
  <c r="BF8" i="35"/>
  <c r="AI21" i="25"/>
  <c r="AI10" i="25"/>
  <c r="AI11" i="25"/>
  <c r="AI22" i="25"/>
  <c r="AI23" i="25"/>
  <c r="AI14" i="25"/>
  <c r="AI16" i="25"/>
  <c r="AI12" i="25"/>
  <c r="AI20" i="25"/>
  <c r="EH51" i="2"/>
  <c r="EI17" i="13"/>
  <c r="EJ38" i="12"/>
  <c r="DW7" i="25"/>
  <c r="AJ8" i="25"/>
  <c r="AQ6" i="25"/>
  <c r="AI18" i="25"/>
  <c r="EQ55" i="13"/>
  <c r="EN55" i="13"/>
  <c r="ER28" i="13"/>
  <c r="ER55" i="13" s="1"/>
  <c r="J8" i="21" s="1"/>
  <c r="EN37" i="13"/>
  <c r="EO55" i="13"/>
  <c r="EO37" i="13"/>
  <c r="EP55" i="13"/>
  <c r="EL32" i="13"/>
  <c r="EL37" i="13" s="1"/>
  <c r="EQ31" i="13"/>
  <c r="EM31" i="13"/>
  <c r="EP31" i="13"/>
  <c r="EK32" i="13"/>
  <c r="EF37" i="13"/>
  <c r="EH37" i="13" s="1"/>
  <c r="EH32" i="13"/>
  <c r="EF12" i="12"/>
  <c r="EN36" i="12"/>
  <c r="EO36" i="12" s="1"/>
  <c r="EP36" i="12" s="1"/>
  <c r="EQ36" i="12" s="1"/>
  <c r="ER36" i="12" s="1"/>
  <c r="EM36" i="12"/>
  <c r="EN31" i="12"/>
  <c r="EO31" i="12" s="1"/>
  <c r="EP31" i="12" s="1"/>
  <c r="EQ31" i="12" s="1"/>
  <c r="ER31" i="12" s="1"/>
  <c r="EM31" i="12"/>
  <c r="EN23" i="12"/>
  <c r="EO23" i="12" s="1"/>
  <c r="EP23" i="12" s="1"/>
  <c r="EQ23" i="12" s="1"/>
  <c r="ER23" i="12" s="1"/>
  <c r="EM23" i="12"/>
  <c r="EN20" i="12"/>
  <c r="EO20" i="12" s="1"/>
  <c r="EP20" i="12" s="1"/>
  <c r="EQ20" i="12" s="1"/>
  <c r="ER20" i="12" s="1"/>
  <c r="EM20" i="12"/>
  <c r="EJ51" i="2"/>
  <c r="EJ69" i="2"/>
  <c r="DD17" i="14"/>
  <c r="EJ93" i="14"/>
  <c r="EJ80" i="14"/>
  <c r="BK92" i="35"/>
  <c r="EQ49" i="14"/>
  <c r="BJ92" i="35"/>
  <c r="EP49" i="14"/>
  <c r="AT80" i="35"/>
  <c r="BK93" i="35"/>
  <c r="EQ51" i="14"/>
  <c r="EM8" i="13"/>
  <c r="EL94" i="14"/>
  <c r="EG96" i="14"/>
  <c r="EO8" i="13"/>
  <c r="EK94" i="14"/>
  <c r="EF96" i="14"/>
  <c r="EA73" i="14"/>
  <c r="EA74" i="14" s="1"/>
  <c r="EF70" i="14"/>
  <c r="EQ70" i="14"/>
  <c r="EF91" i="14"/>
  <c r="DH119" i="35"/>
  <c r="EF80" i="14"/>
  <c r="EP81" i="14"/>
  <c r="EK82" i="14"/>
  <c r="EK79" i="14"/>
  <c r="EL81" i="14"/>
  <c r="EG82" i="14"/>
  <c r="EG79" i="14"/>
  <c r="EG80" i="14" s="1"/>
  <c r="EI82" i="14"/>
  <c r="BF11" i="35"/>
  <c r="BF34" i="35"/>
  <c r="EG15" i="2"/>
  <c r="EL74" i="14"/>
  <c r="EL8" i="2"/>
  <c r="EO93" i="14"/>
  <c r="EO92" i="14"/>
  <c r="EO80" i="14"/>
  <c r="ED8" i="2"/>
  <c r="ED9" i="2" s="1"/>
  <c r="ED74" i="14"/>
  <c r="DF7" i="35"/>
  <c r="DF8" i="35" s="1"/>
  <c r="BG7" i="35"/>
  <c r="L12" i="1"/>
  <c r="L31" i="1" s="1"/>
  <c r="EH138" i="14"/>
  <c r="EH65" i="14"/>
  <c r="DF194" i="35" s="1"/>
  <c r="DG206" i="35"/>
  <c r="DH206" i="35"/>
  <c r="DF206" i="35"/>
  <c r="ED80" i="14"/>
  <c r="ED92" i="14"/>
  <c r="ED93" i="14"/>
  <c r="BH7" i="35"/>
  <c r="BH8" i="35" s="1"/>
  <c r="EN63" i="14"/>
  <c r="EI73" i="14"/>
  <c r="EJ64" i="14"/>
  <c r="EI64" i="14"/>
  <c r="EM63" i="14"/>
  <c r="EI79" i="14"/>
  <c r="EI91" i="14" s="1"/>
  <c r="DY9" i="2"/>
  <c r="K31" i="1"/>
  <c r="AC4" i="40"/>
  <c r="CW108" i="14"/>
  <c r="CW109" i="14"/>
  <c r="CX109" i="14"/>
  <c r="CW107" i="14"/>
  <c r="DM66" i="2"/>
  <c r="DR63" i="2"/>
  <c r="DL66" i="2"/>
  <c r="DQ63" i="2"/>
  <c r="DX22" i="12"/>
  <c r="DQ87" i="14"/>
  <c r="DQ90" i="14" s="1"/>
  <c r="DR88" i="14"/>
  <c r="DR87" i="14" s="1"/>
  <c r="DN86" i="14"/>
  <c r="DP101" i="14"/>
  <c r="DP103" i="14" s="1"/>
  <c r="DP84" i="14"/>
  <c r="DP89" i="14"/>
  <c r="DP90" i="14"/>
  <c r="G35" i="1"/>
  <c r="E35" i="1"/>
  <c r="H38" i="1"/>
  <c r="H45" i="1"/>
  <c r="F35" i="1"/>
  <c r="DO104" i="14"/>
  <c r="AJ5" i="14"/>
  <c r="CS119" i="2"/>
  <c r="CD119" i="2"/>
  <c r="CR119" i="2"/>
  <c r="CX119" i="2"/>
  <c r="BY119" i="2"/>
  <c r="DK119" i="2"/>
  <c r="CA119" i="2"/>
  <c r="CB119" i="2"/>
  <c r="CG119" i="2"/>
  <c r="BW119" i="2"/>
  <c r="DL119" i="2"/>
  <c r="DG119" i="2"/>
  <c r="CZ119" i="2"/>
  <c r="CK119" i="2"/>
  <c r="CW119" i="2"/>
  <c r="DH119" i="2"/>
  <c r="DJ119" i="2"/>
  <c r="CQ119" i="2"/>
  <c r="CV119" i="2"/>
  <c r="DF119" i="2"/>
  <c r="X3" i="35"/>
  <c r="DM110" i="14"/>
  <c r="DM108" i="14"/>
  <c r="DM109" i="14"/>
  <c r="DO67" i="2"/>
  <c r="DJ68" i="2"/>
  <c r="DN105" i="14"/>
  <c r="DN102" i="14"/>
  <c r="DM107" i="14"/>
  <c r="DN106" i="14"/>
  <c r="DO103" i="14"/>
  <c r="DO106" i="14"/>
  <c r="DO102" i="14"/>
  <c r="DO105" i="14"/>
  <c r="DO86" i="14"/>
  <c r="DO85" i="14"/>
  <c r="DP63" i="2"/>
  <c r="DK66" i="2"/>
  <c r="CS78" i="2"/>
  <c r="DD56" i="13"/>
  <c r="CS80" i="2"/>
  <c r="DW8" i="2"/>
  <c r="CT115" i="2"/>
  <c r="CR78" i="2"/>
  <c r="CC79" i="2"/>
  <c r="CD78" i="2"/>
  <c r="CP119" i="2"/>
  <c r="DH79" i="2"/>
  <c r="DC115" i="2"/>
  <c r="CM78" i="2"/>
  <c r="CM115" i="2"/>
  <c r="CH78" i="2"/>
  <c r="CH115" i="2"/>
  <c r="CI78" i="2"/>
  <c r="CI115" i="2"/>
  <c r="CC78" i="2"/>
  <c r="CC115" i="2"/>
  <c r="DA119" i="2"/>
  <c r="CS79" i="2"/>
  <c r="CN115" i="2"/>
  <c r="CL119" i="2"/>
  <c r="DB78" i="2"/>
  <c r="DB115" i="2"/>
  <c r="CF119" i="2"/>
  <c r="BV119" i="2"/>
  <c r="BT78" i="2"/>
  <c r="BT115" i="2"/>
  <c r="BT119" i="2" s="1"/>
  <c r="CU80" i="2"/>
  <c r="CU115" i="2"/>
  <c r="BY80" i="2"/>
  <c r="BX115" i="2"/>
  <c r="CF80" i="2"/>
  <c r="CD79" i="2"/>
  <c r="CT77" i="2"/>
  <c r="BV80" i="2"/>
  <c r="CH79" i="2"/>
  <c r="CN79" i="2"/>
  <c r="CD80" i="2"/>
  <c r="CI79" i="2"/>
  <c r="BY78" i="2"/>
  <c r="CA80" i="2"/>
  <c r="BZ77" i="2"/>
  <c r="CE79" i="2" s="1"/>
  <c r="CK80" i="2"/>
  <c r="DB79" i="2"/>
  <c r="CN80" i="2"/>
  <c r="CI80" i="2"/>
  <c r="DC78" i="2"/>
  <c r="CM79" i="2"/>
  <c r="CR80" i="2"/>
  <c r="CP80" i="2"/>
  <c r="CN78" i="2"/>
  <c r="CX78" i="2"/>
  <c r="CE114" i="2"/>
  <c r="CX80" i="2"/>
  <c r="DC79" i="2"/>
  <c r="CX79" i="2"/>
  <c r="CE77" i="2"/>
  <c r="CJ79" i="2" s="1"/>
  <c r="CW79" i="2"/>
  <c r="DD77" i="2"/>
  <c r="F16" i="1" s="1"/>
  <c r="DG79" i="2"/>
  <c r="DC80" i="2"/>
  <c r="CJ151" i="2"/>
  <c r="CZ80" i="2"/>
  <c r="BU77" i="2"/>
  <c r="CY77" i="2"/>
  <c r="CY78" i="2" s="1"/>
  <c r="CJ77" i="2"/>
  <c r="CJ78" i="2" s="1"/>
  <c r="BY79" i="2"/>
  <c r="CO77" i="2"/>
  <c r="CT79" i="2" s="1"/>
  <c r="CW112" i="2"/>
  <c r="EA37" i="13"/>
  <c r="EB71" i="14"/>
  <c r="DF114" i="2"/>
  <c r="AE5" i="2"/>
  <c r="CZ112" i="2"/>
  <c r="CU113" i="2"/>
  <c r="CU114" i="2"/>
  <c r="DA113" i="2"/>
  <c r="CP7" i="13"/>
  <c r="CP121" i="2"/>
  <c r="CP71" i="2"/>
  <c r="CU72" i="2" s="1"/>
  <c r="CT62" i="2"/>
  <c r="CP64" i="2"/>
  <c r="CU63" i="2"/>
  <c r="DG7" i="13"/>
  <c r="DG121" i="2"/>
  <c r="DG71" i="2"/>
  <c r="DG64" i="2"/>
  <c r="DL63" i="2"/>
  <c r="DG74" i="12"/>
  <c r="BY7" i="13"/>
  <c r="BY25" i="13" s="1"/>
  <c r="BY121" i="2"/>
  <c r="BY71" i="2"/>
  <c r="CD72" i="2" s="1"/>
  <c r="BY64" i="2"/>
  <c r="CD63" i="2"/>
  <c r="CH80" i="2"/>
  <c r="CG78" i="2"/>
  <c r="CL79" i="2"/>
  <c r="CG79" i="2"/>
  <c r="CC80" i="2"/>
  <c r="CB78" i="2"/>
  <c r="DC7" i="13"/>
  <c r="DC121" i="2"/>
  <c r="DH63" i="2"/>
  <c r="DC71" i="2"/>
  <c r="DH72" i="2" s="1"/>
  <c r="DC64" i="2"/>
  <c r="DC74" i="12"/>
  <c r="DF78" i="2"/>
  <c r="DK79" i="2"/>
  <c r="DG80" i="2"/>
  <c r="CQ113" i="2"/>
  <c r="CQ114" i="2"/>
  <c r="CV112" i="2"/>
  <c r="BW7" i="13"/>
  <c r="BW121" i="2"/>
  <c r="CB63" i="2"/>
  <c r="BW71" i="2"/>
  <c r="CB72" i="2" s="1"/>
  <c r="BW64" i="2"/>
  <c r="AI5" i="2"/>
  <c r="AM5" i="2"/>
  <c r="CA113" i="2"/>
  <c r="CA112" i="2"/>
  <c r="BV114" i="2"/>
  <c r="CK113" i="2"/>
  <c r="CK114" i="2"/>
  <c r="CP112" i="2"/>
  <c r="CZ113" i="2"/>
  <c r="CZ114" i="2"/>
  <c r="DF113" i="2"/>
  <c r="DH80" i="2"/>
  <c r="DL79" i="2"/>
  <c r="DG78" i="2"/>
  <c r="CH7" i="13"/>
  <c r="CH25" i="13" s="1"/>
  <c r="CH121" i="2"/>
  <c r="CH71" i="2"/>
  <c r="CM72" i="2" s="1"/>
  <c r="CH64" i="2"/>
  <c r="CM63" i="2"/>
  <c r="CG114" i="2"/>
  <c r="CL112" i="2"/>
  <c r="CG113" i="2"/>
  <c r="CB113" i="2"/>
  <c r="CB114" i="2"/>
  <c r="CG112" i="2"/>
  <c r="CF79" i="2"/>
  <c r="CB80" i="2"/>
  <c r="CA78" i="2"/>
  <c r="CW113" i="2"/>
  <c r="DA112" i="2"/>
  <c r="CV113" i="2"/>
  <c r="CV114" i="2"/>
  <c r="CV79" i="2"/>
  <c r="CQ78" i="2"/>
  <c r="DF80" i="2"/>
  <c r="DJ79" i="2"/>
  <c r="DI77" i="2"/>
  <c r="DE78" i="2"/>
  <c r="CI7" i="13"/>
  <c r="CI25" i="13" s="1"/>
  <c r="CI121" i="2"/>
  <c r="CI71" i="2"/>
  <c r="CN72" i="2" s="1"/>
  <c r="CI64" i="2"/>
  <c r="CN63" i="2"/>
  <c r="DJ80" i="2"/>
  <c r="DH78" i="2"/>
  <c r="BV78" i="2"/>
  <c r="CA79" i="2"/>
  <c r="BW80" i="2"/>
  <c r="AA5" i="2"/>
  <c r="CS7" i="13"/>
  <c r="CS25" i="13" s="1"/>
  <c r="CS121" i="2"/>
  <c r="CX63" i="2"/>
  <c r="CS71" i="2"/>
  <c r="CS64" i="2"/>
  <c r="DH7" i="13"/>
  <c r="DH25" i="13" s="1"/>
  <c r="DH26" i="13" s="1"/>
  <c r="DH121" i="2"/>
  <c r="DH64" i="2"/>
  <c r="DH71" i="2"/>
  <c r="DH74" i="12"/>
  <c r="CK7" i="13"/>
  <c r="CK121" i="2"/>
  <c r="CP63" i="2"/>
  <c r="CK71" i="2"/>
  <c r="CP72" i="2" s="1"/>
  <c r="CO62" i="2"/>
  <c r="CK64" i="2"/>
  <c r="CU7" i="13"/>
  <c r="CU121" i="2"/>
  <c r="CZ63" i="2"/>
  <c r="CU71" i="2"/>
  <c r="CY62" i="2"/>
  <c r="CU64" i="2"/>
  <c r="CU74" i="12"/>
  <c r="CU79" i="2"/>
  <c r="CQ80" i="2"/>
  <c r="CP78" i="2"/>
  <c r="DA79" i="2"/>
  <c r="CV78" i="2"/>
  <c r="DK7" i="13"/>
  <c r="DK25" i="13" s="1"/>
  <c r="DK26" i="13" s="1"/>
  <c r="DK121" i="2"/>
  <c r="DK71" i="2"/>
  <c r="DP72" i="2" s="1"/>
  <c r="DK64" i="2"/>
  <c r="DK74" i="12"/>
  <c r="CB7" i="13"/>
  <c r="CB121" i="2"/>
  <c r="CB64" i="2"/>
  <c r="CG63" i="2"/>
  <c r="CB71" i="2"/>
  <c r="CG72" i="2" s="1"/>
  <c r="CC7" i="13"/>
  <c r="CC25" i="13" s="1"/>
  <c r="CC121" i="2"/>
  <c r="CH63" i="2"/>
  <c r="CC71" i="2"/>
  <c r="CH72" i="2" s="1"/>
  <c r="CC64" i="2"/>
  <c r="BV7" i="13"/>
  <c r="BV121" i="2"/>
  <c r="CA63" i="2"/>
  <c r="BV71" i="2"/>
  <c r="CA72" i="2" s="1"/>
  <c r="BZ62" i="2"/>
  <c r="BV64" i="2"/>
  <c r="CQ7" i="13"/>
  <c r="CQ121" i="2"/>
  <c r="CQ71" i="2"/>
  <c r="CQ64" i="2"/>
  <c r="CV63" i="2"/>
  <c r="CR7" i="13"/>
  <c r="CR25" i="13" s="1"/>
  <c r="CR121" i="2"/>
  <c r="CR64" i="2"/>
  <c r="CW63" i="2"/>
  <c r="CR71" i="2"/>
  <c r="CZ7" i="13"/>
  <c r="CZ121" i="2"/>
  <c r="CZ64" i="2"/>
  <c r="DE63" i="2"/>
  <c r="CZ71" i="2"/>
  <c r="DE72" i="2" s="1"/>
  <c r="DD62" i="2"/>
  <c r="CZ74" i="12"/>
  <c r="CD7" i="13"/>
  <c r="CD25" i="13" s="1"/>
  <c r="CD121" i="2"/>
  <c r="CI63" i="2"/>
  <c r="CD71" i="2"/>
  <c r="CI72" i="2" s="1"/>
  <c r="CD64" i="2"/>
  <c r="BW113" i="2"/>
  <c r="BW114" i="2"/>
  <c r="CB112" i="2"/>
  <c r="BQ7" i="13"/>
  <c r="BQ121" i="2"/>
  <c r="BQ71" i="2"/>
  <c r="BV72" i="2" s="1"/>
  <c r="BU62" i="2"/>
  <c r="BQ64" i="2"/>
  <c r="BV63" i="2"/>
  <c r="CU112" i="2"/>
  <c r="CP114" i="2"/>
  <c r="CP113" i="2"/>
  <c r="CA114" i="2"/>
  <c r="CF112" i="2"/>
  <c r="CA7" i="13"/>
  <c r="CA121" i="2"/>
  <c r="CA71" i="2"/>
  <c r="CF72" i="2" s="1"/>
  <c r="CE62" i="2"/>
  <c r="CA64" i="2"/>
  <c r="CF63" i="2"/>
  <c r="CK112" i="2"/>
  <c r="CF114" i="2"/>
  <c r="CF113" i="2"/>
  <c r="DO63" i="2"/>
  <c r="DJ7" i="13"/>
  <c r="DJ25" i="13" s="1"/>
  <c r="DJ26" i="13" s="1"/>
  <c r="DJ121" i="2"/>
  <c r="DJ71" i="2"/>
  <c r="DO72" i="2" s="1"/>
  <c r="DJ64" i="2"/>
  <c r="DJ74" i="12"/>
  <c r="CL7" i="13"/>
  <c r="CL121" i="2"/>
  <c r="CQ63" i="2"/>
  <c r="CL71" i="2"/>
  <c r="CQ72" i="2" s="1"/>
  <c r="CL64" i="2"/>
  <c r="CW7" i="13"/>
  <c r="CW25" i="13" s="1"/>
  <c r="CW71" i="2"/>
  <c r="CW64" i="2"/>
  <c r="CW121" i="2"/>
  <c r="DB63" i="2"/>
  <c r="CW74" i="12"/>
  <c r="CN7" i="13"/>
  <c r="CN25" i="13" s="1"/>
  <c r="CN121" i="2"/>
  <c r="CN71" i="2"/>
  <c r="CN64" i="2"/>
  <c r="CB79" i="2"/>
  <c r="BX80" i="2"/>
  <c r="BW78" i="2"/>
  <c r="DL7" i="13"/>
  <c r="DL25" i="13" s="1"/>
  <c r="DL26" i="13" s="1"/>
  <c r="DL74" i="12"/>
  <c r="DL121" i="2"/>
  <c r="DL71" i="2"/>
  <c r="DQ72" i="2" s="1"/>
  <c r="DL64" i="2"/>
  <c r="DH108" i="14"/>
  <c r="BS7" i="13"/>
  <c r="BS25" i="13" s="1"/>
  <c r="BS121" i="2"/>
  <c r="BS71" i="2"/>
  <c r="BX72" i="2" s="1"/>
  <c r="BS64" i="2"/>
  <c r="BX63" i="2"/>
  <c r="CE58" i="2"/>
  <c r="D35" i="1"/>
  <c r="CM80" i="2"/>
  <c r="CQ79" i="2"/>
  <c r="CL78" i="2"/>
  <c r="DF7" i="13"/>
  <c r="DF25" i="13" s="1"/>
  <c r="DF26" i="13" s="1"/>
  <c r="DF121" i="2"/>
  <c r="DF71" i="2"/>
  <c r="DK72" i="2" s="1"/>
  <c r="DF64" i="2"/>
  <c r="DK63" i="2"/>
  <c r="DF74" i="12"/>
  <c r="BQ78" i="2"/>
  <c r="BV79" i="2"/>
  <c r="BR80" i="2"/>
  <c r="CF7" i="13"/>
  <c r="CF121" i="2"/>
  <c r="CF71" i="2"/>
  <c r="CK72" i="2" s="1"/>
  <c r="CJ62" i="2"/>
  <c r="CF64" i="2"/>
  <c r="CK63" i="2"/>
  <c r="CW80" i="2"/>
  <c r="CW78" i="2"/>
  <c r="CW116" i="2"/>
  <c r="CF78" i="2"/>
  <c r="CG80" i="2"/>
  <c r="CK79" i="2"/>
  <c r="BT7" i="13"/>
  <c r="BT25" i="13" s="1"/>
  <c r="BT121" i="2"/>
  <c r="BT64" i="2"/>
  <c r="BY63" i="2"/>
  <c r="BT71" i="2"/>
  <c r="BY72" i="2" s="1"/>
  <c r="BX7" i="13"/>
  <c r="BX121" i="2"/>
  <c r="BX71" i="2"/>
  <c r="CC72" i="2" s="1"/>
  <c r="BX64" i="2"/>
  <c r="CC63" i="2"/>
  <c r="DB7" i="13"/>
  <c r="DB121" i="2"/>
  <c r="DG63" i="2"/>
  <c r="DB71" i="2"/>
  <c r="DG72" i="2" s="1"/>
  <c r="DB64" i="2"/>
  <c r="DB74" i="12"/>
  <c r="BR7" i="13"/>
  <c r="BR121" i="2"/>
  <c r="BR71" i="2"/>
  <c r="BW72" i="2" s="1"/>
  <c r="BR64" i="2"/>
  <c r="BW63" i="2"/>
  <c r="DA78" i="2"/>
  <c r="DF79" i="2"/>
  <c r="DB80" i="2"/>
  <c r="BS78" i="2"/>
  <c r="BX79" i="2"/>
  <c r="BT80" i="2"/>
  <c r="CL113" i="2"/>
  <c r="CL114" i="2"/>
  <c r="CQ112" i="2"/>
  <c r="CW114" i="2"/>
  <c r="DB112" i="2"/>
  <c r="CM7" i="13"/>
  <c r="CM121" i="2"/>
  <c r="CR63" i="2"/>
  <c r="CM71" i="2"/>
  <c r="CR72" i="2" s="1"/>
  <c r="CM64" i="2"/>
  <c r="BW79" i="2"/>
  <c r="BS80" i="2"/>
  <c r="BR78" i="2"/>
  <c r="DA7" i="13"/>
  <c r="DA121" i="2"/>
  <c r="DF63" i="2"/>
  <c r="DA71" i="2"/>
  <c r="DF72" i="2" s="1"/>
  <c r="DA64" i="2"/>
  <c r="DA74" i="12"/>
  <c r="DL78" i="2"/>
  <c r="DE7" i="13"/>
  <c r="DE71" i="2"/>
  <c r="DI62" i="2"/>
  <c r="DI66" i="2" s="1"/>
  <c r="DI68" i="2" s="1"/>
  <c r="DE64" i="2"/>
  <c r="DE121" i="2"/>
  <c r="DJ63" i="2"/>
  <c r="DE74" i="12"/>
  <c r="K4" i="2"/>
  <c r="J4" i="2"/>
  <c r="I4" i="2"/>
  <c r="R5" i="2"/>
  <c r="M4" i="2"/>
  <c r="L4" i="2"/>
  <c r="DF112" i="2"/>
  <c r="DA114" i="2"/>
  <c r="DL80" i="2"/>
  <c r="DK78" i="2"/>
  <c r="CG7" i="13"/>
  <c r="CG71" i="2"/>
  <c r="CL72" i="2" s="1"/>
  <c r="CG64" i="2"/>
  <c r="CL63" i="2"/>
  <c r="CG121" i="2"/>
  <c r="DO79" i="2"/>
  <c r="DJ78" i="2"/>
  <c r="DK80" i="2"/>
  <c r="CV7" i="13"/>
  <c r="CV121" i="2"/>
  <c r="CV71" i="2"/>
  <c r="CV64" i="2"/>
  <c r="DA63" i="2"/>
  <c r="CV74" i="12"/>
  <c r="BV112" i="2"/>
  <c r="BQ114" i="2"/>
  <c r="CZ79" i="2"/>
  <c r="CU78" i="2"/>
  <c r="CV80" i="2"/>
  <c r="CP79" i="2"/>
  <c r="CK78" i="2"/>
  <c r="CL80" i="2"/>
  <c r="DA80" i="2"/>
  <c r="DE79" i="2"/>
  <c r="CZ78" i="2"/>
  <c r="BR114" i="2"/>
  <c r="BW112" i="2"/>
  <c r="BR113" i="2"/>
  <c r="DL114" i="2"/>
  <c r="CX7" i="13"/>
  <c r="CX25" i="13" s="1"/>
  <c r="CX121" i="2"/>
  <c r="CX71" i="2"/>
  <c r="DC72" i="2" s="1"/>
  <c r="CX64" i="2"/>
  <c r="DC63" i="2"/>
  <c r="CX74" i="12"/>
  <c r="P20" i="26"/>
  <c r="CJ92" i="14"/>
  <c r="DC193" i="35"/>
  <c r="DX91" i="14"/>
  <c r="DX93" i="14" s="1"/>
  <c r="P17" i="26"/>
  <c r="DJ109" i="14"/>
  <c r="DV8" i="2"/>
  <c r="DV74" i="14"/>
  <c r="AV156" i="35" s="1"/>
  <c r="CO22" i="14"/>
  <c r="AR34" i="35"/>
  <c r="AR11" i="35"/>
  <c r="AN5" i="14"/>
  <c r="AR5" i="14"/>
  <c r="CO107" i="14"/>
  <c r="CO110" i="14"/>
  <c r="CY96" i="14"/>
  <c r="CE110" i="14"/>
  <c r="CE107" i="14"/>
  <c r="CT22" i="14"/>
  <c r="CY22" i="14"/>
  <c r="CB95" i="14"/>
  <c r="CE94" i="14"/>
  <c r="CC95" i="14"/>
  <c r="DB110" i="14"/>
  <c r="DB108" i="14"/>
  <c r="DB107" i="14"/>
  <c r="CJ110" i="14"/>
  <c r="CJ107" i="14"/>
  <c r="CY102" i="14"/>
  <c r="CY105" i="14"/>
  <c r="CY103" i="14"/>
  <c r="AX34" i="35"/>
  <c r="AX11" i="35"/>
  <c r="DY15" i="2"/>
  <c r="DA96" i="14"/>
  <c r="DA95" i="14"/>
  <c r="DF96" i="14"/>
  <c r="DI110" i="14"/>
  <c r="DI107" i="14"/>
  <c r="DY92" i="14"/>
  <c r="DY93" i="14"/>
  <c r="DA104" i="14"/>
  <c r="DA102" i="14"/>
  <c r="DA103" i="14"/>
  <c r="DA105" i="14"/>
  <c r="DA106" i="14"/>
  <c r="DF103" i="14"/>
  <c r="CZ104" i="14"/>
  <c r="CZ102" i="14"/>
  <c r="CZ105" i="14"/>
  <c r="CZ103" i="14"/>
  <c r="CZ106" i="14"/>
  <c r="DE103" i="14"/>
  <c r="DB95" i="14"/>
  <c r="CU107" i="14"/>
  <c r="CU109" i="14"/>
  <c r="CU108" i="14"/>
  <c r="CU110" i="14"/>
  <c r="CY106" i="14"/>
  <c r="CZ229" i="35"/>
  <c r="CZ230" i="35" s="1"/>
  <c r="DE16" i="14"/>
  <c r="M13" i="26"/>
  <c r="DD19" i="14"/>
  <c r="DD20" i="14"/>
  <c r="DD66" i="14"/>
  <c r="DG108" i="14"/>
  <c r="DC24" i="14"/>
  <c r="DD23" i="14"/>
  <c r="DD99" i="14"/>
  <c r="CZ192" i="35" s="1"/>
  <c r="DD101" i="14"/>
  <c r="DD98" i="14"/>
  <c r="DI99" i="14"/>
  <c r="DA192" i="35" s="1"/>
  <c r="DC22" i="14"/>
  <c r="DD21" i="14"/>
  <c r="AP149" i="35"/>
  <c r="AP151" i="35"/>
  <c r="AP155" i="35" s="1"/>
  <c r="AP150" i="35"/>
  <c r="AP152" i="35"/>
  <c r="DC107" i="14"/>
  <c r="DC109" i="14"/>
  <c r="DC110" i="14"/>
  <c r="DC108" i="14"/>
  <c r="CZ95" i="14"/>
  <c r="CZ96" i="14"/>
  <c r="DD94" i="14"/>
  <c r="DE96" i="14"/>
  <c r="CV109" i="14"/>
  <c r="CV107" i="14"/>
  <c r="CV110" i="14"/>
  <c r="CV108" i="14"/>
  <c r="CT108" i="14"/>
  <c r="CT107" i="14"/>
  <c r="CT110" i="14"/>
  <c r="EB80" i="14"/>
  <c r="EC79" i="14"/>
  <c r="EB93" i="14"/>
  <c r="DZ93" i="14"/>
  <c r="DZ92" i="14"/>
  <c r="AQ150" i="35"/>
  <c r="AR149" i="35"/>
  <c r="AR152" i="35"/>
  <c r="AR151" i="35"/>
  <c r="AR155" i="35" s="1"/>
  <c r="AV149" i="35"/>
  <c r="DV98" i="14"/>
  <c r="DV99" i="14"/>
  <c r="AV151" i="35" s="1"/>
  <c r="AV155" i="35" s="1"/>
  <c r="AS152" i="35"/>
  <c r="EA96" i="14"/>
  <c r="DV93" i="14"/>
  <c r="DV92" i="14"/>
  <c r="EA91" i="14"/>
  <c r="EA80" i="14"/>
  <c r="DI7" i="35"/>
  <c r="DE8" i="35"/>
  <c r="DE206" i="35"/>
  <c r="O12" i="1"/>
  <c r="DD207" i="35"/>
  <c r="AR5" i="12"/>
  <c r="AN5" i="12"/>
  <c r="AO5" i="12" s="1"/>
  <c r="AP5" i="12" s="1"/>
  <c r="DX8" i="13"/>
  <c r="DV70" i="2"/>
  <c r="E29" i="21"/>
  <c r="I8" i="1"/>
  <c r="AS150" i="35"/>
  <c r="DW98" i="14"/>
  <c r="DW100" i="14"/>
  <c r="AW152" i="35" s="1"/>
  <c r="AW149" i="35"/>
  <c r="DW99" i="14"/>
  <c r="AW151" i="35" s="1"/>
  <c r="AW155" i="35" s="1"/>
  <c r="EB74" i="14"/>
  <c r="EB8" i="2"/>
  <c r="EG9" i="2" s="1"/>
  <c r="DC11" i="35"/>
  <c r="DC34" i="35"/>
  <c r="DC186" i="35" s="1"/>
  <c r="DS9" i="2"/>
  <c r="EB96" i="14"/>
  <c r="EB97" i="14"/>
  <c r="DM78" i="2"/>
  <c r="DM79" i="2"/>
  <c r="DM80" i="2"/>
  <c r="DN77" i="2"/>
  <c r="DM7" i="13"/>
  <c r="DM74" i="12"/>
  <c r="DM121" i="2"/>
  <c r="DM64" i="2"/>
  <c r="DM71" i="2"/>
  <c r="DR72" i="2" s="1"/>
  <c r="DM63" i="2"/>
  <c r="DN62" i="2"/>
  <c r="DN66" i="2" s="1"/>
  <c r="DS43" i="13"/>
  <c r="DS52" i="12"/>
  <c r="DV29" i="12"/>
  <c r="AW5" i="13"/>
  <c r="AS5" i="13"/>
  <c r="AT5" i="13" s="1"/>
  <c r="AU5" i="13" s="1"/>
  <c r="AO5" i="13"/>
  <c r="EB8" i="13"/>
  <c r="CX65" i="13"/>
  <c r="CX118" i="2"/>
  <c r="DC59" i="13"/>
  <c r="DC57" i="13"/>
  <c r="AG168" i="35" s="1"/>
  <c r="DH58" i="13"/>
  <c r="DW12" i="13"/>
  <c r="DX12" i="13" s="1"/>
  <c r="BY42" i="13"/>
  <c r="CS36" i="13"/>
  <c r="CM37" i="13"/>
  <c r="CE36" i="13"/>
  <c r="CD37" i="13"/>
  <c r="CE37" i="13" s="1"/>
  <c r="CS65" i="13"/>
  <c r="CX116" i="2"/>
  <c r="CS117" i="2"/>
  <c r="CS118" i="2"/>
  <c r="DG60" i="13"/>
  <c r="BT37" i="13"/>
  <c r="BU37" i="13" s="1"/>
  <c r="BU36" i="13"/>
  <c r="CR43" i="13"/>
  <c r="CD65" i="13"/>
  <c r="CD118" i="2"/>
  <c r="CW37" i="13"/>
  <c r="CR65" i="13"/>
  <c r="CR118" i="2"/>
  <c r="BY65" i="13"/>
  <c r="CD116" i="2"/>
  <c r="BY118" i="2"/>
  <c r="CZ178" i="35" a="1"/>
  <c r="ED51" i="13" l="1"/>
  <c r="EE51" i="13" s="1"/>
  <c r="EF51" i="13" s="1"/>
  <c r="EG51" i="13" s="1"/>
  <c r="U28" i="37"/>
  <c r="Q20" i="42"/>
  <c r="Q18" i="42"/>
  <c r="Q11" i="42"/>
  <c r="T11" i="42" s="1"/>
  <c r="Q35" i="42"/>
  <c r="T35" i="42" s="1"/>
  <c r="Q32" i="42"/>
  <c r="Q25" i="42"/>
  <c r="T25" i="42" s="1"/>
  <c r="Q14" i="42"/>
  <c r="Q16" i="42"/>
  <c r="Q22" i="42"/>
  <c r="Q21" i="42"/>
  <c r="Q13" i="42"/>
  <c r="T13" i="42" s="1"/>
  <c r="Q36" i="42"/>
  <c r="Q26" i="42"/>
  <c r="Q12" i="42"/>
  <c r="Q28" i="42"/>
  <c r="Q37" i="42"/>
  <c r="T37" i="42" s="1"/>
  <c r="Q19" i="42"/>
  <c r="T19" i="42" s="1"/>
  <c r="Q30" i="42"/>
  <c r="Q17" i="42"/>
  <c r="T17" i="42" s="1"/>
  <c r="Q15" i="42"/>
  <c r="T15" i="42" s="1"/>
  <c r="Q39" i="42"/>
  <c r="T39" i="42" s="1"/>
  <c r="Q27" i="42"/>
  <c r="T27" i="42" s="1"/>
  <c r="Q31" i="42"/>
  <c r="T31" i="42" s="1"/>
  <c r="Q29" i="42"/>
  <c r="T29" i="42" s="1"/>
  <c r="U42" i="37"/>
  <c r="Q40" i="42"/>
  <c r="U45" i="37"/>
  <c r="U19" i="37"/>
  <c r="AH19" i="25"/>
  <c r="AI19" i="25" s="1"/>
  <c r="U15" i="37"/>
  <c r="U39" i="37"/>
  <c r="U35" i="37"/>
  <c r="U40" i="37"/>
  <c r="U33" i="37"/>
  <c r="U17" i="37"/>
  <c r="U9" i="37"/>
  <c r="U13" i="37"/>
  <c r="U37" i="37"/>
  <c r="AP21" i="25"/>
  <c r="AP16" i="25"/>
  <c r="AP11" i="25"/>
  <c r="AP10" i="25"/>
  <c r="AP18" i="25"/>
  <c r="AP14" i="25"/>
  <c r="AP12" i="25"/>
  <c r="AP20" i="25"/>
  <c r="AP22" i="25"/>
  <c r="AP23" i="25"/>
  <c r="EK51" i="2"/>
  <c r="EL51" i="2" s="1"/>
  <c r="EN51" i="2" s="1"/>
  <c r="EO51" i="2" s="1"/>
  <c r="EP8" i="13"/>
  <c r="EQ8" i="13" s="1"/>
  <c r="DR67" i="2"/>
  <c r="DM68" i="2"/>
  <c r="DM67" i="2"/>
  <c r="DQ67" i="2"/>
  <c r="DL67" i="2"/>
  <c r="EJ17" i="13"/>
  <c r="EK38" i="12"/>
  <c r="AQ8" i="25"/>
  <c r="AX6" i="25"/>
  <c r="ER31" i="13"/>
  <c r="EP32" i="13"/>
  <c r="EM32" i="13"/>
  <c r="EK37" i="13"/>
  <c r="EM37" i="13" s="1"/>
  <c r="EG12" i="12"/>
  <c r="EI51" i="13"/>
  <c r="EJ51" i="13" s="1"/>
  <c r="EK51" i="13" s="1"/>
  <c r="EL51" i="13" s="1"/>
  <c r="EH51" i="13"/>
  <c r="EQ32" i="13"/>
  <c r="EQ37" i="13"/>
  <c r="EK69" i="2"/>
  <c r="EK70" i="14"/>
  <c r="EF73" i="14"/>
  <c r="EF74" i="14" s="1"/>
  <c r="EG71" i="14"/>
  <c r="EK96" i="14"/>
  <c r="EP94" i="14"/>
  <c r="EP96" i="14" s="1"/>
  <c r="EA8" i="2"/>
  <c r="EL96" i="14"/>
  <c r="EQ94" i="14"/>
  <c r="EQ96" i="14" s="1"/>
  <c r="EQ73" i="14"/>
  <c r="EQ74" i="14" s="1"/>
  <c r="EH79" i="14"/>
  <c r="EK91" i="14"/>
  <c r="EK80" i="14"/>
  <c r="EP82" i="14"/>
  <c r="EP79" i="14"/>
  <c r="EG91" i="14"/>
  <c r="EL82" i="14"/>
  <c r="EQ81" i="14"/>
  <c r="EN82" i="14"/>
  <c r="EL79" i="14"/>
  <c r="EM79" i="14" s="1"/>
  <c r="EF97" i="14"/>
  <c r="EF93" i="14"/>
  <c r="BK34" i="35"/>
  <c r="BK11" i="35"/>
  <c r="EL15" i="2"/>
  <c r="EG22" i="2"/>
  <c r="EG23" i="2" s="1"/>
  <c r="EL9" i="2"/>
  <c r="EA97" i="14"/>
  <c r="EF92" i="14"/>
  <c r="EI92" i="14"/>
  <c r="EI93" i="14"/>
  <c r="BG8" i="35"/>
  <c r="BK8" i="35"/>
  <c r="EI8" i="2"/>
  <c r="EI9" i="2" s="1"/>
  <c r="EI74" i="14"/>
  <c r="EI80" i="14"/>
  <c r="BM7" i="35"/>
  <c r="BM8" i="35" s="1"/>
  <c r="EN64" i="14"/>
  <c r="EN73" i="14"/>
  <c r="EO64" i="14"/>
  <c r="ER63" i="14"/>
  <c r="EN79" i="14"/>
  <c r="DF207" i="35"/>
  <c r="DG207" i="35"/>
  <c r="DH207" i="35"/>
  <c r="BC11" i="35"/>
  <c r="BC34" i="35"/>
  <c r="ED15" i="2"/>
  <c r="DG7" i="35"/>
  <c r="DG8" i="35" s="1"/>
  <c r="BL7" i="35"/>
  <c r="BL8" i="35" s="1"/>
  <c r="M12" i="1"/>
  <c r="M31" i="1" s="1"/>
  <c r="EM138" i="14"/>
  <c r="EM65" i="14"/>
  <c r="DG194" i="35" s="1"/>
  <c r="EH135" i="14"/>
  <c r="AD4" i="40"/>
  <c r="X21" i="42" s="1"/>
  <c r="DP86" i="14"/>
  <c r="DP85" i="14"/>
  <c r="DL68" i="2"/>
  <c r="DQ89" i="14"/>
  <c r="DQ101" i="14"/>
  <c r="DQ105" i="14" s="1"/>
  <c r="DV15" i="12"/>
  <c r="DP102" i="14"/>
  <c r="DP104" i="14"/>
  <c r="DP105" i="14"/>
  <c r="DQ84" i="14"/>
  <c r="DQ86" i="14" s="1"/>
  <c r="DY22" i="12"/>
  <c r="DP106" i="14"/>
  <c r="DP109" i="14" s="1"/>
  <c r="DR89" i="14"/>
  <c r="DR90" i="14"/>
  <c r="DR84" i="14"/>
  <c r="DR101" i="14"/>
  <c r="DS87" i="14"/>
  <c r="CZ178" i="35"/>
  <c r="CZ179" i="35" s="1"/>
  <c r="AK5" i="14"/>
  <c r="DO109" i="14"/>
  <c r="DS15" i="2"/>
  <c r="CT119" i="2"/>
  <c r="DC119" i="2"/>
  <c r="CM119" i="2"/>
  <c r="CH119" i="2"/>
  <c r="CI119" i="2"/>
  <c r="DB119" i="2"/>
  <c r="BX119" i="2"/>
  <c r="Y3" i="35"/>
  <c r="DI58" i="13"/>
  <c r="DD59" i="13"/>
  <c r="DD57" i="13"/>
  <c r="F28" i="1" s="1"/>
  <c r="D16" i="1"/>
  <c r="CT78" i="2"/>
  <c r="BZ79" i="2"/>
  <c r="BU78" i="2"/>
  <c r="CC119" i="2"/>
  <c r="CC118" i="2"/>
  <c r="CN119" i="2"/>
  <c r="CN65" i="13"/>
  <c r="EB9" i="2"/>
  <c r="DW9" i="2"/>
  <c r="AW34" i="35"/>
  <c r="AW11" i="35"/>
  <c r="DP67" i="2"/>
  <c r="DK68" i="2"/>
  <c r="DN67" i="2"/>
  <c r="DN68" i="2"/>
  <c r="DN107" i="14"/>
  <c r="DN110" i="14"/>
  <c r="DN108" i="14"/>
  <c r="DO108" i="14"/>
  <c r="DO107" i="14"/>
  <c r="DO110" i="14"/>
  <c r="DW15" i="2"/>
  <c r="BZ78" i="2"/>
  <c r="CY79" i="2"/>
  <c r="CE78" i="2"/>
  <c r="BX65" i="13"/>
  <c r="DD78" i="2"/>
  <c r="DI79" i="2"/>
  <c r="BT65" i="13"/>
  <c r="CN118" i="2"/>
  <c r="CS116" i="2"/>
  <c r="E16" i="1"/>
  <c r="CE115" i="2"/>
  <c r="CC65" i="13"/>
  <c r="CO79" i="2"/>
  <c r="CN117" i="2"/>
  <c r="CM118" i="2"/>
  <c r="CR116" i="2"/>
  <c r="CM65" i="13"/>
  <c r="CM117" i="2"/>
  <c r="DH116" i="2"/>
  <c r="CO115" i="2"/>
  <c r="BZ115" i="2"/>
  <c r="DC116" i="2"/>
  <c r="DB65" i="13"/>
  <c r="DB61" i="13" s="1"/>
  <c r="CY115" i="2"/>
  <c r="CU119" i="2"/>
  <c r="CJ115" i="2"/>
  <c r="DA72" i="2"/>
  <c r="BU115" i="2"/>
  <c r="BU119" i="2" s="1"/>
  <c r="CN116" i="2"/>
  <c r="DD115" i="2"/>
  <c r="DD79" i="2"/>
  <c r="DC117" i="2"/>
  <c r="CD117" i="2"/>
  <c r="DC118" i="2"/>
  <c r="DB118" i="2"/>
  <c r="DB117" i="2"/>
  <c r="CC117" i="2"/>
  <c r="CC116" i="2"/>
  <c r="CH116" i="2"/>
  <c r="DC65" i="13"/>
  <c r="DC61" i="13" s="1"/>
  <c r="DG116" i="2"/>
  <c r="C16" i="1"/>
  <c r="CO78" i="2"/>
  <c r="CI117" i="2"/>
  <c r="CI118" i="2"/>
  <c r="CI65" i="13"/>
  <c r="CI116" i="2"/>
  <c r="CH118" i="2"/>
  <c r="CH65" i="13"/>
  <c r="CM116" i="2"/>
  <c r="CJ112" i="2"/>
  <c r="BY117" i="2"/>
  <c r="BX117" i="2"/>
  <c r="CV71" i="12"/>
  <c r="BY116" i="2"/>
  <c r="BT118" i="2"/>
  <c r="DJ72" i="2"/>
  <c r="BT117" i="2"/>
  <c r="BX118" i="2"/>
  <c r="CZ72" i="2"/>
  <c r="CW72" i="2"/>
  <c r="CO151" i="2"/>
  <c r="CR71" i="12"/>
  <c r="CT65" i="13"/>
  <c r="CR117" i="2"/>
  <c r="CZ71" i="12"/>
  <c r="CU71" i="12"/>
  <c r="CX117" i="2"/>
  <c r="CW71" i="12"/>
  <c r="CX71" i="12"/>
  <c r="DB116" i="2"/>
  <c r="DV9" i="12"/>
  <c r="EB37" i="13"/>
  <c r="EC37" i="13" s="1"/>
  <c r="EC32" i="13"/>
  <c r="DJ65" i="13"/>
  <c r="DJ61" i="13" s="1"/>
  <c r="DJ118" i="2"/>
  <c r="DL65" i="13"/>
  <c r="DL61" i="13" s="1"/>
  <c r="DL118" i="2"/>
  <c r="DL117" i="2"/>
  <c r="BR65" i="13"/>
  <c r="BW116" i="2"/>
  <c r="BR118" i="2"/>
  <c r="CM25" i="13"/>
  <c r="DB127" i="2"/>
  <c r="DB129" i="2"/>
  <c r="CW117" i="2"/>
  <c r="CW118" i="2"/>
  <c r="CW65" i="13"/>
  <c r="CF22" i="13"/>
  <c r="CF23" i="13" s="1"/>
  <c r="CJ7" i="13"/>
  <c r="CJ25" i="13" s="1"/>
  <c r="CF25" i="13"/>
  <c r="CN127" i="2"/>
  <c r="CN129" i="2"/>
  <c r="CP65" i="13"/>
  <c r="CP118" i="2"/>
  <c r="CU116" i="2"/>
  <c r="DH118" i="2"/>
  <c r="DH65" i="13"/>
  <c r="DH61" i="13" s="1"/>
  <c r="CH129" i="2"/>
  <c r="CH127" i="2"/>
  <c r="CE112" i="2"/>
  <c r="BZ114" i="2"/>
  <c r="BW129" i="2"/>
  <c r="BW127" i="2"/>
  <c r="CB65" i="13"/>
  <c r="CB118" i="2"/>
  <c r="CG116" i="2"/>
  <c r="DL72" i="2"/>
  <c r="BZ112" i="2"/>
  <c r="BU114" i="2"/>
  <c r="L4" i="14"/>
  <c r="L4" i="13"/>
  <c r="L4" i="12"/>
  <c r="DB25" i="13"/>
  <c r="DB22" i="13"/>
  <c r="DB23" i="13" s="1"/>
  <c r="DF127" i="2"/>
  <c r="DF129" i="2"/>
  <c r="BW65" i="13"/>
  <c r="CB116" i="2"/>
  <c r="BW117" i="2"/>
  <c r="BW118" i="2"/>
  <c r="BZ63" i="2"/>
  <c r="BU71" i="2"/>
  <c r="BZ72" i="2" s="1"/>
  <c r="BU64" i="2"/>
  <c r="BU74" i="12"/>
  <c r="BZ71" i="2"/>
  <c r="CE72" i="2" s="1"/>
  <c r="BZ64" i="2"/>
  <c r="CE63" i="2"/>
  <c r="BZ74" i="12"/>
  <c r="CV118" i="2"/>
  <c r="DA116" i="2"/>
  <c r="CV117" i="2"/>
  <c r="CV65" i="13"/>
  <c r="CO71" i="2"/>
  <c r="CO64" i="2"/>
  <c r="C29" i="1" s="1"/>
  <c r="CT63" i="2"/>
  <c r="CO74" i="12"/>
  <c r="BV113" i="2"/>
  <c r="BW25" i="13"/>
  <c r="CT121" i="2"/>
  <c r="CT127" i="2" s="1"/>
  <c r="CP129" i="2"/>
  <c r="CP127" i="2"/>
  <c r="CV129" i="2"/>
  <c r="CV127" i="2"/>
  <c r="CL117" i="2"/>
  <c r="CK118" i="2"/>
  <c r="CP116" i="2"/>
  <c r="CK65" i="13"/>
  <c r="CV25" i="13"/>
  <c r="M4" i="14"/>
  <c r="M4" i="13"/>
  <c r="M4" i="12"/>
  <c r="BR127" i="2"/>
  <c r="BR129" i="2"/>
  <c r="BT129" i="2"/>
  <c r="BT127" i="2"/>
  <c r="DD121" i="2"/>
  <c r="DD127" i="2" s="1"/>
  <c r="CZ129" i="2"/>
  <c r="CZ127" i="2"/>
  <c r="CB129" i="2"/>
  <c r="CB127" i="2"/>
  <c r="BV118" i="2"/>
  <c r="BV65" i="13"/>
  <c r="CA116" i="2"/>
  <c r="AR5" i="2"/>
  <c r="AN5" i="2"/>
  <c r="CT7" i="13"/>
  <c r="CT25" i="13" s="1"/>
  <c r="CP25" i="13"/>
  <c r="CP22" i="13"/>
  <c r="CP23" i="13" s="1"/>
  <c r="CX129" i="2"/>
  <c r="CX127" i="2"/>
  <c r="CG25" i="13"/>
  <c r="R4" i="2"/>
  <c r="Q4" i="2"/>
  <c r="P4" i="2"/>
  <c r="O4" i="2"/>
  <c r="N4" i="2"/>
  <c r="W5" i="2"/>
  <c r="DI121" i="2"/>
  <c r="BR25" i="13"/>
  <c r="CL65" i="13"/>
  <c r="CQ116" i="2"/>
  <c r="CL118" i="2"/>
  <c r="CL129" i="2"/>
  <c r="CL127" i="2"/>
  <c r="CJ114" i="2"/>
  <c r="CO112" i="2"/>
  <c r="CJ63" i="2"/>
  <c r="CE71" i="2"/>
  <c r="CJ72" i="2" s="1"/>
  <c r="CE64" i="2"/>
  <c r="CE74" i="12"/>
  <c r="BU121" i="2"/>
  <c r="BU127" i="2" s="1"/>
  <c r="BQ127" i="2"/>
  <c r="BQ129" i="2"/>
  <c r="BV130" i="2" s="1"/>
  <c r="CD129" i="2"/>
  <c r="CD127" i="2"/>
  <c r="CZ25" i="13"/>
  <c r="CZ22" i="13"/>
  <c r="DD7" i="13"/>
  <c r="DD25" i="13" s="1"/>
  <c r="CB25" i="13"/>
  <c r="CY71" i="2"/>
  <c r="CY64" i="2"/>
  <c r="E29" i="1" s="1"/>
  <c r="DD63" i="2"/>
  <c r="CY74" i="12"/>
  <c r="BY127" i="2"/>
  <c r="BY129" i="2"/>
  <c r="DD112" i="2"/>
  <c r="CY114" i="2"/>
  <c r="I4" i="14"/>
  <c r="I4" i="13"/>
  <c r="I4" i="12"/>
  <c r="DA65" i="13"/>
  <c r="DA61" i="13" s="1"/>
  <c r="DF116" i="2"/>
  <c r="DA117" i="2"/>
  <c r="DA118" i="2"/>
  <c r="CF118" i="2"/>
  <c r="CF65" i="13"/>
  <c r="CK116" i="2"/>
  <c r="BQ65" i="13"/>
  <c r="BQ118" i="2"/>
  <c r="BV116" i="2"/>
  <c r="BS129" i="2"/>
  <c r="BS127" i="2"/>
  <c r="CW129" i="2"/>
  <c r="CW127" i="2"/>
  <c r="CL25" i="13"/>
  <c r="CY112" i="2"/>
  <c r="CT114" i="2"/>
  <c r="BU7" i="13"/>
  <c r="BU25" i="13" s="1"/>
  <c r="BQ25" i="13"/>
  <c r="BQ22" i="13"/>
  <c r="BQ23" i="13" s="1"/>
  <c r="BZ121" i="2"/>
  <c r="BZ127" i="2" s="1"/>
  <c r="BV129" i="2"/>
  <c r="CA130" i="2" s="1"/>
  <c r="BV127" i="2"/>
  <c r="CO121" i="2"/>
  <c r="CO127" i="2" s="1"/>
  <c r="CK127" i="2"/>
  <c r="CK129" i="2"/>
  <c r="CX72" i="2"/>
  <c r="CI127" i="2"/>
  <c r="CI129" i="2"/>
  <c r="AJ5" i="2"/>
  <c r="J4" i="12"/>
  <c r="J4" i="14"/>
  <c r="J4" i="13"/>
  <c r="DI71" i="2"/>
  <c r="G20" i="1" s="1"/>
  <c r="DI64" i="2"/>
  <c r="G29" i="1" s="1"/>
  <c r="DI74" i="12"/>
  <c r="BX129" i="2"/>
  <c r="BX127" i="2"/>
  <c r="CJ64" i="2"/>
  <c r="CO63" i="2"/>
  <c r="CJ71" i="2"/>
  <c r="CO72" i="2" s="1"/>
  <c r="CJ74" i="12"/>
  <c r="CE121" i="2"/>
  <c r="CE127" i="2" s="1"/>
  <c r="CA129" i="2"/>
  <c r="CF130" i="2" s="1"/>
  <c r="CA127" i="2"/>
  <c r="CV72" i="2"/>
  <c r="BZ7" i="13"/>
  <c r="BZ25" i="13" s="1"/>
  <c r="BV25" i="13"/>
  <c r="BV22" i="13"/>
  <c r="CC129" i="2"/>
  <c r="CC127" i="2"/>
  <c r="CK25" i="13"/>
  <c r="CO7" i="13"/>
  <c r="CO25" i="13" s="1"/>
  <c r="CK22" i="13"/>
  <c r="CK23" i="13" s="1"/>
  <c r="CQ118" i="2"/>
  <c r="CQ65" i="13"/>
  <c r="CV116" i="2"/>
  <c r="CQ117" i="2"/>
  <c r="CO114" i="2"/>
  <c r="CT112" i="2"/>
  <c r="K4" i="14"/>
  <c r="K4" i="12"/>
  <c r="K4" i="13"/>
  <c r="DA129" i="2"/>
  <c r="DA127" i="2"/>
  <c r="BX116" i="2"/>
  <c r="BS65" i="13"/>
  <c r="BS118" i="2"/>
  <c r="BS117" i="2"/>
  <c r="BX25" i="13"/>
  <c r="DB72" i="2"/>
  <c r="CA22" i="13"/>
  <c r="CA23" i="13" s="1"/>
  <c r="CA25" i="13"/>
  <c r="CE7" i="13"/>
  <c r="CE25" i="13" s="1"/>
  <c r="DD71" i="2"/>
  <c r="DD64" i="2"/>
  <c r="F29" i="1" s="1"/>
  <c r="DI63" i="2"/>
  <c r="DD74" i="12"/>
  <c r="CQ129" i="2"/>
  <c r="CQ127" i="2"/>
  <c r="CY121" i="2"/>
  <c r="CY127" i="2" s="1"/>
  <c r="CU129" i="2"/>
  <c r="CU127" i="2"/>
  <c r="CS127" i="2"/>
  <c r="CS129" i="2"/>
  <c r="CB117" i="2"/>
  <c r="CA118" i="2"/>
  <c r="CF116" i="2"/>
  <c r="CA65" i="13"/>
  <c r="DD114" i="2"/>
  <c r="DC127" i="2"/>
  <c r="DC129" i="2"/>
  <c r="DK117" i="2"/>
  <c r="DK65" i="13"/>
  <c r="DK61" i="13" s="1"/>
  <c r="DK118" i="2"/>
  <c r="CZ65" i="13"/>
  <c r="CZ61" i="13" s="1"/>
  <c r="CZ118" i="2"/>
  <c r="CU65" i="13"/>
  <c r="CU118" i="2"/>
  <c r="CZ116" i="2"/>
  <c r="CG127" i="2"/>
  <c r="CG129" i="2"/>
  <c r="DI7" i="13"/>
  <c r="DA25" i="13"/>
  <c r="DA22" i="13"/>
  <c r="DA23" i="13" s="1"/>
  <c r="CM129" i="2"/>
  <c r="CM127" i="2"/>
  <c r="CJ121" i="2"/>
  <c r="CJ127" i="2" s="1"/>
  <c r="CF127" i="2"/>
  <c r="CF129" i="2"/>
  <c r="CR127" i="2"/>
  <c r="CR129" i="2"/>
  <c r="CQ25" i="13"/>
  <c r="CU25" i="13"/>
  <c r="CY7" i="13"/>
  <c r="CY25" i="13" s="1"/>
  <c r="CU22" i="13"/>
  <c r="DN79" i="2"/>
  <c r="G16" i="1"/>
  <c r="G33" i="1" s="1"/>
  <c r="DI78" i="2"/>
  <c r="DF65" i="13"/>
  <c r="DF61" i="13" s="1"/>
  <c r="DF118" i="2"/>
  <c r="DK116" i="2"/>
  <c r="DC22" i="13"/>
  <c r="DC23" i="13" s="1"/>
  <c r="DC25" i="13"/>
  <c r="CG118" i="2"/>
  <c r="CG65" i="13"/>
  <c r="CL116" i="2"/>
  <c r="CG117" i="2"/>
  <c r="CH117" i="2"/>
  <c r="CY63" i="2"/>
  <c r="CT71" i="2"/>
  <c r="CT64" i="2"/>
  <c r="D29" i="1" s="1"/>
  <c r="CT74" i="12"/>
  <c r="AF5" i="2"/>
  <c r="DX92" i="14"/>
  <c r="DE119" i="35"/>
  <c r="E30" i="21"/>
  <c r="DV9" i="2"/>
  <c r="AV11" i="35"/>
  <c r="DV15" i="2"/>
  <c r="AV34" i="35"/>
  <c r="EC80" i="14"/>
  <c r="DD22" i="14"/>
  <c r="M14" i="26"/>
  <c r="DA107" i="14"/>
  <c r="DA110" i="14"/>
  <c r="DA109" i="14"/>
  <c r="DA108" i="14"/>
  <c r="DF108" i="14"/>
  <c r="EC81" i="14"/>
  <c r="EC83" i="14" s="1"/>
  <c r="CY108" i="14"/>
  <c r="CY107" i="14"/>
  <c r="CY110" i="14"/>
  <c r="AS5" i="14"/>
  <c r="AT5" i="14" s="1"/>
  <c r="AU5" i="14" s="1"/>
  <c r="AW5" i="14"/>
  <c r="DB109" i="14"/>
  <c r="DD103" i="14"/>
  <c r="DD105" i="14"/>
  <c r="DD102" i="14"/>
  <c r="DI103" i="14"/>
  <c r="AO5" i="14"/>
  <c r="DD96" i="14"/>
  <c r="DI96" i="14"/>
  <c r="DE23" i="14"/>
  <c r="DE17" i="14"/>
  <c r="DF16" i="14"/>
  <c r="DE20" i="14"/>
  <c r="DE19" i="14"/>
  <c r="DE66" i="14"/>
  <c r="DE21" i="14"/>
  <c r="CZ107" i="14"/>
  <c r="CZ110" i="14"/>
  <c r="CZ109" i="14"/>
  <c r="DD106" i="14"/>
  <c r="CZ108" i="14"/>
  <c r="DE108" i="14"/>
  <c r="AU80" i="35"/>
  <c r="DY22" i="2"/>
  <c r="DC192" i="35"/>
  <c r="AU150" i="35"/>
  <c r="AR150" i="35"/>
  <c r="AV150" i="35"/>
  <c r="EA92" i="14"/>
  <c r="EA93" i="14"/>
  <c r="EC91" i="14"/>
  <c r="DE207" i="35"/>
  <c r="AS5" i="12"/>
  <c r="AT5" i="12" s="1"/>
  <c r="AU5" i="12" s="1"/>
  <c r="AW5" i="12"/>
  <c r="EC8" i="13"/>
  <c r="DV131" i="2"/>
  <c r="DW70" i="2"/>
  <c r="DX70" i="2" s="1"/>
  <c r="EB99" i="14"/>
  <c r="EB98" i="14"/>
  <c r="AW150" i="35"/>
  <c r="H10" i="26"/>
  <c r="BA11" i="35"/>
  <c r="BA34" i="35"/>
  <c r="EB15" i="2"/>
  <c r="DM25" i="13"/>
  <c r="DM26" i="13" s="1"/>
  <c r="DN7" i="13"/>
  <c r="DN25" i="13" s="1"/>
  <c r="DN26" i="13" s="1"/>
  <c r="H16" i="1"/>
  <c r="DN78" i="2"/>
  <c r="DN74" i="12"/>
  <c r="DN64" i="2"/>
  <c r="H29" i="1" s="1"/>
  <c r="DN71" i="2"/>
  <c r="DN63" i="2"/>
  <c r="DM72" i="2"/>
  <c r="DN121" i="2"/>
  <c r="CS42" i="13"/>
  <c r="CS37" i="13"/>
  <c r="CT37" i="13" s="1"/>
  <c r="CT36" i="13"/>
  <c r="DH60" i="13"/>
  <c r="CX36" i="13"/>
  <c r="BY43" i="13"/>
  <c r="BZ43" i="13" s="1"/>
  <c r="BZ42" i="13"/>
  <c r="BB5" i="13"/>
  <c r="AX5" i="13"/>
  <c r="AY5" i="13" s="1"/>
  <c r="AZ5" i="13" s="1"/>
  <c r="DV21" i="13"/>
  <c r="DW29" i="12"/>
  <c r="DY12" i="13"/>
  <c r="AP5" i="13"/>
  <c r="CN36" i="13"/>
  <c r="DV41" i="13"/>
  <c r="Q38" i="42" l="1"/>
  <c r="X11" i="42"/>
  <c r="X16" i="42"/>
  <c r="X31" i="42"/>
  <c r="U30" i="37"/>
  <c r="X35" i="42"/>
  <c r="X27" i="42"/>
  <c r="X28" i="42"/>
  <c r="X26" i="42"/>
  <c r="X39" i="42"/>
  <c r="EM51" i="2"/>
  <c r="X22" i="42"/>
  <c r="X12" i="42"/>
  <c r="X17" i="42"/>
  <c r="X14" i="42"/>
  <c r="X13" i="42"/>
  <c r="Q41" i="42"/>
  <c r="Q23" i="42"/>
  <c r="T22" i="42"/>
  <c r="AB40" i="37"/>
  <c r="X15" i="42"/>
  <c r="X25" i="42"/>
  <c r="X40" i="42"/>
  <c r="X37" i="42"/>
  <c r="X29" i="42"/>
  <c r="X36" i="42"/>
  <c r="X32" i="42"/>
  <c r="AB13" i="37"/>
  <c r="X19" i="42"/>
  <c r="X20" i="42"/>
  <c r="X30" i="42"/>
  <c r="AB33" i="37"/>
  <c r="AB19" i="37"/>
  <c r="AB42" i="37"/>
  <c r="AB9" i="37"/>
  <c r="ER8" i="13"/>
  <c r="AB39" i="37"/>
  <c r="AB45" i="37"/>
  <c r="AO19" i="25"/>
  <c r="AP19" i="25" s="1"/>
  <c r="U34" i="37"/>
  <c r="AB35" i="37"/>
  <c r="U36" i="37"/>
  <c r="U21" i="37"/>
  <c r="AB15" i="37"/>
  <c r="U47" i="37"/>
  <c r="AB37" i="37"/>
  <c r="AB17" i="37"/>
  <c r="U44" i="37"/>
  <c r="AW14" i="25"/>
  <c r="AW12" i="25"/>
  <c r="AW10" i="25"/>
  <c r="AW21" i="25"/>
  <c r="AW22" i="25"/>
  <c r="AW11" i="25"/>
  <c r="AW16" i="25"/>
  <c r="AW23" i="25"/>
  <c r="AW20" i="25"/>
  <c r="EL69" i="2"/>
  <c r="EN69" i="2" s="1"/>
  <c r="EO69" i="2" s="1"/>
  <c r="EP69" i="2" s="1"/>
  <c r="EQ69" i="2" s="1"/>
  <c r="ER69" i="2" s="1"/>
  <c r="EK17" i="13"/>
  <c r="EL38" i="12"/>
  <c r="AX8" i="25"/>
  <c r="BE6" i="25"/>
  <c r="AW18" i="25"/>
  <c r="EP37" i="13"/>
  <c r="ER37" i="13" s="1"/>
  <c r="ER32" i="13"/>
  <c r="EI12" i="12"/>
  <c r="EH12" i="12"/>
  <c r="EN51" i="13"/>
  <c r="EO51" i="13" s="1"/>
  <c r="EP51" i="13" s="1"/>
  <c r="EQ51" i="13" s="1"/>
  <c r="ER51" i="13" s="1"/>
  <c r="EM51" i="13"/>
  <c r="EP51" i="2"/>
  <c r="EQ51" i="2" s="1"/>
  <c r="EA9" i="2"/>
  <c r="EQ8" i="2"/>
  <c r="EQ15" i="2" s="1"/>
  <c r="EA15" i="2"/>
  <c r="AZ11" i="35"/>
  <c r="EH81" i="14"/>
  <c r="EH83" i="14" s="1"/>
  <c r="AZ34" i="35"/>
  <c r="EF8" i="2"/>
  <c r="EP70" i="14"/>
  <c r="EK73" i="14"/>
  <c r="EL71" i="14"/>
  <c r="DF119" i="35"/>
  <c r="EH80" i="14"/>
  <c r="EF99" i="14"/>
  <c r="EB100" i="14"/>
  <c r="EL91" i="14"/>
  <c r="EL80" i="14"/>
  <c r="EQ82" i="14"/>
  <c r="EQ79" i="14"/>
  <c r="ER79" i="14" s="1"/>
  <c r="EP91" i="14"/>
  <c r="EP80" i="14"/>
  <c r="EA98" i="14"/>
  <c r="EA99" i="14"/>
  <c r="EF98" i="14"/>
  <c r="EG93" i="14"/>
  <c r="EG97" i="14"/>
  <c r="EG92" i="14"/>
  <c r="EH91" i="14"/>
  <c r="EH93" i="14" s="1"/>
  <c r="EK92" i="14"/>
  <c r="EK93" i="14"/>
  <c r="EK97" i="14"/>
  <c r="EL22" i="2"/>
  <c r="EL23" i="2" s="1"/>
  <c r="BH34" i="35"/>
  <c r="BH11" i="35"/>
  <c r="EI15" i="2"/>
  <c r="EI22" i="2" s="1"/>
  <c r="EN91" i="14"/>
  <c r="EN80" i="14"/>
  <c r="EN74" i="14"/>
  <c r="EN8" i="2"/>
  <c r="EN9" i="2" s="1"/>
  <c r="DH7" i="35"/>
  <c r="DH8" i="35" s="1"/>
  <c r="N12" i="1"/>
  <c r="N31" i="1" s="1"/>
  <c r="ER65" i="14"/>
  <c r="DH194" i="35" s="1"/>
  <c r="ER138" i="14"/>
  <c r="EM81" i="14"/>
  <c r="EM80" i="14"/>
  <c r="EM135" i="14"/>
  <c r="ED22" i="2"/>
  <c r="AE4" i="40"/>
  <c r="AH33" i="37" s="1"/>
  <c r="DQ106" i="14"/>
  <c r="DQ107" i="14" s="1"/>
  <c r="DQ102" i="14"/>
  <c r="DQ104" i="14"/>
  <c r="DQ103" i="14"/>
  <c r="DR85" i="14"/>
  <c r="DV84" i="14"/>
  <c r="DQ85" i="14"/>
  <c r="DP110" i="14"/>
  <c r="DP107" i="14"/>
  <c r="DP108" i="14"/>
  <c r="DW15" i="12"/>
  <c r="DZ22" i="12"/>
  <c r="DS84" i="14"/>
  <c r="DS86" i="14" s="1"/>
  <c r="DS89" i="14"/>
  <c r="DS88" i="14"/>
  <c r="DS101" i="14"/>
  <c r="DR106" i="14"/>
  <c r="DR103" i="14"/>
  <c r="DR102" i="14"/>
  <c r="DR104" i="14"/>
  <c r="DR86" i="14"/>
  <c r="DW84" i="14"/>
  <c r="E33" i="1"/>
  <c r="G44" i="1"/>
  <c r="F33" i="1"/>
  <c r="DS16" i="2"/>
  <c r="DS17" i="2" s="1"/>
  <c r="DW22" i="2"/>
  <c r="EB22" i="2"/>
  <c r="D33" i="1"/>
  <c r="DI60" i="13"/>
  <c r="F23" i="1"/>
  <c r="CE119" i="2"/>
  <c r="CO119" i="2"/>
  <c r="BZ119" i="2"/>
  <c r="CY119" i="2"/>
  <c r="CJ119" i="2"/>
  <c r="DD119" i="2"/>
  <c r="Z3" i="35"/>
  <c r="CP130" i="2"/>
  <c r="CU130" i="2"/>
  <c r="CZ130" i="2"/>
  <c r="CK130" i="2"/>
  <c r="DB132" i="2"/>
  <c r="DG133" i="2" s="1"/>
  <c r="DG130" i="2"/>
  <c r="CN132" i="2"/>
  <c r="CS130" i="2"/>
  <c r="CH132" i="2"/>
  <c r="CM130" i="2"/>
  <c r="BW132" i="2"/>
  <c r="CB133" i="2" s="1"/>
  <c r="CB130" i="2"/>
  <c r="DF132" i="2"/>
  <c r="CV132" i="2"/>
  <c r="DA130" i="2"/>
  <c r="BR132" i="2"/>
  <c r="BW133" i="2" s="1"/>
  <c r="BW130" i="2"/>
  <c r="BT132" i="2"/>
  <c r="BY130" i="2"/>
  <c r="CB132" i="2"/>
  <c r="CG133" i="2" s="1"/>
  <c r="CG130" i="2"/>
  <c r="CX132" i="2"/>
  <c r="DC130" i="2"/>
  <c r="CL132" i="2"/>
  <c r="CQ130" i="2"/>
  <c r="CD132" i="2"/>
  <c r="CI130" i="2"/>
  <c r="BY132" i="2"/>
  <c r="CD130" i="2"/>
  <c r="BS132" i="2"/>
  <c r="BX130" i="2"/>
  <c r="CW132" i="2"/>
  <c r="DB130" i="2"/>
  <c r="CI132" i="2"/>
  <c r="CN130" i="2"/>
  <c r="BX132" i="2"/>
  <c r="CC130" i="2"/>
  <c r="CC132" i="2"/>
  <c r="CH130" i="2"/>
  <c r="DA132" i="2"/>
  <c r="DF130" i="2"/>
  <c r="CQ132" i="2"/>
  <c r="CV130" i="2"/>
  <c r="CS132" i="2"/>
  <c r="CX130" i="2"/>
  <c r="DC132" i="2"/>
  <c r="CG132" i="2"/>
  <c r="CL130" i="2"/>
  <c r="CM132" i="2"/>
  <c r="CR130" i="2"/>
  <c r="CR132" i="2"/>
  <c r="CW130" i="2"/>
  <c r="CE65" i="13"/>
  <c r="CZ117" i="2"/>
  <c r="BZ118" i="2"/>
  <c r="CO65" i="13"/>
  <c r="DD71" i="12"/>
  <c r="CQ71" i="12"/>
  <c r="DC71" i="12"/>
  <c r="CO71" i="12"/>
  <c r="BZ65" i="13"/>
  <c r="E17" i="1"/>
  <c r="CY118" i="2"/>
  <c r="E26" i="1" s="1"/>
  <c r="CY71" i="12"/>
  <c r="CE116" i="2"/>
  <c r="BZ71" i="12"/>
  <c r="C17" i="1"/>
  <c r="CO116" i="2"/>
  <c r="CO118" i="2"/>
  <c r="CJ116" i="2"/>
  <c r="CP117" i="2"/>
  <c r="CF117" i="2"/>
  <c r="CE118" i="2"/>
  <c r="CE71" i="12"/>
  <c r="CJ65" i="13"/>
  <c r="CT116" i="2"/>
  <c r="CJ71" i="12"/>
  <c r="CK117" i="2"/>
  <c r="CJ118" i="2"/>
  <c r="DA71" i="12"/>
  <c r="DD116" i="2"/>
  <c r="DB71" i="12"/>
  <c r="DD65" i="13"/>
  <c r="DD61" i="13" s="1"/>
  <c r="CA117" i="2"/>
  <c r="CY65" i="13"/>
  <c r="CU117" i="2"/>
  <c r="D17" i="1"/>
  <c r="BZ116" i="2"/>
  <c r="CT71" i="12"/>
  <c r="CA24" i="13"/>
  <c r="DB26" i="13"/>
  <c r="DC26" i="13"/>
  <c r="CP24" i="13"/>
  <c r="BU71" i="12"/>
  <c r="BU65" i="13"/>
  <c r="CT118" i="2"/>
  <c r="CY116" i="2"/>
  <c r="BV117" i="2"/>
  <c r="BU118" i="2"/>
  <c r="DF71" i="12"/>
  <c r="F17" i="1"/>
  <c r="DD118" i="2"/>
  <c r="F26" i="1" s="1"/>
  <c r="DW9" i="12"/>
  <c r="BQ24" i="13"/>
  <c r="CZ23" i="13"/>
  <c r="CZ26" i="13" s="1"/>
  <c r="DD22" i="13"/>
  <c r="DD23" i="13" s="1"/>
  <c r="DD26" i="13" s="1"/>
  <c r="CT129" i="2"/>
  <c r="CP132" i="2"/>
  <c r="CU24" i="13"/>
  <c r="CU54" i="13" s="1"/>
  <c r="CU23" i="13"/>
  <c r="DA26" i="13"/>
  <c r="CK24" i="13"/>
  <c r="AK5" i="2"/>
  <c r="CT72" i="2"/>
  <c r="C20" i="1"/>
  <c r="CF24" i="13"/>
  <c r="CA132" i="2"/>
  <c r="CE129" i="2"/>
  <c r="CK132" i="2"/>
  <c r="CO129" i="2"/>
  <c r="S4" i="2"/>
  <c r="AB5" i="2"/>
  <c r="W4" i="2"/>
  <c r="V4" i="2"/>
  <c r="U4" i="2"/>
  <c r="T4" i="2"/>
  <c r="CY72" i="2"/>
  <c r="D20" i="1"/>
  <c r="CT151" i="2"/>
  <c r="N4" i="14"/>
  <c r="N4" i="13"/>
  <c r="N4" i="12"/>
  <c r="CJ129" i="2"/>
  <c r="CF132" i="2"/>
  <c r="DD72" i="2"/>
  <c r="E20" i="1"/>
  <c r="BQ132" i="2"/>
  <c r="BU129" i="2"/>
  <c r="O4" i="14"/>
  <c r="O4" i="12"/>
  <c r="O4" i="13"/>
  <c r="DI72" i="2"/>
  <c r="F20" i="1"/>
  <c r="BV24" i="13"/>
  <c r="BV54" i="13" s="1"/>
  <c r="BV23" i="13"/>
  <c r="P4" i="14"/>
  <c r="P4" i="13"/>
  <c r="P4" i="12"/>
  <c r="AO5" i="2"/>
  <c r="CU132" i="2"/>
  <c r="CY129" i="2"/>
  <c r="BZ129" i="2"/>
  <c r="BV132" i="2"/>
  <c r="Q4" i="14"/>
  <c r="Q4" i="13"/>
  <c r="Q4" i="12"/>
  <c r="AS5" i="2"/>
  <c r="AW5" i="2"/>
  <c r="R4" i="13"/>
  <c r="R4" i="12"/>
  <c r="R4" i="14"/>
  <c r="DD129" i="2"/>
  <c r="CZ132" i="2"/>
  <c r="DV22" i="2"/>
  <c r="DS22" i="2"/>
  <c r="DE24" i="14"/>
  <c r="DD107" i="14"/>
  <c r="DD110" i="14"/>
  <c r="DD108" i="14"/>
  <c r="DI108" i="14"/>
  <c r="DY23" i="2"/>
  <c r="AV80" i="35"/>
  <c r="AP5" i="14"/>
  <c r="DE22" i="14"/>
  <c r="BB5" i="14"/>
  <c r="AX5" i="14"/>
  <c r="AY5" i="14" s="1"/>
  <c r="AZ5" i="14" s="1"/>
  <c r="DF23" i="14"/>
  <c r="DF24" i="14" s="1"/>
  <c r="DF17" i="14"/>
  <c r="DG16" i="14"/>
  <c r="DF19" i="14"/>
  <c r="DF21" i="14"/>
  <c r="DF22" i="14" s="1"/>
  <c r="DF20" i="14"/>
  <c r="DF66" i="14"/>
  <c r="EC92" i="14"/>
  <c r="EC93" i="14"/>
  <c r="AX5" i="12"/>
  <c r="AY5" i="12" s="1"/>
  <c r="AZ5" i="12" s="1"/>
  <c r="BB5" i="12"/>
  <c r="DY70" i="2"/>
  <c r="DW131" i="2"/>
  <c r="DX131" i="2"/>
  <c r="J7" i="1"/>
  <c r="I10" i="26"/>
  <c r="G10" i="26"/>
  <c r="J10" i="26"/>
  <c r="F10" i="26"/>
  <c r="DN72" i="2"/>
  <c r="H20" i="1"/>
  <c r="DV37" i="12"/>
  <c r="DW41" i="13"/>
  <c r="DX41" i="13" s="1"/>
  <c r="DV43" i="13"/>
  <c r="DW21" i="13"/>
  <c r="DX21" i="13" s="1"/>
  <c r="DX29" i="12"/>
  <c r="DY29" i="12" s="1"/>
  <c r="CS43" i="13"/>
  <c r="CT43" i="13" s="1"/>
  <c r="CT42" i="13"/>
  <c r="DZ12" i="13"/>
  <c r="CN37" i="13"/>
  <c r="CO37" i="13" s="1"/>
  <c r="CO36" i="13"/>
  <c r="BC5" i="13"/>
  <c r="BG5" i="13"/>
  <c r="CX37" i="13"/>
  <c r="CY37" i="13" s="1"/>
  <c r="CY36" i="13"/>
  <c r="AB34" i="37" l="1"/>
  <c r="AB28" i="37"/>
  <c r="AB30" i="37" s="1"/>
  <c r="X41" i="42"/>
  <c r="X38" i="42"/>
  <c r="ER51" i="2"/>
  <c r="AB44" i="37"/>
  <c r="AB36" i="37"/>
  <c r="AB47" i="37"/>
  <c r="X23" i="42"/>
  <c r="AB21" i="37"/>
  <c r="EM69" i="2"/>
  <c r="AV19" i="25"/>
  <c r="AW19" i="25" s="1"/>
  <c r="AH19" i="37"/>
  <c r="AH28" i="37" s="1"/>
  <c r="AH9" i="37"/>
  <c r="AH35" i="37"/>
  <c r="AH39" i="37"/>
  <c r="AH15" i="37"/>
  <c r="AH17" i="37"/>
  <c r="AH40" i="37"/>
  <c r="AH37" i="37"/>
  <c r="AH42" i="37"/>
  <c r="AH13" i="37"/>
  <c r="AH45" i="37"/>
  <c r="BD22" i="25"/>
  <c r="BD16" i="25"/>
  <c r="BD11" i="25"/>
  <c r="BD21" i="25"/>
  <c r="BD10" i="25"/>
  <c r="BD23" i="25"/>
  <c r="BC15" i="25"/>
  <c r="BD15" i="25" s="1"/>
  <c r="BD18" i="25"/>
  <c r="BD20" i="25"/>
  <c r="BD12" i="25"/>
  <c r="E37" i="1"/>
  <c r="EA22" i="2"/>
  <c r="EL17" i="13"/>
  <c r="EM17" i="13" s="1"/>
  <c r="EM38" i="12"/>
  <c r="EN38" i="12" s="1"/>
  <c r="BE8" i="25"/>
  <c r="BL6" i="25"/>
  <c r="BC17" i="25"/>
  <c r="BD17" i="25" s="1"/>
  <c r="EJ12" i="12"/>
  <c r="EK12" i="12" s="1"/>
  <c r="EL12" i="12" s="1"/>
  <c r="EQ9" i="2"/>
  <c r="DQ109" i="14"/>
  <c r="DQ108" i="14"/>
  <c r="EM83" i="14"/>
  <c r="DQ110" i="14"/>
  <c r="BE34" i="35"/>
  <c r="BE11" i="35"/>
  <c r="EF15" i="2"/>
  <c r="EP73" i="14"/>
  <c r="EQ71" i="14"/>
  <c r="EF9" i="2"/>
  <c r="EK74" i="14"/>
  <c r="EK8" i="2"/>
  <c r="EQ22" i="2"/>
  <c r="EQ23" i="2" s="1"/>
  <c r="EK99" i="14"/>
  <c r="EK98" i="14"/>
  <c r="EH92" i="14"/>
  <c r="EQ91" i="14"/>
  <c r="EQ80" i="14"/>
  <c r="EL93" i="14"/>
  <c r="EL97" i="14"/>
  <c r="EL92" i="14"/>
  <c r="EM91" i="14"/>
  <c r="EP93" i="14"/>
  <c r="EP97" i="14"/>
  <c r="EP92" i="14"/>
  <c r="EG100" i="14"/>
  <c r="EG98" i="14"/>
  <c r="EG99" i="14"/>
  <c r="EI23" i="2"/>
  <c r="BM11" i="35"/>
  <c r="BM34" i="35"/>
  <c r="EN15" i="2"/>
  <c r="EN22" i="2" s="1"/>
  <c r="ER80" i="14"/>
  <c r="ER81" i="14"/>
  <c r="ER83" i="14" s="1"/>
  <c r="ED23" i="2"/>
  <c r="EN93" i="14"/>
  <c r="EN92" i="14"/>
  <c r="ER135" i="14"/>
  <c r="AF4" i="40"/>
  <c r="EA84" i="14"/>
  <c r="DC134" i="2"/>
  <c r="DV87" i="14"/>
  <c r="DA133" i="2"/>
  <c r="DX15" i="12"/>
  <c r="DY15" i="12" s="1"/>
  <c r="CM134" i="2"/>
  <c r="EA22" i="12"/>
  <c r="DR107" i="14"/>
  <c r="DR109" i="14"/>
  <c r="DR108" i="14"/>
  <c r="DS103" i="14"/>
  <c r="DS102" i="14"/>
  <c r="DW87" i="14"/>
  <c r="EB84" i="14"/>
  <c r="DW85" i="14"/>
  <c r="DS106" i="14"/>
  <c r="F34" i="1"/>
  <c r="H44" i="1"/>
  <c r="H37" i="1"/>
  <c r="F44" i="1"/>
  <c r="F37" i="1"/>
  <c r="G37" i="1"/>
  <c r="F45" i="1"/>
  <c r="G38" i="1"/>
  <c r="E34" i="1"/>
  <c r="EB23" i="2"/>
  <c r="DW23" i="2"/>
  <c r="C26" i="1"/>
  <c r="D26" i="1"/>
  <c r="AA3" i="35"/>
  <c r="CV133" i="2"/>
  <c r="CQ133" i="2"/>
  <c r="BR134" i="2"/>
  <c r="CV134" i="2"/>
  <c r="CN134" i="2"/>
  <c r="CB134" i="2"/>
  <c r="CG134" i="2"/>
  <c r="CL134" i="2"/>
  <c r="DA134" i="2"/>
  <c r="CX134" i="2"/>
  <c r="DC133" i="2"/>
  <c r="CD134" i="2"/>
  <c r="CI133" i="2"/>
  <c r="CD133" i="2"/>
  <c r="BY134" i="2"/>
  <c r="BS134" i="2"/>
  <c r="BX133" i="2"/>
  <c r="DB133" i="2"/>
  <c r="CW134" i="2"/>
  <c r="CI134" i="2"/>
  <c r="CN133" i="2"/>
  <c r="CC133" i="2"/>
  <c r="BX134" i="2"/>
  <c r="CC134" i="2"/>
  <c r="CH133" i="2"/>
  <c r="DB134" i="2"/>
  <c r="DF133" i="2"/>
  <c r="CQ134" i="2"/>
  <c r="BY133" i="2"/>
  <c r="BT134" i="2"/>
  <c r="CS133" i="2"/>
  <c r="CX133" i="2"/>
  <c r="CS134" i="2"/>
  <c r="CL133" i="2"/>
  <c r="CH134" i="2"/>
  <c r="CR133" i="2"/>
  <c r="CM133" i="2"/>
  <c r="CR134" i="2"/>
  <c r="CW133" i="2"/>
  <c r="CT132" i="2"/>
  <c r="CY130" i="2"/>
  <c r="CE132" i="2"/>
  <c r="CJ130" i="2"/>
  <c r="CO132" i="2"/>
  <c r="CP134" i="2" s="1"/>
  <c r="CT130" i="2"/>
  <c r="CJ132" i="2"/>
  <c r="CO130" i="2"/>
  <c r="BU132" i="2"/>
  <c r="BZ130" i="2"/>
  <c r="CY132" i="2"/>
  <c r="DD130" i="2"/>
  <c r="BZ132" i="2"/>
  <c r="CE130" i="2"/>
  <c r="DD132" i="2"/>
  <c r="F21" i="1" s="1"/>
  <c r="CP26" i="13"/>
  <c r="CP54" i="13"/>
  <c r="CP56" i="13" s="1"/>
  <c r="CP61" i="13" s="1"/>
  <c r="CF26" i="13"/>
  <c r="CF54" i="13"/>
  <c r="CF56" i="13" s="1"/>
  <c r="CA46" i="13"/>
  <c r="CA54" i="13"/>
  <c r="CA56" i="13" s="1"/>
  <c r="CA61" i="13" s="1"/>
  <c r="BQ26" i="13"/>
  <c r="BQ54" i="13"/>
  <c r="CK26" i="13"/>
  <c r="CK54" i="13"/>
  <c r="CK56" i="13" s="1"/>
  <c r="BV66" i="13"/>
  <c r="D34" i="1"/>
  <c r="CA66" i="13"/>
  <c r="CP46" i="13"/>
  <c r="CB22" i="13"/>
  <c r="CB23" i="13" s="1"/>
  <c r="CQ22" i="13"/>
  <c r="CQ23" i="13" s="1"/>
  <c r="BV26" i="13"/>
  <c r="CP66" i="13"/>
  <c r="CA26" i="13"/>
  <c r="J8" i="1"/>
  <c r="F30" i="21" s="1"/>
  <c r="F29" i="21"/>
  <c r="DX9" i="12"/>
  <c r="DY9" i="12" s="1"/>
  <c r="AP5" i="2"/>
  <c r="BW22" i="13"/>
  <c r="BV46" i="13"/>
  <c r="BV56" i="13"/>
  <c r="CK133" i="2"/>
  <c r="U4" i="14"/>
  <c r="U4" i="13"/>
  <c r="U4" i="12"/>
  <c r="CP133" i="2"/>
  <c r="CL22" i="13"/>
  <c r="CK46" i="13"/>
  <c r="V4" i="14"/>
  <c r="V4" i="13"/>
  <c r="V4" i="12"/>
  <c r="AX5" i="2"/>
  <c r="BB5" i="2"/>
  <c r="BQ134" i="2"/>
  <c r="BV133" i="2"/>
  <c r="W4" i="14"/>
  <c r="W4" i="13"/>
  <c r="W4" i="12"/>
  <c r="CF133" i="2"/>
  <c r="AT5" i="2"/>
  <c r="CA133" i="2"/>
  <c r="BW134" i="2"/>
  <c r="AA4" i="2"/>
  <c r="Z4" i="2"/>
  <c r="Y4" i="2"/>
  <c r="X4" i="2"/>
  <c r="AG5" i="2"/>
  <c r="AB4" i="2"/>
  <c r="S4" i="14"/>
  <c r="S4" i="12"/>
  <c r="S4" i="13"/>
  <c r="CK66" i="13"/>
  <c r="CG22" i="13"/>
  <c r="CF66" i="13"/>
  <c r="CF46" i="13"/>
  <c r="CU26" i="13"/>
  <c r="CU133" i="2"/>
  <c r="BR22" i="13"/>
  <c r="BQ46" i="13"/>
  <c r="BQ48" i="13" s="1"/>
  <c r="CU134" i="2"/>
  <c r="CZ133" i="2"/>
  <c r="T4" i="14"/>
  <c r="T4" i="13"/>
  <c r="T4" i="12"/>
  <c r="CV22" i="13"/>
  <c r="CU66" i="13"/>
  <c r="CU46" i="13"/>
  <c r="CZ66" i="13"/>
  <c r="CU56" i="13"/>
  <c r="DV23" i="2"/>
  <c r="DS23" i="2"/>
  <c r="BG5" i="14"/>
  <c r="BC5" i="14"/>
  <c r="DG23" i="14"/>
  <c r="DG24" i="14" s="1"/>
  <c r="DG20" i="14"/>
  <c r="DG66" i="14"/>
  <c r="DG19" i="14"/>
  <c r="DH16" i="14"/>
  <c r="DG17" i="14"/>
  <c r="DG21" i="14"/>
  <c r="DG22" i="14" s="1"/>
  <c r="AW80" i="35"/>
  <c r="DY31" i="14"/>
  <c r="BG5" i="12"/>
  <c r="BC5" i="12"/>
  <c r="BD5" i="12" s="1"/>
  <c r="BE5" i="12" s="1"/>
  <c r="DY131" i="2"/>
  <c r="DZ70" i="2"/>
  <c r="DV38" i="2"/>
  <c r="DY41" i="13"/>
  <c r="DW43" i="13"/>
  <c r="DV52" i="12"/>
  <c r="DW37" i="12"/>
  <c r="BL5" i="13"/>
  <c r="BH5" i="13"/>
  <c r="BI5" i="13" s="1"/>
  <c r="BJ5" i="13" s="1"/>
  <c r="BD5" i="13"/>
  <c r="EA12" i="13"/>
  <c r="DY21" i="13"/>
  <c r="DZ29" i="12"/>
  <c r="AH30" i="37" l="1"/>
  <c r="AH44" i="37"/>
  <c r="AH36" i="37"/>
  <c r="AH21" i="37"/>
  <c r="AH34" i="37"/>
  <c r="BD14" i="25"/>
  <c r="AH47" i="37"/>
  <c r="BJ13" i="25"/>
  <c r="BK13" i="25" s="1"/>
  <c r="BK10" i="25"/>
  <c r="BK11" i="25"/>
  <c r="BK20" i="25"/>
  <c r="BJ15" i="25"/>
  <c r="BK15" i="25" s="1"/>
  <c r="BK21" i="25"/>
  <c r="BK23" i="25"/>
  <c r="BK22" i="25"/>
  <c r="BK16" i="25"/>
  <c r="BJ19" i="25"/>
  <c r="BK19" i="25" s="1"/>
  <c r="BC19" i="25"/>
  <c r="BD19" i="25" s="1"/>
  <c r="BC13" i="25"/>
  <c r="BD13" i="25" s="1"/>
  <c r="EA23" i="2"/>
  <c r="EN17" i="13"/>
  <c r="EO38" i="12"/>
  <c r="BS6" i="25"/>
  <c r="BL8" i="25"/>
  <c r="BK12" i="25"/>
  <c r="EN12" i="12"/>
  <c r="EO12" i="12" s="1"/>
  <c r="EP12" i="12" s="1"/>
  <c r="EQ12" i="12" s="1"/>
  <c r="ER12" i="12" s="1"/>
  <c r="EM12" i="12"/>
  <c r="EF22" i="2"/>
  <c r="EK15" i="2"/>
  <c r="EK22" i="2" s="1"/>
  <c r="BJ11" i="35"/>
  <c r="BJ34" i="35"/>
  <c r="EP8" i="2"/>
  <c r="EP74" i="14"/>
  <c r="EB87" i="14"/>
  <c r="EG84" i="14"/>
  <c r="EK9" i="2"/>
  <c r="EF84" i="14"/>
  <c r="EQ92" i="14"/>
  <c r="EQ97" i="14"/>
  <c r="EQ93" i="14"/>
  <c r="EL98" i="14"/>
  <c r="EL100" i="14"/>
  <c r="EL99" i="14"/>
  <c r="EM93" i="14"/>
  <c r="EM92" i="14"/>
  <c r="ER91" i="14"/>
  <c r="ER92" i="14" s="1"/>
  <c r="EP99" i="14"/>
  <c r="EP98" i="14"/>
  <c r="DV101" i="14"/>
  <c r="DV106" i="14" s="1"/>
  <c r="EN23" i="2"/>
  <c r="AG4" i="40"/>
  <c r="AF5" i="40"/>
  <c r="EA87" i="14"/>
  <c r="DW90" i="14"/>
  <c r="DV89" i="14"/>
  <c r="DV88" i="14"/>
  <c r="DZ15" i="12"/>
  <c r="EB22" i="12"/>
  <c r="DW89" i="14"/>
  <c r="DW88" i="14"/>
  <c r="DW101" i="14"/>
  <c r="DS107" i="14"/>
  <c r="DS108" i="14"/>
  <c r="EB85" i="14"/>
  <c r="F43" i="1"/>
  <c r="AB3" i="35"/>
  <c r="D21" i="1"/>
  <c r="CY133" i="2"/>
  <c r="E21" i="1"/>
  <c r="DD133" i="2"/>
  <c r="CZ134" i="2"/>
  <c r="CF134" i="2"/>
  <c r="CJ133" i="2"/>
  <c r="C21" i="1"/>
  <c r="CT133" i="2"/>
  <c r="CO133" i="2"/>
  <c r="CK134" i="2"/>
  <c r="BZ133" i="2"/>
  <c r="BV134" i="2"/>
  <c r="CE133" i="2"/>
  <c r="CA134" i="2"/>
  <c r="CP58" i="13"/>
  <c r="CP57" i="13"/>
  <c r="V168" i="35" s="1"/>
  <c r="CB24" i="13"/>
  <c r="CP59" i="13"/>
  <c r="CA59" i="13"/>
  <c r="CA57" i="13"/>
  <c r="CA58" i="13"/>
  <c r="CQ24" i="13"/>
  <c r="CY151" i="2"/>
  <c r="DZ9" i="12"/>
  <c r="X4" i="14"/>
  <c r="X4" i="13"/>
  <c r="X4" i="12"/>
  <c r="BW23" i="13"/>
  <c r="BW24" i="13"/>
  <c r="BW54" i="13" s="1"/>
  <c r="Y4" i="14"/>
  <c r="Y4" i="13"/>
  <c r="Y4" i="12"/>
  <c r="CG23" i="13"/>
  <c r="CG24" i="13"/>
  <c r="CG54" i="13" s="1"/>
  <c r="Z4" i="13"/>
  <c r="Z4" i="12"/>
  <c r="Z4" i="14"/>
  <c r="CU57" i="13"/>
  <c r="Z168" i="35" s="1"/>
  <c r="CZ58" i="13"/>
  <c r="CU61" i="13"/>
  <c r="CU59" i="13"/>
  <c r="CU58" i="13"/>
  <c r="BR47" i="13"/>
  <c r="BQ50" i="13"/>
  <c r="BQ52" i="13" s="1"/>
  <c r="AA4" i="14"/>
  <c r="AA4" i="12"/>
  <c r="AA4" i="13"/>
  <c r="AU5" i="2"/>
  <c r="BR23" i="13"/>
  <c r="BR24" i="13"/>
  <c r="BR54" i="13" s="1"/>
  <c r="BG5" i="2"/>
  <c r="BC5" i="2"/>
  <c r="AB4" i="14"/>
  <c r="AB4" i="13"/>
  <c r="AB4" i="12"/>
  <c r="AY5" i="2"/>
  <c r="CL23" i="13"/>
  <c r="CL24" i="13"/>
  <c r="CL54" i="13" s="1"/>
  <c r="BV61" i="13"/>
  <c r="BV57" i="13"/>
  <c r="BV59" i="13"/>
  <c r="CV23" i="13"/>
  <c r="CV24" i="13"/>
  <c r="CV54" i="13" s="1"/>
  <c r="CF58" i="13"/>
  <c r="CF59" i="13"/>
  <c r="CF61" i="13"/>
  <c r="CF57" i="13"/>
  <c r="AG4" i="2"/>
  <c r="AF4" i="2"/>
  <c r="AE4" i="2"/>
  <c r="AD4" i="2"/>
  <c r="AC4" i="2"/>
  <c r="AL5" i="2"/>
  <c r="CK57" i="13"/>
  <c r="CK59" i="13"/>
  <c r="CK58" i="13"/>
  <c r="CK61" i="13"/>
  <c r="DH23" i="14"/>
  <c r="DH24" i="14" s="1"/>
  <c r="DH20" i="14"/>
  <c r="DI16" i="14"/>
  <c r="DH19" i="14"/>
  <c r="DH66" i="14"/>
  <c r="DH17" i="14"/>
  <c r="DI17" i="14" s="1"/>
  <c r="DH21" i="14"/>
  <c r="DH22" i="14" s="1"/>
  <c r="AX80" i="35"/>
  <c r="DZ31" i="14"/>
  <c r="BD5" i="14"/>
  <c r="BL5" i="14"/>
  <c r="BH5" i="14"/>
  <c r="BI5" i="14" s="1"/>
  <c r="BJ5" i="14" s="1"/>
  <c r="BH5" i="12"/>
  <c r="BI5" i="12" s="1"/>
  <c r="BJ5" i="12" s="1"/>
  <c r="BL5" i="12"/>
  <c r="DZ131" i="2"/>
  <c r="EA70" i="2"/>
  <c r="DW38" i="2"/>
  <c r="DW52" i="12"/>
  <c r="DX37" i="12"/>
  <c r="DY43" i="13"/>
  <c r="DZ41" i="13"/>
  <c r="DZ21" i="13"/>
  <c r="EA29" i="12"/>
  <c r="EB12" i="13"/>
  <c r="ED12" i="13" s="1"/>
  <c r="BE5" i="13"/>
  <c r="BM5" i="13"/>
  <c r="BN5" i="13" s="1"/>
  <c r="BO5" i="13" s="1"/>
  <c r="BQ5" i="13"/>
  <c r="DX43" i="13"/>
  <c r="BK14" i="25" l="1"/>
  <c r="BR16" i="25"/>
  <c r="BR21" i="25"/>
  <c r="BR20" i="25"/>
  <c r="BR23" i="25"/>
  <c r="BR12" i="25"/>
  <c r="BR11" i="25"/>
  <c r="BR10" i="25"/>
  <c r="BR22" i="25"/>
  <c r="BR14" i="25"/>
  <c r="BK18" i="25"/>
  <c r="BJ17" i="25"/>
  <c r="BK17" i="25" s="1"/>
  <c r="AX158" i="35"/>
  <c r="EO17" i="13"/>
  <c r="EP38" i="12"/>
  <c r="BS8" i="25"/>
  <c r="BZ6" i="25"/>
  <c r="BR18" i="25"/>
  <c r="EE12" i="13"/>
  <c r="DV103" i="14"/>
  <c r="EB101" i="14"/>
  <c r="DV102" i="14"/>
  <c r="EB89" i="14"/>
  <c r="EB88" i="14"/>
  <c r="EF23" i="2"/>
  <c r="EL84" i="14"/>
  <c r="EG85" i="14"/>
  <c r="EG87" i="14"/>
  <c r="EK23" i="2"/>
  <c r="EK84" i="14"/>
  <c r="EF87" i="14"/>
  <c r="EF89" i="14" s="1"/>
  <c r="EP9" i="2"/>
  <c r="EP15" i="2"/>
  <c r="EP22" i="2" s="1"/>
  <c r="ER93" i="14"/>
  <c r="EQ100" i="14"/>
  <c r="EQ98" i="14"/>
  <c r="EQ99" i="14"/>
  <c r="EB90" i="14"/>
  <c r="AG5" i="40"/>
  <c r="AH4" i="40"/>
  <c r="EA89" i="14"/>
  <c r="EA88" i="14"/>
  <c r="EA101" i="14"/>
  <c r="EA103" i="14" s="1"/>
  <c r="EA15" i="12"/>
  <c r="EC22" i="12"/>
  <c r="ED22" i="12" s="1"/>
  <c r="EE22" i="12" s="1"/>
  <c r="EF22" i="12" s="1"/>
  <c r="EG22" i="12" s="1"/>
  <c r="EH22" i="12" s="1"/>
  <c r="EI22" i="12" s="1"/>
  <c r="EJ22" i="12" s="1"/>
  <c r="EK22" i="12" s="1"/>
  <c r="EL22" i="12" s="1"/>
  <c r="EM22" i="12" s="1"/>
  <c r="EN22" i="12" s="1"/>
  <c r="EO22" i="12" s="1"/>
  <c r="EP22" i="12" s="1"/>
  <c r="EQ22" i="12" s="1"/>
  <c r="ER22" i="12" s="1"/>
  <c r="DW102" i="14"/>
  <c r="DW103" i="14"/>
  <c r="DW106" i="14"/>
  <c r="DW104" i="14"/>
  <c r="DV107" i="14"/>
  <c r="DV108" i="14"/>
  <c r="E36" i="1"/>
  <c r="F36" i="1"/>
  <c r="D36" i="1"/>
  <c r="AC3" i="35"/>
  <c r="CQ26" i="13"/>
  <c r="CQ54" i="13"/>
  <c r="CQ56" i="13" s="1"/>
  <c r="CQ61" i="13" s="1"/>
  <c r="CB54" i="13"/>
  <c r="CB56" i="13" s="1"/>
  <c r="BW66" i="13"/>
  <c r="CQ46" i="13"/>
  <c r="CB66" i="13"/>
  <c r="CC22" i="13"/>
  <c r="CC23" i="13" s="1"/>
  <c r="CB26" i="13"/>
  <c r="CB46" i="13"/>
  <c r="CQ66" i="13"/>
  <c r="CF60" i="13"/>
  <c r="CA60" i="13"/>
  <c r="CR22" i="13"/>
  <c r="CR23" i="13" s="1"/>
  <c r="CK60" i="13"/>
  <c r="BR26" i="13"/>
  <c r="EA9" i="12"/>
  <c r="AI4" i="2"/>
  <c r="AH4" i="2"/>
  <c r="AQ5" i="2"/>
  <c r="AL4" i="2"/>
  <c r="AK4" i="2"/>
  <c r="AJ4" i="2"/>
  <c r="AC4" i="14"/>
  <c r="AC4" i="13"/>
  <c r="AC4" i="12"/>
  <c r="BS22" i="13"/>
  <c r="BR46" i="13"/>
  <c r="BR48" i="13" s="1"/>
  <c r="CP60" i="13"/>
  <c r="CU60" i="13"/>
  <c r="CZ60" i="13"/>
  <c r="AD4" i="14"/>
  <c r="AD4" i="13"/>
  <c r="AD4" i="12"/>
  <c r="AE4" i="14"/>
  <c r="AE4" i="13"/>
  <c r="AE4" i="12"/>
  <c r="CV66" i="13"/>
  <c r="DA66" i="13"/>
  <c r="CV56" i="13"/>
  <c r="CV46" i="13"/>
  <c r="CW22" i="13"/>
  <c r="CG46" i="13"/>
  <c r="CG56" i="13"/>
  <c r="CH22" i="13"/>
  <c r="CG66" i="13"/>
  <c r="AF4" i="14"/>
  <c r="AF4" i="13"/>
  <c r="AF4" i="12"/>
  <c r="CV26" i="13"/>
  <c r="CG26" i="13"/>
  <c r="AG4" i="14"/>
  <c r="AG4" i="13"/>
  <c r="AG4" i="12"/>
  <c r="AZ5" i="2"/>
  <c r="BD5" i="2"/>
  <c r="BW56" i="13"/>
  <c r="BW46" i="13"/>
  <c r="BX22" i="13"/>
  <c r="CM22" i="13"/>
  <c r="CL56" i="13"/>
  <c r="CL46" i="13"/>
  <c r="CL66" i="13"/>
  <c r="BH5" i="2"/>
  <c r="BL5" i="2"/>
  <c r="BW26" i="13"/>
  <c r="CL26" i="13"/>
  <c r="DI23" i="14"/>
  <c r="BE5" i="14"/>
  <c r="DI21" i="14"/>
  <c r="DA229" i="35"/>
  <c r="DA230" i="35" s="1"/>
  <c r="DI19" i="14"/>
  <c r="DJ16" i="14"/>
  <c r="DI20" i="14"/>
  <c r="N13" i="26"/>
  <c r="DI66" i="14"/>
  <c r="BQ5" i="14"/>
  <c r="BM5" i="14"/>
  <c r="BN5" i="14" s="1"/>
  <c r="AY80" i="35"/>
  <c r="EA31" i="14"/>
  <c r="BQ5" i="12"/>
  <c r="BM5" i="12"/>
  <c r="BN5" i="12" s="1"/>
  <c r="BO5" i="12" s="1"/>
  <c r="EC12" i="13"/>
  <c r="EA131" i="2"/>
  <c r="EB70" i="2"/>
  <c r="ED70" i="2" s="1"/>
  <c r="DY38" i="2"/>
  <c r="DZ43" i="13"/>
  <c r="EA41" i="13"/>
  <c r="BV5" i="13"/>
  <c r="BR5" i="13"/>
  <c r="EA21" i="13"/>
  <c r="EB29" i="12"/>
  <c r="DX52" i="12"/>
  <c r="DY37" i="12"/>
  <c r="DA178" i="35" a="1"/>
  <c r="BY16" i="25" l="1"/>
  <c r="BY10" i="25"/>
  <c r="BY23" i="25"/>
  <c r="BY21" i="25"/>
  <c r="BY22" i="25"/>
  <c r="BY20" i="25"/>
  <c r="BX19" i="25"/>
  <c r="BY19" i="25" s="1"/>
  <c r="BY11" i="25"/>
  <c r="BY14" i="25"/>
  <c r="BQ19" i="25"/>
  <c r="BR19" i="25" s="1"/>
  <c r="AY158" i="35"/>
  <c r="EB103" i="14"/>
  <c r="EB102" i="14"/>
  <c r="EB106" i="14"/>
  <c r="EP17" i="13"/>
  <c r="EQ38" i="12"/>
  <c r="BZ8" i="25"/>
  <c r="CG6" i="25"/>
  <c r="BY18" i="25"/>
  <c r="EF12" i="13"/>
  <c r="EG12" i="13" s="1"/>
  <c r="EI12" i="13" s="1"/>
  <c r="ED131" i="2"/>
  <c r="EE70" i="2"/>
  <c r="EP23" i="2"/>
  <c r="EL85" i="14"/>
  <c r="EQ84" i="14"/>
  <c r="EL87" i="14"/>
  <c r="EF88" i="14"/>
  <c r="EF101" i="14"/>
  <c r="EF103" i="14" s="1"/>
  <c r="EP84" i="14"/>
  <c r="EK87" i="14"/>
  <c r="EG88" i="14"/>
  <c r="EG90" i="14"/>
  <c r="EG101" i="14"/>
  <c r="EG89" i="14"/>
  <c r="AI4" i="40"/>
  <c r="AH5" i="40"/>
  <c r="EB104" i="14"/>
  <c r="EA106" i="14"/>
  <c r="EA102" i="14"/>
  <c r="DW109" i="14"/>
  <c r="EB15" i="12"/>
  <c r="DW108" i="14"/>
  <c r="DW107" i="14"/>
  <c r="DA178" i="35"/>
  <c r="DA179" i="35" s="1"/>
  <c r="BO5" i="14"/>
  <c r="AD3" i="35"/>
  <c r="CB61" i="13"/>
  <c r="CB57" i="13"/>
  <c r="CB59" i="13"/>
  <c r="CB58" i="13"/>
  <c r="CC24" i="13"/>
  <c r="CD22" i="13" s="1"/>
  <c r="CQ57" i="13"/>
  <c r="W168" i="35" s="1"/>
  <c r="CQ59" i="13"/>
  <c r="CQ58" i="13"/>
  <c r="CR24" i="13"/>
  <c r="DD151" i="2"/>
  <c r="EB9" i="12"/>
  <c r="BI5" i="2"/>
  <c r="CV59" i="13"/>
  <c r="CV57" i="13"/>
  <c r="AA168" i="35" s="1"/>
  <c r="CV58" i="13"/>
  <c r="DA58" i="13"/>
  <c r="CV61" i="13"/>
  <c r="BX23" i="13"/>
  <c r="BX24" i="13"/>
  <c r="BX54" i="13" s="1"/>
  <c r="AJ4" i="14"/>
  <c r="AJ4" i="13"/>
  <c r="AJ4" i="12"/>
  <c r="CW23" i="13"/>
  <c r="CW24" i="13"/>
  <c r="CW54" i="13" s="1"/>
  <c r="AK4" i="14"/>
  <c r="AK4" i="13"/>
  <c r="AK4" i="12"/>
  <c r="CM23" i="13"/>
  <c r="CM24" i="13"/>
  <c r="CM54" i="13" s="1"/>
  <c r="BW61" i="13"/>
  <c r="BW59" i="13"/>
  <c r="BW57" i="13"/>
  <c r="CH24" i="13"/>
  <c r="CH54" i="13" s="1"/>
  <c r="CH23" i="13"/>
  <c r="AL4" i="14"/>
  <c r="AL4" i="13"/>
  <c r="AL4" i="12"/>
  <c r="AQ4" i="2"/>
  <c r="AP4" i="2"/>
  <c r="AO4" i="2"/>
  <c r="AN4" i="2"/>
  <c r="AM4" i="2"/>
  <c r="AV5" i="2"/>
  <c r="AH4" i="13"/>
  <c r="AH4" i="12"/>
  <c r="AH4" i="14"/>
  <c r="CG58" i="13"/>
  <c r="CG61" i="13"/>
  <c r="CG57" i="13"/>
  <c r="CG59" i="13"/>
  <c r="BR50" i="13"/>
  <c r="BR51" i="13" s="1"/>
  <c r="BS47" i="13"/>
  <c r="AI4" i="14"/>
  <c r="AI4" i="12"/>
  <c r="AI4" i="13"/>
  <c r="CL57" i="13"/>
  <c r="CL61" i="13"/>
  <c r="CL59" i="13"/>
  <c r="CL58" i="13"/>
  <c r="BQ5" i="2"/>
  <c r="BM5" i="2"/>
  <c r="BE5" i="2"/>
  <c r="BS23" i="13"/>
  <c r="BS24" i="13"/>
  <c r="BS54" i="13" s="1"/>
  <c r="DI22" i="14"/>
  <c r="N14" i="26"/>
  <c r="AZ80" i="35"/>
  <c r="EB31" i="14"/>
  <c r="ED31" i="14" s="1"/>
  <c r="DJ21" i="14"/>
  <c r="DJ19" i="14"/>
  <c r="DJ17" i="14"/>
  <c r="DJ66" i="14"/>
  <c r="DJ23" i="14"/>
  <c r="DK16" i="14"/>
  <c r="DJ20" i="14"/>
  <c r="DY32" i="14"/>
  <c r="DW30" i="14"/>
  <c r="BR5" i="14"/>
  <c r="BV5" i="14"/>
  <c r="BR5" i="12"/>
  <c r="BS5" i="12" s="1"/>
  <c r="BT5" i="12" s="1"/>
  <c r="BV5" i="12"/>
  <c r="EB131" i="2"/>
  <c r="EC70" i="2"/>
  <c r="DZ38" i="2"/>
  <c r="EA43" i="13"/>
  <c r="EB41" i="13"/>
  <c r="BS5" i="13"/>
  <c r="EB21" i="13"/>
  <c r="EC21" i="13" s="1"/>
  <c r="EC29" i="12"/>
  <c r="ED29" i="12" s="1"/>
  <c r="DZ37" i="12"/>
  <c r="DY52" i="12"/>
  <c r="CA5" i="13"/>
  <c r="BW5" i="13"/>
  <c r="BX5" i="13" s="1"/>
  <c r="BY5" i="13" s="1"/>
  <c r="BX15" i="25" l="1"/>
  <c r="BY15" i="25" s="1"/>
  <c r="BX17" i="25"/>
  <c r="BY17" i="25" s="1"/>
  <c r="BX13" i="25"/>
  <c r="BY13" i="25" s="1"/>
  <c r="CF21" i="25"/>
  <c r="CE17" i="25"/>
  <c r="CF17" i="25" s="1"/>
  <c r="CE15" i="25"/>
  <c r="CF15" i="25" s="1"/>
  <c r="CF12" i="25"/>
  <c r="CF20" i="25"/>
  <c r="CF22" i="25"/>
  <c r="CF18" i="25"/>
  <c r="CF23" i="25"/>
  <c r="CF11" i="25"/>
  <c r="CF10" i="25"/>
  <c r="BY12" i="25"/>
  <c r="EH12" i="13"/>
  <c r="AZ158" i="35"/>
  <c r="EB107" i="14"/>
  <c r="EB108" i="14"/>
  <c r="EQ17" i="13"/>
  <c r="ER17" i="13" s="1"/>
  <c r="ER38" i="12"/>
  <c r="CG8" i="25"/>
  <c r="CN6" i="25"/>
  <c r="EJ12" i="13"/>
  <c r="EK12" i="13" s="1"/>
  <c r="EF70" i="2"/>
  <c r="EE131" i="2"/>
  <c r="EB43" i="13"/>
  <c r="EC43" i="13" s="1"/>
  <c r="ED41" i="13"/>
  <c r="ED21" i="13"/>
  <c r="EE29" i="12"/>
  <c r="BC80" i="35"/>
  <c r="EE31" i="14"/>
  <c r="EK89" i="14"/>
  <c r="EK88" i="14"/>
  <c r="EK101" i="14"/>
  <c r="EQ85" i="14"/>
  <c r="EQ87" i="14"/>
  <c r="EP87" i="14"/>
  <c r="EF102" i="14"/>
  <c r="EF106" i="14"/>
  <c r="EF108" i="14" s="1"/>
  <c r="EL90" i="14"/>
  <c r="EL88" i="14"/>
  <c r="EL89" i="14"/>
  <c r="EL101" i="14"/>
  <c r="EG104" i="14"/>
  <c r="EG106" i="14"/>
  <c r="EG102" i="14"/>
  <c r="EG103" i="14"/>
  <c r="AJ4" i="40"/>
  <c r="AI5" i="40"/>
  <c r="AF12" i="40"/>
  <c r="AF11" i="40"/>
  <c r="AF69" i="40"/>
  <c r="AF68" i="40"/>
  <c r="AF67" i="40"/>
  <c r="AF7" i="40"/>
  <c r="AX160" i="35" s="1"/>
  <c r="AF8" i="40"/>
  <c r="AF38" i="40"/>
  <c r="AF39" i="40"/>
  <c r="AF40" i="40"/>
  <c r="AF15" i="40"/>
  <c r="AF16" i="40"/>
  <c r="AF78" i="40"/>
  <c r="AF79" i="40"/>
  <c r="AF80" i="40"/>
  <c r="AX169" i="35" s="1"/>
  <c r="AF59" i="40"/>
  <c r="AF58" i="40"/>
  <c r="AF43" i="40"/>
  <c r="AF45" i="40"/>
  <c r="AF44" i="40"/>
  <c r="AF20" i="40"/>
  <c r="AF19" i="40"/>
  <c r="AF87" i="40"/>
  <c r="AF85" i="40"/>
  <c r="AF86" i="40"/>
  <c r="AF63" i="40"/>
  <c r="AF62" i="40"/>
  <c r="AF48" i="40"/>
  <c r="AF50" i="40"/>
  <c r="AF49" i="40"/>
  <c r="AF34" i="40"/>
  <c r="AF33" i="40"/>
  <c r="AF35" i="40"/>
  <c r="AF73" i="40"/>
  <c r="AF75" i="40"/>
  <c r="AF74" i="40"/>
  <c r="AF71" i="40"/>
  <c r="AF25" i="40"/>
  <c r="AX166" i="35" s="1"/>
  <c r="AF23" i="40"/>
  <c r="AF24" i="40"/>
  <c r="AF27" i="40"/>
  <c r="AF54" i="40"/>
  <c r="AF55" i="40"/>
  <c r="AF53" i="40"/>
  <c r="EA107" i="14"/>
  <c r="EB109" i="14"/>
  <c r="EA108" i="14"/>
  <c r="EC15" i="12"/>
  <c r="ED15" i="12" s="1"/>
  <c r="EE15" i="12" s="1"/>
  <c r="EF15" i="12" s="1"/>
  <c r="EG15" i="12" s="1"/>
  <c r="EH15" i="12" s="1"/>
  <c r="EI15" i="12" s="1"/>
  <c r="EJ15" i="12" s="1"/>
  <c r="EK15" i="12" s="1"/>
  <c r="EL15" i="12" s="1"/>
  <c r="EM15" i="12" s="1"/>
  <c r="EN15" i="12" s="1"/>
  <c r="EO15" i="12" s="1"/>
  <c r="EP15" i="12" s="1"/>
  <c r="EQ15" i="12" s="1"/>
  <c r="ER15" i="12" s="1"/>
  <c r="CB60" i="13"/>
  <c r="AE3" i="35"/>
  <c r="CR54" i="13"/>
  <c r="CR56" i="13" s="1"/>
  <c r="CC46" i="13"/>
  <c r="CC54" i="13"/>
  <c r="CC56" i="13" s="1"/>
  <c r="CC59" i="13" s="1"/>
  <c r="BX66" i="13"/>
  <c r="CR46" i="13"/>
  <c r="CR26" i="13"/>
  <c r="CS22" i="13"/>
  <c r="CS23" i="13" s="1"/>
  <c r="CQ60" i="13"/>
  <c r="CC26" i="13"/>
  <c r="CC66" i="13"/>
  <c r="CR66" i="13"/>
  <c r="BS26" i="13"/>
  <c r="BX26" i="13"/>
  <c r="CW26" i="13"/>
  <c r="EC9" i="12"/>
  <c r="ED9" i="12" s="1"/>
  <c r="AN4" i="14"/>
  <c r="AN4" i="13"/>
  <c r="AN4" i="12"/>
  <c r="CH26" i="13"/>
  <c r="BN5" i="2"/>
  <c r="CL60" i="13"/>
  <c r="CG60" i="13"/>
  <c r="AO4" i="14"/>
  <c r="AO4" i="13"/>
  <c r="AO4" i="12"/>
  <c r="CI22" i="13"/>
  <c r="CH46" i="13"/>
  <c r="CH56" i="13"/>
  <c r="CH66" i="13"/>
  <c r="DA60" i="13"/>
  <c r="CV60" i="13"/>
  <c r="BJ5" i="2"/>
  <c r="AP4" i="13"/>
  <c r="AP4" i="12"/>
  <c r="AP4" i="14"/>
  <c r="BS46" i="13"/>
  <c r="BT22" i="13"/>
  <c r="AQ4" i="14"/>
  <c r="AQ4" i="12"/>
  <c r="AQ4" i="13"/>
  <c r="CX22" i="13"/>
  <c r="CW56" i="13"/>
  <c r="CW66" i="13"/>
  <c r="DB66" i="13"/>
  <c r="CW46" i="13"/>
  <c r="BX46" i="13"/>
  <c r="BY22" i="13"/>
  <c r="BX56" i="13"/>
  <c r="CM56" i="13"/>
  <c r="CN22" i="13"/>
  <c r="CM46" i="13"/>
  <c r="CM66" i="13"/>
  <c r="CD24" i="13"/>
  <c r="CD54" i="13" s="1"/>
  <c r="CD23" i="13"/>
  <c r="CE22" i="13"/>
  <c r="CE23" i="13" s="1"/>
  <c r="BV5" i="2"/>
  <c r="BR5" i="2"/>
  <c r="BA5" i="2"/>
  <c r="AV4" i="2"/>
  <c r="AU4" i="2"/>
  <c r="AT4" i="2"/>
  <c r="AS4" i="2"/>
  <c r="AR4" i="2"/>
  <c r="CM26" i="13"/>
  <c r="AM4" i="14"/>
  <c r="AM4" i="13"/>
  <c r="AM4" i="12"/>
  <c r="DJ22" i="14"/>
  <c r="BW5" i="14"/>
  <c r="BX5" i="14" s="1"/>
  <c r="BY5" i="14" s="1"/>
  <c r="CA5" i="14"/>
  <c r="BA80" i="35"/>
  <c r="DZ32" i="14"/>
  <c r="DY30" i="14"/>
  <c r="BS5" i="14"/>
  <c r="DK19" i="14"/>
  <c r="DK66" i="14"/>
  <c r="DK23" i="14"/>
  <c r="DK20" i="14"/>
  <c r="DK17" i="14"/>
  <c r="DL16" i="14"/>
  <c r="DL21" i="14" s="1"/>
  <c r="DK21" i="14"/>
  <c r="DJ24" i="14"/>
  <c r="CA5" i="12"/>
  <c r="BW5" i="12"/>
  <c r="BX5" i="12" s="1"/>
  <c r="BY5" i="12" s="1"/>
  <c r="EC131" i="2"/>
  <c r="K7" i="1"/>
  <c r="EA38" i="2"/>
  <c r="EC41" i="13"/>
  <c r="BT5" i="13"/>
  <c r="CF5" i="13"/>
  <c r="CB5" i="13"/>
  <c r="CC5" i="13" s="1"/>
  <c r="CD5" i="13" s="1"/>
  <c r="DZ52" i="12"/>
  <c r="EA37" i="12"/>
  <c r="CF16" i="25" l="1"/>
  <c r="CF14" i="25"/>
  <c r="CE13" i="25"/>
  <c r="CF13" i="25" s="1"/>
  <c r="K8" i="1"/>
  <c r="G30" i="21" s="1"/>
  <c r="H13" i="21" s="1"/>
  <c r="G29" i="21"/>
  <c r="H27" i="26"/>
  <c r="CM21" i="25"/>
  <c r="CM12" i="25"/>
  <c r="CM22" i="25"/>
  <c r="CM10" i="25"/>
  <c r="CM18" i="25"/>
  <c r="CM11" i="25"/>
  <c r="CM23" i="25"/>
  <c r="CM20" i="25"/>
  <c r="CL17" i="25"/>
  <c r="CM17" i="25" s="1"/>
  <c r="CE19" i="25"/>
  <c r="CF19" i="25" s="1"/>
  <c r="BA158" i="35"/>
  <c r="EL12" i="13"/>
  <c r="EN12" i="13" s="1"/>
  <c r="EO12" i="13" s="1"/>
  <c r="CN8" i="25"/>
  <c r="CU6" i="25"/>
  <c r="CM14" i="25"/>
  <c r="CL15" i="25"/>
  <c r="CM15" i="25" s="1"/>
  <c r="EG70" i="2"/>
  <c r="EH70" i="2" s="1"/>
  <c r="EF131" i="2"/>
  <c r="ED43" i="13"/>
  <c r="EE41" i="13"/>
  <c r="EE21" i="13"/>
  <c r="EF29" i="12"/>
  <c r="BD80" i="35"/>
  <c r="EF31" i="14"/>
  <c r="EF107" i="14"/>
  <c r="EG109" i="14"/>
  <c r="EG107" i="14"/>
  <c r="EG108" i="14"/>
  <c r="EP89" i="14"/>
  <c r="EP88" i="14"/>
  <c r="EP101" i="14"/>
  <c r="EQ90" i="14"/>
  <c r="EQ88" i="14"/>
  <c r="EQ89" i="14"/>
  <c r="EQ101" i="14"/>
  <c r="EL106" i="14"/>
  <c r="EL104" i="14"/>
  <c r="EL103" i="14"/>
  <c r="EL102" i="14"/>
  <c r="EK103" i="14"/>
  <c r="EK102" i="14"/>
  <c r="EK106" i="14"/>
  <c r="EE9" i="12"/>
  <c r="AG19" i="40"/>
  <c r="AG20" i="40"/>
  <c r="AG80" i="40"/>
  <c r="AY169" i="35" s="1"/>
  <c r="AG79" i="40"/>
  <c r="AG78" i="40"/>
  <c r="AF28" i="40"/>
  <c r="AF29" i="40"/>
  <c r="AG43" i="40"/>
  <c r="AG45" i="40"/>
  <c r="AG44" i="40"/>
  <c r="AG33" i="40"/>
  <c r="AG34" i="40"/>
  <c r="AG35" i="40"/>
  <c r="AG16" i="40"/>
  <c r="AG15" i="40"/>
  <c r="AK4" i="40"/>
  <c r="AJ5" i="40"/>
  <c r="AG11" i="40"/>
  <c r="AY163" i="35" s="1"/>
  <c r="AG12" i="40"/>
  <c r="AG59" i="40"/>
  <c r="AG58" i="40"/>
  <c r="AG68" i="40"/>
  <c r="AG67" i="40"/>
  <c r="AG69" i="40"/>
  <c r="AG49" i="40"/>
  <c r="AG48" i="40"/>
  <c r="AG50" i="40"/>
  <c r="AG53" i="40"/>
  <c r="AG55" i="40"/>
  <c r="AG54" i="40"/>
  <c r="AG63" i="40"/>
  <c r="AG62" i="40"/>
  <c r="AG23" i="40"/>
  <c r="AG25" i="40"/>
  <c r="AY166" i="35" s="1"/>
  <c r="AG24" i="40"/>
  <c r="AG27" i="40"/>
  <c r="AG86" i="40"/>
  <c r="AG87" i="40"/>
  <c r="AG85" i="40"/>
  <c r="AG38" i="40"/>
  <c r="AG40" i="40"/>
  <c r="AG39" i="40"/>
  <c r="AG8" i="40"/>
  <c r="AG7" i="40"/>
  <c r="AY160" i="35" s="1"/>
  <c r="AG74" i="40"/>
  <c r="AG75" i="40"/>
  <c r="AG71" i="40"/>
  <c r="AG73" i="40"/>
  <c r="AF3" i="35"/>
  <c r="CR57" i="13"/>
  <c r="X168" i="35" s="1"/>
  <c r="CR59" i="13"/>
  <c r="CR61" i="13"/>
  <c r="CR58" i="13"/>
  <c r="CS24" i="13"/>
  <c r="CT22" i="13"/>
  <c r="CT23" i="13" s="1"/>
  <c r="CC58" i="13"/>
  <c r="CC61" i="13"/>
  <c r="CC57" i="13"/>
  <c r="DI151" i="2"/>
  <c r="BY23" i="13"/>
  <c r="BY24" i="13"/>
  <c r="BY54" i="13" s="1"/>
  <c r="BZ22" i="13"/>
  <c r="BZ23" i="13" s="1"/>
  <c r="CW61" i="13"/>
  <c r="CW59" i="13"/>
  <c r="CW58" i="13"/>
  <c r="DB58" i="13"/>
  <c r="CW57" i="13"/>
  <c r="AB168" i="35" s="1"/>
  <c r="AR4" i="14"/>
  <c r="AR4" i="12"/>
  <c r="AR4" i="13"/>
  <c r="BS5" i="2"/>
  <c r="CX23" i="13"/>
  <c r="CX24" i="13"/>
  <c r="CX54" i="13" s="1"/>
  <c r="CY22" i="13"/>
  <c r="CY23" i="13" s="1"/>
  <c r="AS4" i="14"/>
  <c r="AS4" i="13"/>
  <c r="AS4" i="12"/>
  <c r="BW5" i="2"/>
  <c r="CA5" i="2"/>
  <c r="CH58" i="13"/>
  <c r="CH59" i="13"/>
  <c r="CH61" i="13"/>
  <c r="CH57" i="13"/>
  <c r="AT4" i="13"/>
  <c r="AT4" i="14"/>
  <c r="AT4" i="12"/>
  <c r="AU4" i="14"/>
  <c r="AU4" i="13"/>
  <c r="AU4" i="12"/>
  <c r="CI23" i="13"/>
  <c r="CI24" i="13"/>
  <c r="CI54" i="13" s="1"/>
  <c r="CJ22" i="13"/>
  <c r="CJ23" i="13" s="1"/>
  <c r="AV4" i="14"/>
  <c r="AV4" i="13"/>
  <c r="AV4" i="12"/>
  <c r="CD26" i="13"/>
  <c r="BT24" i="13"/>
  <c r="BT54" i="13" s="1"/>
  <c r="BT23" i="13"/>
  <c r="BU22" i="13"/>
  <c r="BU23" i="13" s="1"/>
  <c r="AY4" i="2"/>
  <c r="AX4" i="2"/>
  <c r="AW4" i="2"/>
  <c r="BF5" i="2"/>
  <c r="BA4" i="2"/>
  <c r="AZ4" i="2"/>
  <c r="CD46" i="13"/>
  <c r="CE46" i="13" s="1"/>
  <c r="CD56" i="13"/>
  <c r="CE24" i="13"/>
  <c r="CN23" i="13"/>
  <c r="CN24" i="13"/>
  <c r="CO22" i="13"/>
  <c r="CO23" i="13" s="1"/>
  <c r="BS48" i="13"/>
  <c r="CM57" i="13"/>
  <c r="CM59" i="13"/>
  <c r="CM61" i="13"/>
  <c r="CM58" i="13"/>
  <c r="BX61" i="13"/>
  <c r="BX59" i="13"/>
  <c r="CC60" i="13" s="1"/>
  <c r="BX57" i="13"/>
  <c r="BO5" i="2"/>
  <c r="DK24" i="14"/>
  <c r="BT5" i="14"/>
  <c r="EA32" i="14"/>
  <c r="DZ30" i="14"/>
  <c r="DK22" i="14"/>
  <c r="DL66" i="14"/>
  <c r="DM16" i="14"/>
  <c r="DL23" i="14"/>
  <c r="DL19" i="14"/>
  <c r="DL17" i="14"/>
  <c r="DL20" i="14"/>
  <c r="CF5" i="14"/>
  <c r="CB5" i="14"/>
  <c r="CB5" i="12"/>
  <c r="CC5" i="12" s="1"/>
  <c r="CD5" i="12" s="1"/>
  <c r="CF5" i="12"/>
  <c r="EB38" i="2"/>
  <c r="ED38" i="2" s="1"/>
  <c r="EB37" i="12"/>
  <c r="EA52" i="12"/>
  <c r="CK5" i="13"/>
  <c r="CG5" i="13"/>
  <c r="CL19" i="25" l="1"/>
  <c r="CM19" i="25" s="1"/>
  <c r="CM16" i="25"/>
  <c r="EM12" i="13"/>
  <c r="F27" i="26"/>
  <c r="J27" i="26"/>
  <c r="G27" i="26"/>
  <c r="I27" i="26"/>
  <c r="CL13" i="25"/>
  <c r="CM13" i="25" s="1"/>
  <c r="CT22" i="25"/>
  <c r="CT20" i="25"/>
  <c r="CT18" i="25"/>
  <c r="CT23" i="25"/>
  <c r="CT14" i="25"/>
  <c r="CT21" i="25"/>
  <c r="CT16" i="25"/>
  <c r="CT11" i="25"/>
  <c r="CT10" i="25"/>
  <c r="CT12" i="25"/>
  <c r="DB6" i="25"/>
  <c r="CU8" i="25"/>
  <c r="CU5" i="25" s="1"/>
  <c r="L7" i="1"/>
  <c r="L8" i="1" s="1"/>
  <c r="EH131" i="2"/>
  <c r="EG131" i="2"/>
  <c r="EI70" i="2"/>
  <c r="EF41" i="13"/>
  <c r="EE43" i="13"/>
  <c r="EF21" i="13"/>
  <c r="EG29" i="12"/>
  <c r="EP12" i="13"/>
  <c r="EQ12" i="13" s="1"/>
  <c r="BE80" i="35"/>
  <c r="EG31" i="14"/>
  <c r="EQ102" i="14"/>
  <c r="EQ106" i="14"/>
  <c r="EQ104" i="14"/>
  <c r="EQ103" i="14"/>
  <c r="EK108" i="14"/>
  <c r="EK107" i="14"/>
  <c r="EP103" i="14"/>
  <c r="EP102" i="14"/>
  <c r="EP106" i="14"/>
  <c r="EL109" i="14"/>
  <c r="EL108" i="14"/>
  <c r="EL107" i="14"/>
  <c r="EF9" i="12"/>
  <c r="EE38" i="2"/>
  <c r="AL4" i="40"/>
  <c r="AK5" i="40"/>
  <c r="AH58" i="40"/>
  <c r="AH59" i="40"/>
  <c r="AH86" i="40"/>
  <c r="AH85" i="40"/>
  <c r="AH87" i="40"/>
  <c r="AH48" i="40"/>
  <c r="AH49" i="40"/>
  <c r="AH50" i="40"/>
  <c r="AH45" i="40"/>
  <c r="AH43" i="40"/>
  <c r="AH44" i="40"/>
  <c r="AH63" i="40"/>
  <c r="AH62" i="40"/>
  <c r="AH40" i="40"/>
  <c r="AH39" i="40"/>
  <c r="AH38" i="40"/>
  <c r="AH35" i="40"/>
  <c r="AH34" i="40"/>
  <c r="AH33" i="40"/>
  <c r="AH68" i="40"/>
  <c r="AH67" i="40"/>
  <c r="AH69" i="40"/>
  <c r="AH23" i="40"/>
  <c r="AH24" i="40"/>
  <c r="AH27" i="40"/>
  <c r="AH25" i="40"/>
  <c r="AZ166" i="35" s="1"/>
  <c r="AG29" i="40"/>
  <c r="AG28" i="40"/>
  <c r="AH75" i="40"/>
  <c r="AH71" i="40"/>
  <c r="AH73" i="40"/>
  <c r="AH74" i="40"/>
  <c r="AH7" i="40"/>
  <c r="AZ160" i="35" s="1"/>
  <c r="AH8" i="40"/>
  <c r="AH20" i="40"/>
  <c r="AH19" i="40"/>
  <c r="AH54" i="40"/>
  <c r="AH53" i="40"/>
  <c r="AH55" i="40"/>
  <c r="AH78" i="40"/>
  <c r="AH79" i="40"/>
  <c r="AH80" i="40"/>
  <c r="AZ169" i="35" s="1"/>
  <c r="AH15" i="40"/>
  <c r="AH16" i="40"/>
  <c r="AH11" i="40"/>
  <c r="AZ163" i="35" s="1"/>
  <c r="AH12" i="40"/>
  <c r="CC5" i="14"/>
  <c r="AG3" i="35"/>
  <c r="CR60" i="13"/>
  <c r="CS54" i="13"/>
  <c r="CS56" i="13" s="1"/>
  <c r="CS46" i="13"/>
  <c r="CT46" i="13" s="1"/>
  <c r="CS26" i="13"/>
  <c r="CT24" i="13"/>
  <c r="CS66" i="13"/>
  <c r="CN54" i="13"/>
  <c r="CN56" i="13" s="1"/>
  <c r="CE26" i="13"/>
  <c r="CE54" i="13"/>
  <c r="CE56" i="13" s="1"/>
  <c r="CD66" i="13"/>
  <c r="BY66" i="13"/>
  <c r="BT26" i="13"/>
  <c r="DL151" i="2"/>
  <c r="DM151" i="2" s="1"/>
  <c r="CN26" i="13"/>
  <c r="CF5" i="2"/>
  <c r="CB5" i="2"/>
  <c r="CD59" i="13"/>
  <c r="CD61" i="13"/>
  <c r="CD57" i="13"/>
  <c r="BX5" i="2"/>
  <c r="BT5" i="2"/>
  <c r="DB60" i="13"/>
  <c r="CW60" i="13"/>
  <c r="CI66" i="13"/>
  <c r="CI56" i="13"/>
  <c r="CI46" i="13"/>
  <c r="CJ46" i="13" s="1"/>
  <c r="CJ24" i="13"/>
  <c r="CJ54" i="13" s="1"/>
  <c r="BT47" i="13"/>
  <c r="BS50" i="13"/>
  <c r="BS52" i="13" s="1"/>
  <c r="BS8" i="12" s="1"/>
  <c r="BA4" i="14"/>
  <c r="BA4" i="13"/>
  <c r="BA4" i="12"/>
  <c r="CI26" i="13"/>
  <c r="AZ4" i="14"/>
  <c r="AZ4" i="13"/>
  <c r="AZ4" i="12"/>
  <c r="BF4" i="2"/>
  <c r="BE4" i="2"/>
  <c r="BD4" i="2"/>
  <c r="BC4" i="2"/>
  <c r="BB4" i="2"/>
  <c r="BK5" i="2"/>
  <c r="CM60" i="13"/>
  <c r="CH60" i="13"/>
  <c r="AW4" i="14"/>
  <c r="AW4" i="13"/>
  <c r="AW4" i="12"/>
  <c r="BY56" i="13"/>
  <c r="CD58" i="13" s="1"/>
  <c r="BY46" i="13"/>
  <c r="BZ46" i="13" s="1"/>
  <c r="BZ24" i="13"/>
  <c r="BZ54" i="13" s="1"/>
  <c r="AX4" i="13"/>
  <c r="AX4" i="14"/>
  <c r="AX4" i="12"/>
  <c r="CX56" i="13"/>
  <c r="CX66" i="13"/>
  <c r="DC66" i="13"/>
  <c r="CX46" i="13"/>
  <c r="CY46" i="13" s="1"/>
  <c r="CY24" i="13"/>
  <c r="BY26" i="13"/>
  <c r="AY4" i="14"/>
  <c r="AY4" i="13"/>
  <c r="AY4" i="12"/>
  <c r="CX26" i="13"/>
  <c r="CN46" i="13"/>
  <c r="CO46" i="13" s="1"/>
  <c r="CN66" i="13"/>
  <c r="CO24" i="13"/>
  <c r="BT46" i="13"/>
  <c r="BU24" i="13"/>
  <c r="DM20" i="14"/>
  <c r="DM19" i="14"/>
  <c r="DM17" i="14"/>
  <c r="DN17" i="14" s="1"/>
  <c r="DM23" i="14"/>
  <c r="DM24" i="14" s="1"/>
  <c r="DM66" i="14"/>
  <c r="DN16" i="14"/>
  <c r="DO16" i="14" s="1"/>
  <c r="DM21" i="14"/>
  <c r="DN21" i="14" s="1"/>
  <c r="CK5" i="14"/>
  <c r="CG5" i="14"/>
  <c r="EB32" i="14"/>
  <c r="EA30" i="14"/>
  <c r="DL22" i="14"/>
  <c r="DL24" i="14"/>
  <c r="CG5" i="12"/>
  <c r="CH5" i="12" s="1"/>
  <c r="CI5" i="12" s="1"/>
  <c r="CK5" i="12"/>
  <c r="CL5" i="13"/>
  <c r="CM5" i="13" s="1"/>
  <c r="CN5" i="13" s="1"/>
  <c r="CP5" i="13"/>
  <c r="CH5" i="13"/>
  <c r="EB52" i="12"/>
  <c r="EC37" i="12"/>
  <c r="CS13" i="25" l="1"/>
  <c r="CT13" i="25" s="1"/>
  <c r="ER12" i="13"/>
  <c r="CS19" i="25"/>
  <c r="CT19" i="25" s="1"/>
  <c r="CS17" i="25"/>
  <c r="CT17" i="25" s="1"/>
  <c r="DA10" i="25"/>
  <c r="DA23" i="25"/>
  <c r="DA20" i="25"/>
  <c r="DA16" i="25"/>
  <c r="DA11" i="25"/>
  <c r="DA12" i="25"/>
  <c r="DA14" i="25"/>
  <c r="DA21" i="25"/>
  <c r="DA22" i="25"/>
  <c r="CS15" i="25"/>
  <c r="CT15" i="25" s="1"/>
  <c r="DB8" i="25"/>
  <c r="DI6" i="25"/>
  <c r="DA18" i="25"/>
  <c r="CZ19" i="25"/>
  <c r="DA19" i="25" s="1"/>
  <c r="EI131" i="2"/>
  <c r="EJ70" i="2"/>
  <c r="EF43" i="13"/>
  <c r="EG41" i="13"/>
  <c r="EH41" i="13" s="1"/>
  <c r="EG21" i="13"/>
  <c r="EH21" i="13" s="1"/>
  <c r="EH29" i="12"/>
  <c r="EI29" i="12" s="1"/>
  <c r="EC52" i="12"/>
  <c r="ED37" i="12"/>
  <c r="BF80" i="35"/>
  <c r="EI31" i="14"/>
  <c r="EB30" i="14"/>
  <c r="ED32" i="14"/>
  <c r="EQ108" i="14"/>
  <c r="EQ107" i="14"/>
  <c r="EQ109" i="14"/>
  <c r="EP108" i="14"/>
  <c r="EP107" i="14"/>
  <c r="EG9" i="12"/>
  <c r="EF38" i="2"/>
  <c r="AI33" i="40"/>
  <c r="AI34" i="40"/>
  <c r="AI35" i="40"/>
  <c r="AI23" i="40"/>
  <c r="AI24" i="40"/>
  <c r="AI27" i="40"/>
  <c r="AI25" i="40"/>
  <c r="BA166" i="35" s="1"/>
  <c r="AI20" i="40"/>
  <c r="AI19" i="40"/>
  <c r="AI39" i="40"/>
  <c r="AI40" i="40"/>
  <c r="AI38" i="40"/>
  <c r="AI43" i="40"/>
  <c r="AI44" i="40"/>
  <c r="AI45" i="40"/>
  <c r="AI16" i="40"/>
  <c r="AI15" i="40"/>
  <c r="AI86" i="40"/>
  <c r="AI85" i="40"/>
  <c r="AI87" i="40"/>
  <c r="AM4" i="40"/>
  <c r="AL5" i="40"/>
  <c r="AI63" i="40"/>
  <c r="AI62" i="40"/>
  <c r="AH28" i="40"/>
  <c r="AH29" i="40"/>
  <c r="AI69" i="40"/>
  <c r="AI68" i="40"/>
  <c r="AI67" i="40"/>
  <c r="AI78" i="40"/>
  <c r="AI79" i="40"/>
  <c r="AI80" i="40"/>
  <c r="BA169" i="35" s="1"/>
  <c r="AI7" i="40"/>
  <c r="BA160" i="35" s="1"/>
  <c r="AI8" i="40"/>
  <c r="AI59" i="40"/>
  <c r="AI58" i="40"/>
  <c r="AI11" i="40"/>
  <c r="BA163" i="35" s="1"/>
  <c r="AI12" i="40"/>
  <c r="AI53" i="40"/>
  <c r="AI55" i="40"/>
  <c r="AI54" i="40"/>
  <c r="AI73" i="40"/>
  <c r="AI74" i="40"/>
  <c r="AI75" i="40"/>
  <c r="AI71" i="40"/>
  <c r="AI48" i="40"/>
  <c r="AI49" i="40"/>
  <c r="AI50" i="40"/>
  <c r="CD5" i="14"/>
  <c r="AH3" i="35"/>
  <c r="CS61" i="13"/>
  <c r="CS57" i="13"/>
  <c r="Y168" i="35" s="1"/>
  <c r="CS59" i="13"/>
  <c r="CT26" i="13"/>
  <c r="CT54" i="13"/>
  <c r="CT56" i="13" s="1"/>
  <c r="DO21" i="14"/>
  <c r="DO20" i="14"/>
  <c r="DO66" i="14"/>
  <c r="DO23" i="14"/>
  <c r="DP16" i="14"/>
  <c r="DQ16" i="14" s="1"/>
  <c r="DR16" i="14" s="1"/>
  <c r="DO17" i="14"/>
  <c r="DO19" i="14"/>
  <c r="CY26" i="13"/>
  <c r="CY54" i="13"/>
  <c r="CY56" i="13" s="1"/>
  <c r="CT66" i="13"/>
  <c r="CO54" i="13"/>
  <c r="CO56" i="13" s="1"/>
  <c r="BU26" i="13"/>
  <c r="BU54" i="13"/>
  <c r="BZ66" i="13"/>
  <c r="DN151" i="2"/>
  <c r="DO151" i="2" s="1"/>
  <c r="DP151" i="2" s="1"/>
  <c r="CO26" i="13"/>
  <c r="BC4" i="14"/>
  <c r="BC4" i="12"/>
  <c r="BC4" i="13"/>
  <c r="CN59" i="13"/>
  <c r="CN61" i="13"/>
  <c r="CN57" i="13"/>
  <c r="CN58" i="13"/>
  <c r="BD4" i="14"/>
  <c r="BD4" i="13"/>
  <c r="BD4" i="12"/>
  <c r="CS58" i="13"/>
  <c r="BZ56" i="13"/>
  <c r="CE58" i="13" s="1"/>
  <c r="BE4" i="14"/>
  <c r="BE4" i="13"/>
  <c r="BE4" i="12"/>
  <c r="CO66" i="13"/>
  <c r="BZ26" i="13"/>
  <c r="BY5" i="2"/>
  <c r="CE66" i="13"/>
  <c r="BT48" i="13"/>
  <c r="BU46" i="13"/>
  <c r="BU48" i="13" s="1"/>
  <c r="BZ47" i="13" s="1"/>
  <c r="DD66" i="13"/>
  <c r="CY66" i="13"/>
  <c r="BF4" i="13"/>
  <c r="BF4" i="14"/>
  <c r="BF4" i="12"/>
  <c r="CE57" i="13"/>
  <c r="CE59" i="13"/>
  <c r="CE61" i="13"/>
  <c r="CJ66" i="13"/>
  <c r="CJ56" i="13"/>
  <c r="CJ26" i="13"/>
  <c r="BB4" i="13"/>
  <c r="BB4" i="14"/>
  <c r="BB4" i="12"/>
  <c r="BS51" i="12"/>
  <c r="BS53" i="12" s="1"/>
  <c r="BS7" i="12"/>
  <c r="BS14" i="12"/>
  <c r="BS25" i="12" s="1"/>
  <c r="CI58" i="13"/>
  <c r="CI61" i="13"/>
  <c r="CI59" i="13"/>
  <c r="CI57" i="13"/>
  <c r="CC5" i="2"/>
  <c r="BG4" i="2"/>
  <c r="BP5" i="2"/>
  <c r="BK4" i="2"/>
  <c r="BJ4" i="2"/>
  <c r="BI4" i="2"/>
  <c r="BH4" i="2"/>
  <c r="CX58" i="13"/>
  <c r="CX61" i="13"/>
  <c r="DC58" i="13"/>
  <c r="CX59" i="13"/>
  <c r="CX57" i="13"/>
  <c r="AC168" i="35" s="1"/>
  <c r="BY57" i="13"/>
  <c r="BY59" i="13"/>
  <c r="CD60" i="13" s="1"/>
  <c r="BY61" i="13"/>
  <c r="CG5" i="2"/>
  <c r="CK5" i="2"/>
  <c r="O14" i="26"/>
  <c r="DN22" i="14"/>
  <c r="DN23" i="14"/>
  <c r="CH5" i="14"/>
  <c r="CP5" i="14"/>
  <c r="CL5" i="14"/>
  <c r="CM5" i="14" s="1"/>
  <c r="CN5" i="14" s="1"/>
  <c r="DM22" i="14"/>
  <c r="DB229" i="35"/>
  <c r="DB230" i="35" s="1"/>
  <c r="DN19" i="14"/>
  <c r="O13" i="26"/>
  <c r="DN20" i="14"/>
  <c r="DN66" i="14"/>
  <c r="CP5" i="12"/>
  <c r="CL5" i="12"/>
  <c r="CM5" i="12" s="1"/>
  <c r="CN5" i="12" s="1"/>
  <c r="CU5" i="13"/>
  <c r="CQ5" i="13"/>
  <c r="CR5" i="13" s="1"/>
  <c r="CS5" i="13" s="1"/>
  <c r="CI5" i="13"/>
  <c r="DB178" i="35" a="1"/>
  <c r="DH10" i="25" l="1"/>
  <c r="DH22" i="25"/>
  <c r="DG17" i="25"/>
  <c r="DH17" i="25" s="1"/>
  <c r="DH23" i="25"/>
  <c r="DH21" i="25"/>
  <c r="DH20" i="25"/>
  <c r="DH11" i="25"/>
  <c r="DI8" i="25"/>
  <c r="DP6" i="25"/>
  <c r="DH12" i="25"/>
  <c r="DG13" i="25"/>
  <c r="DH13" i="25" s="1"/>
  <c r="DH14" i="25"/>
  <c r="DG15" i="25"/>
  <c r="DH15" i="25" s="1"/>
  <c r="DH18" i="25"/>
  <c r="DG19" i="25"/>
  <c r="DH19" i="25" s="1"/>
  <c r="EJ131" i="2"/>
  <c r="EK70" i="2"/>
  <c r="EI41" i="13"/>
  <c r="EG43" i="13"/>
  <c r="EH43" i="13" s="1"/>
  <c r="EI21" i="13"/>
  <c r="EJ29" i="12"/>
  <c r="EE37" i="12"/>
  <c r="ED52" i="12"/>
  <c r="AN4" i="40"/>
  <c r="EJ31" i="14"/>
  <c r="BH80" i="35"/>
  <c r="EE32" i="14"/>
  <c r="ED30" i="14"/>
  <c r="EH9" i="12"/>
  <c r="EG38" i="2"/>
  <c r="AJ16" i="40"/>
  <c r="AJ15" i="40"/>
  <c r="AJ62" i="40"/>
  <c r="AJ63" i="40"/>
  <c r="AI28" i="40"/>
  <c r="AI29" i="40"/>
  <c r="AJ49" i="40"/>
  <c r="AJ48" i="40"/>
  <c r="AJ50" i="40"/>
  <c r="AJ33" i="40"/>
  <c r="AJ34" i="40"/>
  <c r="AJ35" i="40"/>
  <c r="AJ54" i="40"/>
  <c r="AJ53" i="40"/>
  <c r="AJ55" i="40"/>
  <c r="AM5" i="40"/>
  <c r="AJ85" i="40"/>
  <c r="AJ87" i="40"/>
  <c r="AJ86" i="40"/>
  <c r="AJ11" i="40"/>
  <c r="BB163" i="35" s="1"/>
  <c r="AJ12" i="40"/>
  <c r="AJ8" i="40"/>
  <c r="AJ7" i="40"/>
  <c r="BB160" i="35" s="1"/>
  <c r="AJ59" i="40"/>
  <c r="AJ58" i="40"/>
  <c r="AJ74" i="40"/>
  <c r="AJ71" i="40"/>
  <c r="AJ73" i="40"/>
  <c r="AJ75" i="40"/>
  <c r="AJ79" i="40"/>
  <c r="AJ78" i="40"/>
  <c r="AJ80" i="40"/>
  <c r="BB169" i="35" s="1"/>
  <c r="AJ68" i="40"/>
  <c r="AJ67" i="40"/>
  <c r="AJ69" i="40"/>
  <c r="AJ19" i="40"/>
  <c r="AJ20" i="40"/>
  <c r="AJ43" i="40"/>
  <c r="AJ45" i="40"/>
  <c r="AJ44" i="40"/>
  <c r="AJ25" i="40"/>
  <c r="AJ24" i="40"/>
  <c r="AJ23" i="40"/>
  <c r="AJ27" i="40"/>
  <c r="AJ38" i="40"/>
  <c r="AJ39" i="40"/>
  <c r="AJ40" i="40"/>
  <c r="DQ151" i="2"/>
  <c r="DR151" i="2" s="1"/>
  <c r="DR19" i="14"/>
  <c r="DR23" i="14"/>
  <c r="DS16" i="14"/>
  <c r="DT16" i="14" s="1"/>
  <c r="DU16" i="14" s="1"/>
  <c r="DR17" i="14"/>
  <c r="DR20" i="14"/>
  <c r="DR21" i="14"/>
  <c r="DR66" i="14"/>
  <c r="DQ20" i="14"/>
  <c r="DQ23" i="14"/>
  <c r="DQ17" i="14"/>
  <c r="DQ21" i="14"/>
  <c r="DQ66" i="14"/>
  <c r="DQ19" i="14"/>
  <c r="DB178" i="35"/>
  <c r="DB179" i="35" s="1"/>
  <c r="AI3" i="35"/>
  <c r="CS60" i="13"/>
  <c r="CT57" i="13"/>
  <c r="CT59" i="13"/>
  <c r="D23" i="1" s="1"/>
  <c r="CT61" i="13"/>
  <c r="CY58" i="13"/>
  <c r="CT58" i="13"/>
  <c r="DO22" i="14"/>
  <c r="DO24" i="14"/>
  <c r="DP66" i="14"/>
  <c r="DP19" i="14"/>
  <c r="DP21" i="14"/>
  <c r="DP17" i="14"/>
  <c r="DP20" i="14"/>
  <c r="DP23" i="14"/>
  <c r="CH5" i="2"/>
  <c r="CJ61" i="13"/>
  <c r="CJ57" i="13"/>
  <c r="CJ59" i="13"/>
  <c r="CJ60" i="13" s="1"/>
  <c r="CJ58" i="13"/>
  <c r="BH4" i="14"/>
  <c r="BH4" i="12"/>
  <c r="BH4" i="13"/>
  <c r="BI4" i="14"/>
  <c r="BI4" i="13"/>
  <c r="BI4" i="12"/>
  <c r="BZ57" i="13"/>
  <c r="BZ61" i="13"/>
  <c r="BZ59" i="13"/>
  <c r="CE60" i="13" s="1"/>
  <c r="BK4" i="14"/>
  <c r="BK4" i="13"/>
  <c r="BK4" i="12"/>
  <c r="BJ4" i="13"/>
  <c r="BJ4" i="14"/>
  <c r="BJ4" i="12"/>
  <c r="BO4" i="2"/>
  <c r="BN4" i="2"/>
  <c r="BM4" i="2"/>
  <c r="BL4" i="2"/>
  <c r="BU5" i="2"/>
  <c r="BP4" i="2"/>
  <c r="CN60" i="13"/>
  <c r="CI60" i="13"/>
  <c r="CO59" i="13"/>
  <c r="CO61" i="13"/>
  <c r="CO57" i="13"/>
  <c r="CO58" i="13"/>
  <c r="CL5" i="2"/>
  <c r="CP5" i="2"/>
  <c r="BG4" i="14"/>
  <c r="BG4" i="12"/>
  <c r="BG4" i="13"/>
  <c r="BV47" i="13"/>
  <c r="BV48" i="13" s="1"/>
  <c r="BT50" i="13"/>
  <c r="CX60" i="13"/>
  <c r="DC60" i="13"/>
  <c r="CD5" i="2"/>
  <c r="CY61" i="13"/>
  <c r="DD58" i="13"/>
  <c r="CY59" i="13"/>
  <c r="CY57" i="13"/>
  <c r="E28" i="1" s="1"/>
  <c r="CI5" i="14"/>
  <c r="CQ5" i="14"/>
  <c r="CR5" i="14" s="1"/>
  <c r="CU5" i="14"/>
  <c r="CQ5" i="12"/>
  <c r="CR5" i="12" s="1"/>
  <c r="CS5" i="12" s="1"/>
  <c r="CU5" i="12"/>
  <c r="CV5" i="13"/>
  <c r="CZ5" i="13"/>
  <c r="DU23" i="14" l="1"/>
  <c r="DU24" i="14" s="1"/>
  <c r="DU66" i="14"/>
  <c r="DU17" i="14"/>
  <c r="DU19" i="14"/>
  <c r="DU20" i="14"/>
  <c r="AK80" i="40"/>
  <c r="BC169" i="35" s="1"/>
  <c r="DO21" i="25"/>
  <c r="AL49" i="40"/>
  <c r="DO10" i="25"/>
  <c r="DO23" i="25"/>
  <c r="AL35" i="40"/>
  <c r="DO20" i="25"/>
  <c r="AL62" i="40"/>
  <c r="AL16" i="40"/>
  <c r="AL73" i="40"/>
  <c r="DO11" i="25"/>
  <c r="DO16" i="25"/>
  <c r="DN15" i="25"/>
  <c r="DO15" i="25" s="1"/>
  <c r="AL87" i="40"/>
  <c r="AL54" i="40"/>
  <c r="AL20" i="40"/>
  <c r="AL78" i="40"/>
  <c r="AL45" i="40"/>
  <c r="AL24" i="40"/>
  <c r="DO22" i="25"/>
  <c r="DH16" i="25"/>
  <c r="AK79" i="40"/>
  <c r="AK78" i="40"/>
  <c r="BB166" i="35"/>
  <c r="BC166" i="35"/>
  <c r="DT19" i="14"/>
  <c r="DT66" i="14"/>
  <c r="DT17" i="14"/>
  <c r="DT23" i="14"/>
  <c r="DT21" i="14"/>
  <c r="DT20" i="14"/>
  <c r="DP8" i="25"/>
  <c r="DW6" i="25"/>
  <c r="DO12" i="25"/>
  <c r="DN13" i="25"/>
  <c r="DO13" i="25" s="1"/>
  <c r="DO18" i="25"/>
  <c r="DN19" i="25"/>
  <c r="DO19" i="25" s="1"/>
  <c r="EK131" i="2"/>
  <c r="EL70" i="2"/>
  <c r="EM70" i="2" s="1"/>
  <c r="EJ41" i="13"/>
  <c r="EI43" i="13"/>
  <c r="EJ21" i="13"/>
  <c r="EK29" i="12"/>
  <c r="EE52" i="12"/>
  <c r="EF37" i="12"/>
  <c r="AN5" i="40"/>
  <c r="AO4" i="40"/>
  <c r="EF32" i="14"/>
  <c r="EE30" i="14"/>
  <c r="DS17" i="14"/>
  <c r="DS23" i="14"/>
  <c r="BI80" i="35"/>
  <c r="EK31" i="14"/>
  <c r="EI9" i="12"/>
  <c r="EI38" i="2"/>
  <c r="AK11" i="40"/>
  <c r="AK12" i="40"/>
  <c r="AL44" i="40"/>
  <c r="AL8" i="40"/>
  <c r="AL67" i="40"/>
  <c r="AL38" i="40"/>
  <c r="AJ28" i="40"/>
  <c r="AJ29" i="40"/>
  <c r="AL59" i="40"/>
  <c r="AL58" i="40"/>
  <c r="AL43" i="40"/>
  <c r="AL74" i="40"/>
  <c r="AL71" i="40"/>
  <c r="AL23" i="40"/>
  <c r="AK43" i="40"/>
  <c r="AK44" i="40"/>
  <c r="AK45" i="40"/>
  <c r="AK50" i="40"/>
  <c r="AK49" i="40"/>
  <c r="AK48" i="40"/>
  <c r="AK63" i="40"/>
  <c r="AK62" i="40"/>
  <c r="AK8" i="40"/>
  <c r="AK7" i="40"/>
  <c r="BC160" i="35" s="1"/>
  <c r="AK67" i="40"/>
  <c r="AK68" i="40"/>
  <c r="AK69" i="40"/>
  <c r="AK33" i="40"/>
  <c r="AK34" i="40"/>
  <c r="AK35" i="40"/>
  <c r="AK15" i="40"/>
  <c r="AK16" i="40"/>
  <c r="AK40" i="40"/>
  <c r="AK39" i="40"/>
  <c r="AK38" i="40"/>
  <c r="AK23" i="40"/>
  <c r="AK27" i="40"/>
  <c r="AK24" i="40"/>
  <c r="AK25" i="40"/>
  <c r="BD166" i="35" s="1"/>
  <c r="AK85" i="40"/>
  <c r="AK86" i="40"/>
  <c r="AK87" i="40"/>
  <c r="AK19" i="40"/>
  <c r="AK20" i="40"/>
  <c r="AK74" i="40"/>
  <c r="AK71" i="40"/>
  <c r="AK73" i="40"/>
  <c r="AK75" i="40"/>
  <c r="AK58" i="40"/>
  <c r="AK59" i="40"/>
  <c r="AK53" i="40"/>
  <c r="AK54" i="40"/>
  <c r="AK55" i="40"/>
  <c r="DS151" i="2"/>
  <c r="DS19" i="14"/>
  <c r="DS66" i="14"/>
  <c r="DS20" i="14"/>
  <c r="DR24" i="14"/>
  <c r="DW23" i="14"/>
  <c r="EB23" i="14" s="1"/>
  <c r="EG23" i="14" s="1"/>
  <c r="EL23" i="14" s="1"/>
  <c r="DS21" i="14"/>
  <c r="DS22" i="14" s="1"/>
  <c r="DR22" i="14"/>
  <c r="DW21" i="14"/>
  <c r="EB21" i="14" s="1"/>
  <c r="EG21" i="14" s="1"/>
  <c r="DQ22" i="14"/>
  <c r="DV21" i="14"/>
  <c r="EA21" i="14" s="1"/>
  <c r="EF21" i="14" s="1"/>
  <c r="DQ24" i="14"/>
  <c r="DV23" i="14"/>
  <c r="EA23" i="14" s="1"/>
  <c r="EF23" i="14" s="1"/>
  <c r="EK23" i="14" s="1"/>
  <c r="EP23" i="14" s="1"/>
  <c r="CS5" i="14"/>
  <c r="AJ3" i="35"/>
  <c r="DP22" i="14"/>
  <c r="DP24" i="14"/>
  <c r="BV50" i="13"/>
  <c r="BV52" i="13" s="1"/>
  <c r="BV8" i="12" s="1"/>
  <c r="BW47" i="13"/>
  <c r="BW48" i="13" s="1"/>
  <c r="BU50" i="13"/>
  <c r="BT52" i="13"/>
  <c r="C23" i="1"/>
  <c r="CO60" i="13"/>
  <c r="BO4" i="14"/>
  <c r="BO4" i="13"/>
  <c r="BO4" i="12"/>
  <c r="CU5" i="2"/>
  <c r="CQ5" i="2"/>
  <c r="CM5" i="2"/>
  <c r="BP4" i="14"/>
  <c r="BP4" i="12"/>
  <c r="BP4" i="13"/>
  <c r="CI5" i="2"/>
  <c r="BN4" i="13"/>
  <c r="BN4" i="14"/>
  <c r="BN4" i="12"/>
  <c r="BU4" i="2"/>
  <c r="BT4" i="2"/>
  <c r="BS4" i="2"/>
  <c r="BR4" i="2"/>
  <c r="BQ4" i="2"/>
  <c r="BZ5" i="2"/>
  <c r="BL4" i="14"/>
  <c r="BL4" i="13"/>
  <c r="BL4" i="12"/>
  <c r="CY60" i="13"/>
  <c r="E23" i="1"/>
  <c r="DD60" i="13"/>
  <c r="CT60" i="13"/>
  <c r="BM4" i="14"/>
  <c r="BM4" i="13"/>
  <c r="BM4" i="12"/>
  <c r="CZ5" i="14"/>
  <c r="CV5" i="14"/>
  <c r="CZ5" i="12"/>
  <c r="CV5" i="12"/>
  <c r="CW5" i="12" s="1"/>
  <c r="CX5" i="12" s="1"/>
  <c r="DE5" i="13"/>
  <c r="DA5" i="13"/>
  <c r="DB5" i="13" s="1"/>
  <c r="DC5" i="13" s="1"/>
  <c r="CW5" i="13"/>
  <c r="DO14" i="25" l="1"/>
  <c r="AL48" i="40"/>
  <c r="DN17" i="25"/>
  <c r="DO17" i="25" s="1"/>
  <c r="AL85" i="40"/>
  <c r="AL27" i="40"/>
  <c r="AL28" i="40" s="1"/>
  <c r="AL86" i="40"/>
  <c r="AL53" i="40"/>
  <c r="AL63" i="40"/>
  <c r="DV20" i="25"/>
  <c r="AM38" i="40"/>
  <c r="DV18" i="25"/>
  <c r="AM33" i="40"/>
  <c r="AM20" i="40"/>
  <c r="AM54" i="40"/>
  <c r="DV23" i="25"/>
  <c r="AM68" i="40"/>
  <c r="DU13" i="25"/>
  <c r="DV13" i="25" s="1"/>
  <c r="DV21" i="25"/>
  <c r="AM63" i="40"/>
  <c r="DV10" i="25"/>
  <c r="AM16" i="40"/>
  <c r="DU17" i="25"/>
  <c r="DV17" i="25" s="1"/>
  <c r="AM49" i="40"/>
  <c r="DV22" i="25"/>
  <c r="AM58" i="40"/>
  <c r="AM8" i="40"/>
  <c r="DV11" i="25"/>
  <c r="AM79" i="40"/>
  <c r="AL25" i="40"/>
  <c r="BE166" i="35" s="1"/>
  <c r="AL34" i="40"/>
  <c r="AL69" i="40"/>
  <c r="AL19" i="40"/>
  <c r="AL33" i="40"/>
  <c r="AL15" i="40"/>
  <c r="AL12" i="40"/>
  <c r="AL50" i="40"/>
  <c r="AL75" i="40"/>
  <c r="AL80" i="40"/>
  <c r="BD169" i="35" s="1"/>
  <c r="AL79" i="40"/>
  <c r="DT151" i="2"/>
  <c r="DY23" i="14"/>
  <c r="ED23" i="14" s="1"/>
  <c r="EI23" i="14" s="1"/>
  <c r="EN23" i="14" s="1"/>
  <c r="DT24" i="14"/>
  <c r="DY21" i="14"/>
  <c r="ED21" i="14" s="1"/>
  <c r="EI21" i="14" s="1"/>
  <c r="EN21" i="14" s="1"/>
  <c r="DT22" i="14"/>
  <c r="DW8" i="25"/>
  <c r="EE6" i="25"/>
  <c r="DV14" i="25"/>
  <c r="DU15" i="25"/>
  <c r="DV15" i="25" s="1"/>
  <c r="DV16" i="25"/>
  <c r="M7" i="1"/>
  <c r="M8" i="1" s="1"/>
  <c r="EM131" i="2"/>
  <c r="EL131" i="2"/>
  <c r="EN70" i="2"/>
  <c r="EJ43" i="13"/>
  <c r="EK41" i="13"/>
  <c r="EL29" i="12"/>
  <c r="EK21" i="13"/>
  <c r="EG37" i="12"/>
  <c r="EF52" i="12"/>
  <c r="AP4" i="40"/>
  <c r="AO5" i="40"/>
  <c r="AA20" i="35"/>
  <c r="BJ80" i="35"/>
  <c r="EL31" i="14"/>
  <c r="EQ23" i="14"/>
  <c r="Z19" i="35"/>
  <c r="EG32" i="14"/>
  <c r="EF30" i="14"/>
  <c r="EK21" i="14"/>
  <c r="EL21" i="14"/>
  <c r="EJ9" i="12"/>
  <c r="EJ38" i="2"/>
  <c r="AL11" i="40"/>
  <c r="BC163" i="35" s="1"/>
  <c r="AL55" i="40"/>
  <c r="AL68" i="40"/>
  <c r="AL40" i="40"/>
  <c r="AL7" i="40"/>
  <c r="BD160" i="35" s="1"/>
  <c r="AL39" i="40"/>
  <c r="AK28" i="40"/>
  <c r="AK29" i="40"/>
  <c r="P14" i="26"/>
  <c r="E38" i="1"/>
  <c r="F38" i="1"/>
  <c r="AA19" i="35"/>
  <c r="AA22" i="35"/>
  <c r="AA27" i="35"/>
  <c r="AK3" i="35"/>
  <c r="DX23" i="14"/>
  <c r="DZ23" i="14"/>
  <c r="BX47" i="13"/>
  <c r="BX48" i="13" s="1"/>
  <c r="BW50" i="13"/>
  <c r="BW52" i="13" s="1"/>
  <c r="BW8" i="12" s="1"/>
  <c r="BV14" i="12"/>
  <c r="BV25" i="12" s="1"/>
  <c r="BV51" i="12"/>
  <c r="BV53" i="12" s="1"/>
  <c r="BV7" i="12"/>
  <c r="BW4" i="2"/>
  <c r="BV4" i="2"/>
  <c r="CE5" i="2"/>
  <c r="BZ4" i="2"/>
  <c r="BY4" i="2"/>
  <c r="BX4" i="2"/>
  <c r="BQ4" i="14"/>
  <c r="BQ4" i="13"/>
  <c r="BQ4" i="12"/>
  <c r="BR4" i="13"/>
  <c r="BR4" i="14"/>
  <c r="BR4" i="12"/>
  <c r="CN5" i="2"/>
  <c r="BS4" i="14"/>
  <c r="BS4" i="13"/>
  <c r="BS4" i="12"/>
  <c r="CR5" i="2"/>
  <c r="C45" i="1"/>
  <c r="C38" i="1"/>
  <c r="D38" i="1"/>
  <c r="BT4" i="14"/>
  <c r="BT4" i="13"/>
  <c r="BT4" i="12"/>
  <c r="CV5" i="2"/>
  <c r="CZ5" i="2"/>
  <c r="BU52" i="13"/>
  <c r="BT8" i="12"/>
  <c r="BU4" i="14"/>
  <c r="BU4" i="13"/>
  <c r="BU4" i="12"/>
  <c r="AP33" i="35"/>
  <c r="DA5" i="14"/>
  <c r="DB5" i="14" s="1"/>
  <c r="DC5" i="14" s="1"/>
  <c r="DE5" i="14"/>
  <c r="CW5" i="14"/>
  <c r="DA5" i="12"/>
  <c r="DB5" i="12" s="1"/>
  <c r="DC5" i="12" s="1"/>
  <c r="DE5" i="12"/>
  <c r="CX5" i="13"/>
  <c r="DJ5" i="13"/>
  <c r="DF5" i="13"/>
  <c r="DG5" i="13" s="1"/>
  <c r="DH5" i="13" s="1"/>
  <c r="AL29" i="40" l="1"/>
  <c r="DU151" i="2"/>
  <c r="AM53" i="40"/>
  <c r="AM27" i="40"/>
  <c r="AM28" i="40" s="1"/>
  <c r="AM23" i="40"/>
  <c r="AM75" i="40"/>
  <c r="AM34" i="40"/>
  <c r="AM45" i="40"/>
  <c r="AM39" i="40"/>
  <c r="AM7" i="40"/>
  <c r="BE160" i="35" s="1"/>
  <c r="AM73" i="40"/>
  <c r="AM19" i="40"/>
  <c r="AN19" i="40"/>
  <c r="AN78" i="40"/>
  <c r="EC21" i="25"/>
  <c r="ED23" i="25"/>
  <c r="ED12" i="25"/>
  <c r="AN85" i="40"/>
  <c r="AN15" i="40"/>
  <c r="AN49" i="40"/>
  <c r="AN53" i="40"/>
  <c r="AN59" i="40"/>
  <c r="ED18" i="25"/>
  <c r="AN12" i="40"/>
  <c r="EC22" i="25"/>
  <c r="EB15" i="25"/>
  <c r="ED15" i="25" s="1"/>
  <c r="AN33" i="40"/>
  <c r="EB17" i="25"/>
  <c r="ED17" i="25" s="1"/>
  <c r="AN8" i="40"/>
  <c r="AN71" i="40"/>
  <c r="EC20" i="25"/>
  <c r="AN67" i="40"/>
  <c r="ED10" i="25"/>
  <c r="AN63" i="40"/>
  <c r="ED11" i="25"/>
  <c r="AM48" i="40"/>
  <c r="AM50" i="40"/>
  <c r="AM12" i="40"/>
  <c r="AM11" i="40"/>
  <c r="BD163" i="35" s="1"/>
  <c r="AM80" i="40"/>
  <c r="BE169" i="35" s="1"/>
  <c r="AM35" i="40"/>
  <c r="DV12" i="25"/>
  <c r="AM59" i="40"/>
  <c r="AM69" i="40"/>
  <c r="AM87" i="40"/>
  <c r="DU19" i="25"/>
  <c r="DV19" i="25" s="1"/>
  <c r="AM67" i="40"/>
  <c r="AM55" i="40"/>
  <c r="EE8" i="25"/>
  <c r="EE5" i="25" s="1"/>
  <c r="ED16" i="25"/>
  <c r="EN131" i="2"/>
  <c r="EO70" i="2"/>
  <c r="EK43" i="13"/>
  <c r="EL41" i="13"/>
  <c r="EM41" i="13" s="1"/>
  <c r="EM29" i="12"/>
  <c r="EN29" i="12" s="1"/>
  <c r="EL21" i="13"/>
  <c r="EM21" i="13" s="1"/>
  <c r="EG52" i="12"/>
  <c r="EH37" i="12"/>
  <c r="AN16" i="40"/>
  <c r="AN39" i="40"/>
  <c r="AN38" i="40"/>
  <c r="AN23" i="40"/>
  <c r="AN24" i="40"/>
  <c r="AN43" i="40"/>
  <c r="AN86" i="40"/>
  <c r="AQ4" i="40"/>
  <c r="AP5" i="40"/>
  <c r="EI32" i="14"/>
  <c r="EG30" i="14"/>
  <c r="EC23" i="14"/>
  <c r="EE23" i="14"/>
  <c r="BK80" i="35"/>
  <c r="EN31" i="14"/>
  <c r="EQ21" i="14"/>
  <c r="EP21" i="14"/>
  <c r="EK9" i="12"/>
  <c r="EK38" i="2"/>
  <c r="AM62" i="40"/>
  <c r="AM85" i="40"/>
  <c r="AM43" i="40"/>
  <c r="AM44" i="40"/>
  <c r="AM86" i="40"/>
  <c r="AM25" i="40"/>
  <c r="AM24" i="40"/>
  <c r="AM71" i="40"/>
  <c r="AM78" i="40"/>
  <c r="AM74" i="40"/>
  <c r="AM15" i="40"/>
  <c r="AM40" i="40"/>
  <c r="AM29" i="40"/>
  <c r="BV49" i="12"/>
  <c r="AL3" i="35"/>
  <c r="BY4" i="14"/>
  <c r="BY4" i="13"/>
  <c r="BY4" i="12"/>
  <c r="DE5" i="2"/>
  <c r="DA5" i="2"/>
  <c r="BZ4" i="13"/>
  <c r="BZ4" i="14"/>
  <c r="BZ4" i="12"/>
  <c r="BW7" i="12"/>
  <c r="BW14" i="12"/>
  <c r="BW25" i="12" s="1"/>
  <c r="BW51" i="12"/>
  <c r="BW53" i="12" s="1"/>
  <c r="CW5" i="2"/>
  <c r="CE4" i="2"/>
  <c r="CD4" i="2"/>
  <c r="CC4" i="2"/>
  <c r="CB4" i="2"/>
  <c r="CA4" i="2"/>
  <c r="CJ5" i="2"/>
  <c r="BY47" i="13"/>
  <c r="BY48" i="13" s="1"/>
  <c r="BX50" i="13"/>
  <c r="BX52" i="13" s="1"/>
  <c r="BX8" i="12" s="1"/>
  <c r="CS5" i="2"/>
  <c r="BV4" i="13"/>
  <c r="BV4" i="12"/>
  <c r="BV4" i="14"/>
  <c r="BW4" i="14"/>
  <c r="BW4" i="13"/>
  <c r="BW4" i="12"/>
  <c r="BU8" i="12"/>
  <c r="BT7" i="12"/>
  <c r="BU7" i="12" s="1"/>
  <c r="BT14" i="12"/>
  <c r="BT25" i="12" s="1"/>
  <c r="BT51" i="12"/>
  <c r="BX4" i="14"/>
  <c r="BX4" i="13"/>
  <c r="BX4" i="12"/>
  <c r="P19" i="26"/>
  <c r="P22" i="26" s="1"/>
  <c r="CX5" i="14"/>
  <c r="AP35" i="35"/>
  <c r="AP5" i="35"/>
  <c r="AP9" i="35" s="1"/>
  <c r="DJ5" i="14"/>
  <c r="DF5" i="14"/>
  <c r="DG5" i="14" s="1"/>
  <c r="DH5" i="14" s="1"/>
  <c r="AQ33" i="35"/>
  <c r="DJ5" i="12"/>
  <c r="DF5" i="12"/>
  <c r="DG5" i="12" s="1"/>
  <c r="DH5" i="12" s="1"/>
  <c r="DK5" i="13"/>
  <c r="DO5" i="13"/>
  <c r="DV151" i="2" l="1"/>
  <c r="DW151" i="2" s="1"/>
  <c r="AN25" i="40"/>
  <c r="AN75" i="40"/>
  <c r="AN11" i="40"/>
  <c r="BE163" i="35" s="1"/>
  <c r="AN68" i="40"/>
  <c r="AN7" i="40"/>
  <c r="AN79" i="40"/>
  <c r="AN48" i="40"/>
  <c r="AN40" i="40"/>
  <c r="AN80" i="40"/>
  <c r="AN45" i="40"/>
  <c r="EB13" i="25"/>
  <c r="ED13" i="25" s="1"/>
  <c r="AN35" i="40"/>
  <c r="ED22" i="25"/>
  <c r="AN74" i="40"/>
  <c r="AN62" i="40"/>
  <c r="AN20" i="40"/>
  <c r="ED14" i="25"/>
  <c r="ED21" i="25"/>
  <c r="AN27" i="40"/>
  <c r="AN29" i="40" s="1"/>
  <c r="AN87" i="40"/>
  <c r="AN44" i="40"/>
  <c r="EB19" i="25"/>
  <c r="ED19" i="25" s="1"/>
  <c r="AO23" i="40"/>
  <c r="EL16" i="25"/>
  <c r="AO53" i="40"/>
  <c r="EL23" i="25"/>
  <c r="AO12" i="40"/>
  <c r="AO80" i="40"/>
  <c r="AO58" i="40"/>
  <c r="EL12" i="25"/>
  <c r="AO63" i="40"/>
  <c r="AO86" i="40"/>
  <c r="EL22" i="25"/>
  <c r="AO7" i="40"/>
  <c r="AO34" i="40"/>
  <c r="EL10" i="25"/>
  <c r="AO16" i="40"/>
  <c r="EL14" i="25"/>
  <c r="EL11" i="25"/>
  <c r="AO49" i="40"/>
  <c r="EL18" i="25"/>
  <c r="AO39" i="40"/>
  <c r="EL21" i="25"/>
  <c r="AO67" i="40"/>
  <c r="EL20" i="25"/>
  <c r="AO73" i="40"/>
  <c r="AN58" i="40"/>
  <c r="AN54" i="40"/>
  <c r="AN55" i="40"/>
  <c r="AN50" i="40"/>
  <c r="AN34" i="40"/>
  <c r="AN73" i="40"/>
  <c r="AN69" i="40"/>
  <c r="ED20" i="25"/>
  <c r="EO131" i="2"/>
  <c r="EP70" i="2"/>
  <c r="EN41" i="13"/>
  <c r="EL43" i="13"/>
  <c r="EM43" i="13" s="1"/>
  <c r="EO29" i="12"/>
  <c r="EN21" i="13"/>
  <c r="EH52" i="12"/>
  <c r="EI37" i="12"/>
  <c r="AR4" i="40"/>
  <c r="AQ5" i="40"/>
  <c r="AO20" i="40"/>
  <c r="AO19" i="40"/>
  <c r="AO43" i="40"/>
  <c r="AO44" i="40"/>
  <c r="AO68" i="40"/>
  <c r="AO74" i="40"/>
  <c r="EO31" i="14"/>
  <c r="BM80" i="35"/>
  <c r="AE31" i="35"/>
  <c r="EJ23" i="14"/>
  <c r="EH23" i="14"/>
  <c r="EJ32" i="14"/>
  <c r="EI30" i="14"/>
  <c r="EL9" i="12"/>
  <c r="EL38" i="2"/>
  <c r="BW49" i="12"/>
  <c r="AH18" i="35"/>
  <c r="AG15" i="35"/>
  <c r="AC26" i="35"/>
  <c r="AF22" i="35"/>
  <c r="AK26" i="35"/>
  <c r="AE15" i="35"/>
  <c r="AG14" i="35"/>
  <c r="AI22" i="35"/>
  <c r="AC31" i="35"/>
  <c r="AK15" i="35"/>
  <c r="AD19" i="35"/>
  <c r="AE14" i="35"/>
  <c r="AI27" i="35"/>
  <c r="AF19" i="35"/>
  <c r="AK19" i="35"/>
  <c r="AD26" i="35"/>
  <c r="AF20" i="35"/>
  <c r="AI19" i="35"/>
  <c r="AD27" i="35"/>
  <c r="AK20" i="35"/>
  <c r="AI15" i="35"/>
  <c r="AF31" i="35"/>
  <c r="AH31" i="35"/>
  <c r="AF14" i="35"/>
  <c r="AK31" i="35"/>
  <c r="AK22" i="35"/>
  <c r="AG20" i="35"/>
  <c r="AE26" i="35"/>
  <c r="AG31" i="35"/>
  <c r="AF15" i="35"/>
  <c r="AG27" i="35"/>
  <c r="AG18" i="35"/>
  <c r="AI20" i="35"/>
  <c r="AF27" i="35"/>
  <c r="AG26" i="35"/>
  <c r="AE27" i="35"/>
  <c r="AH19" i="35"/>
  <c r="AK27" i="35"/>
  <c r="AF18" i="35"/>
  <c r="AI26" i="35"/>
  <c r="AE19" i="35"/>
  <c r="AG19" i="35"/>
  <c r="AE20" i="35"/>
  <c r="AC18" i="35"/>
  <c r="AG22" i="35"/>
  <c r="AE18" i="35"/>
  <c r="AD20" i="35"/>
  <c r="AD31" i="35"/>
  <c r="AK18" i="35"/>
  <c r="AD15" i="35"/>
  <c r="AD22" i="35"/>
  <c r="AI14" i="35"/>
  <c r="AE22" i="35"/>
  <c r="AH22" i="35"/>
  <c r="AF26" i="35"/>
  <c r="AD14" i="35"/>
  <c r="AK14" i="35"/>
  <c r="AC14" i="35"/>
  <c r="AI18" i="35"/>
  <c r="AI31" i="35"/>
  <c r="AD18" i="35"/>
  <c r="AH20" i="35"/>
  <c r="AH14" i="35"/>
  <c r="AH26" i="35"/>
  <c r="AJ15" i="35"/>
  <c r="AJ27" i="35"/>
  <c r="AJ14" i="35"/>
  <c r="AJ31" i="35"/>
  <c r="AH27" i="35"/>
  <c r="AJ20" i="35"/>
  <c r="AJ19" i="35"/>
  <c r="AH15" i="35"/>
  <c r="AJ22" i="35"/>
  <c r="AJ26" i="35"/>
  <c r="AJ18" i="35"/>
  <c r="AL31" i="35"/>
  <c r="AL19" i="35"/>
  <c r="AL27" i="35"/>
  <c r="AL22" i="35"/>
  <c r="AL15" i="35"/>
  <c r="AL20" i="35"/>
  <c r="AL26" i="35"/>
  <c r="AM3" i="35"/>
  <c r="AL14" i="35"/>
  <c r="AL18" i="35"/>
  <c r="CC4" i="14"/>
  <c r="CC4" i="13"/>
  <c r="CC4" i="12"/>
  <c r="BX14" i="12"/>
  <c r="BX25" i="12" s="1"/>
  <c r="BX7" i="12"/>
  <c r="BX51" i="12"/>
  <c r="BX53" i="12" s="1"/>
  <c r="CD4" i="13"/>
  <c r="CD4" i="12"/>
  <c r="CD4" i="14"/>
  <c r="BY50" i="13"/>
  <c r="BZ48" i="13"/>
  <c r="CE47" i="13" s="1"/>
  <c r="CA47" i="13"/>
  <c r="CA48" i="13" s="1"/>
  <c r="CE4" i="14"/>
  <c r="CE4" i="13"/>
  <c r="CE4" i="12"/>
  <c r="BT53" i="12"/>
  <c r="BU53" i="12" s="1"/>
  <c r="BU51" i="12"/>
  <c r="BU14" i="12"/>
  <c r="CX5" i="2"/>
  <c r="CO5" i="2"/>
  <c r="CJ4" i="2"/>
  <c r="CI4" i="2"/>
  <c r="CH4" i="2"/>
  <c r="CG4" i="2"/>
  <c r="CF4" i="2"/>
  <c r="DB5" i="2"/>
  <c r="CA4" i="14"/>
  <c r="CA4" i="12"/>
  <c r="CA4" i="13"/>
  <c r="DJ5" i="2"/>
  <c r="DF5" i="2"/>
  <c r="CB4" i="14"/>
  <c r="CB4" i="13"/>
  <c r="CB4" i="12"/>
  <c r="DC229" i="35"/>
  <c r="DC230" i="35" s="1"/>
  <c r="P13" i="26"/>
  <c r="DR6" i="14"/>
  <c r="DT7" i="14" s="1"/>
  <c r="DO5" i="14"/>
  <c r="DK5" i="14"/>
  <c r="AR33" i="35"/>
  <c r="AQ35" i="35"/>
  <c r="AQ5" i="35"/>
  <c r="AQ9" i="35" s="1"/>
  <c r="DO5" i="12"/>
  <c r="DK5" i="12"/>
  <c r="DL5" i="12" s="1"/>
  <c r="DM5" i="12" s="1"/>
  <c r="DT5" i="13"/>
  <c r="DP5" i="13"/>
  <c r="DQ5" i="13" s="1"/>
  <c r="DR5" i="13" s="1"/>
  <c r="DL5" i="13"/>
  <c r="DC178" i="35" a="1"/>
  <c r="DX151" i="2" l="1"/>
  <c r="DY151" i="2" s="1"/>
  <c r="DZ151" i="2" s="1"/>
  <c r="EA151" i="2" s="1"/>
  <c r="EB151" i="2" s="1"/>
  <c r="AO8" i="40"/>
  <c r="AO27" i="40"/>
  <c r="AO24" i="40"/>
  <c r="AO54" i="40"/>
  <c r="AO85" i="40"/>
  <c r="AO71" i="40"/>
  <c r="AO48" i="40"/>
  <c r="AO33" i="40"/>
  <c r="AN28" i="40"/>
  <c r="AP33" i="40"/>
  <c r="AP86" i="40"/>
  <c r="AP20" i="40"/>
  <c r="AP39" i="40"/>
  <c r="AP54" i="40"/>
  <c r="AP59" i="40"/>
  <c r="AP63" i="40"/>
  <c r="AP8" i="40"/>
  <c r="AP68" i="40"/>
  <c r="AP11" i="40"/>
  <c r="AP23" i="40"/>
  <c r="AP78" i="40"/>
  <c r="AP71" i="40"/>
  <c r="AP49" i="40"/>
  <c r="AO11" i="40"/>
  <c r="BF163" i="35" s="1"/>
  <c r="EJ19" i="25"/>
  <c r="EL19" i="25" s="1"/>
  <c r="AO40" i="40"/>
  <c r="AO69" i="40"/>
  <c r="AO38" i="40"/>
  <c r="AO59" i="40"/>
  <c r="AO55" i="40"/>
  <c r="AO79" i="40"/>
  <c r="AO78" i="40"/>
  <c r="AO50" i="40"/>
  <c r="AO75" i="40"/>
  <c r="AO45" i="40"/>
  <c r="AO87" i="40"/>
  <c r="AO62" i="40"/>
  <c r="AO35" i="40"/>
  <c r="AO25" i="40"/>
  <c r="AO15" i="40"/>
  <c r="EP131" i="2"/>
  <c r="EQ70" i="2"/>
  <c r="EN43" i="13"/>
  <c r="EO41" i="13"/>
  <c r="EP29" i="12"/>
  <c r="EO21" i="13"/>
  <c r="EJ37" i="12"/>
  <c r="EI52" i="12"/>
  <c r="AS4" i="40"/>
  <c r="AR5" i="40"/>
  <c r="AP34" i="40"/>
  <c r="AP7" i="40"/>
  <c r="AP15" i="40"/>
  <c r="AP16" i="40"/>
  <c r="AP43" i="40"/>
  <c r="AO28" i="40"/>
  <c r="AO29" i="40"/>
  <c r="EK32" i="14"/>
  <c r="EJ30" i="14"/>
  <c r="EP31" i="14"/>
  <c r="EO23" i="14"/>
  <c r="ER23" i="14" s="1"/>
  <c r="EM23" i="14"/>
  <c r="EM9" i="12"/>
  <c r="EN38" i="2"/>
  <c r="BU75" i="12"/>
  <c r="BU25" i="12"/>
  <c r="BX49" i="12"/>
  <c r="DR12" i="14"/>
  <c r="DR13" i="14" s="1"/>
  <c r="DR38" i="14"/>
  <c r="DR42" i="14"/>
  <c r="DR105" i="14"/>
  <c r="DR110" i="14"/>
  <c r="DC178" i="35"/>
  <c r="AM27" i="35"/>
  <c r="AM31" i="35"/>
  <c r="AM20" i="35"/>
  <c r="AM26" i="35"/>
  <c r="AM22" i="35"/>
  <c r="AM19" i="35"/>
  <c r="AM15" i="35"/>
  <c r="AN3" i="35"/>
  <c r="AM18" i="35"/>
  <c r="AM14" i="35"/>
  <c r="BU73" i="12"/>
  <c r="BY52" i="13"/>
  <c r="BZ50" i="13"/>
  <c r="CF4" i="14"/>
  <c r="CF4" i="12"/>
  <c r="CF4" i="13"/>
  <c r="BU70" i="12"/>
  <c r="BU72" i="12"/>
  <c r="CG4" i="14"/>
  <c r="CG4" i="13"/>
  <c r="CG4" i="12"/>
  <c r="CH4" i="13"/>
  <c r="CH4" i="14"/>
  <c r="CH4" i="12"/>
  <c r="CI4" i="14"/>
  <c r="CI4" i="13"/>
  <c r="CI4" i="12"/>
  <c r="CJ4" i="14"/>
  <c r="CJ4" i="13"/>
  <c r="CJ4" i="12"/>
  <c r="DG5" i="2"/>
  <c r="DC5" i="2"/>
  <c r="CM4" i="2"/>
  <c r="CL4" i="2"/>
  <c r="CK4" i="2"/>
  <c r="CT5" i="2"/>
  <c r="CO4" i="2"/>
  <c r="CN4" i="2"/>
  <c r="CA50" i="13"/>
  <c r="CA52" i="13" s="1"/>
  <c r="CA8" i="12" s="1"/>
  <c r="CB47" i="13"/>
  <c r="CB48" i="13" s="1"/>
  <c r="DK5" i="2"/>
  <c r="DO5" i="2"/>
  <c r="DN10" i="14"/>
  <c r="AS33" i="35"/>
  <c r="DS6" i="2"/>
  <c r="DL5" i="14"/>
  <c r="DR7" i="14"/>
  <c r="DR8" i="14"/>
  <c r="DS6" i="14"/>
  <c r="H7" i="26"/>
  <c r="DP5" i="14"/>
  <c r="DT5" i="14"/>
  <c r="AR35" i="35"/>
  <c r="AR5" i="35"/>
  <c r="AR9" i="35" s="1"/>
  <c r="AR162" i="35"/>
  <c r="AS163" i="35" s="1"/>
  <c r="DC214" i="35"/>
  <c r="DC220" i="35" s="1"/>
  <c r="DP5" i="12"/>
  <c r="DT5" i="12"/>
  <c r="DM5" i="13"/>
  <c r="DU5" i="13"/>
  <c r="DV5" i="13" s="1"/>
  <c r="DW5" i="13" s="1"/>
  <c r="DY5" i="13"/>
  <c r="V37" i="42"/>
  <c r="AA37" i="42"/>
  <c r="L36" i="42"/>
  <c r="O37" i="42"/>
  <c r="L37" i="42"/>
  <c r="N35" i="42"/>
  <c r="N37" i="42"/>
  <c r="N36" i="42"/>
  <c r="L39" i="42"/>
  <c r="L35" i="42"/>
  <c r="M37" i="42"/>
  <c r="M36" i="42"/>
  <c r="M39" i="42"/>
  <c r="AF42" i="37"/>
  <c r="N39" i="42"/>
  <c r="Z42" i="37"/>
  <c r="M35" i="42"/>
  <c r="S42" i="37"/>
  <c r="AK42" i="37"/>
  <c r="W42" i="37" l="1"/>
  <c r="EC151" i="2"/>
  <c r="ED151" i="2" s="1"/>
  <c r="EE151" i="2" s="1"/>
  <c r="EF151" i="2" s="1"/>
  <c r="EG151" i="2" s="1"/>
  <c r="EH151" i="2" s="1"/>
  <c r="EI151" i="2" s="1"/>
  <c r="EJ151" i="2" s="1"/>
  <c r="EK151" i="2" s="1"/>
  <c r="AP73" i="40"/>
  <c r="AP35" i="40"/>
  <c r="AP80" i="40"/>
  <c r="AP25" i="40"/>
  <c r="AP87" i="40"/>
  <c r="AP19" i="40"/>
  <c r="AP79" i="40"/>
  <c r="AP12" i="40"/>
  <c r="AP45" i="40"/>
  <c r="AP74" i="40"/>
  <c r="AP24" i="40"/>
  <c r="AP27" i="40"/>
  <c r="AP29" i="40" s="1"/>
  <c r="AP75" i="40"/>
  <c r="AP55" i="40"/>
  <c r="AP58" i="40"/>
  <c r="AP53" i="40"/>
  <c r="AP40" i="40"/>
  <c r="AP50" i="40"/>
  <c r="AP38" i="40"/>
  <c r="AP85" i="40"/>
  <c r="AP48" i="40"/>
  <c r="DR10" i="14"/>
  <c r="AQ12" i="40"/>
  <c r="AQ25" i="40"/>
  <c r="AQ53" i="40"/>
  <c r="AQ85" i="40"/>
  <c r="AQ71" i="40"/>
  <c r="AQ16" i="40"/>
  <c r="AQ67" i="40"/>
  <c r="AQ78" i="40"/>
  <c r="DS10" i="14"/>
  <c r="AQ19" i="40"/>
  <c r="DO10" i="14"/>
  <c r="AQ8" i="40"/>
  <c r="AQ59" i="40"/>
  <c r="AQ63" i="40"/>
  <c r="AQ49" i="40"/>
  <c r="AP44" i="40"/>
  <c r="AP69" i="40"/>
  <c r="AP67" i="40"/>
  <c r="AP62" i="40"/>
  <c r="EP41" i="13"/>
  <c r="EO43" i="13"/>
  <c r="EQ29" i="12"/>
  <c r="EP21" i="13"/>
  <c r="EK37" i="12"/>
  <c r="EJ52" i="12"/>
  <c r="AS5" i="40"/>
  <c r="AT4" i="40"/>
  <c r="AQ38" i="40"/>
  <c r="AQ39" i="40"/>
  <c r="AQ43" i="40"/>
  <c r="AQ44" i="40"/>
  <c r="AQ50" i="40"/>
  <c r="AQ48" i="40"/>
  <c r="AQ74" i="40"/>
  <c r="AQ73" i="40"/>
  <c r="EQ131" i="2"/>
  <c r="ER70" i="2"/>
  <c r="EL151" i="2"/>
  <c r="EM151" i="2" s="1"/>
  <c r="EN151" i="2" s="1"/>
  <c r="EO151" i="2" s="1"/>
  <c r="EP151" i="2" s="1"/>
  <c r="EQ151" i="2" s="1"/>
  <c r="ER151" i="2" s="1"/>
  <c r="EQ31" i="14"/>
  <c r="EL32" i="14"/>
  <c r="EK30" i="14"/>
  <c r="DZ5" i="13"/>
  <c r="ED5" i="13"/>
  <c r="EN9" i="12"/>
  <c r="EO38" i="2"/>
  <c r="S36" i="42"/>
  <c r="S40" i="42"/>
  <c r="DS38" i="14"/>
  <c r="DS42" i="14"/>
  <c r="DS105" i="14"/>
  <c r="DS110" i="14"/>
  <c r="AN27" i="35"/>
  <c r="AN22" i="35"/>
  <c r="AN26" i="35"/>
  <c r="AN15" i="35"/>
  <c r="AN19" i="35"/>
  <c r="AN20" i="35"/>
  <c r="AN31" i="35"/>
  <c r="AN18" i="35"/>
  <c r="AN14" i="35"/>
  <c r="AO3" i="35"/>
  <c r="DC179" i="35"/>
  <c r="DQ5" i="14"/>
  <c r="AC42" i="37"/>
  <c r="AL42" i="37"/>
  <c r="T42" i="37"/>
  <c r="AA42" i="37"/>
  <c r="CN4" i="14"/>
  <c r="CN4" i="12"/>
  <c r="CN4" i="13"/>
  <c r="CO4" i="14"/>
  <c r="CO4" i="13"/>
  <c r="CO4" i="12"/>
  <c r="C11" i="1"/>
  <c r="DH5" i="2"/>
  <c r="DL5" i="2"/>
  <c r="CT4" i="2"/>
  <c r="CS4" i="2"/>
  <c r="CR4" i="2"/>
  <c r="CP4" i="2"/>
  <c r="CQ4" i="2"/>
  <c r="CY5" i="2"/>
  <c r="BZ52" i="13"/>
  <c r="BY8" i="12"/>
  <c r="DT5" i="2"/>
  <c r="DP5" i="2"/>
  <c r="CC47" i="13"/>
  <c r="CC48" i="13" s="1"/>
  <c r="CB50" i="13"/>
  <c r="CB52" i="13" s="1"/>
  <c r="CB8" i="12" s="1"/>
  <c r="CK4" i="14"/>
  <c r="CK4" i="13"/>
  <c r="CK4" i="12"/>
  <c r="CA7" i="12"/>
  <c r="CA14" i="12"/>
  <c r="CA25" i="12" s="1"/>
  <c r="CA51" i="12"/>
  <c r="CA53" i="12" s="1"/>
  <c r="CL4" i="13"/>
  <c r="CL4" i="12"/>
  <c r="CL4" i="14"/>
  <c r="CM4" i="14"/>
  <c r="CM4" i="13"/>
  <c r="CM4" i="12"/>
  <c r="DC212" i="35"/>
  <c r="DC218" i="35" s="1"/>
  <c r="DK10" i="14"/>
  <c r="DM5" i="14"/>
  <c r="DV16" i="14"/>
  <c r="DS8" i="14"/>
  <c r="DC33" i="35"/>
  <c r="DC185" i="35" s="1"/>
  <c r="DS7" i="2"/>
  <c r="J7" i="26"/>
  <c r="I7" i="26"/>
  <c r="G7" i="26"/>
  <c r="F7" i="26"/>
  <c r="DY5" i="14"/>
  <c r="DU5" i="14"/>
  <c r="DP75" i="2"/>
  <c r="DS12" i="2"/>
  <c r="AS162" i="35"/>
  <c r="DS13" i="12"/>
  <c r="DS106" i="2"/>
  <c r="DS39" i="2"/>
  <c r="DS107" i="2"/>
  <c r="DS105" i="2"/>
  <c r="AS35" i="35"/>
  <c r="AS5" i="35"/>
  <c r="AS9" i="35" s="1"/>
  <c r="DS10" i="2"/>
  <c r="I14" i="1" s="1"/>
  <c r="I32" i="1" s="1"/>
  <c r="DY5" i="12"/>
  <c r="ED5" i="12" s="1"/>
  <c r="DU5" i="12"/>
  <c r="DQ5" i="12"/>
  <c r="AG42" i="37"/>
  <c r="AI42" i="37"/>
  <c r="L12" i="42"/>
  <c r="M12" i="42"/>
  <c r="M11" i="42"/>
  <c r="L11" i="42"/>
  <c r="DV5" i="14" l="1"/>
  <c r="DW5" i="14" s="1"/>
  <c r="AQ11" i="40"/>
  <c r="AP28" i="40"/>
  <c r="AQ58" i="40"/>
  <c r="AQ55" i="40"/>
  <c r="AQ80" i="40"/>
  <c r="AQ62" i="40"/>
  <c r="AQ40" i="40"/>
  <c r="AQ27" i="40"/>
  <c r="AQ29" i="40" s="1"/>
  <c r="AQ7" i="40"/>
  <c r="AQ45" i="40"/>
  <c r="AQ23" i="40"/>
  <c r="AQ20" i="40"/>
  <c r="AQ54" i="40"/>
  <c r="AQ75" i="40"/>
  <c r="AQ24" i="40"/>
  <c r="AR62" i="40"/>
  <c r="AR38" i="40"/>
  <c r="AR44" i="40"/>
  <c r="AR33" i="40"/>
  <c r="AR71" i="40"/>
  <c r="DT10" i="14"/>
  <c r="AR19" i="40"/>
  <c r="AR68" i="40"/>
  <c r="AR78" i="40"/>
  <c r="AR85" i="40"/>
  <c r="AR8" i="40"/>
  <c r="AR24" i="40"/>
  <c r="AR48" i="40"/>
  <c r="AR16" i="40"/>
  <c r="AR58" i="40"/>
  <c r="AR53" i="40"/>
  <c r="AQ69" i="40"/>
  <c r="AQ15" i="40"/>
  <c r="AQ86" i="40"/>
  <c r="AQ68" i="40"/>
  <c r="AQ87" i="40"/>
  <c r="AQ34" i="40"/>
  <c r="AQ79" i="40"/>
  <c r="AQ35" i="40"/>
  <c r="AQ33" i="40"/>
  <c r="EQ41" i="13"/>
  <c r="EP43" i="13"/>
  <c r="ER29" i="12"/>
  <c r="EQ21" i="13"/>
  <c r="ER21" i="13" s="1"/>
  <c r="EL37" i="12"/>
  <c r="EK52" i="12"/>
  <c r="AU4" i="40"/>
  <c r="AG37" i="42" s="1"/>
  <c r="AT5" i="40"/>
  <c r="AR39" i="40"/>
  <c r="AR23" i="40"/>
  <c r="AR49" i="40"/>
  <c r="AR63" i="40"/>
  <c r="ER131" i="2"/>
  <c r="N7" i="1"/>
  <c r="N8" i="1" s="1"/>
  <c r="EN32" i="14"/>
  <c r="EL30" i="14"/>
  <c r="ED5" i="14"/>
  <c r="EE5" i="12"/>
  <c r="EF5" i="12" s="1"/>
  <c r="EI5" i="12"/>
  <c r="EI5" i="13"/>
  <c r="EE5" i="13"/>
  <c r="EF5" i="13" s="1"/>
  <c r="EG5" i="13" s="1"/>
  <c r="EA5" i="13"/>
  <c r="EO9" i="12"/>
  <c r="EP38" i="2"/>
  <c r="CA49" i="12"/>
  <c r="S12" i="42"/>
  <c r="DR5" i="14"/>
  <c r="DP10" i="14"/>
  <c r="AR165" i="35"/>
  <c r="AS91" i="35"/>
  <c r="DS20" i="2"/>
  <c r="DS31" i="2"/>
  <c r="AO19" i="35"/>
  <c r="AO31" i="35"/>
  <c r="AO26" i="35"/>
  <c r="AO15" i="35"/>
  <c r="AO27" i="35"/>
  <c r="AO20" i="35"/>
  <c r="AO22" i="35"/>
  <c r="AP3" i="35"/>
  <c r="AO14" i="35"/>
  <c r="AO18" i="35"/>
  <c r="DP77" i="2"/>
  <c r="DP115" i="2" s="1"/>
  <c r="DS138" i="2"/>
  <c r="DS139" i="2"/>
  <c r="DS140" i="2"/>
  <c r="DW13" i="12"/>
  <c r="CP4" i="13"/>
  <c r="CP4" i="14"/>
  <c r="CP4" i="12"/>
  <c r="CB7" i="12"/>
  <c r="CB51" i="12"/>
  <c r="CB53" i="12" s="1"/>
  <c r="CB14" i="12"/>
  <c r="CB25" i="12" s="1"/>
  <c r="CR4" i="14"/>
  <c r="CR4" i="13"/>
  <c r="CR4" i="12"/>
  <c r="CC50" i="13"/>
  <c r="CC52" i="13" s="1"/>
  <c r="CC8" i="12" s="1"/>
  <c r="CD47" i="13"/>
  <c r="CD48" i="13" s="1"/>
  <c r="CS4" i="14"/>
  <c r="CS4" i="13"/>
  <c r="CS4" i="12"/>
  <c r="C24" i="1"/>
  <c r="C5" i="1"/>
  <c r="C30" i="1" s="1"/>
  <c r="C39" i="1"/>
  <c r="DQ5" i="2"/>
  <c r="CT4" i="13"/>
  <c r="CT4" i="12"/>
  <c r="CT4" i="14"/>
  <c r="D11" i="1"/>
  <c r="DU5" i="2"/>
  <c r="DY5" i="2"/>
  <c r="ED5" i="2" s="1"/>
  <c r="DM5" i="2"/>
  <c r="CU4" i="2"/>
  <c r="DD5" i="2"/>
  <c r="CY4" i="2"/>
  <c r="CX4" i="2"/>
  <c r="CW4" i="2"/>
  <c r="CV4" i="2"/>
  <c r="BY7" i="12"/>
  <c r="BZ7" i="12" s="1"/>
  <c r="BZ8" i="12"/>
  <c r="BY14" i="12"/>
  <c r="BY25" i="12" s="1"/>
  <c r="BZ25" i="12" s="1"/>
  <c r="BY51" i="12"/>
  <c r="CQ4" i="14"/>
  <c r="CQ4" i="13"/>
  <c r="CQ4" i="12"/>
  <c r="DS145" i="2"/>
  <c r="DL10" i="14"/>
  <c r="DS33" i="2"/>
  <c r="DS143" i="2"/>
  <c r="DS18" i="2"/>
  <c r="DS13" i="2"/>
  <c r="DS14" i="2" s="1"/>
  <c r="DS35" i="2"/>
  <c r="DS37" i="2"/>
  <c r="DS40" i="2"/>
  <c r="DQ75" i="2"/>
  <c r="DS144" i="2"/>
  <c r="AT33" i="35"/>
  <c r="DV19" i="14"/>
  <c r="DV39" i="14"/>
  <c r="DW16" i="14"/>
  <c r="DV17" i="14"/>
  <c r="DV25" i="14"/>
  <c r="DV66" i="14"/>
  <c r="DV20" i="14"/>
  <c r="DS11" i="2"/>
  <c r="P23" i="26"/>
  <c r="DS64" i="13"/>
  <c r="DS67" i="13" s="1"/>
  <c r="DC5" i="35"/>
  <c r="DC35" i="35"/>
  <c r="DS55" i="12"/>
  <c r="DS57" i="12" s="1"/>
  <c r="DS61" i="12"/>
  <c r="DZ5" i="14"/>
  <c r="DS108" i="2"/>
  <c r="DS109" i="2" s="1"/>
  <c r="DS104" i="2"/>
  <c r="DS142" i="2" s="1"/>
  <c r="DS11" i="12"/>
  <c r="DT19" i="13" s="1"/>
  <c r="DS35" i="12"/>
  <c r="DV5" i="12"/>
  <c r="DR5" i="12"/>
  <c r="DZ5" i="12"/>
  <c r="N12" i="42"/>
  <c r="AA11" i="42"/>
  <c r="V11" i="42"/>
  <c r="AA12" i="42"/>
  <c r="N11" i="42"/>
  <c r="AF11" i="37"/>
  <c r="O12" i="42"/>
  <c r="AK11" i="37"/>
  <c r="S11" i="37"/>
  <c r="AK9" i="37"/>
  <c r="O11" i="42"/>
  <c r="S9" i="37"/>
  <c r="Z11" i="37"/>
  <c r="V12" i="42"/>
  <c r="AF9" i="37"/>
  <c r="Z9" i="37"/>
  <c r="W9" i="37" l="1"/>
  <c r="AQ28" i="40"/>
  <c r="AR79" i="40"/>
  <c r="AR67" i="40"/>
  <c r="AR69" i="40"/>
  <c r="AR54" i="40"/>
  <c r="AR15" i="40"/>
  <c r="AR50" i="40"/>
  <c r="AR20" i="40"/>
  <c r="AR75" i="40"/>
  <c r="AR74" i="40"/>
  <c r="AR45" i="40"/>
  <c r="AR35" i="40"/>
  <c r="AR73" i="40"/>
  <c r="AR43" i="40"/>
  <c r="AR34" i="40"/>
  <c r="AR55" i="40"/>
  <c r="AR11" i="40"/>
  <c r="AR40" i="40"/>
  <c r="AS39" i="40"/>
  <c r="AS86" i="40"/>
  <c r="AS8" i="40"/>
  <c r="AS59" i="40"/>
  <c r="AS62" i="40"/>
  <c r="AS53" i="40"/>
  <c r="AS48" i="40"/>
  <c r="AS67" i="40"/>
  <c r="AS24" i="40"/>
  <c r="AS16" i="40"/>
  <c r="AS43" i="40"/>
  <c r="AS71" i="40"/>
  <c r="AS19" i="40"/>
  <c r="AS34" i="40"/>
  <c r="AR86" i="40"/>
  <c r="AR12" i="40"/>
  <c r="AR80" i="40"/>
  <c r="AR59" i="40"/>
  <c r="AR27" i="40"/>
  <c r="AR7" i="40"/>
  <c r="AR87" i="40"/>
  <c r="AR25" i="40"/>
  <c r="EM37" i="12"/>
  <c r="EL52" i="12"/>
  <c r="BG15" i="37"/>
  <c r="AC37" i="42"/>
  <c r="BB39" i="37"/>
  <c r="BB17" i="37"/>
  <c r="AC25" i="42"/>
  <c r="BG45" i="37"/>
  <c r="BG19" i="37"/>
  <c r="AG21" i="42"/>
  <c r="BB15" i="37"/>
  <c r="AG31" i="42"/>
  <c r="BG9" i="37"/>
  <c r="AC12" i="42"/>
  <c r="BB37" i="37"/>
  <c r="AG32" i="42"/>
  <c r="BB13" i="37"/>
  <c r="BG13" i="37"/>
  <c r="AM40" i="37"/>
  <c r="AG29" i="42"/>
  <c r="AM35" i="37"/>
  <c r="AR9" i="37"/>
  <c r="AC13" i="42"/>
  <c r="AG25" i="42"/>
  <c r="BB42" i="37"/>
  <c r="BB33" i="37"/>
  <c r="AM15" i="37"/>
  <c r="BG35" i="37"/>
  <c r="AW37" i="37"/>
  <c r="AM42" i="37"/>
  <c r="AC18" i="42"/>
  <c r="AC28" i="42"/>
  <c r="AW45" i="37"/>
  <c r="BB45" i="37"/>
  <c r="BG33" i="37"/>
  <c r="AC22" i="42"/>
  <c r="AW40" i="37"/>
  <c r="BG17" i="37"/>
  <c r="AW39" i="37"/>
  <c r="AC24" i="42"/>
  <c r="AC19" i="42"/>
  <c r="BB19" i="37"/>
  <c r="AM37" i="37"/>
  <c r="AG12" i="42"/>
  <c r="AG11" i="42"/>
  <c r="AG30" i="42"/>
  <c r="AC15" i="42"/>
  <c r="AG39" i="42"/>
  <c r="AG13" i="42"/>
  <c r="AR37" i="37"/>
  <c r="AG36" i="42"/>
  <c r="AC16" i="42"/>
  <c r="AM17" i="37"/>
  <c r="AR39" i="37"/>
  <c r="AG27" i="42"/>
  <c r="AM9" i="37"/>
  <c r="AN9" i="37" s="1"/>
  <c r="AC26" i="42"/>
  <c r="AW35" i="37"/>
  <c r="AG24" i="42"/>
  <c r="AG18" i="42"/>
  <c r="AW19" i="37"/>
  <c r="AW17" i="37"/>
  <c r="AG40" i="42"/>
  <c r="AM45" i="37"/>
  <c r="AC36" i="42"/>
  <c r="AW33" i="37"/>
  <c r="BG37" i="37"/>
  <c r="BB35" i="37"/>
  <c r="AM19" i="37"/>
  <c r="AM39" i="37"/>
  <c r="AM33" i="37"/>
  <c r="AW15" i="37"/>
  <c r="BB40" i="37"/>
  <c r="AC39" i="42"/>
  <c r="BB9" i="37"/>
  <c r="AG19" i="42"/>
  <c r="AG16" i="42"/>
  <c r="BG40" i="37"/>
  <c r="AR13" i="37"/>
  <c r="AG15" i="42"/>
  <c r="BG42" i="37"/>
  <c r="BG39" i="37"/>
  <c r="AR45" i="37"/>
  <c r="AR15" i="37"/>
  <c r="AW9" i="37"/>
  <c r="AG14" i="42"/>
  <c r="AR33" i="37"/>
  <c r="AC14" i="42"/>
  <c r="AW42" i="37"/>
  <c r="AR35" i="37"/>
  <c r="AG17" i="42"/>
  <c r="AG38" i="42" s="1"/>
  <c r="AR17" i="37"/>
  <c r="AC40" i="42"/>
  <c r="AR42" i="37"/>
  <c r="AG28" i="42"/>
  <c r="AR19" i="37"/>
  <c r="AC31" i="42"/>
  <c r="AG22" i="42"/>
  <c r="AC32" i="42"/>
  <c r="AW13" i="37"/>
  <c r="AR40" i="37"/>
  <c r="AC20" i="42"/>
  <c r="AC29" i="42"/>
  <c r="AG20" i="42"/>
  <c r="AC17" i="42"/>
  <c r="AG26" i="42"/>
  <c r="AC27" i="42"/>
  <c r="AC21" i="42"/>
  <c r="AG35" i="42"/>
  <c r="AC35" i="42"/>
  <c r="AC11" i="42"/>
  <c r="AM13" i="37"/>
  <c r="AC30" i="42"/>
  <c r="X18" i="42"/>
  <c r="AU5" i="40"/>
  <c r="EQ43" i="13"/>
  <c r="ER43" i="13" s="1"/>
  <c r="ER41" i="13"/>
  <c r="EI5" i="2"/>
  <c r="EE5" i="2"/>
  <c r="EF5" i="2" s="1"/>
  <c r="EG5" i="2" s="1"/>
  <c r="EI5" i="14"/>
  <c r="EE5" i="14"/>
  <c r="EF5" i="14" s="1"/>
  <c r="EG5" i="14" s="1"/>
  <c r="EO32" i="14"/>
  <c r="EN30" i="14"/>
  <c r="EJ5" i="13"/>
  <c r="EK5" i="13" s="1"/>
  <c r="EL5" i="13" s="1"/>
  <c r="EN5" i="13"/>
  <c r="EO5" i="13" s="1"/>
  <c r="EP5" i="13" s="1"/>
  <c r="EQ5" i="13" s="1"/>
  <c r="EG5" i="12"/>
  <c r="EB5" i="13"/>
  <c r="EJ5" i="12"/>
  <c r="EK5" i="12" s="1"/>
  <c r="EN5" i="12"/>
  <c r="EP9" i="12"/>
  <c r="EQ38" i="2"/>
  <c r="CB49" i="12"/>
  <c r="DQ10" i="14"/>
  <c r="T11" i="37"/>
  <c r="AG11" i="37"/>
  <c r="AA9" i="37"/>
  <c r="AC9" i="37"/>
  <c r="AL11" i="37"/>
  <c r="T9" i="37"/>
  <c r="AA11" i="37"/>
  <c r="AL9" i="37"/>
  <c r="AG9" i="37"/>
  <c r="AI9" i="37"/>
  <c r="DQ77" i="2"/>
  <c r="DS21" i="2"/>
  <c r="DS32" i="2"/>
  <c r="DS24" i="2"/>
  <c r="DP119" i="2"/>
  <c r="AP27" i="35"/>
  <c r="AP20" i="35"/>
  <c r="AP31" i="35"/>
  <c r="AP22" i="35"/>
  <c r="AP15" i="35"/>
  <c r="AP19" i="35"/>
  <c r="AP26" i="35"/>
  <c r="AP14" i="35"/>
  <c r="AP18" i="35"/>
  <c r="AQ3" i="35"/>
  <c r="DP79" i="2"/>
  <c r="DP78" i="2"/>
  <c r="DP80" i="2"/>
  <c r="DP65" i="13"/>
  <c r="DP61" i="13" s="1"/>
  <c r="DY13" i="12"/>
  <c r="EA13" i="12" s="1"/>
  <c r="DP118" i="2"/>
  <c r="DP116" i="2"/>
  <c r="DS19" i="13"/>
  <c r="CY4" i="14"/>
  <c r="CY4" i="12"/>
  <c r="CY4" i="13"/>
  <c r="E11" i="1"/>
  <c r="D24" i="1"/>
  <c r="D5" i="1"/>
  <c r="D30" i="1" s="1"/>
  <c r="D39" i="1"/>
  <c r="CX4" i="13"/>
  <c r="CX4" i="14"/>
  <c r="CX4" i="12"/>
  <c r="CV4" i="14"/>
  <c r="CV4" i="12"/>
  <c r="CV4" i="13"/>
  <c r="CF47" i="13"/>
  <c r="CF48" i="13" s="1"/>
  <c r="CD50" i="13"/>
  <c r="CE48" i="13"/>
  <c r="CJ47" i="13" s="1"/>
  <c r="CW4" i="14"/>
  <c r="CW4" i="13"/>
  <c r="CW4" i="12"/>
  <c r="CC51" i="12"/>
  <c r="CC53" i="12" s="1"/>
  <c r="CC7" i="12"/>
  <c r="CC14" i="12"/>
  <c r="CC25" i="12" s="1"/>
  <c r="DR5" i="2"/>
  <c r="BY53" i="12"/>
  <c r="BZ53" i="12" s="1"/>
  <c r="BZ51" i="12"/>
  <c r="DV5" i="2"/>
  <c r="DC4" i="2"/>
  <c r="DB4" i="2"/>
  <c r="DA4" i="2"/>
  <c r="CZ4" i="2"/>
  <c r="DI5" i="2"/>
  <c r="DD4" i="2"/>
  <c r="DZ5" i="2"/>
  <c r="BZ14" i="12"/>
  <c r="CU4" i="14"/>
  <c r="CU4" i="13"/>
  <c r="CU4" i="12"/>
  <c r="DS41" i="2"/>
  <c r="DM10" i="14"/>
  <c r="DW19" i="14"/>
  <c r="DX16" i="14"/>
  <c r="Q13" i="26" s="1"/>
  <c r="H13" i="26" s="1"/>
  <c r="DW17" i="14"/>
  <c r="DX17" i="14" s="1"/>
  <c r="DW25" i="14"/>
  <c r="DW20" i="14"/>
  <c r="DW66" i="14"/>
  <c r="DW39" i="14"/>
  <c r="DC9" i="35"/>
  <c r="DC6" i="35"/>
  <c r="DC170" i="35" s="1"/>
  <c r="DS28" i="12"/>
  <c r="DT20" i="13" s="1"/>
  <c r="DS20" i="13"/>
  <c r="DS22" i="13"/>
  <c r="DS30" i="12"/>
  <c r="DV60" i="14"/>
  <c r="DV56" i="14"/>
  <c r="DV57" i="14" s="1"/>
  <c r="DV41" i="14"/>
  <c r="DV6" i="14"/>
  <c r="DV42" i="14" s="1"/>
  <c r="DV6" i="2"/>
  <c r="DS34" i="2"/>
  <c r="DS38" i="2"/>
  <c r="DS124" i="2"/>
  <c r="DS36" i="2"/>
  <c r="EA5" i="14"/>
  <c r="DV27" i="14"/>
  <c r="DV36" i="14"/>
  <c r="DV37" i="14" s="1"/>
  <c r="DV34" i="14"/>
  <c r="DV26" i="14"/>
  <c r="AT35" i="35"/>
  <c r="AT5" i="35"/>
  <c r="AT9" i="35" s="1"/>
  <c r="AT162" i="35"/>
  <c r="DS19" i="2"/>
  <c r="EA5" i="12"/>
  <c r="DS10" i="12"/>
  <c r="DT18" i="13" s="1"/>
  <c r="DW5" i="12"/>
  <c r="AU42" i="37"/>
  <c r="BE42" i="37"/>
  <c r="AZ42" i="37"/>
  <c r="AS38" i="40" l="1"/>
  <c r="AS80" i="40"/>
  <c r="AS75" i="40"/>
  <c r="AS74" i="40"/>
  <c r="AS63" i="40"/>
  <c r="AS40" i="40"/>
  <c r="AS78" i="40"/>
  <c r="AS58" i="40"/>
  <c r="AS55" i="40"/>
  <c r="AS54" i="40"/>
  <c r="AS15" i="40"/>
  <c r="AR41" i="37"/>
  <c r="AS11" i="40"/>
  <c r="AS12" i="40"/>
  <c r="AS87" i="40"/>
  <c r="AS7" i="40"/>
  <c r="AS85" i="40"/>
  <c r="AS35" i="40"/>
  <c r="AS79" i="40"/>
  <c r="AS33" i="40"/>
  <c r="AT24" i="40"/>
  <c r="AT44" i="40"/>
  <c r="AT12" i="40"/>
  <c r="AT86" i="40"/>
  <c r="AT74" i="40"/>
  <c r="AT39" i="40"/>
  <c r="AT79" i="40"/>
  <c r="AT16" i="40"/>
  <c r="AT7" i="40"/>
  <c r="AT53" i="40"/>
  <c r="AT20" i="40"/>
  <c r="AT33" i="40"/>
  <c r="AT58" i="40"/>
  <c r="AT62" i="40"/>
  <c r="AS25" i="40"/>
  <c r="AS73" i="40"/>
  <c r="AS23" i="40"/>
  <c r="AS27" i="40"/>
  <c r="AS28" i="40" s="1"/>
  <c r="AS69" i="40"/>
  <c r="AS49" i="40"/>
  <c r="AS50" i="40"/>
  <c r="AS20" i="40"/>
  <c r="AS68" i="40"/>
  <c r="AS44" i="40"/>
  <c r="AR28" i="40"/>
  <c r="AR29" i="40"/>
  <c r="BG18" i="37"/>
  <c r="AS45" i="40"/>
  <c r="DT22" i="13"/>
  <c r="BG41" i="37"/>
  <c r="BG14" i="37"/>
  <c r="AR38" i="37"/>
  <c r="AR10" i="37"/>
  <c r="AG23" i="42"/>
  <c r="AG41" i="42"/>
  <c r="BB34" i="37"/>
  <c r="BG36" i="37"/>
  <c r="BG34" i="37"/>
  <c r="AC23" i="42"/>
  <c r="AW41" i="37"/>
  <c r="AW16" i="37"/>
  <c r="BB10" i="37"/>
  <c r="EN37" i="12"/>
  <c r="EM52" i="12"/>
  <c r="BB18" i="37"/>
  <c r="BG47" i="37"/>
  <c r="BG46" i="37"/>
  <c r="BG21" i="37"/>
  <c r="BG20" i="37"/>
  <c r="BG28" i="37"/>
  <c r="BB44" i="37"/>
  <c r="BB43" i="37"/>
  <c r="AN42" i="37"/>
  <c r="AM44" i="37"/>
  <c r="AW46" i="37"/>
  <c r="AW47" i="37"/>
  <c r="BB46" i="37"/>
  <c r="BB47" i="37"/>
  <c r="BB28" i="37"/>
  <c r="BB21" i="37"/>
  <c r="BB20" i="37"/>
  <c r="AW28" i="37"/>
  <c r="AW20" i="37"/>
  <c r="AW21" i="37"/>
  <c r="AM28" i="37"/>
  <c r="AM30" i="37" s="1"/>
  <c r="AM21" i="37"/>
  <c r="BG43" i="37"/>
  <c r="BG44" i="37"/>
  <c r="AR46" i="37"/>
  <c r="AR47" i="37"/>
  <c r="AW43" i="37"/>
  <c r="AW44" i="37"/>
  <c r="AR44" i="37"/>
  <c r="AR43" i="37"/>
  <c r="AR21" i="37"/>
  <c r="AR20" i="37"/>
  <c r="AR28" i="37"/>
  <c r="AR30" i="37" s="1"/>
  <c r="AT8" i="40"/>
  <c r="AT43" i="40"/>
  <c r="AT48" i="40"/>
  <c r="AT68" i="40"/>
  <c r="AT67" i="40"/>
  <c r="EN5" i="2"/>
  <c r="EO5" i="2" s="1"/>
  <c r="EP5" i="2" s="1"/>
  <c r="EQ5" i="2" s="1"/>
  <c r="EJ5" i="2"/>
  <c r="EK5" i="2" s="1"/>
  <c r="EL5" i="2" s="1"/>
  <c r="BG16" i="37"/>
  <c r="BG10" i="37"/>
  <c r="AW38" i="37"/>
  <c r="AW36" i="37"/>
  <c r="AW18" i="37"/>
  <c r="AM47" i="37"/>
  <c r="AW34" i="37"/>
  <c r="BG38" i="37"/>
  <c r="BB36" i="37"/>
  <c r="AM34" i="37"/>
  <c r="BB41" i="37"/>
  <c r="AC41" i="42"/>
  <c r="AR14" i="37"/>
  <c r="AR16" i="37"/>
  <c r="AW10" i="37"/>
  <c r="AR34" i="37"/>
  <c r="AR36" i="37"/>
  <c r="AR18" i="37"/>
  <c r="AW14" i="37"/>
  <c r="AC38" i="42"/>
  <c r="BB16" i="37"/>
  <c r="BB38" i="37"/>
  <c r="BB14" i="37"/>
  <c r="AM36" i="37"/>
  <c r="EP32" i="14"/>
  <c r="EO30" i="14"/>
  <c r="EN5" i="14"/>
  <c r="EJ5" i="14"/>
  <c r="EK5" i="14" s="1"/>
  <c r="EL5" i="14" s="1"/>
  <c r="BA42" i="37"/>
  <c r="BC42" i="37"/>
  <c r="AZ43" i="37"/>
  <c r="BF42" i="37"/>
  <c r="BE43" i="37"/>
  <c r="BH42" i="37"/>
  <c r="AX42" i="37"/>
  <c r="AV42" i="37"/>
  <c r="EO5" i="12"/>
  <c r="EP5" i="12" s="1"/>
  <c r="EL5" i="12"/>
  <c r="EQ9" i="12"/>
  <c r="BZ75" i="12"/>
  <c r="CC49" i="12"/>
  <c r="DQ79" i="2"/>
  <c r="DQ80" i="2"/>
  <c r="DQ78" i="2"/>
  <c r="DQ115" i="2"/>
  <c r="DQ65" i="13" s="1"/>
  <c r="DQ61" i="13" s="1"/>
  <c r="DS27" i="2"/>
  <c r="DS25" i="2"/>
  <c r="AS165" i="35"/>
  <c r="AT91" i="35"/>
  <c r="AQ31" i="35"/>
  <c r="AQ27" i="35"/>
  <c r="AQ19" i="35"/>
  <c r="AQ20" i="35"/>
  <c r="AQ15" i="35"/>
  <c r="AQ26" i="35"/>
  <c r="AQ22" i="35"/>
  <c r="AQ14" i="35"/>
  <c r="AQ18" i="35"/>
  <c r="AR3" i="35"/>
  <c r="G13" i="26"/>
  <c r="J13" i="26"/>
  <c r="F13" i="26"/>
  <c r="I13" i="26"/>
  <c r="DW5" i="2"/>
  <c r="DD4" i="14"/>
  <c r="DD4" i="12"/>
  <c r="DD4" i="13"/>
  <c r="F11" i="1"/>
  <c r="DI4" i="2"/>
  <c r="DH4" i="2"/>
  <c r="DG4" i="2"/>
  <c r="DF4" i="2"/>
  <c r="DE4" i="2"/>
  <c r="DN5" i="2"/>
  <c r="CZ4" i="14"/>
  <c r="CZ4" i="13"/>
  <c r="CZ4" i="12"/>
  <c r="BZ70" i="12"/>
  <c r="BZ72" i="12"/>
  <c r="DA4" i="14"/>
  <c r="DA4" i="13"/>
  <c r="DA4" i="12"/>
  <c r="CD52" i="13"/>
  <c r="CE50" i="13"/>
  <c r="EA5" i="2"/>
  <c r="DC4" i="14"/>
  <c r="DC4" i="13"/>
  <c r="DC4" i="12"/>
  <c r="CG47" i="13"/>
  <c r="CG48" i="13" s="1"/>
  <c r="CF50" i="13"/>
  <c r="CF52" i="13" s="1"/>
  <c r="CF8" i="12" s="1"/>
  <c r="E39" i="1"/>
  <c r="E24" i="1"/>
  <c r="E5" i="1"/>
  <c r="E30" i="1" s="1"/>
  <c r="DB4" i="13"/>
  <c r="DB4" i="12"/>
  <c r="DB4" i="14"/>
  <c r="DS42" i="2"/>
  <c r="DS43" i="2"/>
  <c r="DS62" i="12"/>
  <c r="DO74" i="12"/>
  <c r="DD229" i="35"/>
  <c r="DD230" i="35" s="1"/>
  <c r="DY16" i="14"/>
  <c r="DX19" i="14"/>
  <c r="DX66" i="14"/>
  <c r="DX20" i="14"/>
  <c r="DS44" i="2"/>
  <c r="I19" i="1" s="1"/>
  <c r="AV33" i="35"/>
  <c r="DV10" i="2"/>
  <c r="DV59" i="12" s="1"/>
  <c r="DV12" i="2"/>
  <c r="DV7" i="2"/>
  <c r="DR75" i="2"/>
  <c r="DS9" i="13"/>
  <c r="EB5" i="14"/>
  <c r="DV38" i="14"/>
  <c r="DV10" i="14"/>
  <c r="DV8" i="14"/>
  <c r="DV105" i="14"/>
  <c r="DV110" i="14"/>
  <c r="DS34" i="12"/>
  <c r="DS40" i="12" s="1"/>
  <c r="DV35" i="14"/>
  <c r="DW36" i="14"/>
  <c r="DW26" i="14"/>
  <c r="DW27" i="14"/>
  <c r="DX25" i="14"/>
  <c r="DX27" i="14" s="1"/>
  <c r="DW34" i="14"/>
  <c r="DW35" i="14" s="1"/>
  <c r="DW6" i="14"/>
  <c r="DW41" i="14"/>
  <c r="DW60" i="14"/>
  <c r="DW58" i="14"/>
  <c r="DW59" i="14" s="1"/>
  <c r="DW56" i="14"/>
  <c r="DW40" i="14"/>
  <c r="DW6" i="2"/>
  <c r="DS17" i="12"/>
  <c r="DV61" i="14"/>
  <c r="EB5" i="12"/>
  <c r="AP9" i="37"/>
  <c r="M31" i="42"/>
  <c r="AZ11" i="37"/>
  <c r="M13" i="42"/>
  <c r="AU9" i="37"/>
  <c r="M20" i="42"/>
  <c r="M16" i="42"/>
  <c r="M22" i="42"/>
  <c r="M24" i="42"/>
  <c r="M19" i="42"/>
  <c r="M18" i="42"/>
  <c r="AZ9" i="37"/>
  <c r="M17" i="42"/>
  <c r="M25" i="42"/>
  <c r="DD178" i="35" a="1"/>
  <c r="M15" i="42"/>
  <c r="AP11" i="37"/>
  <c r="AE37" i="42"/>
  <c r="M26" i="42"/>
  <c r="M21" i="42"/>
  <c r="M30" i="42"/>
  <c r="M14" i="42"/>
  <c r="M29" i="42"/>
  <c r="M32" i="42"/>
  <c r="AU11" i="37"/>
  <c r="AP42" i="37"/>
  <c r="AT71" i="40" l="1"/>
  <c r="AT19" i="40"/>
  <c r="AT87" i="40"/>
  <c r="AT27" i="40"/>
  <c r="AT28" i="40" s="1"/>
  <c r="AT69" i="40"/>
  <c r="AT54" i="40"/>
  <c r="AT11" i="40"/>
  <c r="AT25" i="40"/>
  <c r="AT23" i="40"/>
  <c r="AT15" i="40"/>
  <c r="AT55" i="40"/>
  <c r="AT50" i="40"/>
  <c r="AT49" i="40"/>
  <c r="AT45" i="40"/>
  <c r="AT85" i="40"/>
  <c r="AU78" i="40"/>
  <c r="AU53" i="40"/>
  <c r="AU7" i="40"/>
  <c r="AU63" i="40"/>
  <c r="AU25" i="40"/>
  <c r="AU44" i="40"/>
  <c r="AU48" i="40"/>
  <c r="AU69" i="40"/>
  <c r="AU71" i="40"/>
  <c r="AU19" i="40"/>
  <c r="AU59" i="40"/>
  <c r="AT78" i="40"/>
  <c r="AT59" i="40"/>
  <c r="AT80" i="40"/>
  <c r="AT34" i="40"/>
  <c r="AS29" i="40"/>
  <c r="AT75" i="40"/>
  <c r="AT40" i="40"/>
  <c r="AT35" i="40"/>
  <c r="AT63" i="40"/>
  <c r="AT73" i="40"/>
  <c r="AT38" i="40"/>
  <c r="AU43" i="37"/>
  <c r="EO37" i="12"/>
  <c r="EN52" i="12"/>
  <c r="BG30" i="37"/>
  <c r="BG29" i="37"/>
  <c r="BB30" i="37"/>
  <c r="BB29" i="37"/>
  <c r="AW29" i="37"/>
  <c r="AW30" i="37"/>
  <c r="AU16" i="40"/>
  <c r="AU15" i="40"/>
  <c r="AU39" i="40"/>
  <c r="AU38" i="40"/>
  <c r="AQ42" i="37"/>
  <c r="AS42" i="37"/>
  <c r="AP43" i="37"/>
  <c r="AQ9" i="37"/>
  <c r="AP10" i="37"/>
  <c r="AS9" i="37"/>
  <c r="AP12" i="37"/>
  <c r="AQ12" i="37" s="1"/>
  <c r="AQ11" i="37"/>
  <c r="DS26" i="2"/>
  <c r="I25" i="1"/>
  <c r="BA9" i="37"/>
  <c r="BC9" i="37"/>
  <c r="BA11" i="37"/>
  <c r="EO5" i="14"/>
  <c r="EQ32" i="14"/>
  <c r="EQ30" i="14" s="1"/>
  <c r="EP30" i="14"/>
  <c r="EQ5" i="12"/>
  <c r="ER9" i="12"/>
  <c r="AZ10" i="37"/>
  <c r="AZ12" i="37"/>
  <c r="BA12" i="37" s="1"/>
  <c r="M41" i="42"/>
  <c r="M38" i="42"/>
  <c r="M23" i="42"/>
  <c r="X24" i="42"/>
  <c r="AR55" i="35"/>
  <c r="AR40" i="35"/>
  <c r="AQ69" i="35"/>
  <c r="AR45" i="35"/>
  <c r="AQ70" i="35"/>
  <c r="AR60" i="35"/>
  <c r="AR62" i="35"/>
  <c r="AR44" i="35"/>
  <c r="AR50" i="35"/>
  <c r="AR53" i="35"/>
  <c r="AR72" i="35"/>
  <c r="AR48" i="35"/>
  <c r="AR58" i="35"/>
  <c r="AR66" i="35"/>
  <c r="AR64" i="35"/>
  <c r="DR77" i="2"/>
  <c r="DQ116" i="2"/>
  <c r="DQ118" i="2"/>
  <c r="DQ117" i="2"/>
  <c r="DQ119" i="2"/>
  <c r="DD178" i="35"/>
  <c r="DV20" i="2"/>
  <c r="AU91" i="35"/>
  <c r="AB26" i="35"/>
  <c r="AC15" i="35"/>
  <c r="R14" i="35"/>
  <c r="R18" i="35"/>
  <c r="N14" i="35"/>
  <c r="F18" i="35"/>
  <c r="J18" i="35"/>
  <c r="J14" i="35"/>
  <c r="N18" i="35"/>
  <c r="H18" i="35"/>
  <c r="R26" i="35"/>
  <c r="S15" i="35"/>
  <c r="O14" i="35"/>
  <c r="J31" i="35"/>
  <c r="O19" i="35"/>
  <c r="K19" i="35"/>
  <c r="J19" i="35"/>
  <c r="DA31" i="35"/>
  <c r="N15" i="35"/>
  <c r="N22" i="35"/>
  <c r="N20" i="35"/>
  <c r="G26" i="35"/>
  <c r="R15" i="35"/>
  <c r="P22" i="35"/>
  <c r="O27" i="35"/>
  <c r="T26" i="35"/>
  <c r="J15" i="35"/>
  <c r="J22" i="35"/>
  <c r="L22" i="35"/>
  <c r="CW31" i="35"/>
  <c r="CV31" i="35"/>
  <c r="K20" i="35"/>
  <c r="T14" i="35"/>
  <c r="S14" i="35"/>
  <c r="R19" i="35"/>
  <c r="CY31" i="35"/>
  <c r="N31" i="35"/>
  <c r="S19" i="35"/>
  <c r="M26" i="35"/>
  <c r="R22" i="35"/>
  <c r="R20" i="35"/>
  <c r="F20" i="35"/>
  <c r="H19" i="35"/>
  <c r="K15" i="35"/>
  <c r="K27" i="35"/>
  <c r="S22" i="35"/>
  <c r="O22" i="35"/>
  <c r="N26" i="35"/>
  <c r="P26" i="35"/>
  <c r="T15" i="35"/>
  <c r="T27" i="35"/>
  <c r="T20" i="35"/>
  <c r="F31" i="35"/>
  <c r="P20" i="35"/>
  <c r="H31" i="35"/>
  <c r="M22" i="35"/>
  <c r="F22" i="35"/>
  <c r="P31" i="35"/>
  <c r="R31" i="35"/>
  <c r="G22" i="35"/>
  <c r="N27" i="35"/>
  <c r="S27" i="35"/>
  <c r="K22" i="35"/>
  <c r="O18" i="35"/>
  <c r="G18" i="35"/>
  <c r="N19" i="35"/>
  <c r="T22" i="35"/>
  <c r="DB31" i="35"/>
  <c r="G27" i="35"/>
  <c r="S31" i="35"/>
  <c r="P27" i="35"/>
  <c r="K26" i="35"/>
  <c r="O26" i="35"/>
  <c r="J20" i="35"/>
  <c r="CX31" i="35"/>
  <c r="K31" i="35"/>
  <c r="K14" i="35"/>
  <c r="T19" i="35"/>
  <c r="F27" i="35"/>
  <c r="L15" i="35"/>
  <c r="CZ31" i="35"/>
  <c r="F19" i="35"/>
  <c r="F26" i="35"/>
  <c r="G19" i="35"/>
  <c r="DC31" i="35"/>
  <c r="R27" i="35"/>
  <c r="CU31" i="35"/>
  <c r="T31" i="35"/>
  <c r="CT31" i="35"/>
  <c r="K18" i="35"/>
  <c r="S26" i="35"/>
  <c r="H20" i="35"/>
  <c r="O20" i="35"/>
  <c r="J26" i="35"/>
  <c r="S20" i="35"/>
  <c r="O15" i="35"/>
  <c r="O31" i="35"/>
  <c r="S18" i="35"/>
  <c r="L27" i="35"/>
  <c r="G31" i="35"/>
  <c r="J27" i="35"/>
  <c r="G20" i="35"/>
  <c r="H26" i="35"/>
  <c r="M15" i="35"/>
  <c r="P18" i="35"/>
  <c r="L31" i="35"/>
  <c r="H22" i="35"/>
  <c r="T18" i="35"/>
  <c r="P19" i="35"/>
  <c r="L14" i="35"/>
  <c r="L18" i="35"/>
  <c r="L20" i="35"/>
  <c r="P15" i="35"/>
  <c r="L26" i="35"/>
  <c r="U18" i="35"/>
  <c r="P14" i="35"/>
  <c r="L19" i="35"/>
  <c r="H27" i="35"/>
  <c r="Q31" i="35"/>
  <c r="U20" i="35"/>
  <c r="M27" i="35"/>
  <c r="U14" i="35"/>
  <c r="M20" i="35"/>
  <c r="U15" i="35"/>
  <c r="V18" i="35"/>
  <c r="V14" i="35"/>
  <c r="I22" i="35"/>
  <c r="I31" i="35"/>
  <c r="I18" i="35"/>
  <c r="U19" i="35"/>
  <c r="U26" i="35"/>
  <c r="Q15" i="35"/>
  <c r="Q19" i="35"/>
  <c r="M14" i="35"/>
  <c r="M31" i="35"/>
  <c r="I27" i="35"/>
  <c r="U22" i="35"/>
  <c r="Q27" i="35"/>
  <c r="I19" i="35"/>
  <c r="M18" i="35"/>
  <c r="V26" i="35"/>
  <c r="M19" i="35"/>
  <c r="Q18" i="35"/>
  <c r="Q20" i="35"/>
  <c r="Q14" i="35"/>
  <c r="U31" i="35"/>
  <c r="I26" i="35"/>
  <c r="U27" i="35"/>
  <c r="Q26" i="35"/>
  <c r="I20" i="35"/>
  <c r="Q22" i="35"/>
  <c r="V27" i="35"/>
  <c r="V15" i="35"/>
  <c r="V20" i="35"/>
  <c r="V19" i="35"/>
  <c r="V31" i="35"/>
  <c r="X20" i="35"/>
  <c r="V22" i="35"/>
  <c r="W14" i="35"/>
  <c r="W26" i="35"/>
  <c r="X31" i="35"/>
  <c r="X15" i="35"/>
  <c r="W19" i="35"/>
  <c r="W20" i="35"/>
  <c r="X19" i="35"/>
  <c r="W31" i="35"/>
  <c r="W27" i="35"/>
  <c r="W22" i="35"/>
  <c r="W15" i="35"/>
  <c r="W18" i="35"/>
  <c r="X14" i="35"/>
  <c r="X26" i="35"/>
  <c r="X18" i="35"/>
  <c r="Y14" i="35"/>
  <c r="X22" i="35"/>
  <c r="X27" i="35"/>
  <c r="Z18" i="35"/>
  <c r="Y18" i="35"/>
  <c r="Y26" i="35"/>
  <c r="Y20" i="35"/>
  <c r="Y22" i="35"/>
  <c r="Y31" i="35"/>
  <c r="Y27" i="35"/>
  <c r="Z20" i="35"/>
  <c r="Y19" i="35"/>
  <c r="Y15" i="35"/>
  <c r="Z26" i="35"/>
  <c r="AA14" i="35"/>
  <c r="Z27" i="35"/>
  <c r="AA15" i="35"/>
  <c r="Z22" i="35"/>
  <c r="AA18" i="35"/>
  <c r="AA26" i="35"/>
  <c r="Z15" i="35"/>
  <c r="AA31" i="35"/>
  <c r="Z14" i="35"/>
  <c r="Z31" i="35"/>
  <c r="AC27" i="35"/>
  <c r="AB27" i="35"/>
  <c r="AB18" i="35"/>
  <c r="AB19" i="35"/>
  <c r="AB31" i="35"/>
  <c r="AB22" i="35"/>
  <c r="AC20" i="35"/>
  <c r="AB20" i="35"/>
  <c r="AC22" i="35"/>
  <c r="AC19" i="35"/>
  <c r="AB15" i="35"/>
  <c r="AB14" i="35"/>
  <c r="AR27" i="35"/>
  <c r="AR26" i="35"/>
  <c r="AR22" i="35"/>
  <c r="AR19" i="35"/>
  <c r="AR31" i="35"/>
  <c r="AR15" i="35"/>
  <c r="AR20" i="35"/>
  <c r="AS3" i="35"/>
  <c r="AS55" i="35" s="1"/>
  <c r="AR14" i="35"/>
  <c r="AR18" i="35"/>
  <c r="BY49" i="12"/>
  <c r="AV9" i="37"/>
  <c r="AV11" i="37"/>
  <c r="BZ49" i="12"/>
  <c r="BZ73" i="12"/>
  <c r="DM4" i="2"/>
  <c r="DN4" i="2"/>
  <c r="DK4" i="2"/>
  <c r="DJ4" i="2"/>
  <c r="DS5" i="2"/>
  <c r="DL4" i="2"/>
  <c r="DE4" i="14"/>
  <c r="DE4" i="13"/>
  <c r="DE4" i="12"/>
  <c r="F24" i="1"/>
  <c r="F5" i="1"/>
  <c r="EB5" i="2"/>
  <c r="CF14" i="12"/>
  <c r="CF25" i="12" s="1"/>
  <c r="CF51" i="12"/>
  <c r="CF53" i="12" s="1"/>
  <c r="CF7" i="12"/>
  <c r="DF4" i="13"/>
  <c r="DF4" i="14"/>
  <c r="DF4" i="12"/>
  <c r="CH47" i="13"/>
  <c r="CH48" i="13" s="1"/>
  <c r="CG50" i="13"/>
  <c r="CG52" i="13" s="1"/>
  <c r="CG8" i="12" s="1"/>
  <c r="DG4" i="14"/>
  <c r="DG4" i="13"/>
  <c r="DG4" i="12"/>
  <c r="CD8" i="12"/>
  <c r="CE52" i="13"/>
  <c r="DH4" i="14"/>
  <c r="DH4" i="13"/>
  <c r="DH4" i="12"/>
  <c r="DI4" i="14"/>
  <c r="DI4" i="13"/>
  <c r="DI4" i="12"/>
  <c r="G11" i="1"/>
  <c r="AU12" i="37"/>
  <c r="AV12" i="37" s="1"/>
  <c r="AX9" i="37"/>
  <c r="AU10" i="37"/>
  <c r="DY17" i="14"/>
  <c r="DY19" i="14"/>
  <c r="DY25" i="14"/>
  <c r="DZ16" i="14"/>
  <c r="DY39" i="14"/>
  <c r="DY66" i="14"/>
  <c r="DY20" i="14"/>
  <c r="DW7" i="14"/>
  <c r="DW38" i="14"/>
  <c r="DW10" i="14"/>
  <c r="DW105" i="14"/>
  <c r="DW8" i="14"/>
  <c r="DW110" i="14"/>
  <c r="DW37" i="14"/>
  <c r="DX36" i="14"/>
  <c r="DX37" i="14" s="1"/>
  <c r="DV18" i="2"/>
  <c r="DS39" i="12"/>
  <c r="AW33" i="35"/>
  <c r="DW12" i="2"/>
  <c r="DW10" i="2"/>
  <c r="DW59" i="12" s="1"/>
  <c r="DW7" i="2"/>
  <c r="DW42" i="14"/>
  <c r="DW54" i="14"/>
  <c r="DW61" i="14"/>
  <c r="AV35" i="35"/>
  <c r="AV5" i="35"/>
  <c r="AV9" i="35" s="1"/>
  <c r="DV104" i="2"/>
  <c r="DV64" i="13"/>
  <c r="DV67" i="13" s="1"/>
  <c r="DV85" i="2"/>
  <c r="DV55" i="12"/>
  <c r="DV57" i="12" s="1"/>
  <c r="DV35" i="2"/>
  <c r="DV61" i="12"/>
  <c r="DV106" i="2"/>
  <c r="DV105" i="2"/>
  <c r="DV33" i="2"/>
  <c r="DV82" i="2"/>
  <c r="DV39" i="2"/>
  <c r="DV107" i="2"/>
  <c r="DV84" i="2"/>
  <c r="DV31" i="2"/>
  <c r="DV83" i="2"/>
  <c r="DV37" i="2"/>
  <c r="DV11" i="2"/>
  <c r="AV162" i="35" s="1"/>
  <c r="DV10" i="12"/>
  <c r="DS46" i="2"/>
  <c r="I27" i="1" s="1"/>
  <c r="DS45" i="2"/>
  <c r="I35" i="1"/>
  <c r="DW57" i="14"/>
  <c r="DS74" i="2"/>
  <c r="DX34" i="14"/>
  <c r="DS10" i="13"/>
  <c r="DS75" i="2" s="1"/>
  <c r="DS18" i="13"/>
  <c r="DS23" i="13" s="1"/>
  <c r="N18" i="42"/>
  <c r="L31" i="42"/>
  <c r="L20" i="42"/>
  <c r="V18" i="42"/>
  <c r="L18" i="42"/>
  <c r="AF17" i="37"/>
  <c r="L25" i="42"/>
  <c r="L14" i="42"/>
  <c r="N14" i="42"/>
  <c r="O25" i="37"/>
  <c r="N13" i="42"/>
  <c r="K22" i="37"/>
  <c r="L26" i="42"/>
  <c r="L24" i="42"/>
  <c r="N20" i="42"/>
  <c r="L16" i="42"/>
  <c r="Z25" i="37"/>
  <c r="N19" i="42"/>
  <c r="V13" i="42"/>
  <c r="AE12" i="42"/>
  <c r="N31" i="42"/>
  <c r="Z17" i="37"/>
  <c r="Z13" i="37"/>
  <c r="V17" i="42"/>
  <c r="V15" i="42"/>
  <c r="AF15" i="37"/>
  <c r="N24" i="42"/>
  <c r="N26" i="42"/>
  <c r="V16" i="42"/>
  <c r="Z15" i="37"/>
  <c r="L17" i="42"/>
  <c r="AF13" i="37"/>
  <c r="N32" i="42"/>
  <c r="L13" i="42"/>
  <c r="N29" i="42"/>
  <c r="L15" i="42"/>
  <c r="N30" i="42"/>
  <c r="AE11" i="42"/>
  <c r="K25" i="37"/>
  <c r="N16" i="42"/>
  <c r="Z22" i="37"/>
  <c r="N21" i="42"/>
  <c r="L30" i="42"/>
  <c r="N15" i="42"/>
  <c r="L19" i="42"/>
  <c r="L21" i="42"/>
  <c r="L32" i="42"/>
  <c r="N17" i="42"/>
  <c r="N22" i="42"/>
  <c r="L29" i="42"/>
  <c r="L22" i="42"/>
  <c r="O22" i="37"/>
  <c r="N25" i="42"/>
  <c r="V14" i="42"/>
  <c r="AF25" i="37"/>
  <c r="AT29" i="40" l="1"/>
  <c r="N38" i="42"/>
  <c r="N23" i="42"/>
  <c r="AU74" i="40"/>
  <c r="AU67" i="40"/>
  <c r="AU68" i="40"/>
  <c r="AU49" i="40"/>
  <c r="AU45" i="40"/>
  <c r="AU80" i="40"/>
  <c r="AU55" i="40"/>
  <c r="AU12" i="40"/>
  <c r="AU87" i="40"/>
  <c r="AU24" i="40"/>
  <c r="AU54" i="40"/>
  <c r="AU11" i="40"/>
  <c r="AU50" i="40"/>
  <c r="AU23" i="40"/>
  <c r="AU75" i="40"/>
  <c r="AU79" i="40"/>
  <c r="AU27" i="40"/>
  <c r="AU28" i="40" s="1"/>
  <c r="AU43" i="40"/>
  <c r="AG25" i="37"/>
  <c r="AU73" i="40"/>
  <c r="AU85" i="40"/>
  <c r="AU62" i="40"/>
  <c r="AU33" i="40"/>
  <c r="AU86" i="40"/>
  <c r="AU40" i="40"/>
  <c r="AU34" i="40"/>
  <c r="AU58" i="40"/>
  <c r="AU35" i="40"/>
  <c r="DS4" i="2"/>
  <c r="AU20" i="40"/>
  <c r="AU8" i="40"/>
  <c r="S30" i="42"/>
  <c r="L23" i="42"/>
  <c r="S16" i="42"/>
  <c r="AF27" i="37"/>
  <c r="AG27" i="37" s="1"/>
  <c r="S14" i="42"/>
  <c r="AF26" i="37"/>
  <c r="AG26" i="37" s="1"/>
  <c r="S20" i="42"/>
  <c r="S32" i="42"/>
  <c r="EO52" i="12"/>
  <c r="EP37" i="12"/>
  <c r="AS10" i="37"/>
  <c r="AQ10" i="37"/>
  <c r="L38" i="42"/>
  <c r="S18" i="42"/>
  <c r="L41" i="42"/>
  <c r="EP5" i="14"/>
  <c r="AS60" i="35"/>
  <c r="AS44" i="35"/>
  <c r="AS45" i="35"/>
  <c r="AS64" i="35"/>
  <c r="AS58" i="35"/>
  <c r="AS48" i="35"/>
  <c r="AS50" i="35"/>
  <c r="AS66" i="35"/>
  <c r="AS53" i="35"/>
  <c r="AS62" i="35"/>
  <c r="BC10" i="37"/>
  <c r="BA10" i="37"/>
  <c r="AA22" i="37"/>
  <c r="Z24" i="37"/>
  <c r="AA24" i="37" s="1"/>
  <c r="AA25" i="37"/>
  <c r="Z27" i="37"/>
  <c r="AA27" i="37" s="1"/>
  <c r="AA13" i="37"/>
  <c r="AC13" i="37"/>
  <c r="Z44" i="37"/>
  <c r="AC44" i="37" s="1"/>
  <c r="V38" i="42"/>
  <c r="AI15" i="37"/>
  <c r="AG15" i="37"/>
  <c r="AA17" i="37"/>
  <c r="AC17" i="37"/>
  <c r="AA15" i="37"/>
  <c r="AC15" i="37"/>
  <c r="AI13" i="37"/>
  <c r="AG13" i="37"/>
  <c r="AF44" i="37"/>
  <c r="AG44" i="37" s="1"/>
  <c r="AG17" i="37"/>
  <c r="AI17" i="37"/>
  <c r="DR4" i="2"/>
  <c r="DQ4" i="2"/>
  <c r="CF49" i="12"/>
  <c r="DR78" i="2"/>
  <c r="DR79" i="2"/>
  <c r="DR115" i="2"/>
  <c r="DR65" i="13" s="1"/>
  <c r="DR61" i="13" s="1"/>
  <c r="DR80" i="2"/>
  <c r="DV21" i="2"/>
  <c r="DV24" i="2"/>
  <c r="AT165" i="35"/>
  <c r="AR69" i="35"/>
  <c r="AR73" i="35" s="1"/>
  <c r="AS19" i="35"/>
  <c r="AS20" i="35"/>
  <c r="AS22" i="35"/>
  <c r="AS15" i="35"/>
  <c r="AS27" i="35"/>
  <c r="AS26" i="35"/>
  <c r="AS31" i="35"/>
  <c r="AS18" i="35"/>
  <c r="AS14" i="35"/>
  <c r="AT3" i="35"/>
  <c r="AT40" i="35" s="1"/>
  <c r="DX35" i="14"/>
  <c r="DD179" i="35"/>
  <c r="DP4" i="2"/>
  <c r="DO4" i="2"/>
  <c r="AV10" i="37"/>
  <c r="AX10" i="37"/>
  <c r="DL4" i="14"/>
  <c r="DL4" i="12"/>
  <c r="DL4" i="13"/>
  <c r="DX5" i="2"/>
  <c r="DU4" i="2" s="1"/>
  <c r="G5" i="1"/>
  <c r="G24" i="1"/>
  <c r="DJ4" i="13"/>
  <c r="DJ4" i="14"/>
  <c r="DJ4" i="12"/>
  <c r="DK4" i="14"/>
  <c r="DK4" i="13"/>
  <c r="DK4" i="12"/>
  <c r="CE8" i="12"/>
  <c r="CD51" i="12"/>
  <c r="CD14" i="12"/>
  <c r="CD25" i="12" s="1"/>
  <c r="CE25" i="12" s="1"/>
  <c r="CD7" i="12"/>
  <c r="CE7" i="12" s="1"/>
  <c r="CG7" i="12"/>
  <c r="CG14" i="12"/>
  <c r="CG25" i="12" s="1"/>
  <c r="CG51" i="12"/>
  <c r="CG53" i="12" s="1"/>
  <c r="CI47" i="13"/>
  <c r="CI48" i="13" s="1"/>
  <c r="CH50" i="13"/>
  <c r="CH52" i="13" s="1"/>
  <c r="CH8" i="12" s="1"/>
  <c r="F39" i="1"/>
  <c r="F30" i="1"/>
  <c r="DN4" i="13"/>
  <c r="DN4" i="14"/>
  <c r="DN4" i="12"/>
  <c r="H11" i="1"/>
  <c r="DM4" i="14"/>
  <c r="DM4" i="13"/>
  <c r="DM4" i="12"/>
  <c r="DC187" i="35"/>
  <c r="AO21" i="35"/>
  <c r="CZ187" i="35"/>
  <c r="V21" i="35"/>
  <c r="AB21" i="35"/>
  <c r="T21" i="35"/>
  <c r="AN21" i="35"/>
  <c r="R21" i="35"/>
  <c r="M21" i="35"/>
  <c r="AF21" i="35"/>
  <c r="X21" i="35"/>
  <c r="Y21" i="35"/>
  <c r="AL21" i="35"/>
  <c r="AA21" i="35"/>
  <c r="K21" i="35"/>
  <c r="L21" i="35"/>
  <c r="U21" i="35"/>
  <c r="AR21" i="35"/>
  <c r="P21" i="35"/>
  <c r="AI21" i="35"/>
  <c r="AH21" i="35"/>
  <c r="CX187" i="35"/>
  <c r="AM21" i="35"/>
  <c r="AG21" i="35"/>
  <c r="AK21" i="35"/>
  <c r="DB187" i="35"/>
  <c r="CV187" i="35"/>
  <c r="N21" i="35"/>
  <c r="AP21" i="35"/>
  <c r="CY187" i="35"/>
  <c r="DV86" i="2"/>
  <c r="DV19" i="2"/>
  <c r="DV28" i="12"/>
  <c r="DZ17" i="14"/>
  <c r="EA16" i="14"/>
  <c r="DZ19" i="14"/>
  <c r="DZ25" i="14"/>
  <c r="DZ20" i="14"/>
  <c r="DZ66" i="14"/>
  <c r="AC21" i="35"/>
  <c r="DV11" i="12"/>
  <c r="DV35" i="12"/>
  <c r="DV30" i="12"/>
  <c r="CU187" i="35"/>
  <c r="DV41" i="2"/>
  <c r="W21" i="35"/>
  <c r="DV108" i="2"/>
  <c r="AJ21" i="35"/>
  <c r="AE21" i="35"/>
  <c r="DW39" i="2"/>
  <c r="DW85" i="2"/>
  <c r="DW83" i="2"/>
  <c r="DW33" i="2"/>
  <c r="AW35" i="35"/>
  <c r="DW61" i="12"/>
  <c r="DW55" i="12"/>
  <c r="DW57" i="12" s="1"/>
  <c r="DW105" i="2"/>
  <c r="DW107" i="2"/>
  <c r="DW106" i="2"/>
  <c r="DX13" i="12"/>
  <c r="DZ13" i="12" s="1"/>
  <c r="EB13" i="12" s="1"/>
  <c r="ED13" i="12" s="1"/>
  <c r="EF13" i="12" s="1"/>
  <c r="AW5" i="35"/>
  <c r="AW9" i="35" s="1"/>
  <c r="DW64" i="13"/>
  <c r="DW67" i="13" s="1"/>
  <c r="DW104" i="2"/>
  <c r="DW35" i="2"/>
  <c r="DW84" i="2"/>
  <c r="DW31" i="2"/>
  <c r="DW37" i="2"/>
  <c r="DW11" i="2"/>
  <c r="AW162" i="35" s="1"/>
  <c r="DW10" i="12"/>
  <c r="DX10" i="12" s="1"/>
  <c r="DY27" i="14"/>
  <c r="DY36" i="14"/>
  <c r="DY37" i="14" s="1"/>
  <c r="DY34" i="14"/>
  <c r="DY26" i="14"/>
  <c r="Z21" i="35"/>
  <c r="DS77" i="2"/>
  <c r="I16" i="1" s="1"/>
  <c r="I33" i="1" s="1"/>
  <c r="Q21" i="35"/>
  <c r="CW187" i="35"/>
  <c r="DW20" i="2"/>
  <c r="DW18" i="2"/>
  <c r="DT75" i="2"/>
  <c r="DT77" i="2" s="1"/>
  <c r="AQ21" i="35"/>
  <c r="DA187" i="35"/>
  <c r="DW55" i="14"/>
  <c r="DW47" i="14"/>
  <c r="S21" i="35"/>
  <c r="J21" i="35"/>
  <c r="O21" i="35"/>
  <c r="AD21" i="35"/>
  <c r="DY56" i="14"/>
  <c r="DY58" i="14"/>
  <c r="DY60" i="14"/>
  <c r="DY6" i="2"/>
  <c r="DY41" i="14"/>
  <c r="DY6" i="14"/>
  <c r="DY40" i="14"/>
  <c r="V22" i="42"/>
  <c r="V19" i="42"/>
  <c r="AF22" i="37"/>
  <c r="P22" i="37"/>
  <c r="P25" i="37"/>
  <c r="Z19" i="37"/>
  <c r="Z28" i="37"/>
  <c r="M9" i="42" l="1"/>
  <c r="V23" i="42"/>
  <c r="Z30" i="37"/>
  <c r="AA30" i="37" s="1"/>
  <c r="AA28" i="37"/>
  <c r="AC28" i="37"/>
  <c r="AA19" i="37"/>
  <c r="Z21" i="37"/>
  <c r="AA21" i="37" s="1"/>
  <c r="AC19" i="37"/>
  <c r="AF24" i="37"/>
  <c r="AG24" i="37" s="1"/>
  <c r="AF23" i="37"/>
  <c r="AG23" i="37" s="1"/>
  <c r="AG22" i="37"/>
  <c r="AU29" i="40"/>
  <c r="L9" i="42"/>
  <c r="P26" i="37"/>
  <c r="P23" i="37"/>
  <c r="DT80" i="2"/>
  <c r="DT78" i="2"/>
  <c r="DT79" i="2"/>
  <c r="EQ37" i="12"/>
  <c r="EP52" i="12"/>
  <c r="DT4" i="2"/>
  <c r="P9" i="42" s="1"/>
  <c r="O9" i="42" s="1"/>
  <c r="EQ5" i="14"/>
  <c r="DY42" i="14"/>
  <c r="AT60" i="35"/>
  <c r="AT55" i="35"/>
  <c r="AT62" i="35"/>
  <c r="AT44" i="35"/>
  <c r="AT58" i="35"/>
  <c r="AT72" i="35"/>
  <c r="AT48" i="35"/>
  <c r="AT50" i="35"/>
  <c r="AT66" i="35"/>
  <c r="AT53" i="35"/>
  <c r="AT45" i="35"/>
  <c r="AT64" i="35"/>
  <c r="AA44" i="37"/>
  <c r="AI44" i="37"/>
  <c r="CG49" i="12"/>
  <c r="DR118" i="2"/>
  <c r="DR117" i="2"/>
  <c r="DR119" i="2"/>
  <c r="DV25" i="2"/>
  <c r="DV26" i="2" s="1"/>
  <c r="DV27" i="2"/>
  <c r="DV100" i="2"/>
  <c r="DV102" i="2" s="1"/>
  <c r="DV44" i="2"/>
  <c r="DW48" i="14"/>
  <c r="AW91" i="35"/>
  <c r="AR70" i="35"/>
  <c r="AS21" i="35"/>
  <c r="AT22" i="35"/>
  <c r="AT31" i="35"/>
  <c r="AU3" i="35"/>
  <c r="DR4" i="13"/>
  <c r="DR4" i="14"/>
  <c r="DR4" i="12"/>
  <c r="I11" i="1"/>
  <c r="DS4" i="14"/>
  <c r="DS4" i="13"/>
  <c r="DS4" i="12"/>
  <c r="G30" i="1"/>
  <c r="G39" i="1"/>
  <c r="CH51" i="12"/>
  <c r="CH53" i="12" s="1"/>
  <c r="CH7" i="12"/>
  <c r="CH14" i="12"/>
  <c r="CH25" i="12" s="1"/>
  <c r="DO4" i="14"/>
  <c r="DO4" i="13"/>
  <c r="DO4" i="12"/>
  <c r="H24" i="1"/>
  <c r="H5" i="1"/>
  <c r="CE14" i="12"/>
  <c r="CK47" i="13"/>
  <c r="CK48" i="13" s="1"/>
  <c r="CJ48" i="13"/>
  <c r="CO47" i="13" s="1"/>
  <c r="CI50" i="13"/>
  <c r="DP4" i="14"/>
  <c r="DP4" i="13"/>
  <c r="DP4" i="12"/>
  <c r="CD53" i="12"/>
  <c r="CE53" i="12" s="1"/>
  <c r="CE51" i="12"/>
  <c r="EC5" i="2"/>
  <c r="DX4" i="2"/>
  <c r="AB9" i="42" s="1"/>
  <c r="AA9" i="42" s="1"/>
  <c r="DW4" i="2"/>
  <c r="DV4" i="2"/>
  <c r="DQ4" i="14"/>
  <c r="DQ4" i="13"/>
  <c r="DQ4" i="12"/>
  <c r="DW30" i="12"/>
  <c r="DW11" i="12"/>
  <c r="DX11" i="12" s="1"/>
  <c r="DW35" i="12"/>
  <c r="DX35" i="12" s="1"/>
  <c r="AX33" i="35"/>
  <c r="DY12" i="2"/>
  <c r="DY10" i="2"/>
  <c r="DY7" i="2"/>
  <c r="DW41" i="2"/>
  <c r="DS79" i="2"/>
  <c r="DS78" i="2"/>
  <c r="DY35" i="14"/>
  <c r="DZ27" i="14"/>
  <c r="DZ26" i="14"/>
  <c r="DZ34" i="14"/>
  <c r="DZ35" i="14" s="1"/>
  <c r="DZ36" i="14"/>
  <c r="DZ37" i="14" s="1"/>
  <c r="EA39" i="14"/>
  <c r="EA25" i="14"/>
  <c r="EB16" i="14"/>
  <c r="EA19" i="14"/>
  <c r="EA17" i="14"/>
  <c r="EA20" i="14"/>
  <c r="EA66" i="14"/>
  <c r="DY54" i="14"/>
  <c r="DY61" i="14"/>
  <c r="DY59" i="14"/>
  <c r="DW18" i="13"/>
  <c r="DW108" i="2"/>
  <c r="DV34" i="12"/>
  <c r="DV40" i="12" s="1"/>
  <c r="DV11" i="13"/>
  <c r="DV68" i="13" s="1"/>
  <c r="DV122" i="2"/>
  <c r="DV87" i="2"/>
  <c r="DY57" i="14"/>
  <c r="DV43" i="2"/>
  <c r="DV62" i="12"/>
  <c r="DV42" i="2"/>
  <c r="DY10" i="14"/>
  <c r="DY38" i="14"/>
  <c r="DY8" i="14"/>
  <c r="DY7" i="14"/>
  <c r="DW24" i="2"/>
  <c r="DW19" i="2"/>
  <c r="DW28" i="12"/>
  <c r="DW21" i="2"/>
  <c r="DV124" i="2"/>
  <c r="DV9" i="13"/>
  <c r="DV109" i="2"/>
  <c r="V25" i="42"/>
  <c r="Z33" i="37"/>
  <c r="AF19" i="37"/>
  <c r="V24" i="42"/>
  <c r="AF28" i="37"/>
  <c r="V21" i="42"/>
  <c r="V20" i="42"/>
  <c r="AC30" i="37" l="1"/>
  <c r="N9" i="42"/>
  <c r="AC21" i="37"/>
  <c r="AI19" i="37"/>
  <c r="AF21" i="37"/>
  <c r="AI21" i="37" s="1"/>
  <c r="AG19" i="37"/>
  <c r="AI28" i="37"/>
  <c r="AG28" i="37"/>
  <c r="AF30" i="37"/>
  <c r="AI30" i="37" s="1"/>
  <c r="EQ52" i="12"/>
  <c r="ER37" i="12"/>
  <c r="ER52" i="12" s="1"/>
  <c r="Z34" i="37"/>
  <c r="AC33" i="37"/>
  <c r="AA33" i="37"/>
  <c r="EH5" i="2"/>
  <c r="DY59" i="12"/>
  <c r="F53" i="35"/>
  <c r="R49" i="35"/>
  <c r="AU63" i="35"/>
  <c r="AG72" i="35"/>
  <c r="AJ54" i="35"/>
  <c r="AO61" i="35"/>
  <c r="H55" i="35"/>
  <c r="AH60" i="35"/>
  <c r="AL59" i="35"/>
  <c r="Y53" i="35"/>
  <c r="AH45" i="35"/>
  <c r="T63" i="35"/>
  <c r="AO43" i="35"/>
  <c r="Q42" i="35"/>
  <c r="AC65" i="35"/>
  <c r="AI72" i="35"/>
  <c r="K63" i="35"/>
  <c r="J63" i="35"/>
  <c r="AK50" i="35"/>
  <c r="Q49" i="35"/>
  <c r="AH59" i="35"/>
  <c r="AA45" i="35"/>
  <c r="AM66" i="35"/>
  <c r="AS59" i="35"/>
  <c r="V66" i="35"/>
  <c r="R48" i="35"/>
  <c r="N66" i="35"/>
  <c r="O42" i="35"/>
  <c r="AC61" i="35"/>
  <c r="N58" i="35"/>
  <c r="J58" i="35"/>
  <c r="AK59" i="35"/>
  <c r="M41" i="35"/>
  <c r="AC50" i="35"/>
  <c r="F50" i="35"/>
  <c r="W49" i="35"/>
  <c r="AJ55" i="35"/>
  <c r="AT61" i="35"/>
  <c r="N72" i="35"/>
  <c r="G54" i="35"/>
  <c r="L42" i="35"/>
  <c r="F55" i="35"/>
  <c r="AS41" i="35"/>
  <c r="J61" i="35"/>
  <c r="AQ43" i="35"/>
  <c r="P43" i="35"/>
  <c r="Z48" i="35"/>
  <c r="AN66" i="35"/>
  <c r="AJ49" i="35"/>
  <c r="AG62" i="35"/>
  <c r="AQ55" i="35"/>
  <c r="AJ43" i="35"/>
  <c r="W65" i="35"/>
  <c r="P64" i="35"/>
  <c r="AB45" i="35"/>
  <c r="T45" i="35"/>
  <c r="Q50" i="35"/>
  <c r="G59" i="35"/>
  <c r="AA63" i="35"/>
  <c r="AJ41" i="35"/>
  <c r="W44" i="35"/>
  <c r="AB44" i="35"/>
  <c r="AR41" i="35"/>
  <c r="AO55" i="35"/>
  <c r="AN64" i="35"/>
  <c r="L49" i="35"/>
  <c r="AQ44" i="35"/>
  <c r="AG54" i="35"/>
  <c r="Z49" i="35"/>
  <c r="U58" i="35"/>
  <c r="W43" i="35"/>
  <c r="Y72" i="35"/>
  <c r="AG43" i="35"/>
  <c r="AE66" i="35"/>
  <c r="V61" i="35"/>
  <c r="H45" i="35"/>
  <c r="L43" i="35"/>
  <c r="H54" i="35"/>
  <c r="Z60" i="35"/>
  <c r="Y54" i="35"/>
  <c r="AI53" i="35"/>
  <c r="AO50" i="35"/>
  <c r="I45" i="35"/>
  <c r="AF63" i="35"/>
  <c r="P53" i="35"/>
  <c r="AN63" i="35"/>
  <c r="O59" i="35"/>
  <c r="AL44" i="35"/>
  <c r="W62" i="35"/>
  <c r="M60" i="35"/>
  <c r="AS43" i="35"/>
  <c r="Q58" i="35"/>
  <c r="AA49" i="35"/>
  <c r="AO64" i="35"/>
  <c r="AB58" i="35"/>
  <c r="J65" i="35"/>
  <c r="AH65" i="35"/>
  <c r="R61" i="35"/>
  <c r="AN44" i="35"/>
  <c r="S53" i="35"/>
  <c r="V41" i="35"/>
  <c r="AG55" i="35"/>
  <c r="AM44" i="35"/>
  <c r="AB41" i="35"/>
  <c r="AO42" i="35"/>
  <c r="I42" i="35"/>
  <c r="AH48" i="35"/>
  <c r="AG48" i="35"/>
  <c r="AU43" i="35"/>
  <c r="AG61" i="35"/>
  <c r="Y41" i="35"/>
  <c r="G41" i="35"/>
  <c r="V72" i="35"/>
  <c r="O63" i="35"/>
  <c r="AF64" i="35"/>
  <c r="AK61" i="35"/>
  <c r="W61" i="35"/>
  <c r="AM61" i="35"/>
  <c r="P61" i="35"/>
  <c r="AJ44" i="35"/>
  <c r="AQ66" i="35"/>
  <c r="I72" i="35"/>
  <c r="V54" i="35"/>
  <c r="S63" i="35"/>
  <c r="AJ48" i="35"/>
  <c r="S61" i="35"/>
  <c r="AT59" i="35"/>
  <c r="AE40" i="35"/>
  <c r="T41" i="35"/>
  <c r="AJ53" i="35"/>
  <c r="X43" i="35"/>
  <c r="AQ41" i="35"/>
  <c r="J48" i="35"/>
  <c r="K48" i="35"/>
  <c r="L54" i="35"/>
  <c r="AN50" i="35"/>
  <c r="U53" i="35"/>
  <c r="W63" i="35"/>
  <c r="H41" i="35"/>
  <c r="AQ65" i="35"/>
  <c r="AO48" i="35"/>
  <c r="AD44" i="35"/>
  <c r="W54" i="35"/>
  <c r="AF40" i="35"/>
  <c r="L55" i="35"/>
  <c r="AB55" i="35"/>
  <c r="AQ48" i="35"/>
  <c r="Z54" i="35"/>
  <c r="K40" i="35"/>
  <c r="F42" i="35"/>
  <c r="X63" i="35"/>
  <c r="AF42" i="35"/>
  <c r="AE62" i="35"/>
  <c r="V44" i="35"/>
  <c r="AG50" i="35"/>
  <c r="AK72" i="35"/>
  <c r="AK44" i="35"/>
  <c r="H65" i="35"/>
  <c r="U40" i="35"/>
  <c r="AF41" i="35"/>
  <c r="AP55" i="35"/>
  <c r="AM49" i="35"/>
  <c r="T55" i="35"/>
  <c r="AA55" i="35"/>
  <c r="T58" i="35"/>
  <c r="S40" i="35"/>
  <c r="AP63" i="35"/>
  <c r="AA66" i="35"/>
  <c r="O66" i="35"/>
  <c r="AB63" i="35"/>
  <c r="J42" i="35"/>
  <c r="AI63" i="35"/>
  <c r="AL40" i="35"/>
  <c r="O49" i="35"/>
  <c r="V63" i="35"/>
  <c r="G61" i="35"/>
  <c r="G42" i="35"/>
  <c r="AI54" i="35"/>
  <c r="AI66" i="35"/>
  <c r="AF49" i="35"/>
  <c r="AN55" i="35"/>
  <c r="U65" i="35"/>
  <c r="U50" i="35"/>
  <c r="AL49" i="35"/>
  <c r="Q45" i="35"/>
  <c r="W59" i="35"/>
  <c r="AK64" i="35"/>
  <c r="AB40" i="35"/>
  <c r="I60" i="35"/>
  <c r="Q55" i="35"/>
  <c r="F58" i="35"/>
  <c r="G58" i="35"/>
  <c r="P63" i="35"/>
  <c r="AO62" i="35"/>
  <c r="AA48" i="35"/>
  <c r="AN49" i="35"/>
  <c r="F44" i="35"/>
  <c r="AB59" i="35"/>
  <c r="G64" i="35"/>
  <c r="Y49" i="35"/>
  <c r="AQ53" i="35"/>
  <c r="F64" i="35"/>
  <c r="K50" i="35"/>
  <c r="X61" i="35"/>
  <c r="X72" i="35"/>
  <c r="Q72" i="35"/>
  <c r="AG66" i="35"/>
  <c r="AC60" i="35"/>
  <c r="AI41" i="35"/>
  <c r="L66" i="35"/>
  <c r="P48" i="35"/>
  <c r="AL41" i="35"/>
  <c r="AK53" i="35"/>
  <c r="AL72" i="35"/>
  <c r="U44" i="35"/>
  <c r="AD45" i="35"/>
  <c r="O62" i="35"/>
  <c r="AE61" i="35"/>
  <c r="AH43" i="35"/>
  <c r="AP59" i="35"/>
  <c r="AD59" i="35"/>
  <c r="AQ72" i="35"/>
  <c r="AQ73" i="35" s="1"/>
  <c r="AE58" i="35"/>
  <c r="AK48" i="35"/>
  <c r="R45" i="35"/>
  <c r="S58" i="35"/>
  <c r="J41" i="35"/>
  <c r="W41" i="35"/>
  <c r="T50" i="35"/>
  <c r="AR63" i="35"/>
  <c r="AM53" i="35"/>
  <c r="H53" i="35"/>
  <c r="AP66" i="35"/>
  <c r="AL53" i="35"/>
  <c r="I48" i="35"/>
  <c r="AO45" i="35"/>
  <c r="Q44" i="35"/>
  <c r="O60" i="35"/>
  <c r="I66" i="35"/>
  <c r="AF62" i="35"/>
  <c r="AH62" i="35"/>
  <c r="J64" i="35"/>
  <c r="AE53" i="35"/>
  <c r="AB66" i="35"/>
  <c r="AE50" i="35"/>
  <c r="I40" i="35"/>
  <c r="AF61" i="35"/>
  <c r="X49" i="35"/>
  <c r="AP43" i="35"/>
  <c r="AD62" i="35"/>
  <c r="AI61" i="35"/>
  <c r="L61" i="35"/>
  <c r="P42" i="35"/>
  <c r="Q64" i="35"/>
  <c r="K55" i="35"/>
  <c r="X58" i="35"/>
  <c r="W45" i="35"/>
  <c r="AO49" i="35"/>
  <c r="AB62" i="35"/>
  <c r="H49" i="35"/>
  <c r="N63" i="35"/>
  <c r="T42" i="35"/>
  <c r="N55" i="35"/>
  <c r="Z55" i="35"/>
  <c r="AQ64" i="35"/>
  <c r="AL61" i="35"/>
  <c r="Q62" i="35"/>
  <c r="J72" i="35"/>
  <c r="M44" i="35"/>
  <c r="Z59" i="35"/>
  <c r="N49" i="35"/>
  <c r="AP40" i="35"/>
  <c r="AC45" i="35"/>
  <c r="AG65" i="35"/>
  <c r="M49" i="35"/>
  <c r="AB72" i="35"/>
  <c r="AL54" i="35"/>
  <c r="AJ42" i="35"/>
  <c r="O72" i="35"/>
  <c r="AN60" i="35"/>
  <c r="AU61" i="35"/>
  <c r="M48" i="35"/>
  <c r="AQ42" i="35"/>
  <c r="AP48" i="35"/>
  <c r="AF45" i="35"/>
  <c r="U48" i="35"/>
  <c r="Y59" i="35"/>
  <c r="AS63" i="35"/>
  <c r="AG41" i="35"/>
  <c r="AE63" i="35"/>
  <c r="H48" i="35"/>
  <c r="T65" i="35"/>
  <c r="U41" i="35"/>
  <c r="R59" i="35"/>
  <c r="G63" i="35"/>
  <c r="AP53" i="35"/>
  <c r="AA41" i="35"/>
  <c r="Z66" i="35"/>
  <c r="AF48" i="35"/>
  <c r="T64" i="35"/>
  <c r="AI65" i="35"/>
  <c r="K64" i="35"/>
  <c r="AI49" i="35"/>
  <c r="V65" i="35"/>
  <c r="AE45" i="35"/>
  <c r="AG64" i="35"/>
  <c r="S60" i="35"/>
  <c r="U64" i="35"/>
  <c r="Z44" i="35"/>
  <c r="AR43" i="35"/>
  <c r="F49" i="35"/>
  <c r="Y50" i="35"/>
  <c r="F61" i="35"/>
  <c r="L45" i="35"/>
  <c r="AK60" i="35"/>
  <c r="Z63" i="35"/>
  <c r="AQ60" i="35"/>
  <c r="AA42" i="35"/>
  <c r="Y40" i="35"/>
  <c r="AE59" i="35"/>
  <c r="AO58" i="35"/>
  <c r="AP61" i="35"/>
  <c r="V43" i="35"/>
  <c r="M42" i="35"/>
  <c r="AD63" i="35"/>
  <c r="I59" i="35"/>
  <c r="X45" i="35"/>
  <c r="Z43" i="35"/>
  <c r="AM64" i="35"/>
  <c r="M50" i="35"/>
  <c r="AD40" i="35"/>
  <c r="AJ50" i="35"/>
  <c r="AP65" i="35"/>
  <c r="R65" i="35"/>
  <c r="J66" i="35"/>
  <c r="W66" i="35"/>
  <c r="AB43" i="35"/>
  <c r="W55" i="35"/>
  <c r="U59" i="35"/>
  <c r="X44" i="35"/>
  <c r="AH40" i="35"/>
  <c r="AK42" i="35"/>
  <c r="AE42" i="35"/>
  <c r="AN41" i="35"/>
  <c r="J49" i="35"/>
  <c r="Y65" i="35"/>
  <c r="AO41" i="35"/>
  <c r="AM58" i="35"/>
  <c r="J45" i="35"/>
  <c r="Z61" i="35"/>
  <c r="AC63" i="35"/>
  <c r="N59" i="35"/>
  <c r="AQ50" i="35"/>
  <c r="AO54" i="35"/>
  <c r="AH64" i="35"/>
  <c r="AD43" i="35"/>
  <c r="J53" i="35"/>
  <c r="H63" i="35"/>
  <c r="AF44" i="35"/>
  <c r="AQ61" i="35"/>
  <c r="K61" i="35"/>
  <c r="N45" i="35"/>
  <c r="AD41" i="35"/>
  <c r="Y63" i="35"/>
  <c r="Z40" i="35"/>
  <c r="AM40" i="35"/>
  <c r="H40" i="35"/>
  <c r="AQ62" i="35"/>
  <c r="AE41" i="35"/>
  <c r="V59" i="35"/>
  <c r="R60" i="35"/>
  <c r="AD60" i="35"/>
  <c r="S41" i="35"/>
  <c r="U54" i="35"/>
  <c r="AG63" i="35"/>
  <c r="N40" i="35"/>
  <c r="AP64" i="35"/>
  <c r="AI50" i="35"/>
  <c r="AD58" i="35"/>
  <c r="R43" i="35"/>
  <c r="AH41" i="35"/>
  <c r="S54" i="35"/>
  <c r="AN48" i="35"/>
  <c r="AQ54" i="35"/>
  <c r="U43" i="35"/>
  <c r="AJ58" i="35"/>
  <c r="T60" i="35"/>
  <c r="X55" i="35"/>
  <c r="U63" i="35"/>
  <c r="AI40" i="35"/>
  <c r="S59" i="35"/>
  <c r="N48" i="35"/>
  <c r="AB65" i="35"/>
  <c r="Y48" i="35"/>
  <c r="AA64" i="35"/>
  <c r="X59" i="35"/>
  <c r="T49" i="35"/>
  <c r="AH55" i="35"/>
  <c r="Y43" i="35"/>
  <c r="AL66" i="35"/>
  <c r="F40" i="35"/>
  <c r="AC43" i="35"/>
  <c r="F60" i="35"/>
  <c r="AK45" i="35"/>
  <c r="AR61" i="35"/>
  <c r="I62" i="35"/>
  <c r="G65" i="35"/>
  <c r="H62" i="35"/>
  <c r="AF65" i="35"/>
  <c r="S72" i="35"/>
  <c r="O53" i="35"/>
  <c r="AK63" i="35"/>
  <c r="AC42" i="35"/>
  <c r="AH53" i="35"/>
  <c r="AK66" i="35"/>
  <c r="L59" i="35"/>
  <c r="P58" i="35"/>
  <c r="AC48" i="35"/>
  <c r="AI42" i="35"/>
  <c r="I55" i="35"/>
  <c r="M43" i="35"/>
  <c r="N61" i="35"/>
  <c r="H66" i="35"/>
  <c r="AH44" i="35"/>
  <c r="O41" i="35"/>
  <c r="AL42" i="35"/>
  <c r="N62" i="35"/>
  <c r="AM48" i="35"/>
  <c r="AM54" i="35"/>
  <c r="J62" i="35"/>
  <c r="AA58" i="35"/>
  <c r="Y60" i="35"/>
  <c r="R55" i="35"/>
  <c r="G72" i="35"/>
  <c r="P41" i="35"/>
  <c r="AA60" i="35"/>
  <c r="H61" i="35"/>
  <c r="AE43" i="35"/>
  <c r="AN43" i="35"/>
  <c r="X40" i="35"/>
  <c r="AK41" i="35"/>
  <c r="X62" i="35"/>
  <c r="F63" i="35"/>
  <c r="R40" i="35"/>
  <c r="M54" i="35"/>
  <c r="T62" i="35"/>
  <c r="AD54" i="35"/>
  <c r="AF43" i="35"/>
  <c r="L65" i="35"/>
  <c r="R41" i="35"/>
  <c r="AD64" i="35"/>
  <c r="AC55" i="35"/>
  <c r="AE49" i="35"/>
  <c r="L48" i="35"/>
  <c r="Z41" i="35"/>
  <c r="X41" i="35"/>
  <c r="AF59" i="35"/>
  <c r="G40" i="35"/>
  <c r="AO53" i="35"/>
  <c r="L63" i="35"/>
  <c r="H42" i="35"/>
  <c r="AH72" i="35"/>
  <c r="K59" i="35"/>
  <c r="H72" i="35"/>
  <c r="K41" i="35"/>
  <c r="AP42" i="35"/>
  <c r="T53" i="35"/>
  <c r="W50" i="35"/>
  <c r="AI60" i="35"/>
  <c r="AQ40" i="35"/>
  <c r="AO40" i="35"/>
  <c r="G45" i="35"/>
  <c r="AB61" i="35"/>
  <c r="L64" i="35"/>
  <c r="AM63" i="35"/>
  <c r="V42" i="35"/>
  <c r="AE48" i="35"/>
  <c r="AN65" i="35"/>
  <c r="AC53" i="35"/>
  <c r="P59" i="35"/>
  <c r="U62" i="35"/>
  <c r="S43" i="35"/>
  <c r="U55" i="35"/>
  <c r="AE60" i="35"/>
  <c r="P44" i="35"/>
  <c r="AD55" i="35"/>
  <c r="K72" i="35"/>
  <c r="M65" i="35"/>
  <c r="Q40" i="35"/>
  <c r="O45" i="35"/>
  <c r="J55" i="35"/>
  <c r="G53" i="35"/>
  <c r="AP58" i="35"/>
  <c r="H43" i="35"/>
  <c r="AL64" i="35"/>
  <c r="G48" i="35"/>
  <c r="M63" i="35"/>
  <c r="Z65" i="35"/>
  <c r="X53" i="35"/>
  <c r="AI64" i="35"/>
  <c r="S42" i="35"/>
  <c r="Q63" i="35"/>
  <c r="R42" i="35"/>
  <c r="AM43" i="35"/>
  <c r="H60" i="35"/>
  <c r="AA72" i="35"/>
  <c r="N41" i="35"/>
  <c r="AT41" i="35"/>
  <c r="L53" i="35"/>
  <c r="AJ60" i="35"/>
  <c r="Q61" i="35"/>
  <c r="X66" i="35"/>
  <c r="AN62" i="35"/>
  <c r="AH66" i="35"/>
  <c r="G55" i="35"/>
  <c r="AU41" i="35"/>
  <c r="U45" i="35"/>
  <c r="X60" i="35"/>
  <c r="AH54" i="35"/>
  <c r="P60" i="35"/>
  <c r="M61" i="35"/>
  <c r="AQ63" i="35"/>
  <c r="J59" i="35"/>
  <c r="R63" i="35"/>
  <c r="P62" i="35"/>
  <c r="O58" i="35"/>
  <c r="V40" i="35"/>
  <c r="AP60" i="35"/>
  <c r="I58" i="35"/>
  <c r="F59" i="35"/>
  <c r="Z53" i="35"/>
  <c r="R44" i="35"/>
  <c r="W58" i="35"/>
  <c r="S48" i="35"/>
  <c r="AN59" i="35"/>
  <c r="AI59" i="35"/>
  <c r="AA65" i="35"/>
  <c r="W64" i="35"/>
  <c r="K49" i="35"/>
  <c r="L44" i="35"/>
  <c r="AP72" i="35"/>
  <c r="AM50" i="35"/>
  <c r="O54" i="35"/>
  <c r="AN45" i="35"/>
  <c r="T48" i="35"/>
  <c r="AA43" i="35"/>
  <c r="AD65" i="35"/>
  <c r="I44" i="35"/>
  <c r="AP54" i="35"/>
  <c r="AJ59" i="35"/>
  <c r="AC72" i="35"/>
  <c r="AA44" i="35"/>
  <c r="AN61" i="35"/>
  <c r="N53" i="35"/>
  <c r="O65" i="35"/>
  <c r="AD72" i="35"/>
  <c r="AG44" i="35"/>
  <c r="V55" i="35"/>
  <c r="AC49" i="35"/>
  <c r="AG53" i="35"/>
  <c r="AK43" i="35"/>
  <c r="AB42" i="35"/>
  <c r="AI43" i="35"/>
  <c r="AC66" i="35"/>
  <c r="AM60" i="35"/>
  <c r="R72" i="35"/>
  <c r="I63" i="35"/>
  <c r="W48" i="35"/>
  <c r="J40" i="35"/>
  <c r="M64" i="35"/>
  <c r="J43" i="35"/>
  <c r="Y58" i="35"/>
  <c r="AK49" i="35"/>
  <c r="R58" i="35"/>
  <c r="Z42" i="35"/>
  <c r="V58" i="35"/>
  <c r="V53" i="35"/>
  <c r="AJ63" i="35"/>
  <c r="M55" i="35"/>
  <c r="Q65" i="35"/>
  <c r="AC58" i="35"/>
  <c r="AC54" i="35"/>
  <c r="AS61" i="35"/>
  <c r="R50" i="35"/>
  <c r="AM41" i="35"/>
  <c r="AL45" i="35"/>
  <c r="AJ62" i="35"/>
  <c r="AA62" i="35"/>
  <c r="Z62" i="35"/>
  <c r="L58" i="35"/>
  <c r="I65" i="35"/>
  <c r="AL50" i="35"/>
  <c r="O61" i="35"/>
  <c r="AL58" i="35"/>
  <c r="AN72" i="35"/>
  <c r="N50" i="35"/>
  <c r="AK40" i="35"/>
  <c r="AO60" i="35"/>
  <c r="V45" i="35"/>
  <c r="AL55" i="35"/>
  <c r="V62" i="35"/>
  <c r="K43" i="35"/>
  <c r="R66" i="35"/>
  <c r="AI62" i="35"/>
  <c r="AK62" i="35"/>
  <c r="AJ65" i="35"/>
  <c r="P45" i="35"/>
  <c r="AM42" i="35"/>
  <c r="AJ61" i="35"/>
  <c r="Z72" i="35"/>
  <c r="P50" i="35"/>
  <c r="S55" i="35"/>
  <c r="Y55" i="35"/>
  <c r="O43" i="35"/>
  <c r="K42" i="35"/>
  <c r="P40" i="35"/>
  <c r="S62" i="35"/>
  <c r="AU59" i="35"/>
  <c r="AD53" i="35"/>
  <c r="AC41" i="35"/>
  <c r="Y42" i="35"/>
  <c r="V50" i="35"/>
  <c r="AO66" i="35"/>
  <c r="AF72" i="35"/>
  <c r="O40" i="35"/>
  <c r="I53" i="35"/>
  <c r="AB54" i="35"/>
  <c r="AQ58" i="35"/>
  <c r="AA54" i="35"/>
  <c r="AJ66" i="35"/>
  <c r="U42" i="35"/>
  <c r="W60" i="35"/>
  <c r="S65" i="35"/>
  <c r="J54" i="35"/>
  <c r="J44" i="35"/>
  <c r="AG42" i="35"/>
  <c r="I41" i="35"/>
  <c r="N60" i="35"/>
  <c r="AH42" i="35"/>
  <c r="AN42" i="35"/>
  <c r="W72" i="35"/>
  <c r="M45" i="35"/>
  <c r="O50" i="35"/>
  <c r="AH49" i="35"/>
  <c r="R64" i="35"/>
  <c r="L50" i="35"/>
  <c r="AO59" i="35"/>
  <c r="AP50" i="35"/>
  <c r="H44" i="35"/>
  <c r="AO44" i="35"/>
  <c r="S66" i="35"/>
  <c r="H59" i="35"/>
  <c r="AI55" i="35"/>
  <c r="AL62" i="35"/>
  <c r="AP44" i="35"/>
  <c r="M59" i="35"/>
  <c r="AC40" i="35"/>
  <c r="Y44" i="35"/>
  <c r="X42" i="35"/>
  <c r="U60" i="35"/>
  <c r="AJ40" i="35"/>
  <c r="AE65" i="35"/>
  <c r="L41" i="35"/>
  <c r="P72" i="35"/>
  <c r="AC59" i="35"/>
  <c r="K60" i="35"/>
  <c r="S44" i="35"/>
  <c r="Q43" i="35"/>
  <c r="T44" i="35"/>
  <c r="G43" i="35"/>
  <c r="G44" i="35"/>
  <c r="AP45" i="35"/>
  <c r="Y64" i="35"/>
  <c r="U61" i="35"/>
  <c r="S64" i="35"/>
  <c r="AE72" i="35"/>
  <c r="AO72" i="35"/>
  <c r="T72" i="35"/>
  <c r="K45" i="35"/>
  <c r="O64" i="35"/>
  <c r="AQ45" i="35"/>
  <c r="AF50" i="35"/>
  <c r="Q53" i="35"/>
  <c r="L40" i="35"/>
  <c r="AB48" i="35"/>
  <c r="Z58" i="35"/>
  <c r="AI58" i="35"/>
  <c r="Y61" i="35"/>
  <c r="AH50" i="35"/>
  <c r="V60" i="35"/>
  <c r="AK58" i="35"/>
  <c r="K58" i="35"/>
  <c r="T59" i="35"/>
  <c r="AD61" i="35"/>
  <c r="T66" i="35"/>
  <c r="AB64" i="35"/>
  <c r="R54" i="35"/>
  <c r="AC44" i="35"/>
  <c r="M58" i="35"/>
  <c r="F48" i="35"/>
  <c r="AD42" i="35"/>
  <c r="AG49" i="35"/>
  <c r="U66" i="35"/>
  <c r="AM45" i="35"/>
  <c r="F45" i="35"/>
  <c r="Y66" i="35"/>
  <c r="AG60" i="35"/>
  <c r="V48" i="35"/>
  <c r="AA40" i="35"/>
  <c r="L60" i="35"/>
  <c r="X54" i="35"/>
  <c r="P66" i="35"/>
  <c r="AF55" i="35"/>
  <c r="AK54" i="35"/>
  <c r="AN53" i="35"/>
  <c r="J50" i="35"/>
  <c r="G50" i="35"/>
  <c r="K62" i="35"/>
  <c r="AD49" i="35"/>
  <c r="I43" i="35"/>
  <c r="AF66" i="35"/>
  <c r="AH61" i="35"/>
  <c r="Z45" i="35"/>
  <c r="X48" i="35"/>
  <c r="Y45" i="35"/>
  <c r="AJ72" i="35"/>
  <c r="I61" i="35"/>
  <c r="AG45" i="35"/>
  <c r="AP41" i="35"/>
  <c r="AA53" i="35"/>
  <c r="AP49" i="35"/>
  <c r="AL65" i="35"/>
  <c r="AE55" i="35"/>
  <c r="T40" i="35"/>
  <c r="N65" i="35"/>
  <c r="Q60" i="35"/>
  <c r="AO65" i="35"/>
  <c r="AI48" i="35"/>
  <c r="AB60" i="35"/>
  <c r="AM59" i="35"/>
  <c r="AF53" i="35"/>
  <c r="AA59" i="35"/>
  <c r="Y62" i="35"/>
  <c r="AA50" i="35"/>
  <c r="AC62" i="35"/>
  <c r="AI44" i="35"/>
  <c r="L62" i="35"/>
  <c r="Q48" i="35"/>
  <c r="K65" i="35"/>
  <c r="Q59" i="35"/>
  <c r="AM55" i="35"/>
  <c r="AB49" i="35"/>
  <c r="AR59" i="35"/>
  <c r="G66" i="35"/>
  <c r="N54" i="35"/>
  <c r="Q41" i="35"/>
  <c r="AE64" i="35"/>
  <c r="P65" i="35"/>
  <c r="N43" i="35"/>
  <c r="AQ59" i="35"/>
  <c r="N64" i="35"/>
  <c r="M62" i="35"/>
  <c r="AQ49" i="35"/>
  <c r="AM72" i="35"/>
  <c r="W42" i="35"/>
  <c r="K54" i="35"/>
  <c r="AD48" i="35"/>
  <c r="AO63" i="35"/>
  <c r="S45" i="35"/>
  <c r="AJ64" i="35"/>
  <c r="AN58" i="35"/>
  <c r="I49" i="35"/>
  <c r="AB53" i="35"/>
  <c r="AP62" i="35"/>
  <c r="Q54" i="35"/>
  <c r="R53" i="35"/>
  <c r="AD50" i="35"/>
  <c r="V64" i="35"/>
  <c r="H58" i="35"/>
  <c r="AD66" i="35"/>
  <c r="AL63" i="35"/>
  <c r="G62" i="35"/>
  <c r="AF58" i="35"/>
  <c r="AT43" i="35"/>
  <c r="AN54" i="35"/>
  <c r="N42" i="35"/>
  <c r="I54" i="35"/>
  <c r="F66" i="35"/>
  <c r="AE44" i="35"/>
  <c r="AI45" i="35"/>
  <c r="N44" i="35"/>
  <c r="AC64" i="35"/>
  <c r="X65" i="35"/>
  <c r="Z50" i="35"/>
  <c r="U72" i="35"/>
  <c r="AH63" i="35"/>
  <c r="T61" i="35"/>
  <c r="AA61" i="35"/>
  <c r="AR65" i="35"/>
  <c r="S50" i="35"/>
  <c r="P49" i="35"/>
  <c r="M53" i="35"/>
  <c r="L72" i="35"/>
  <c r="Z64" i="35"/>
  <c r="AM62" i="35"/>
  <c r="AG40" i="35"/>
  <c r="X64" i="35"/>
  <c r="O48" i="35"/>
  <c r="M72" i="35"/>
  <c r="S49" i="35"/>
  <c r="AT63" i="35"/>
  <c r="F54" i="35"/>
  <c r="O55" i="35"/>
  <c r="M40" i="35"/>
  <c r="AH58" i="35"/>
  <c r="G60" i="35"/>
  <c r="AG58" i="35"/>
  <c r="O44" i="35"/>
  <c r="AF54" i="35"/>
  <c r="M66" i="35"/>
  <c r="W40" i="35"/>
  <c r="AG59" i="35"/>
  <c r="K53" i="35"/>
  <c r="T43" i="35"/>
  <c r="AL60" i="35"/>
  <c r="T54" i="35"/>
  <c r="AK55" i="35"/>
  <c r="X50" i="35"/>
  <c r="H64" i="35"/>
  <c r="F43" i="35"/>
  <c r="AL48" i="35"/>
  <c r="K66" i="35"/>
  <c r="AK65" i="35"/>
  <c r="AE54" i="35"/>
  <c r="V49" i="35"/>
  <c r="U49" i="35"/>
  <c r="F72" i="35"/>
  <c r="R62" i="35"/>
  <c r="F65" i="35"/>
  <c r="AL43" i="35"/>
  <c r="AB50" i="35"/>
  <c r="F62" i="35"/>
  <c r="AJ45" i="35"/>
  <c r="P54" i="35"/>
  <c r="I50" i="35"/>
  <c r="K44" i="35"/>
  <c r="H50" i="35"/>
  <c r="AM65" i="35"/>
  <c r="F41" i="35"/>
  <c r="Q66" i="35"/>
  <c r="AF60" i="35"/>
  <c r="W53" i="35"/>
  <c r="I64" i="35"/>
  <c r="J60" i="35"/>
  <c r="P55" i="35"/>
  <c r="G49" i="35"/>
  <c r="F69" i="35"/>
  <c r="AE69" i="35"/>
  <c r="O69" i="35"/>
  <c r="AT42" i="35"/>
  <c r="S69" i="35"/>
  <c r="AC70" i="35"/>
  <c r="U69" i="35"/>
  <c r="I70" i="35"/>
  <c r="K69" i="35"/>
  <c r="N69" i="35"/>
  <c r="G69" i="35"/>
  <c r="L69" i="35"/>
  <c r="AC69" i="35"/>
  <c r="I69" i="35"/>
  <c r="L70" i="35"/>
  <c r="W69" i="35"/>
  <c r="AJ69" i="35"/>
  <c r="M70" i="35"/>
  <c r="AI69" i="35"/>
  <c r="Y69" i="35"/>
  <c r="M69" i="35"/>
  <c r="AN69" i="35"/>
  <c r="AM70" i="35"/>
  <c r="AS65" i="35"/>
  <c r="F70" i="35"/>
  <c r="R69" i="35"/>
  <c r="S70" i="35"/>
  <c r="AT49" i="35"/>
  <c r="AE70" i="35"/>
  <c r="AM69" i="35"/>
  <c r="X69" i="35"/>
  <c r="R70" i="35"/>
  <c r="J69" i="35"/>
  <c r="V69" i="35"/>
  <c r="T70" i="35"/>
  <c r="AS42" i="35"/>
  <c r="AS54" i="35"/>
  <c r="U70" i="35"/>
  <c r="AA70" i="35"/>
  <c r="AS49" i="35"/>
  <c r="AD70" i="35"/>
  <c r="AF69" i="35"/>
  <c r="AB69" i="35"/>
  <c r="Q69" i="35"/>
  <c r="V70" i="35"/>
  <c r="AT54" i="35"/>
  <c r="X70" i="35"/>
  <c r="AA69" i="35"/>
  <c r="AI70" i="35"/>
  <c r="AK69" i="35"/>
  <c r="K70" i="35"/>
  <c r="Z69" i="35"/>
  <c r="N70" i="35"/>
  <c r="AB70" i="35"/>
  <c r="G70" i="35"/>
  <c r="AU65" i="35"/>
  <c r="AN70" i="35"/>
  <c r="AG70" i="35"/>
  <c r="P70" i="35"/>
  <c r="Y70" i="35"/>
  <c r="AT65" i="35"/>
  <c r="T69" i="35"/>
  <c r="W70" i="35"/>
  <c r="AD69" i="35"/>
  <c r="AK70" i="35"/>
  <c r="AF70" i="35"/>
  <c r="O70" i="35"/>
  <c r="AL69" i="35"/>
  <c r="Z70" i="35"/>
  <c r="AR54" i="35"/>
  <c r="Q70" i="35"/>
  <c r="AL70" i="35"/>
  <c r="P69" i="35"/>
  <c r="H69" i="35"/>
  <c r="H70" i="35"/>
  <c r="J70" i="35"/>
  <c r="AR42" i="35"/>
  <c r="AG69" i="35"/>
  <c r="AR49" i="35"/>
  <c r="AS40" i="35"/>
  <c r="CE75" i="12"/>
  <c r="CH49" i="12"/>
  <c r="AV165" i="35"/>
  <c r="DV101" i="2"/>
  <c r="DV46" i="2"/>
  <c r="DV74" i="2"/>
  <c r="DV111" i="2" s="1"/>
  <c r="DV45" i="2"/>
  <c r="DY20" i="2"/>
  <c r="AU26" i="35"/>
  <c r="AV3" i="35"/>
  <c r="AV49" i="35" s="1"/>
  <c r="W9" i="42"/>
  <c r="V9" i="42" s="1"/>
  <c r="DW19" i="13"/>
  <c r="I5" i="1"/>
  <c r="I24" i="1"/>
  <c r="CE72" i="12"/>
  <c r="CE70" i="12"/>
  <c r="DV4" i="13"/>
  <c r="DV4" i="14"/>
  <c r="DV4" i="12"/>
  <c r="DW4" i="14"/>
  <c r="DW4" i="13"/>
  <c r="DW4" i="12"/>
  <c r="DX4" i="14"/>
  <c r="DX4" i="13"/>
  <c r="DX4" i="12"/>
  <c r="DT4" i="14"/>
  <c r="DT4" i="12"/>
  <c r="DT4" i="13"/>
  <c r="CI52" i="13"/>
  <c r="CJ50" i="13"/>
  <c r="H30" i="1"/>
  <c r="H39" i="1"/>
  <c r="D27" i="21"/>
  <c r="DU4" i="14"/>
  <c r="DU4" i="13"/>
  <c r="DU4" i="12"/>
  <c r="EC4" i="2"/>
  <c r="AF9" i="42" s="1"/>
  <c r="AE9" i="42" s="1"/>
  <c r="EB4" i="2"/>
  <c r="EA4" i="2"/>
  <c r="DZ4" i="2"/>
  <c r="DY4" i="2"/>
  <c r="R7" i="37"/>
  <c r="AJ7" i="37"/>
  <c r="Y7" i="37"/>
  <c r="AF7" i="37"/>
  <c r="CK50" i="13"/>
  <c r="CK52" i="13" s="1"/>
  <c r="CK8" i="12" s="1"/>
  <c r="CL47" i="13"/>
  <c r="CL48" i="13" s="1"/>
  <c r="DX28" i="12"/>
  <c r="DW20" i="13"/>
  <c r="DW34" i="12"/>
  <c r="DY18" i="2"/>
  <c r="DW22" i="13"/>
  <c r="DX30" i="12"/>
  <c r="DW124" i="2"/>
  <c r="DW9" i="13"/>
  <c r="DW10" i="13" s="1"/>
  <c r="DW109" i="2"/>
  <c r="DV39" i="12"/>
  <c r="DY55" i="14"/>
  <c r="DY47" i="14"/>
  <c r="DW43" i="2"/>
  <c r="DW62" i="12"/>
  <c r="DW42" i="2"/>
  <c r="DV10" i="13"/>
  <c r="EB17" i="14"/>
  <c r="EC17" i="14" s="1"/>
  <c r="EC16" i="14"/>
  <c r="EB19" i="14"/>
  <c r="EB25" i="14"/>
  <c r="EB20" i="14"/>
  <c r="EB66" i="14"/>
  <c r="EB39" i="14"/>
  <c r="AX35" i="35"/>
  <c r="AX5" i="35"/>
  <c r="AX9" i="35" s="1"/>
  <c r="DY64" i="13"/>
  <c r="DY67" i="13" s="1"/>
  <c r="DY85" i="2"/>
  <c r="DY107" i="2"/>
  <c r="DY33" i="2"/>
  <c r="DY39" i="2"/>
  <c r="DY106" i="2"/>
  <c r="DY55" i="12"/>
  <c r="DY57" i="12" s="1"/>
  <c r="DY61" i="12"/>
  <c r="DY105" i="2"/>
  <c r="DY82" i="2"/>
  <c r="DY84" i="2"/>
  <c r="DY35" i="2"/>
  <c r="DY104" i="2"/>
  <c r="DY31" i="2"/>
  <c r="DY83" i="2"/>
  <c r="DY37" i="2"/>
  <c r="DY11" i="2"/>
  <c r="AX162" i="35" s="1"/>
  <c r="DY10" i="12"/>
  <c r="DW25" i="2"/>
  <c r="DW44" i="2"/>
  <c r="DW27" i="2"/>
  <c r="EA26" i="14"/>
  <c r="EA27" i="14"/>
  <c r="EA34" i="14"/>
  <c r="EA36" i="14"/>
  <c r="EA37" i="14" s="1"/>
  <c r="EA41" i="14"/>
  <c r="EA56" i="14"/>
  <c r="EA60" i="14"/>
  <c r="EA6" i="2"/>
  <c r="EA6" i="14"/>
  <c r="BE11" i="37"/>
  <c r="BE9" i="37"/>
  <c r="AF33" i="37"/>
  <c r="V26" i="42"/>
  <c r="AG30" i="37" l="1"/>
  <c r="AG21" i="37"/>
  <c r="AF34" i="37"/>
  <c r="AG34" i="37" s="1"/>
  <c r="AG33" i="37"/>
  <c r="AI33" i="37"/>
  <c r="ED16" i="14"/>
  <c r="ED39" i="14" s="1"/>
  <c r="ED40" i="14" s="1"/>
  <c r="R13" i="26"/>
  <c r="AO7" i="37"/>
  <c r="AC34" i="37"/>
  <c r="AA34" i="37"/>
  <c r="BF9" i="37"/>
  <c r="BE10" i="37"/>
  <c r="BH9" i="37"/>
  <c r="BE12" i="37"/>
  <c r="BF12" i="37" s="1"/>
  <c r="BF11" i="37"/>
  <c r="EM5" i="2"/>
  <c r="ED4" i="2"/>
  <c r="EE4" i="2"/>
  <c r="EF4" i="2"/>
  <c r="EG4" i="2"/>
  <c r="EH4" i="2"/>
  <c r="AT7" i="37" s="1"/>
  <c r="EA42" i="14"/>
  <c r="AV59" i="35"/>
  <c r="AV41" i="35"/>
  <c r="AV43" i="35"/>
  <c r="AV55" i="35"/>
  <c r="AV61" i="35"/>
  <c r="AV63" i="35"/>
  <c r="AV65" i="35"/>
  <c r="AV48" i="35"/>
  <c r="AV60" i="35"/>
  <c r="AV58" i="35"/>
  <c r="AV40" i="35"/>
  <c r="AV64" i="35"/>
  <c r="AV62" i="35"/>
  <c r="AV44" i="35"/>
  <c r="AV72" i="35"/>
  <c r="AV45" i="35"/>
  <c r="AV66" i="35"/>
  <c r="AV50" i="35"/>
  <c r="AV53" i="35"/>
  <c r="AV42" i="35"/>
  <c r="AV54" i="35"/>
  <c r="CW40" i="35"/>
  <c r="CW41" i="35" s="1"/>
  <c r="CV45" i="35"/>
  <c r="CV64" i="35"/>
  <c r="CZ60" i="35"/>
  <c r="CW61" i="35"/>
  <c r="CT65" i="35"/>
  <c r="DB62" i="35"/>
  <c r="CW65" i="35"/>
  <c r="CV61" i="35"/>
  <c r="CX42" i="35"/>
  <c r="CX43" i="35" s="1"/>
  <c r="CY49" i="35"/>
  <c r="DA62" i="35"/>
  <c r="CU61" i="35"/>
  <c r="DA63" i="35"/>
  <c r="CZ49" i="35"/>
  <c r="CT49" i="35"/>
  <c r="CY61" i="35"/>
  <c r="DA53" i="35"/>
  <c r="CV40" i="35"/>
  <c r="CV41" i="35" s="1"/>
  <c r="CU59" i="35"/>
  <c r="CU58" i="35"/>
  <c r="CU65" i="35"/>
  <c r="CY48" i="35"/>
  <c r="CZ64" i="35"/>
  <c r="CY54" i="35"/>
  <c r="CT61" i="35"/>
  <c r="CW59" i="35"/>
  <c r="DB61" i="35"/>
  <c r="CW58" i="35"/>
  <c r="CY62" i="35"/>
  <c r="CT58" i="35"/>
  <c r="CU53" i="35"/>
  <c r="CY66" i="35"/>
  <c r="CX58" i="35"/>
  <c r="CU49" i="35"/>
  <c r="CV48" i="35"/>
  <c r="CY59" i="35"/>
  <c r="CZ40" i="35"/>
  <c r="CZ41" i="35" s="1"/>
  <c r="CY40" i="35"/>
  <c r="CY41" i="35" s="1"/>
  <c r="CU44" i="35"/>
  <c r="DA58" i="35"/>
  <c r="CW53" i="35"/>
  <c r="DA65" i="35"/>
  <c r="DA44" i="35"/>
  <c r="CX61" i="35"/>
  <c r="DB66" i="35"/>
  <c r="DA50" i="35"/>
  <c r="DA55" i="35" s="1"/>
  <c r="DA45" i="35"/>
  <c r="CT42" i="35"/>
  <c r="CT43" i="35" s="1"/>
  <c r="CW48" i="35"/>
  <c r="CT64" i="35"/>
  <c r="CT59" i="35"/>
  <c r="CY64" i="35"/>
  <c r="DB53" i="35"/>
  <c r="DB65" i="35"/>
  <c r="CV59" i="35"/>
  <c r="CW45" i="35"/>
  <c r="CV42" i="35"/>
  <c r="CV43" i="35" s="1"/>
  <c r="CV60" i="35"/>
  <c r="CV63" i="35"/>
  <c r="DA48" i="35"/>
  <c r="DA59" i="35"/>
  <c r="CX50" i="35"/>
  <c r="CX55" i="35" s="1"/>
  <c r="CZ59" i="35"/>
  <c r="CW42" i="35"/>
  <c r="CW43" i="35" s="1"/>
  <c r="DB50" i="35"/>
  <c r="DB55" i="35" s="1"/>
  <c r="CX66" i="35"/>
  <c r="CZ54" i="35"/>
  <c r="CZ58" i="35"/>
  <c r="CU64" i="35"/>
  <c r="CZ44" i="35"/>
  <c r="CZ65" i="35"/>
  <c r="CZ48" i="35"/>
  <c r="CV44" i="35"/>
  <c r="CY42" i="35"/>
  <c r="CY43" i="35" s="1"/>
  <c r="CU63" i="35"/>
  <c r="DA40" i="35"/>
  <c r="DA41" i="35" s="1"/>
  <c r="CU40" i="35"/>
  <c r="CU41" i="35" s="1"/>
  <c r="CU54" i="35"/>
  <c r="CY65" i="35"/>
  <c r="CX44" i="35"/>
  <c r="CT48" i="35"/>
  <c r="CV53" i="35"/>
  <c r="CX63" i="35"/>
  <c r="CW49" i="35"/>
  <c r="CT62" i="35"/>
  <c r="CZ45" i="35"/>
  <c r="CV65" i="35"/>
  <c r="DA60" i="35"/>
  <c r="DA61" i="35"/>
  <c r="CX60" i="35"/>
  <c r="CT50" i="35"/>
  <c r="CT55" i="35" s="1"/>
  <c r="CY53" i="35"/>
  <c r="CY60" i="35"/>
  <c r="CU48" i="35"/>
  <c r="DB45" i="35"/>
  <c r="DA64" i="35"/>
  <c r="CT66" i="35"/>
  <c r="CV62" i="35"/>
  <c r="CX59" i="35"/>
  <c r="CT40" i="35"/>
  <c r="CT41" i="35" s="1"/>
  <c r="CT54" i="35"/>
  <c r="CZ62" i="35"/>
  <c r="CY44" i="35"/>
  <c r="DB54" i="35"/>
  <c r="DB44" i="35"/>
  <c r="CU62" i="35"/>
  <c r="CX62" i="35"/>
  <c r="CW64" i="35"/>
  <c r="DB42" i="35"/>
  <c r="DB43" i="35" s="1"/>
  <c r="CW66" i="35"/>
  <c r="CV54" i="35"/>
  <c r="CZ53" i="35"/>
  <c r="CX65" i="35"/>
  <c r="DB64" i="35"/>
  <c r="DA42" i="35"/>
  <c r="DA43" i="35" s="1"/>
  <c r="CT60" i="35"/>
  <c r="DA66" i="35"/>
  <c r="CV66" i="35"/>
  <c r="DB40" i="35"/>
  <c r="DB41" i="35" s="1"/>
  <c r="CZ61" i="35"/>
  <c r="CW60" i="35"/>
  <c r="CX49" i="35"/>
  <c r="CT44" i="35"/>
  <c r="CX53" i="35"/>
  <c r="CT45" i="35"/>
  <c r="DB49" i="35"/>
  <c r="CU45" i="35"/>
  <c r="CV58" i="35"/>
  <c r="CW62" i="35"/>
  <c r="CW50" i="35"/>
  <c r="CW55" i="35" s="1"/>
  <c r="CY58" i="35"/>
  <c r="CV50" i="35"/>
  <c r="CV55" i="35" s="1"/>
  <c r="CU60" i="35"/>
  <c r="DB58" i="35"/>
  <c r="CT63" i="35"/>
  <c r="CX48" i="35"/>
  <c r="DB60" i="35"/>
  <c r="CX40" i="35"/>
  <c r="CX41" i="35" s="1"/>
  <c r="CW63" i="35"/>
  <c r="CW54" i="35"/>
  <c r="CX54" i="35"/>
  <c r="CW44" i="35"/>
  <c r="CY50" i="35"/>
  <c r="CY55" i="35" s="1"/>
  <c r="CU42" i="35"/>
  <c r="CU43" i="35" s="1"/>
  <c r="CX69" i="35"/>
  <c r="DB59" i="35"/>
  <c r="CT53" i="35"/>
  <c r="CZ66" i="35"/>
  <c r="CZ42" i="35"/>
  <c r="CZ43" i="35" s="1"/>
  <c r="CZ63" i="35"/>
  <c r="CV49" i="35"/>
  <c r="DB48" i="35"/>
  <c r="CY63" i="35"/>
  <c r="CX64" i="35"/>
  <c r="DA49" i="35"/>
  <c r="DA54" i="35"/>
  <c r="DB63" i="35"/>
  <c r="CX45" i="35"/>
  <c r="CY45" i="35"/>
  <c r="CU66" i="35"/>
  <c r="CZ50" i="35"/>
  <c r="CZ55" i="35" s="1"/>
  <c r="CV70" i="35"/>
  <c r="CT69" i="35"/>
  <c r="CZ69" i="35"/>
  <c r="CW70" i="35"/>
  <c r="CW69" i="35"/>
  <c r="CU70" i="35"/>
  <c r="CT70" i="35"/>
  <c r="CV69" i="35"/>
  <c r="CU50" i="35"/>
  <c r="CU55" i="35" s="1"/>
  <c r="CU69" i="35"/>
  <c r="CX70" i="35"/>
  <c r="CZ70" i="35"/>
  <c r="CY70" i="35"/>
  <c r="CY69" i="35"/>
  <c r="DY21" i="2"/>
  <c r="DY24" i="2"/>
  <c r="DY48" i="14"/>
  <c r="AX91" i="35"/>
  <c r="AW165" i="35"/>
  <c r="AV22" i="35"/>
  <c r="AV31" i="35"/>
  <c r="AV15" i="35"/>
  <c r="AV19" i="35"/>
  <c r="AV26" i="35"/>
  <c r="AV20" i="35"/>
  <c r="AV27" i="35"/>
  <c r="AV14" i="35"/>
  <c r="AV18" i="35"/>
  <c r="AW3" i="35"/>
  <c r="AW55" i="35" s="1"/>
  <c r="CO13" i="25"/>
  <c r="CP13" i="25" s="1"/>
  <c r="CH13" i="25"/>
  <c r="CK13" i="25" s="1"/>
  <c r="CV12" i="25"/>
  <c r="EJ13" i="25" s="1"/>
  <c r="EL13" i="25" s="1"/>
  <c r="CH12" i="25"/>
  <c r="CK12" i="25" s="1"/>
  <c r="P73" i="35"/>
  <c r="Z73" i="35"/>
  <c r="O73" i="35"/>
  <c r="I73" i="35"/>
  <c r="M73" i="35"/>
  <c r="Q73" i="35"/>
  <c r="V73" i="35"/>
  <c r="AC73" i="35"/>
  <c r="X73" i="35"/>
  <c r="S73" i="35"/>
  <c r="Y73" i="35"/>
  <c r="AE73" i="35"/>
  <c r="G73" i="35"/>
  <c r="H73" i="35"/>
  <c r="N73" i="35"/>
  <c r="W73" i="35"/>
  <c r="AF73" i="35"/>
  <c r="R73" i="35"/>
  <c r="F73" i="35"/>
  <c r="K73" i="35"/>
  <c r="AK73" i="35"/>
  <c r="AG73" i="35"/>
  <c r="AL73" i="35"/>
  <c r="AM73" i="35"/>
  <c r="U73" i="35"/>
  <c r="L73" i="35"/>
  <c r="AA73" i="35"/>
  <c r="AB73" i="35"/>
  <c r="J73" i="35"/>
  <c r="AD73" i="35"/>
  <c r="AN73" i="35"/>
  <c r="EB4" i="14"/>
  <c r="EB4" i="12"/>
  <c r="EB4" i="13"/>
  <c r="CJ52" i="13"/>
  <c r="CI8" i="12"/>
  <c r="CD49" i="12"/>
  <c r="CM47" i="13"/>
  <c r="CM48" i="13" s="1"/>
  <c r="CL50" i="13"/>
  <c r="CL52" i="13" s="1"/>
  <c r="CL8" i="12" s="1"/>
  <c r="EC4" i="14"/>
  <c r="EC4" i="13"/>
  <c r="EC4" i="12"/>
  <c r="L23" i="25"/>
  <c r="M23" i="25" s="1"/>
  <c r="F18" i="25"/>
  <c r="L22" i="25"/>
  <c r="M22" i="25" s="1"/>
  <c r="F22" i="25"/>
  <c r="G22" i="25" s="1"/>
  <c r="L18" i="25"/>
  <c r="F23" i="25"/>
  <c r="G23" i="25" s="1"/>
  <c r="CK7" i="12"/>
  <c r="CK51" i="12"/>
  <c r="CK53" i="12" s="1"/>
  <c r="CK14" i="12"/>
  <c r="CK25" i="12" s="1"/>
  <c r="T73" i="35"/>
  <c r="CO12" i="25"/>
  <c r="I39" i="1"/>
  <c r="E27" i="21"/>
  <c r="I30" i="1"/>
  <c r="CV13" i="25"/>
  <c r="DY4" i="14"/>
  <c r="DY4" i="13"/>
  <c r="DY4" i="12"/>
  <c r="AI73" i="35"/>
  <c r="DZ4" i="13"/>
  <c r="DZ4" i="14"/>
  <c r="DZ4" i="12"/>
  <c r="EA4" i="14"/>
  <c r="EA4" i="13"/>
  <c r="EA4" i="12"/>
  <c r="DW23" i="13"/>
  <c r="EA35" i="14"/>
  <c r="DY18" i="13"/>
  <c r="EB41" i="14"/>
  <c r="EB6" i="14"/>
  <c r="EB56" i="14"/>
  <c r="EB60" i="14"/>
  <c r="EB58" i="14"/>
  <c r="EB6" i="2"/>
  <c r="EB40" i="14"/>
  <c r="DY11" i="12"/>
  <c r="DY30" i="12"/>
  <c r="DY35" i="12"/>
  <c r="DV75" i="2"/>
  <c r="DW74" i="2"/>
  <c r="DW46" i="2"/>
  <c r="DW45" i="2"/>
  <c r="DY41" i="2"/>
  <c r="DX34" i="12"/>
  <c r="DX40" i="12" s="1"/>
  <c r="DW40" i="12"/>
  <c r="EA61" i="14"/>
  <c r="DY108" i="2"/>
  <c r="EA8" i="14"/>
  <c r="EA10" i="14"/>
  <c r="EA38" i="14"/>
  <c r="EA105" i="14"/>
  <c r="EA110" i="14"/>
  <c r="AZ33" i="35"/>
  <c r="EA12" i="2"/>
  <c r="EA10" i="2"/>
  <c r="EA7" i="2"/>
  <c r="DE229" i="35"/>
  <c r="DE230" i="35" s="1"/>
  <c r="EC19" i="14"/>
  <c r="EC66" i="14"/>
  <c r="EC20" i="14"/>
  <c r="DV112" i="2"/>
  <c r="DV114" i="2"/>
  <c r="EA57" i="14"/>
  <c r="DW26" i="2"/>
  <c r="DY19" i="2"/>
  <c r="DY28" i="12"/>
  <c r="DY20" i="13" s="1"/>
  <c r="EC25" i="14"/>
  <c r="EC27" i="14" s="1"/>
  <c r="EB27" i="14"/>
  <c r="EB36" i="14"/>
  <c r="EB26" i="14"/>
  <c r="EB34" i="14"/>
  <c r="EB35" i="14" s="1"/>
  <c r="DW75" i="2"/>
  <c r="DY86" i="2"/>
  <c r="DE178" i="35" a="1"/>
  <c r="ED25" i="14" l="1"/>
  <c r="ED36" i="14" s="1"/>
  <c r="ED37" i="14" s="1"/>
  <c r="EE16" i="14"/>
  <c r="EE17" i="14" s="1"/>
  <c r="ED20" i="14"/>
  <c r="ED19" i="14"/>
  <c r="ED17" i="14"/>
  <c r="ED66" i="14"/>
  <c r="AI34" i="37"/>
  <c r="BH10" i="37"/>
  <c r="BF10" i="37"/>
  <c r="ER5" i="2"/>
  <c r="EI4" i="2"/>
  <c r="EJ4" i="2"/>
  <c r="EK4" i="2"/>
  <c r="EL4" i="2"/>
  <c r="EM4" i="2"/>
  <c r="ED4" i="14"/>
  <c r="ED4" i="12"/>
  <c r="ED4" i="13"/>
  <c r="EE4" i="13"/>
  <c r="EE4" i="14"/>
  <c r="EE4" i="12"/>
  <c r="EF4" i="12"/>
  <c r="EF4" i="13"/>
  <c r="EF4" i="14"/>
  <c r="EG4" i="12"/>
  <c r="EG4" i="13"/>
  <c r="EG4" i="14"/>
  <c r="EH4" i="13"/>
  <c r="EH4" i="12"/>
  <c r="EH4" i="14"/>
  <c r="DC12" i="25"/>
  <c r="ED27" i="14"/>
  <c r="ED26" i="14"/>
  <c r="EE66" i="14"/>
  <c r="ED58" i="14"/>
  <c r="ED6" i="2"/>
  <c r="ED56" i="14"/>
  <c r="ED6" i="14"/>
  <c r="ED7" i="14" s="1"/>
  <c r="ED60" i="14"/>
  <c r="ED41" i="14"/>
  <c r="EB57" i="14"/>
  <c r="EA59" i="12"/>
  <c r="AW40" i="35"/>
  <c r="AW44" i="35"/>
  <c r="AW64" i="35"/>
  <c r="AW48" i="35"/>
  <c r="AW60" i="35"/>
  <c r="AW62" i="35"/>
  <c r="AW58" i="35"/>
  <c r="AW66" i="35"/>
  <c r="AW43" i="35"/>
  <c r="AW54" i="35"/>
  <c r="AW49" i="35"/>
  <c r="AW53" i="35"/>
  <c r="AW63" i="35"/>
  <c r="AW45" i="35"/>
  <c r="AW59" i="35"/>
  <c r="AW42" i="35"/>
  <c r="AW50" i="35"/>
  <c r="AW61" i="35"/>
  <c r="AW41" i="35"/>
  <c r="AW65" i="35"/>
  <c r="CK49" i="12"/>
  <c r="DY25" i="2"/>
  <c r="DY26" i="2" s="1"/>
  <c r="DY27" i="2"/>
  <c r="DE178" i="35"/>
  <c r="CU14" i="35"/>
  <c r="DB145" i="35"/>
  <c r="CW144" i="35"/>
  <c r="CW146" i="35"/>
  <c r="DA145" i="35"/>
  <c r="CX146" i="35"/>
  <c r="CW15" i="35"/>
  <c r="DB19" i="35"/>
  <c r="DB26" i="35" s="1"/>
  <c r="DA14" i="35"/>
  <c r="CX147" i="35"/>
  <c r="CW147" i="35"/>
  <c r="CV14" i="35"/>
  <c r="DB147" i="35"/>
  <c r="CZ147" i="35"/>
  <c r="CW14" i="35"/>
  <c r="CV147" i="35"/>
  <c r="CY14" i="35"/>
  <c r="DB18" i="35"/>
  <c r="DB25" i="35" s="1"/>
  <c r="CX18" i="35"/>
  <c r="CX25" i="35" s="1"/>
  <c r="CU19" i="35"/>
  <c r="CU26" i="35" s="1"/>
  <c r="CU18" i="35"/>
  <c r="CU25" i="35" s="1"/>
  <c r="CZ22" i="35"/>
  <c r="CZ18" i="35"/>
  <c r="CZ25" i="35" s="1"/>
  <c r="CW18" i="35"/>
  <c r="CW25" i="35" s="1"/>
  <c r="CU22" i="35"/>
  <c r="DA18" i="35"/>
  <c r="DA25" i="35" s="1"/>
  <c r="CV18" i="35"/>
  <c r="CV25" i="35" s="1"/>
  <c r="CX14" i="35"/>
  <c r="CY147" i="35"/>
  <c r="CT18" i="35"/>
  <c r="DA147" i="35"/>
  <c r="CY18" i="35"/>
  <c r="CY25" i="35" s="1"/>
  <c r="DB14" i="35"/>
  <c r="CU147" i="35"/>
  <c r="CZ14" i="35"/>
  <c r="DA19" i="35"/>
  <c r="DA26" i="35" s="1"/>
  <c r="CT22" i="35"/>
  <c r="CU15" i="35"/>
  <c r="CY19" i="35"/>
  <c r="CY26" i="35" s="1"/>
  <c r="CU144" i="35"/>
  <c r="DB15" i="35"/>
  <c r="CY20" i="35"/>
  <c r="CY27" i="35" s="1"/>
  <c r="DA15" i="35"/>
  <c r="CZ20" i="35"/>
  <c r="CZ27" i="35" s="1"/>
  <c r="CZ19" i="35"/>
  <c r="CZ26" i="35" s="1"/>
  <c r="CW22" i="35"/>
  <c r="DB20" i="35"/>
  <c r="DB27" i="35" s="1"/>
  <c r="CW19" i="35"/>
  <c r="CW26" i="35" s="1"/>
  <c r="CT20" i="35"/>
  <c r="DB146" i="35"/>
  <c r="CV22" i="35"/>
  <c r="CY145" i="35"/>
  <c r="CV15" i="35"/>
  <c r="CU146" i="35"/>
  <c r="CV19" i="35"/>
  <c r="CV26" i="35" s="1"/>
  <c r="CV20" i="35"/>
  <c r="CV27" i="35" s="1"/>
  <c r="DB144" i="35"/>
  <c r="CW20" i="35"/>
  <c r="CW27" i="35" s="1"/>
  <c r="DA20" i="35"/>
  <c r="DA27" i="35" s="1"/>
  <c r="CZ146" i="35"/>
  <c r="CY146" i="35"/>
  <c r="DA22" i="35"/>
  <c r="CU20" i="35"/>
  <c r="CU27" i="35" s="1"/>
  <c r="CX20" i="35"/>
  <c r="CX27" i="35" s="1"/>
  <c r="CX144" i="35"/>
  <c r="CY144" i="35"/>
  <c r="CZ144" i="35"/>
  <c r="CV146" i="35"/>
  <c r="CY22" i="35"/>
  <c r="CU145" i="35"/>
  <c r="CV144" i="35"/>
  <c r="CT19" i="35"/>
  <c r="CY15" i="35"/>
  <c r="DA144" i="35"/>
  <c r="CZ15" i="35"/>
  <c r="CX145" i="35"/>
  <c r="CX15" i="35"/>
  <c r="DA146" i="35"/>
  <c r="CZ145" i="35"/>
  <c r="CX22" i="35"/>
  <c r="CX19" i="35"/>
  <c r="CX26" i="35" s="1"/>
  <c r="CV145" i="35"/>
  <c r="DB22" i="35"/>
  <c r="CW145" i="35"/>
  <c r="DY44" i="2"/>
  <c r="CX75" i="35"/>
  <c r="CX76" i="35" s="1"/>
  <c r="CV75" i="35"/>
  <c r="CV76" i="35" s="1"/>
  <c r="CZ75" i="35"/>
  <c r="CZ76" i="35" s="1"/>
  <c r="CY75" i="35"/>
  <c r="CY76" i="35" s="1"/>
  <c r="CU75" i="35"/>
  <c r="CU76" i="35" s="1"/>
  <c r="DA75" i="35"/>
  <c r="DA76" i="35" s="1"/>
  <c r="DB75" i="35"/>
  <c r="DB76" i="35" s="1"/>
  <c r="CW75" i="35"/>
  <c r="CW76" i="35" s="1"/>
  <c r="CT75" i="35"/>
  <c r="CT76" i="35" s="1"/>
  <c r="AW20" i="35"/>
  <c r="AW31" i="35"/>
  <c r="AW27" i="35"/>
  <c r="AW15" i="35"/>
  <c r="AW26" i="35"/>
  <c r="AW19" i="35"/>
  <c r="AW22" i="35"/>
  <c r="AX3" i="35"/>
  <c r="AX53" i="35" s="1"/>
  <c r="AW14" i="35"/>
  <c r="AW18" i="35"/>
  <c r="AV21" i="35"/>
  <c r="DV77" i="2"/>
  <c r="DV115" i="2" s="1"/>
  <c r="CI13" i="25"/>
  <c r="CR13" i="25"/>
  <c r="CY12" i="25"/>
  <c r="CW12" i="25"/>
  <c r="CI12" i="25"/>
  <c r="DJ13" i="25"/>
  <c r="DM13" i="25" s="1"/>
  <c r="DY19" i="13"/>
  <c r="CZ67" i="35"/>
  <c r="CU67" i="35"/>
  <c r="DC13" i="25"/>
  <c r="DQ12" i="25"/>
  <c r="DR12" i="25" s="1"/>
  <c r="CR12" i="25"/>
  <c r="CP12" i="25"/>
  <c r="CX67" i="35"/>
  <c r="CY67" i="35"/>
  <c r="CW67" i="35"/>
  <c r="CE49" i="12"/>
  <c r="CE73" i="12"/>
  <c r="M18" i="25"/>
  <c r="CV67" i="35"/>
  <c r="CI51" i="12"/>
  <c r="CJ8" i="12"/>
  <c r="CI7" i="12"/>
  <c r="CJ7" i="12" s="1"/>
  <c r="CI14" i="12"/>
  <c r="CI25" i="12" s="1"/>
  <c r="CJ25" i="12" s="1"/>
  <c r="DQ13" i="25"/>
  <c r="DT13" i="25" s="1"/>
  <c r="G18" i="25"/>
  <c r="DJ12" i="25"/>
  <c r="DA67" i="35"/>
  <c r="L13" i="25"/>
  <c r="M13" i="25" s="1"/>
  <c r="F13" i="25"/>
  <c r="G13" i="25" s="1"/>
  <c r="CV11" i="25"/>
  <c r="CO14" i="25"/>
  <c r="DX15" i="25"/>
  <c r="DC11" i="25"/>
  <c r="DQ14" i="25"/>
  <c r="DQ16" i="25"/>
  <c r="L15" i="25"/>
  <c r="M15" i="25" s="1"/>
  <c r="DJ10" i="25"/>
  <c r="DX16" i="25"/>
  <c r="DJ15" i="25"/>
  <c r="L14" i="25"/>
  <c r="M14" i="25" s="1"/>
  <c r="AV15" i="25" s="1"/>
  <c r="AW15" i="25" s="1"/>
  <c r="CO17" i="25"/>
  <c r="EF16" i="25"/>
  <c r="L11" i="25"/>
  <c r="M11" i="25" s="1"/>
  <c r="DC17" i="25"/>
  <c r="L17" i="25"/>
  <c r="M17" i="25" s="1"/>
  <c r="CO10" i="25"/>
  <c r="CH11" i="25"/>
  <c r="DQ10" i="25"/>
  <c r="F16" i="25"/>
  <c r="L16" i="25"/>
  <c r="M16" i="25" s="1"/>
  <c r="AV17" i="25" s="1"/>
  <c r="AW17" i="25" s="1"/>
  <c r="EF14" i="25"/>
  <c r="F12" i="25"/>
  <c r="EF15" i="25"/>
  <c r="EF11" i="25"/>
  <c r="F10" i="25"/>
  <c r="G10" i="25" s="1"/>
  <c r="DX14" i="25"/>
  <c r="CV15" i="25"/>
  <c r="F15" i="25"/>
  <c r="G15" i="25" s="1"/>
  <c r="DJ16" i="25"/>
  <c r="EF10" i="25"/>
  <c r="CV10" i="25"/>
  <c r="DJ17" i="25"/>
  <c r="L12" i="25"/>
  <c r="M12" i="25" s="1"/>
  <c r="AV13" i="25" s="1"/>
  <c r="AW13" i="25" s="1"/>
  <c r="DX11" i="25"/>
  <c r="DQ11" i="25"/>
  <c r="DQ17" i="25"/>
  <c r="EF17" i="25"/>
  <c r="CO15" i="25"/>
  <c r="DJ14" i="25"/>
  <c r="DC15" i="25"/>
  <c r="L10" i="25"/>
  <c r="M10" i="25" s="1"/>
  <c r="CH16" i="25"/>
  <c r="CH14" i="25"/>
  <c r="F17" i="25"/>
  <c r="G17" i="25" s="1"/>
  <c r="DX17" i="25"/>
  <c r="F11" i="25"/>
  <c r="G11" i="25" s="1"/>
  <c r="F14" i="25"/>
  <c r="CO11" i="25"/>
  <c r="CH17" i="25"/>
  <c r="DC16" i="25"/>
  <c r="DX10" i="25"/>
  <c r="DJ11" i="25"/>
  <c r="CO16" i="25"/>
  <c r="CH10" i="25"/>
  <c r="CV14" i="25"/>
  <c r="DQ15" i="25"/>
  <c r="CV16" i="25"/>
  <c r="DC10" i="25"/>
  <c r="CH15" i="25"/>
  <c r="CV17" i="25"/>
  <c r="DC14" i="25"/>
  <c r="CW13" i="25"/>
  <c r="CY13" i="25"/>
  <c r="CL14" i="12"/>
  <c r="CL25" i="12" s="1"/>
  <c r="CL51" i="12"/>
  <c r="CL53" i="12" s="1"/>
  <c r="CL7" i="12"/>
  <c r="DB67" i="35"/>
  <c r="CT67" i="35"/>
  <c r="CN47" i="13"/>
  <c r="CN48" i="13" s="1"/>
  <c r="CM50" i="13"/>
  <c r="CM52" i="13" s="1"/>
  <c r="CM8" i="12" s="1"/>
  <c r="DY22" i="13"/>
  <c r="DW39" i="12"/>
  <c r="EB54" i="14"/>
  <c r="EB61" i="14"/>
  <c r="DX39" i="12"/>
  <c r="EB42" i="14"/>
  <c r="EB105" i="14"/>
  <c r="EB10" i="14"/>
  <c r="DX12" i="25"/>
  <c r="EB38" i="14"/>
  <c r="EB7" i="14"/>
  <c r="EB8" i="14"/>
  <c r="DX13" i="25" s="1"/>
  <c r="EB110" i="14"/>
  <c r="DW77" i="2"/>
  <c r="DY87" i="2"/>
  <c r="DY122" i="2"/>
  <c r="DY11" i="13"/>
  <c r="DY34" i="12"/>
  <c r="DY40" i="12" s="1"/>
  <c r="EA18" i="2"/>
  <c r="EC34" i="14"/>
  <c r="DY109" i="2"/>
  <c r="DY9" i="13"/>
  <c r="DY124" i="2"/>
  <c r="DY43" i="2"/>
  <c r="DY42" i="2"/>
  <c r="DY62" i="12"/>
  <c r="EF12" i="25"/>
  <c r="BA33" i="35"/>
  <c r="EB12" i="2"/>
  <c r="EB10" i="2"/>
  <c r="EB7" i="2"/>
  <c r="EC36" i="14"/>
  <c r="EC37" i="14" s="1"/>
  <c r="EB37" i="14"/>
  <c r="AZ5" i="35"/>
  <c r="AZ9" i="35" s="1"/>
  <c r="AZ35" i="35"/>
  <c r="EA107" i="2"/>
  <c r="EA33" i="2"/>
  <c r="EA83" i="2"/>
  <c r="EA61" i="12"/>
  <c r="EA105" i="2"/>
  <c r="EA106" i="2"/>
  <c r="EA82" i="2"/>
  <c r="EA85" i="2"/>
  <c r="EA31" i="2"/>
  <c r="EA55" i="12"/>
  <c r="EA57" i="12" s="1"/>
  <c r="EA84" i="2"/>
  <c r="EA64" i="13"/>
  <c r="EA67" i="13" s="1"/>
  <c r="EA35" i="2"/>
  <c r="EA39" i="2"/>
  <c r="EA104" i="2"/>
  <c r="EA37" i="2"/>
  <c r="EA10" i="12"/>
  <c r="EA11" i="2"/>
  <c r="AZ162" i="35" s="1"/>
  <c r="EA20" i="2"/>
  <c r="EB59" i="14"/>
  <c r="ED34" i="14" l="1"/>
  <c r="EE25" i="14"/>
  <c r="EE34" i="14" s="1"/>
  <c r="EE35" i="14" s="1"/>
  <c r="EF16" i="14"/>
  <c r="EF20" i="14" s="1"/>
  <c r="EE19" i="14"/>
  <c r="EE20" i="14"/>
  <c r="DD12" i="25"/>
  <c r="DF12" i="25"/>
  <c r="AY7" i="37"/>
  <c r="EN4" i="2"/>
  <c r="EO4" i="2"/>
  <c r="EP4" i="2"/>
  <c r="EQ4" i="2"/>
  <c r="ER4" i="2"/>
  <c r="BD7" i="37" s="1"/>
  <c r="EI4" i="13"/>
  <c r="EI4" i="14"/>
  <c r="EI4" i="12"/>
  <c r="EJ4" i="14"/>
  <c r="EJ4" i="12"/>
  <c r="EJ4" i="13"/>
  <c r="EK4" i="14"/>
  <c r="EK4" i="12"/>
  <c r="EK4" i="13"/>
  <c r="EL4" i="12"/>
  <c r="EL4" i="13"/>
  <c r="EL4" i="14"/>
  <c r="EM4" i="14"/>
  <c r="EM4" i="12"/>
  <c r="EM4" i="13"/>
  <c r="ED42" i="14"/>
  <c r="ED54" i="14"/>
  <c r="ED61" i="14"/>
  <c r="EG16" i="14"/>
  <c r="EF19" i="14"/>
  <c r="ED38" i="14"/>
  <c r="ED10" i="14"/>
  <c r="ED8" i="14"/>
  <c r="ED57" i="14"/>
  <c r="ED10" i="2"/>
  <c r="ED12" i="2"/>
  <c r="ED20" i="2" s="1"/>
  <c r="BC33" i="35"/>
  <c r="ED7" i="2"/>
  <c r="ED35" i="14"/>
  <c r="ED59" i="14"/>
  <c r="AX165" i="35"/>
  <c r="DY68" i="13"/>
  <c r="AX59" i="35"/>
  <c r="AX41" i="35"/>
  <c r="AX54" i="35"/>
  <c r="AX40" i="35"/>
  <c r="AX43" i="35"/>
  <c r="AX42" i="35"/>
  <c r="AX61" i="35"/>
  <c r="AX63" i="35"/>
  <c r="AX49" i="35"/>
  <c r="AX65" i="35"/>
  <c r="AX64" i="35"/>
  <c r="AX48" i="35"/>
  <c r="AX58" i="35"/>
  <c r="AX44" i="35"/>
  <c r="AX62" i="35"/>
  <c r="AX60" i="35"/>
  <c r="AX55" i="35"/>
  <c r="AX66" i="35"/>
  <c r="AX45" i="35"/>
  <c r="AX50" i="35"/>
  <c r="AX72" i="35"/>
  <c r="CL49" i="12"/>
  <c r="DY45" i="2"/>
  <c r="DY46" i="2"/>
  <c r="DY74" i="2"/>
  <c r="EA24" i="2"/>
  <c r="EB20" i="2"/>
  <c r="AW21" i="35"/>
  <c r="DV119" i="2"/>
  <c r="AV69" i="35"/>
  <c r="AV73" i="35" s="1"/>
  <c r="AX22" i="35"/>
  <c r="AX31" i="35"/>
  <c r="AY3" i="35"/>
  <c r="EC35" i="14"/>
  <c r="DE179" i="35"/>
  <c r="DV79" i="2"/>
  <c r="DV78" i="2"/>
  <c r="DK13" i="25"/>
  <c r="EB59" i="12"/>
  <c r="DR13" i="25"/>
  <c r="DT12" i="25"/>
  <c r="CU152" i="35"/>
  <c r="CU153" i="35"/>
  <c r="CX148" i="35"/>
  <c r="CZ148" i="35"/>
  <c r="CU21" i="35"/>
  <c r="CU28" i="35" s="1"/>
  <c r="CV148" i="35"/>
  <c r="CU151" i="35"/>
  <c r="CR16" i="25"/>
  <c r="CP16" i="25"/>
  <c r="DT11" i="25"/>
  <c r="DR11" i="25"/>
  <c r="CW153" i="35"/>
  <c r="CW159" i="35"/>
  <c r="CY152" i="35"/>
  <c r="CY158" i="35"/>
  <c r="CV151" i="35"/>
  <c r="CV157" i="35"/>
  <c r="EC10" i="25"/>
  <c r="EA10" i="25"/>
  <c r="DY10" i="25"/>
  <c r="CI17" i="25"/>
  <c r="CK17" i="25"/>
  <c r="DA21" i="35"/>
  <c r="DA28" i="35" s="1"/>
  <c r="CV152" i="35"/>
  <c r="CV158" i="35"/>
  <c r="DB152" i="35"/>
  <c r="DB158" i="35"/>
  <c r="EK14" i="25"/>
  <c r="EI14" i="25"/>
  <c r="EG14" i="25"/>
  <c r="CK11" i="25"/>
  <c r="CI11" i="25"/>
  <c r="DT16" i="25"/>
  <c r="DR16" i="25"/>
  <c r="DK12" i="25"/>
  <c r="DM12" i="25"/>
  <c r="CY159" i="35"/>
  <c r="CY153" i="35"/>
  <c r="AM15" i="25"/>
  <c r="G14" i="25"/>
  <c r="AO15" i="25"/>
  <c r="DR15" i="25"/>
  <c r="DT15" i="25"/>
  <c r="CR11" i="25"/>
  <c r="CP11" i="25"/>
  <c r="EG10" i="25"/>
  <c r="EI10" i="25"/>
  <c r="EK10" i="25"/>
  <c r="CY15" i="25"/>
  <c r="CW15" i="25"/>
  <c r="DT10" i="25"/>
  <c r="DR10" i="25"/>
  <c r="CX157" i="35"/>
  <c r="CX151" i="35"/>
  <c r="DM10" i="25"/>
  <c r="DK10" i="25"/>
  <c r="CW21" i="35"/>
  <c r="CW28" i="35" s="1"/>
  <c r="CV21" i="35"/>
  <c r="CV28" i="35" s="1"/>
  <c r="CZ153" i="35"/>
  <c r="CZ159" i="35"/>
  <c r="EJ15" i="25"/>
  <c r="EL15" i="25" s="1"/>
  <c r="CY14" i="25"/>
  <c r="CW14" i="25"/>
  <c r="DD14" i="25"/>
  <c r="DF14" i="25"/>
  <c r="DD10" i="25"/>
  <c r="DF10" i="25"/>
  <c r="DY17" i="25"/>
  <c r="EA17" i="25"/>
  <c r="EC17" i="25"/>
  <c r="CK14" i="25"/>
  <c r="CI14" i="25"/>
  <c r="DM14" i="25"/>
  <c r="DK14" i="25"/>
  <c r="CY151" i="35"/>
  <c r="CY157" i="35"/>
  <c r="CX159" i="35"/>
  <c r="CX153" i="35"/>
  <c r="CR10" i="25"/>
  <c r="CP10" i="25"/>
  <c r="DD17" i="25"/>
  <c r="DF17" i="25"/>
  <c r="CX21" i="35"/>
  <c r="CX28" i="35" s="1"/>
  <c r="CX152" i="35"/>
  <c r="CX158" i="35"/>
  <c r="DF13" i="25"/>
  <c r="DD13" i="25"/>
  <c r="CO48" i="13"/>
  <c r="CT47" i="13" s="1"/>
  <c r="CP47" i="13"/>
  <c r="CP48" i="13" s="1"/>
  <c r="CN50" i="13"/>
  <c r="G12" i="25"/>
  <c r="AM13" i="25"/>
  <c r="AO13" i="25"/>
  <c r="DM11" i="25"/>
  <c r="DK11" i="25"/>
  <c r="DA152" i="35"/>
  <c r="DA158" i="35"/>
  <c r="EC14" i="25"/>
  <c r="EA14" i="25"/>
  <c r="DY14" i="25"/>
  <c r="EG15" i="25"/>
  <c r="EI15" i="25"/>
  <c r="EK15" i="25"/>
  <c r="CV153" i="35"/>
  <c r="CV159" i="35"/>
  <c r="DR14" i="25"/>
  <c r="DT14" i="25"/>
  <c r="CP14" i="25"/>
  <c r="CR14" i="25"/>
  <c r="L19" i="25"/>
  <c r="M19" i="25" s="1"/>
  <c r="DB157" i="35"/>
  <c r="DA151" i="35"/>
  <c r="DA157" i="35"/>
  <c r="EJ17" i="25"/>
  <c r="EL17" i="25" s="1"/>
  <c r="CY16" i="25"/>
  <c r="CW16" i="25"/>
  <c r="CM14" i="12"/>
  <c r="CM25" i="12" s="1"/>
  <c r="CM51" i="12"/>
  <c r="CM53" i="12" s="1"/>
  <c r="CM7" i="12"/>
  <c r="CY17" i="25"/>
  <c r="CW17" i="25"/>
  <c r="DF16" i="25"/>
  <c r="DD16" i="25"/>
  <c r="CK16" i="25"/>
  <c r="CI16" i="25"/>
  <c r="DB151" i="35"/>
  <c r="DT17" i="25"/>
  <c r="DR17" i="25"/>
  <c r="CZ21" i="35"/>
  <c r="CZ28" i="35" s="1"/>
  <c r="DB21" i="35"/>
  <c r="DB28" i="35" s="1"/>
  <c r="CW152" i="35"/>
  <c r="CW158" i="35"/>
  <c r="EI16" i="25"/>
  <c r="EG16" i="25"/>
  <c r="EK16" i="25"/>
  <c r="DM15" i="25"/>
  <c r="DK15" i="25"/>
  <c r="CT21" i="35"/>
  <c r="CY11" i="25"/>
  <c r="CW11" i="25"/>
  <c r="CU148" i="35"/>
  <c r="CJ14" i="12"/>
  <c r="DK17" i="25"/>
  <c r="DM17" i="25"/>
  <c r="DB148" i="35"/>
  <c r="DB153" i="35"/>
  <c r="DB159" i="35"/>
  <c r="EA16" i="25"/>
  <c r="DY16" i="25"/>
  <c r="EC16" i="25"/>
  <c r="DF11" i="25"/>
  <c r="DD11" i="25"/>
  <c r="CK10" i="25"/>
  <c r="CI10" i="25"/>
  <c r="DA148" i="35"/>
  <c r="CW148" i="35"/>
  <c r="CR15" i="25"/>
  <c r="CP15" i="25"/>
  <c r="DM16" i="25"/>
  <c r="DK16" i="25"/>
  <c r="DY15" i="25"/>
  <c r="EC15" i="25"/>
  <c r="EA15" i="25"/>
  <c r="CZ158" i="35"/>
  <c r="CZ152" i="35"/>
  <c r="F19" i="25"/>
  <c r="G19" i="25" s="1"/>
  <c r="CI15" i="25"/>
  <c r="CK15" i="25"/>
  <c r="DA153" i="35"/>
  <c r="DA159" i="35"/>
  <c r="DD15" i="25"/>
  <c r="DF15" i="25"/>
  <c r="EK17" i="25"/>
  <c r="EI17" i="25"/>
  <c r="EG17" i="25"/>
  <c r="EC11" i="25"/>
  <c r="EA11" i="25"/>
  <c r="DY11" i="25"/>
  <c r="CY10" i="25"/>
  <c r="CW10" i="25"/>
  <c r="EI11" i="25"/>
  <c r="EG11" i="25"/>
  <c r="EK11" i="25"/>
  <c r="AO17" i="25"/>
  <c r="AM17" i="25"/>
  <c r="G16" i="25"/>
  <c r="CP17" i="25"/>
  <c r="CR17" i="25"/>
  <c r="CY148" i="35"/>
  <c r="CW157" i="35"/>
  <c r="CW151" i="35"/>
  <c r="CZ151" i="35"/>
  <c r="CZ157" i="35"/>
  <c r="CY21" i="35"/>
  <c r="CY28" i="35" s="1"/>
  <c r="CJ51" i="12"/>
  <c r="CI53" i="12"/>
  <c r="CJ53" i="12" s="1"/>
  <c r="DY23" i="13"/>
  <c r="DY39" i="12"/>
  <c r="EB18" i="2"/>
  <c r="EA28" i="12"/>
  <c r="EA19" i="2"/>
  <c r="EA108" i="2"/>
  <c r="BA35" i="35"/>
  <c r="EB35" i="2"/>
  <c r="EB107" i="2"/>
  <c r="EB33" i="2"/>
  <c r="EC13" i="12"/>
  <c r="EE13" i="12" s="1"/>
  <c r="EG13" i="12" s="1"/>
  <c r="EB61" i="12"/>
  <c r="EB31" i="2"/>
  <c r="BA5" i="35"/>
  <c r="BA9" i="35" s="1"/>
  <c r="EB85" i="2"/>
  <c r="EB84" i="2"/>
  <c r="EB55" i="12"/>
  <c r="EB57" i="12" s="1"/>
  <c r="EB83" i="2"/>
  <c r="EB105" i="2"/>
  <c r="EB104" i="2"/>
  <c r="EB64" i="13"/>
  <c r="EB67" i="13" s="1"/>
  <c r="EB106" i="2"/>
  <c r="EB39" i="2"/>
  <c r="EB37" i="2"/>
  <c r="EB10" i="12"/>
  <c r="EC10" i="12" s="1"/>
  <c r="EB11" i="2"/>
  <c r="BA162" i="35" s="1"/>
  <c r="EA41" i="2"/>
  <c r="EA13" i="25"/>
  <c r="DY13" i="25"/>
  <c r="EC13" i="25"/>
  <c r="DY12" i="25"/>
  <c r="EC12" i="25"/>
  <c r="EA12" i="25"/>
  <c r="EA86" i="2"/>
  <c r="DW80" i="2"/>
  <c r="DW78" i="2"/>
  <c r="DW79" i="2"/>
  <c r="EA21" i="2"/>
  <c r="EK12" i="25"/>
  <c r="EG12" i="25"/>
  <c r="EI12" i="25"/>
  <c r="DV116" i="2"/>
  <c r="DV65" i="13"/>
  <c r="CH18" i="25"/>
  <c r="DV118" i="2"/>
  <c r="AV70" i="35" s="1"/>
  <c r="EA11" i="12"/>
  <c r="EA35" i="12"/>
  <c r="EA30" i="12"/>
  <c r="DY10" i="13"/>
  <c r="EB47" i="14"/>
  <c r="EB55" i="14"/>
  <c r="CA18" i="25" l="1"/>
  <c r="CB18" i="25" s="1"/>
  <c r="EF66" i="14"/>
  <c r="EF25" i="14"/>
  <c r="EF27" i="14" s="1"/>
  <c r="EE27" i="14"/>
  <c r="EE26" i="14"/>
  <c r="EE36" i="14"/>
  <c r="EE37" i="14" s="1"/>
  <c r="EF39" i="14"/>
  <c r="EF60" i="14" s="1"/>
  <c r="EF17" i="14"/>
  <c r="DC48" i="35"/>
  <c r="DC58" i="35"/>
  <c r="R20" i="25"/>
  <c r="S20" i="25" s="1"/>
  <c r="AK23" i="25"/>
  <c r="AL23" i="25" s="1"/>
  <c r="X18" i="25"/>
  <c r="Y18" i="25" s="1"/>
  <c r="AK18" i="25"/>
  <c r="AL18" i="25" s="1"/>
  <c r="DC63" i="35"/>
  <c r="AD23" i="25"/>
  <c r="AE23" i="25" s="1"/>
  <c r="DC64" i="35"/>
  <c r="X23" i="25"/>
  <c r="Y23" i="25" s="1"/>
  <c r="DC45" i="35"/>
  <c r="DC66" i="35"/>
  <c r="AY18" i="25"/>
  <c r="AZ18" i="25" s="1"/>
  <c r="X22" i="25"/>
  <c r="Y22" i="25" s="1"/>
  <c r="AR23" i="25"/>
  <c r="AS23" i="25" s="1"/>
  <c r="DC42" i="35"/>
  <c r="DC43" i="35" s="1"/>
  <c r="R23" i="25"/>
  <c r="S23" i="25" s="1"/>
  <c r="DC60" i="35"/>
  <c r="DC54" i="35"/>
  <c r="DC61" i="35"/>
  <c r="DC44" i="35"/>
  <c r="AR18" i="25"/>
  <c r="AS18" i="25" s="1"/>
  <c r="R18" i="25"/>
  <c r="S18" i="25" s="1"/>
  <c r="DC65" i="35"/>
  <c r="DC53" i="35"/>
  <c r="R22" i="25"/>
  <c r="S22" i="25" s="1"/>
  <c r="DC50" i="35"/>
  <c r="DC55" i="35" s="1"/>
  <c r="DC59" i="35"/>
  <c r="R21" i="25"/>
  <c r="S21" i="25" s="1"/>
  <c r="DC49" i="35"/>
  <c r="AD22" i="25"/>
  <c r="AG22" i="25" s="1"/>
  <c r="DC62" i="35"/>
  <c r="AD18" i="25"/>
  <c r="AG18" i="25" s="1"/>
  <c r="DC40" i="35"/>
  <c r="DC41" i="35" s="1"/>
  <c r="EN4" i="14"/>
  <c r="CA11" i="25" s="1"/>
  <c r="EN4" i="12"/>
  <c r="EN4" i="13"/>
  <c r="EO4" i="12"/>
  <c r="EO4" i="14"/>
  <c r="EO4" i="13"/>
  <c r="EP4" i="12"/>
  <c r="EP4" i="14"/>
  <c r="EP4" i="13"/>
  <c r="EQ4" i="12"/>
  <c r="EQ4" i="14"/>
  <c r="EQ4" i="13"/>
  <c r="ER4" i="14"/>
  <c r="ER4" i="12"/>
  <c r="ER4" i="13"/>
  <c r="EH13" i="12"/>
  <c r="EJ13" i="12" s="1"/>
  <c r="EL13" i="12" s="1"/>
  <c r="EI13" i="12"/>
  <c r="EK13" i="12" s="1"/>
  <c r="EG25" i="14"/>
  <c r="EH16" i="14"/>
  <c r="EG17" i="14"/>
  <c r="EG19" i="14"/>
  <c r="EG66" i="14"/>
  <c r="EG20" i="14"/>
  <c r="EG39" i="14"/>
  <c r="ED21" i="2"/>
  <c r="ED47" i="14"/>
  <c r="ED55" i="14"/>
  <c r="ED18" i="2"/>
  <c r="ED61" i="12"/>
  <c r="ED37" i="2"/>
  <c r="ED85" i="2"/>
  <c r="ED31" i="2"/>
  <c r="BC35" i="35"/>
  <c r="ED82" i="2"/>
  <c r="BC5" i="35"/>
  <c r="BC9" i="35" s="1"/>
  <c r="ED59" i="12"/>
  <c r="ED106" i="2"/>
  <c r="ED107" i="2"/>
  <c r="ED55" i="12"/>
  <c r="ED105" i="2"/>
  <c r="ED33" i="2"/>
  <c r="ED83" i="2"/>
  <c r="ED104" i="2"/>
  <c r="ED35" i="2"/>
  <c r="ED64" i="13"/>
  <c r="ED67" i="13" s="1"/>
  <c r="ED84" i="2"/>
  <c r="ED39" i="2"/>
  <c r="ED10" i="12"/>
  <c r="ED18" i="13" s="1"/>
  <c r="ED11" i="2"/>
  <c r="BB162" i="35" s="1"/>
  <c r="EF34" i="14"/>
  <c r="EF35" i="14" s="1"/>
  <c r="AY43" i="35"/>
  <c r="AY41" i="35"/>
  <c r="AY59" i="35"/>
  <c r="AY61" i="35"/>
  <c r="AY65" i="35"/>
  <c r="AY63" i="35"/>
  <c r="CJ75" i="12"/>
  <c r="CM49" i="12"/>
  <c r="EA25" i="2"/>
  <c r="EA27" i="2"/>
  <c r="EB21" i="2"/>
  <c r="EB24" i="2"/>
  <c r="EA44" i="2"/>
  <c r="EA100" i="2"/>
  <c r="EB48" i="14"/>
  <c r="BA91" i="35"/>
  <c r="AZ3" i="35"/>
  <c r="AP17" i="25"/>
  <c r="AP15" i="25"/>
  <c r="AP13" i="25"/>
  <c r="CJ72" i="12"/>
  <c r="CJ70" i="12"/>
  <c r="CO50" i="13"/>
  <c r="CN52" i="13"/>
  <c r="CQ47" i="13"/>
  <c r="CQ48" i="13" s="1"/>
  <c r="CP50" i="13"/>
  <c r="CP52" i="13" s="1"/>
  <c r="CP8" i="12" s="1"/>
  <c r="EB108" i="2"/>
  <c r="EB124" i="2" s="1"/>
  <c r="EB18" i="13"/>
  <c r="EA11" i="13"/>
  <c r="EA87" i="2"/>
  <c r="EA122" i="2"/>
  <c r="EB28" i="12"/>
  <c r="EB19" i="2"/>
  <c r="DY75" i="2"/>
  <c r="DY77" i="2" s="1"/>
  <c r="CH19" i="25"/>
  <c r="CI18" i="25"/>
  <c r="CK18" i="25"/>
  <c r="EA34" i="12"/>
  <c r="EA40" i="12" s="1"/>
  <c r="EA42" i="2"/>
  <c r="EA62" i="12"/>
  <c r="EA43" i="2"/>
  <c r="EB11" i="12"/>
  <c r="EC11" i="12" s="1"/>
  <c r="EB30" i="12"/>
  <c r="EB35" i="12"/>
  <c r="EC35" i="12" s="1"/>
  <c r="EB41" i="2"/>
  <c r="EA109" i="2"/>
  <c r="EA9" i="13"/>
  <c r="EA124" i="2"/>
  <c r="CD18" i="25" l="1"/>
  <c r="EF41" i="14"/>
  <c r="EF6" i="2"/>
  <c r="CA14" i="25"/>
  <c r="CB14" i="25" s="1"/>
  <c r="EF56" i="14"/>
  <c r="EF57" i="14" s="1"/>
  <c r="CA12" i="25"/>
  <c r="CB12" i="25" s="1"/>
  <c r="CA17" i="25"/>
  <c r="CD17" i="25" s="1"/>
  <c r="EF6" i="14"/>
  <c r="EF38" i="14" s="1"/>
  <c r="CB11" i="25"/>
  <c r="CD11" i="25"/>
  <c r="CA16" i="25"/>
  <c r="EF36" i="14"/>
  <c r="EF37" i="14" s="1"/>
  <c r="EF26" i="14"/>
  <c r="EH17" i="14"/>
  <c r="CA15" i="25"/>
  <c r="CA13" i="25"/>
  <c r="CA10" i="25"/>
  <c r="AN23" i="25"/>
  <c r="AD13" i="25"/>
  <c r="AE13" i="25" s="1"/>
  <c r="AG23" i="25"/>
  <c r="AD12" i="25"/>
  <c r="AG12" i="25" s="1"/>
  <c r="AN18" i="25"/>
  <c r="DC22" i="35"/>
  <c r="AU23" i="25"/>
  <c r="X11" i="25"/>
  <c r="Y11" i="25" s="1"/>
  <c r="BT15" i="25"/>
  <c r="BW15" i="25" s="1"/>
  <c r="BB18" i="25"/>
  <c r="AY15" i="25"/>
  <c r="AZ15" i="25" s="1"/>
  <c r="AY10" i="25"/>
  <c r="AZ10" i="25" s="1"/>
  <c r="AR10" i="25"/>
  <c r="AU10" i="25" s="1"/>
  <c r="DC147" i="35"/>
  <c r="R16" i="25"/>
  <c r="S16" i="25" s="1"/>
  <c r="AK17" i="25"/>
  <c r="AL17" i="25" s="1"/>
  <c r="BM16" i="25"/>
  <c r="BN16" i="25" s="1"/>
  <c r="AR17" i="25"/>
  <c r="AU17" i="25" s="1"/>
  <c r="BF15" i="25"/>
  <c r="BI15" i="25" s="1"/>
  <c r="BM15" i="25"/>
  <c r="BN15" i="25" s="1"/>
  <c r="R14" i="25"/>
  <c r="S14" i="25" s="1"/>
  <c r="DC14" i="35"/>
  <c r="AU18" i="25"/>
  <c r="AE22" i="25"/>
  <c r="BM13" i="25"/>
  <c r="BN13" i="25" s="1"/>
  <c r="DC15" i="35"/>
  <c r="BF16" i="25"/>
  <c r="BG16" i="25" s="1"/>
  <c r="AD10" i="25"/>
  <c r="AE10" i="25" s="1"/>
  <c r="DC20" i="35"/>
  <c r="DC27" i="35" s="1"/>
  <c r="X16" i="25"/>
  <c r="Y16" i="25" s="1"/>
  <c r="AK14" i="25"/>
  <c r="AL14" i="25" s="1"/>
  <c r="BT12" i="25"/>
  <c r="BU12" i="25" s="1"/>
  <c r="BM10" i="25"/>
  <c r="DC146" i="35"/>
  <c r="BM14" i="25"/>
  <c r="BT10" i="25"/>
  <c r="BW10" i="25" s="1"/>
  <c r="DC67" i="35"/>
  <c r="X17" i="25"/>
  <c r="Y17" i="25" s="1"/>
  <c r="BM17" i="25"/>
  <c r="BN17" i="25" s="1"/>
  <c r="AD15" i="25"/>
  <c r="AE15" i="25" s="1"/>
  <c r="AY11" i="25"/>
  <c r="AZ11" i="25" s="1"/>
  <c r="BF10" i="25"/>
  <c r="BG10" i="25" s="1"/>
  <c r="AE18" i="25"/>
  <c r="BM12" i="25"/>
  <c r="DC145" i="35"/>
  <c r="DC144" i="35"/>
  <c r="AY16" i="25"/>
  <c r="AZ16" i="25" s="1"/>
  <c r="X15" i="25"/>
  <c r="Y15" i="25" s="1"/>
  <c r="BT14" i="25"/>
  <c r="BW14" i="25" s="1"/>
  <c r="R11" i="25"/>
  <c r="S11" i="25" s="1"/>
  <c r="AR15" i="25"/>
  <c r="AS15" i="25" s="1"/>
  <c r="R17" i="25"/>
  <c r="S17" i="25" s="1"/>
  <c r="AD17" i="25"/>
  <c r="AE17" i="25" s="1"/>
  <c r="AK15" i="25"/>
  <c r="AN15" i="25" s="1"/>
  <c r="BF14" i="25"/>
  <c r="BG14" i="25" s="1"/>
  <c r="BT16" i="25"/>
  <c r="BU16" i="25" s="1"/>
  <c r="AK10" i="25"/>
  <c r="AN10" i="25" s="1"/>
  <c r="DC19" i="35"/>
  <c r="DC26" i="35" s="1"/>
  <c r="AD11" i="25"/>
  <c r="AG11" i="25" s="1"/>
  <c r="BF13" i="25"/>
  <c r="BI13" i="25" s="1"/>
  <c r="AR14" i="25"/>
  <c r="AS14" i="25" s="1"/>
  <c r="BT17" i="25"/>
  <c r="BU17" i="25" s="1"/>
  <c r="X12" i="25"/>
  <c r="X19" i="25" s="1"/>
  <c r="Y19" i="25" s="1"/>
  <c r="BM11" i="25"/>
  <c r="DC18" i="35"/>
  <c r="DC25" i="35" s="1"/>
  <c r="AY17" i="25"/>
  <c r="AD16" i="25"/>
  <c r="BF17" i="25"/>
  <c r="AK11" i="25"/>
  <c r="BT13" i="25"/>
  <c r="AK13" i="25"/>
  <c r="R15" i="25"/>
  <c r="S15" i="25" s="1"/>
  <c r="AK12" i="25"/>
  <c r="R12" i="25"/>
  <c r="AY12" i="25"/>
  <c r="AR12" i="25"/>
  <c r="R13" i="25"/>
  <c r="S13" i="25" s="1"/>
  <c r="X13" i="25"/>
  <c r="Y13" i="25" s="1"/>
  <c r="AR13" i="25"/>
  <c r="R10" i="25"/>
  <c r="S10" i="25" s="1"/>
  <c r="X10" i="25"/>
  <c r="Y10" i="25" s="1"/>
  <c r="BF12" i="25"/>
  <c r="AK16" i="25"/>
  <c r="AR16" i="25"/>
  <c r="AY13" i="25"/>
  <c r="BF11" i="25"/>
  <c r="X14" i="25"/>
  <c r="Y14" i="25" s="1"/>
  <c r="AR11" i="25"/>
  <c r="BT11" i="25"/>
  <c r="AY14" i="25"/>
  <c r="AD14" i="25"/>
  <c r="EM13" i="12"/>
  <c r="EO13" i="12" s="1"/>
  <c r="EQ13" i="12" s="1"/>
  <c r="ER13" i="12" s="1"/>
  <c r="EN13" i="12"/>
  <c r="EP13" i="12" s="1"/>
  <c r="ED19" i="2"/>
  <c r="ED28" i="12"/>
  <c r="EH25" i="14"/>
  <c r="EH27" i="14" s="1"/>
  <c r="EG36" i="14"/>
  <c r="EG27" i="14"/>
  <c r="EG34" i="14"/>
  <c r="EG35" i="14" s="1"/>
  <c r="EG26" i="14"/>
  <c r="ED108" i="2"/>
  <c r="ED35" i="12"/>
  <c r="ED11" i="12"/>
  <c r="ED19" i="13" s="1"/>
  <c r="ED30" i="12"/>
  <c r="ED57" i="12"/>
  <c r="DF229" i="35"/>
  <c r="DF230" i="35" s="1"/>
  <c r="EI16" i="14"/>
  <c r="EH19" i="14"/>
  <c r="EH66" i="14"/>
  <c r="EH20" i="14"/>
  <c r="ED24" i="2"/>
  <c r="EF8" i="14"/>
  <c r="EF61" i="14"/>
  <c r="ED86" i="2"/>
  <c r="ED41" i="2"/>
  <c r="BE33" i="35"/>
  <c r="EF12" i="2"/>
  <c r="EF20" i="2" s="1"/>
  <c r="EF21" i="2" s="1"/>
  <c r="EF10" i="2"/>
  <c r="EF7" i="2"/>
  <c r="BC91" i="35"/>
  <c r="ED48" i="14"/>
  <c r="EG6" i="14"/>
  <c r="EG58" i="14"/>
  <c r="EG59" i="14" s="1"/>
  <c r="EG40" i="14"/>
  <c r="EG56" i="14"/>
  <c r="EG60" i="14"/>
  <c r="EG6" i="2"/>
  <c r="EG41" i="14"/>
  <c r="AZ165" i="35"/>
  <c r="EA68" i="13"/>
  <c r="AZ59" i="35"/>
  <c r="AZ43" i="35"/>
  <c r="AZ42" i="35"/>
  <c r="AZ63" i="35"/>
  <c r="AZ41" i="35"/>
  <c r="AZ61" i="35"/>
  <c r="AZ54" i="35"/>
  <c r="AZ65" i="35"/>
  <c r="AZ49" i="35"/>
  <c r="AZ40" i="35"/>
  <c r="AZ64" i="35"/>
  <c r="AZ60" i="35"/>
  <c r="AZ48" i="35"/>
  <c r="AZ58" i="35"/>
  <c r="AZ62" i="35"/>
  <c r="AZ44" i="35"/>
  <c r="AZ53" i="35"/>
  <c r="AZ50" i="35"/>
  <c r="AZ72" i="35"/>
  <c r="AZ66" i="35"/>
  <c r="AZ45" i="35"/>
  <c r="AZ55" i="35"/>
  <c r="EA26" i="2"/>
  <c r="EB27" i="2"/>
  <c r="EB25" i="2"/>
  <c r="EA74" i="2"/>
  <c r="EA111" i="2" s="1"/>
  <c r="EA46" i="2"/>
  <c r="EA45" i="2"/>
  <c r="EA101" i="2"/>
  <c r="EA102" i="2"/>
  <c r="EB44" i="2"/>
  <c r="AZ22" i="35"/>
  <c r="AZ31" i="35"/>
  <c r="AZ19" i="35"/>
  <c r="AZ26" i="35"/>
  <c r="AZ20" i="35"/>
  <c r="AZ27" i="35"/>
  <c r="AZ15" i="35"/>
  <c r="BA3" i="35"/>
  <c r="AZ18" i="35"/>
  <c r="AZ14" i="35"/>
  <c r="EB19" i="13"/>
  <c r="EB109" i="2"/>
  <c r="CP51" i="12"/>
  <c r="CP53" i="12" s="1"/>
  <c r="CP14" i="12"/>
  <c r="CP25" i="12" s="1"/>
  <c r="CP7" i="12"/>
  <c r="CR47" i="13"/>
  <c r="CR48" i="13" s="1"/>
  <c r="CQ50" i="13"/>
  <c r="CQ52" i="13" s="1"/>
  <c r="CQ8" i="12" s="1"/>
  <c r="EB9" i="13"/>
  <c r="EB10" i="13" s="1"/>
  <c r="EB75" i="2" s="1"/>
  <c r="CI49" i="12"/>
  <c r="CN8" i="12"/>
  <c r="CO52" i="13"/>
  <c r="EB22" i="13"/>
  <c r="EC30" i="12"/>
  <c r="EB43" i="2"/>
  <c r="EB62" i="12"/>
  <c r="EB42" i="2"/>
  <c r="EA39" i="12"/>
  <c r="EA10" i="13"/>
  <c r="EB34" i="12"/>
  <c r="EC28" i="12"/>
  <c r="EB20" i="13"/>
  <c r="CI19" i="25"/>
  <c r="CK19" i="25"/>
  <c r="DY79" i="2"/>
  <c r="DY78" i="2"/>
  <c r="DY80" i="2"/>
  <c r="DF178" i="35" a="1"/>
  <c r="EF110" i="14" l="1"/>
  <c r="CD14" i="25"/>
  <c r="CD12" i="25"/>
  <c r="CA19" i="25"/>
  <c r="CD19" i="25" s="1"/>
  <c r="EF105" i="14"/>
  <c r="EF10" i="14"/>
  <c r="EF42" i="14"/>
  <c r="CB17" i="25"/>
  <c r="CB13" i="25"/>
  <c r="CD13" i="25"/>
  <c r="CB16" i="25"/>
  <c r="CD16" i="25"/>
  <c r="CD15" i="25"/>
  <c r="CB15" i="25"/>
  <c r="CD10" i="25"/>
  <c r="CB10" i="25"/>
  <c r="AE12" i="25"/>
  <c r="BQ13" i="25"/>
  <c r="BO13" i="25"/>
  <c r="BP13" i="25" s="1"/>
  <c r="BU15" i="25"/>
  <c r="CZ17" i="25"/>
  <c r="DA17" i="25" s="1"/>
  <c r="AD19" i="25"/>
  <c r="AG19" i="25" s="1"/>
  <c r="AN17" i="25"/>
  <c r="BB10" i="25"/>
  <c r="AS10" i="25"/>
  <c r="AS17" i="25"/>
  <c r="ED20" i="13"/>
  <c r="BP16" i="25"/>
  <c r="BG15" i="25"/>
  <c r="BB15" i="25"/>
  <c r="BU10" i="25"/>
  <c r="BW16" i="25"/>
  <c r="BG13" i="25"/>
  <c r="AL10" i="25"/>
  <c r="AE11" i="25"/>
  <c r="BB16" i="25"/>
  <c r="AU14" i="25"/>
  <c r="AN14" i="25"/>
  <c r="BW12" i="25"/>
  <c r="AL15" i="25"/>
  <c r="BW17" i="25"/>
  <c r="BI14" i="25"/>
  <c r="AG10" i="25"/>
  <c r="Y12" i="25"/>
  <c r="BU14" i="25"/>
  <c r="BI16" i="25"/>
  <c r="BB11" i="25"/>
  <c r="BN11" i="25"/>
  <c r="BP11" i="25"/>
  <c r="CZ15" i="25"/>
  <c r="DA15" i="25" s="1"/>
  <c r="BP14" i="25"/>
  <c r="BN14" i="25"/>
  <c r="DC21" i="35"/>
  <c r="DC28" i="35" s="1"/>
  <c r="AU15" i="25"/>
  <c r="DC151" i="35"/>
  <c r="DC157" i="35"/>
  <c r="DC159" i="35"/>
  <c r="DC153" i="35"/>
  <c r="BI10" i="25"/>
  <c r="DC158" i="35"/>
  <c r="DC152" i="35"/>
  <c r="BP10" i="25"/>
  <c r="BN10" i="25"/>
  <c r="BP12" i="25"/>
  <c r="CZ13" i="25"/>
  <c r="DA13" i="25" s="1"/>
  <c r="BN12" i="25"/>
  <c r="DC148" i="35"/>
  <c r="AZ17" i="25"/>
  <c r="BB17" i="25"/>
  <c r="BQ17" i="25"/>
  <c r="BO17" i="25"/>
  <c r="BP17" i="25" s="1"/>
  <c r="AG16" i="25"/>
  <c r="AE16" i="25"/>
  <c r="BG17" i="25"/>
  <c r="BI17" i="25"/>
  <c r="AL13" i="25"/>
  <c r="AN13" i="25"/>
  <c r="AL11" i="25"/>
  <c r="AN11" i="25"/>
  <c r="BW13" i="25"/>
  <c r="BU13" i="25"/>
  <c r="AK19" i="25"/>
  <c r="AL12" i="25"/>
  <c r="AN12" i="25"/>
  <c r="S12" i="25"/>
  <c r="R19" i="25"/>
  <c r="S19" i="25" s="1"/>
  <c r="AY19" i="25"/>
  <c r="BB12" i="25"/>
  <c r="AZ12" i="25"/>
  <c r="AR19" i="25"/>
  <c r="AU12" i="25"/>
  <c r="AS12" i="25"/>
  <c r="BI12" i="25"/>
  <c r="BG12" i="25"/>
  <c r="AZ13" i="25"/>
  <c r="BB13" i="25"/>
  <c r="AU13" i="25"/>
  <c r="AS13" i="25"/>
  <c r="AL16" i="25"/>
  <c r="AN16" i="25"/>
  <c r="AS16" i="25"/>
  <c r="AU16" i="25"/>
  <c r="BI11" i="25"/>
  <c r="BG11" i="25"/>
  <c r="AU11" i="25"/>
  <c r="AS11" i="25"/>
  <c r="BW11" i="25"/>
  <c r="BU11" i="25"/>
  <c r="AZ14" i="25"/>
  <c r="BB14" i="25"/>
  <c r="AE14" i="25"/>
  <c r="BO15" i="25"/>
  <c r="BP15" i="25" s="1"/>
  <c r="AG14" i="25"/>
  <c r="BQ15" i="25"/>
  <c r="EH34" i="14"/>
  <c r="EH35" i="14" s="1"/>
  <c r="DF178" i="35"/>
  <c r="DF179" i="35" s="1"/>
  <c r="EG54" i="14"/>
  <c r="EG61" i="14"/>
  <c r="EG57" i="14"/>
  <c r="ED22" i="13"/>
  <c r="EF18" i="2"/>
  <c r="EF24" i="2" s="1"/>
  <c r="EH36" i="14"/>
  <c r="EH37" i="14" s="1"/>
  <c r="EG37" i="14"/>
  <c r="ED42" i="2"/>
  <c r="ED62" i="12"/>
  <c r="ED43" i="2"/>
  <c r="ED122" i="2"/>
  <c r="ED87" i="2"/>
  <c r="ED11" i="13"/>
  <c r="ED68" i="13" s="1"/>
  <c r="EG12" i="2"/>
  <c r="EG18" i="2" s="1"/>
  <c r="EG10" i="2"/>
  <c r="BF33" i="35"/>
  <c r="EG7" i="2"/>
  <c r="ED25" i="2"/>
  <c r="ED44" i="2"/>
  <c r="ED27" i="2"/>
  <c r="EG42" i="14"/>
  <c r="EG110" i="14"/>
  <c r="EG7" i="14"/>
  <c r="EG10" i="14"/>
  <c r="EG38" i="14"/>
  <c r="EG105" i="14"/>
  <c r="EG8" i="14"/>
  <c r="EI25" i="14"/>
  <c r="EI17" i="14"/>
  <c r="EJ16" i="14"/>
  <c r="EI19" i="14"/>
  <c r="EI20" i="14"/>
  <c r="EI66" i="14"/>
  <c r="EI39" i="14"/>
  <c r="ED109" i="2"/>
  <c r="ED9" i="13"/>
  <c r="ED124" i="2"/>
  <c r="EF105" i="2"/>
  <c r="EF107" i="2"/>
  <c r="EF55" i="12"/>
  <c r="EF33" i="2"/>
  <c r="EF85" i="2"/>
  <c r="EF31" i="2"/>
  <c r="EF39" i="2"/>
  <c r="EF35" i="2"/>
  <c r="EF61" i="12"/>
  <c r="EF83" i="2"/>
  <c r="EF106" i="2"/>
  <c r="EF84" i="2"/>
  <c r="EF64" i="13"/>
  <c r="EF67" i="13" s="1"/>
  <c r="BE35" i="35"/>
  <c r="EF59" i="12"/>
  <c r="EF37" i="2"/>
  <c r="BE5" i="35"/>
  <c r="BE9" i="35" s="1"/>
  <c r="EF82" i="2"/>
  <c r="EF104" i="2"/>
  <c r="EF10" i="12"/>
  <c r="EF11" i="2"/>
  <c r="BD162" i="35" s="1"/>
  <c r="ED34" i="12"/>
  <c r="ED40" i="12" s="1"/>
  <c r="ED39" i="12" s="1"/>
  <c r="BA165" i="35"/>
  <c r="BA53" i="35"/>
  <c r="BB3" i="35"/>
  <c r="BA45" i="35"/>
  <c r="BA50" i="35"/>
  <c r="BA41" i="35"/>
  <c r="BA42" i="35"/>
  <c r="BA43" i="35"/>
  <c r="BA49" i="35"/>
  <c r="BA54" i="35"/>
  <c r="BA65" i="35"/>
  <c r="BA61" i="35"/>
  <c r="BA63" i="35"/>
  <c r="BA59" i="35"/>
  <c r="BA40" i="35"/>
  <c r="BA62" i="35"/>
  <c r="BA64" i="35"/>
  <c r="BA48" i="35"/>
  <c r="BA58" i="35"/>
  <c r="BA60" i="35"/>
  <c r="BA44" i="35"/>
  <c r="BA66" i="35"/>
  <c r="CP49" i="12"/>
  <c r="EB45" i="2"/>
  <c r="EB74" i="2"/>
  <c r="EB77" i="2" s="1"/>
  <c r="EB46" i="2"/>
  <c r="BA55" i="35"/>
  <c r="EB26" i="2"/>
  <c r="BA20" i="35"/>
  <c r="BA27" i="35"/>
  <c r="BA22" i="35"/>
  <c r="BA31" i="35"/>
  <c r="BA15" i="35"/>
  <c r="BA19" i="35"/>
  <c r="BA26" i="35"/>
  <c r="BA18" i="35"/>
  <c r="BA14" i="35"/>
  <c r="AZ21" i="35"/>
  <c r="CQ7" i="12"/>
  <c r="CQ51" i="12"/>
  <c r="CQ53" i="12" s="1"/>
  <c r="CQ14" i="12"/>
  <c r="CQ25" i="12" s="1"/>
  <c r="CJ49" i="12"/>
  <c r="CJ73" i="12"/>
  <c r="CS47" i="13"/>
  <c r="CS48" i="13" s="1"/>
  <c r="CR50" i="13"/>
  <c r="CR52" i="13" s="1"/>
  <c r="CR8" i="12" s="1"/>
  <c r="CN51" i="12"/>
  <c r="CN14" i="12"/>
  <c r="CN25" i="12" s="1"/>
  <c r="CO25" i="12" s="1"/>
  <c r="CO8" i="12"/>
  <c r="CN7" i="12"/>
  <c r="CO7" i="12" s="1"/>
  <c r="EA112" i="2"/>
  <c r="EA114" i="2"/>
  <c r="EC34" i="12"/>
  <c r="EC40" i="12" s="1"/>
  <c r="EB40" i="12"/>
  <c r="EB23" i="13"/>
  <c r="EA75" i="2"/>
  <c r="CB19" i="25" l="1"/>
  <c r="ED23" i="13"/>
  <c r="BR13" i="25"/>
  <c r="AE19" i="25"/>
  <c r="BR17" i="25"/>
  <c r="AS19" i="25"/>
  <c r="AU19" i="25"/>
  <c r="AL19" i="25"/>
  <c r="AN19" i="25"/>
  <c r="AZ19" i="25"/>
  <c r="BB19" i="25"/>
  <c r="BR15" i="25"/>
  <c r="EI27" i="14"/>
  <c r="EI26" i="14"/>
  <c r="EI36" i="14"/>
  <c r="EI37" i="14" s="1"/>
  <c r="EI34" i="14"/>
  <c r="ED10" i="13"/>
  <c r="EF25" i="2"/>
  <c r="EF27" i="2"/>
  <c r="ED74" i="2"/>
  <c r="ED46" i="2"/>
  <c r="ED45" i="2"/>
  <c r="EF28" i="12"/>
  <c r="EF19" i="2"/>
  <c r="EF86" i="2"/>
  <c r="EF41" i="2"/>
  <c r="BB165" i="35"/>
  <c r="ED26" i="2"/>
  <c r="EF108" i="2"/>
  <c r="EI6" i="14"/>
  <c r="EI42" i="14" s="1"/>
  <c r="EI40" i="14"/>
  <c r="EI58" i="14"/>
  <c r="EI41" i="14"/>
  <c r="EI60" i="14"/>
  <c r="EI6" i="2"/>
  <c r="EI56" i="14"/>
  <c r="EF57" i="12"/>
  <c r="EF30" i="12"/>
  <c r="EF35" i="12"/>
  <c r="EF11" i="12"/>
  <c r="EG20" i="2"/>
  <c r="EG47" i="14"/>
  <c r="EG55" i="14"/>
  <c r="EJ17" i="14"/>
  <c r="EJ19" i="14"/>
  <c r="EJ25" i="14"/>
  <c r="EK16" i="14"/>
  <c r="EJ66" i="14"/>
  <c r="EJ20" i="14"/>
  <c r="EG105" i="2"/>
  <c r="EG106" i="2"/>
  <c r="EG37" i="2"/>
  <c r="EG35" i="2"/>
  <c r="EG85" i="2"/>
  <c r="BF35" i="35"/>
  <c r="EG33" i="2"/>
  <c r="EG107" i="2"/>
  <c r="EG104" i="2"/>
  <c r="EG83" i="2"/>
  <c r="EG55" i="12"/>
  <c r="BF5" i="35"/>
  <c r="BF9" i="35" s="1"/>
  <c r="EG31" i="2"/>
  <c r="EG39" i="2"/>
  <c r="EG84" i="2"/>
  <c r="EG64" i="13"/>
  <c r="EG67" i="13" s="1"/>
  <c r="EG24" i="2"/>
  <c r="EG59" i="12"/>
  <c r="EG61" i="12"/>
  <c r="EG10" i="12"/>
  <c r="EH10" i="12" s="1"/>
  <c r="EG11" i="2"/>
  <c r="BE162" i="35" s="1"/>
  <c r="EG19" i="2"/>
  <c r="EG28" i="12"/>
  <c r="BC3" i="35"/>
  <c r="BB66" i="35"/>
  <c r="BB72" i="35"/>
  <c r="BB48" i="35"/>
  <c r="BB61" i="35"/>
  <c r="BB58" i="35"/>
  <c r="BB31" i="35"/>
  <c r="BB53" i="35"/>
  <c r="BB60" i="35"/>
  <c r="BB59" i="35"/>
  <c r="BB22" i="35"/>
  <c r="BB45" i="35"/>
  <c r="BB49" i="35"/>
  <c r="BB40" i="35"/>
  <c r="BB55" i="35"/>
  <c r="BB62" i="35"/>
  <c r="BB43" i="35"/>
  <c r="BB65" i="35"/>
  <c r="BB44" i="35"/>
  <c r="BB54" i="35"/>
  <c r="BB41" i="35"/>
  <c r="BB50" i="35"/>
  <c r="BB63" i="35"/>
  <c r="BB42" i="35"/>
  <c r="BB64" i="35"/>
  <c r="CQ49" i="12"/>
  <c r="BA21" i="35"/>
  <c r="EA77" i="2"/>
  <c r="CN53" i="12"/>
  <c r="CO53" i="12" s="1"/>
  <c r="CO51" i="12"/>
  <c r="CR14" i="12"/>
  <c r="CR25" i="12" s="1"/>
  <c r="CR7" i="12"/>
  <c r="CR51" i="12"/>
  <c r="CR53" i="12" s="1"/>
  <c r="CT48" i="13"/>
  <c r="CY47" i="13" s="1"/>
  <c r="CS50" i="13"/>
  <c r="CU47" i="13"/>
  <c r="CU48" i="13" s="1"/>
  <c r="CO14" i="12"/>
  <c r="CQ72" i="12"/>
  <c r="CQ70" i="12"/>
  <c r="EB78" i="2"/>
  <c r="EB79" i="2"/>
  <c r="EB39" i="12"/>
  <c r="EC39" i="12"/>
  <c r="EG108" i="2" l="1"/>
  <c r="EI35" i="14"/>
  <c r="EJ27" i="14"/>
  <c r="EJ34" i="14"/>
  <c r="EJ35" i="14" s="1"/>
  <c r="EJ36" i="14"/>
  <c r="EJ37" i="14" s="1"/>
  <c r="EJ26" i="14"/>
  <c r="EI57" i="14"/>
  <c r="EI59" i="14"/>
  <c r="EG21" i="2"/>
  <c r="ED75" i="2"/>
  <c r="ED77" i="2" s="1"/>
  <c r="EG41" i="2"/>
  <c r="EI7" i="14"/>
  <c r="EI10" i="14"/>
  <c r="EI8" i="14"/>
  <c r="EI38" i="14"/>
  <c r="EI10" i="2"/>
  <c r="BH33" i="35"/>
  <c r="EI12" i="2"/>
  <c r="EI20" i="2" s="1"/>
  <c r="EI7" i="2"/>
  <c r="EF44" i="2"/>
  <c r="EF62" i="12"/>
  <c r="EF42" i="2"/>
  <c r="EF43" i="2"/>
  <c r="BD165" i="35"/>
  <c r="EF26" i="2"/>
  <c r="EK19" i="14"/>
  <c r="EK17" i="14"/>
  <c r="EL16" i="14"/>
  <c r="EK25" i="14"/>
  <c r="EK20" i="14"/>
  <c r="EK66" i="14"/>
  <c r="EK39" i="14"/>
  <c r="EF124" i="2"/>
  <c r="EF9" i="13"/>
  <c r="EF10" i="13" s="1"/>
  <c r="EF75" i="2" s="1"/>
  <c r="EF109" i="2"/>
  <c r="EG25" i="2"/>
  <c r="EG27" i="2"/>
  <c r="EI61" i="14"/>
  <c r="EI54" i="14"/>
  <c r="EF87" i="2"/>
  <c r="EF11" i="13"/>
  <c r="EF68" i="13" s="1"/>
  <c r="EF122" i="2"/>
  <c r="EF100" i="2"/>
  <c r="EG35" i="12"/>
  <c r="EH35" i="12" s="1"/>
  <c r="EG30" i="12"/>
  <c r="EG11" i="12"/>
  <c r="EH11" i="12" s="1"/>
  <c r="EG57" i="12"/>
  <c r="EG20" i="13"/>
  <c r="EH28" i="12"/>
  <c r="BF91" i="35"/>
  <c r="EG48" i="14"/>
  <c r="EG18" i="13"/>
  <c r="EF34" i="12"/>
  <c r="EF40" i="12" s="1"/>
  <c r="EF39" i="12" s="1"/>
  <c r="EA78" i="2"/>
  <c r="BD3" i="35"/>
  <c r="BC61" i="35"/>
  <c r="BC59" i="35"/>
  <c r="BC41" i="35"/>
  <c r="BC63" i="35"/>
  <c r="BC43" i="35"/>
  <c r="BC65" i="35"/>
  <c r="CR49" i="12"/>
  <c r="CO75" i="12"/>
  <c r="EA79" i="2"/>
  <c r="EB80" i="2"/>
  <c r="EA115" i="2"/>
  <c r="CV47" i="13"/>
  <c r="CV48" i="13" s="1"/>
  <c r="CU50" i="13"/>
  <c r="CU52" i="13" s="1"/>
  <c r="CU8" i="12" s="1"/>
  <c r="CS52" i="13"/>
  <c r="CT50" i="13"/>
  <c r="CR72" i="12"/>
  <c r="CR70" i="12"/>
  <c r="CO70" i="12"/>
  <c r="CO72" i="12"/>
  <c r="C9" i="1"/>
  <c r="EG9" i="13" l="1"/>
  <c r="EG124" i="2"/>
  <c r="EG109" i="2"/>
  <c r="EI47" i="14"/>
  <c r="EI55" i="14"/>
  <c r="BE165" i="35"/>
  <c r="EG26" i="2"/>
  <c r="EI18" i="2"/>
  <c r="EI24" i="2" s="1"/>
  <c r="EI107" i="2"/>
  <c r="EI35" i="2"/>
  <c r="EI82" i="2"/>
  <c r="EI37" i="2"/>
  <c r="EI106" i="2"/>
  <c r="EI33" i="2"/>
  <c r="EI55" i="12"/>
  <c r="EI31" i="2"/>
  <c r="BH5" i="35"/>
  <c r="BH9" i="35" s="1"/>
  <c r="EI61" i="12"/>
  <c r="EI104" i="2"/>
  <c r="EI84" i="2"/>
  <c r="EI105" i="2"/>
  <c r="EI59" i="12"/>
  <c r="EI64" i="13"/>
  <c r="EI67" i="13" s="1"/>
  <c r="BH35" i="35"/>
  <c r="EI83" i="2"/>
  <c r="EI85" i="2"/>
  <c r="EI39" i="2"/>
  <c r="EI10" i="12"/>
  <c r="EI11" i="2"/>
  <c r="EK41" i="14"/>
  <c r="EK56" i="14"/>
  <c r="EK6" i="14"/>
  <c r="EK42" i="14" s="1"/>
  <c r="EK60" i="14"/>
  <c r="EK6" i="2"/>
  <c r="EG34" i="12"/>
  <c r="EH30" i="12"/>
  <c r="EG22" i="13"/>
  <c r="EF46" i="2"/>
  <c r="EF74" i="2"/>
  <c r="EF45" i="2"/>
  <c r="EK34" i="14"/>
  <c r="EK35" i="14" s="1"/>
  <c r="EK27" i="14"/>
  <c r="EK36" i="14"/>
  <c r="EK37" i="14" s="1"/>
  <c r="EK26" i="14"/>
  <c r="EL17" i="14"/>
  <c r="EM17" i="14" s="1"/>
  <c r="EM16" i="14"/>
  <c r="EL19" i="14"/>
  <c r="EL25" i="14"/>
  <c r="EL20" i="14"/>
  <c r="EL66" i="14"/>
  <c r="EL39" i="14"/>
  <c r="EF102" i="2"/>
  <c r="EF101" i="2"/>
  <c r="EI21" i="2"/>
  <c r="EG19" i="13"/>
  <c r="EG44" i="2"/>
  <c r="EG62" i="12"/>
  <c r="EG42" i="2"/>
  <c r="EG43" i="2"/>
  <c r="ED78" i="2"/>
  <c r="ED79" i="2"/>
  <c r="ED80" i="2"/>
  <c r="BE3" i="35"/>
  <c r="BD14" i="35"/>
  <c r="BD18" i="35"/>
  <c r="BD45" i="35"/>
  <c r="BD54" i="35"/>
  <c r="BD19" i="35"/>
  <c r="BD41" i="35"/>
  <c r="BD50" i="35"/>
  <c r="BD63" i="35"/>
  <c r="BD20" i="35"/>
  <c r="BD42" i="35"/>
  <c r="BD65" i="35"/>
  <c r="BD15" i="35"/>
  <c r="BD44" i="35"/>
  <c r="BD49" i="35"/>
  <c r="BD26" i="35"/>
  <c r="BD40" i="35"/>
  <c r="BD55" i="35"/>
  <c r="BD62" i="35"/>
  <c r="BD27" i="35"/>
  <c r="BD43" i="35"/>
  <c r="BD64" i="35"/>
  <c r="BD66" i="35"/>
  <c r="BD72" i="35"/>
  <c r="BD31" i="35"/>
  <c r="BD22" i="35"/>
  <c r="BD53" i="35"/>
  <c r="BD60" i="35"/>
  <c r="BD58" i="35"/>
  <c r="BD48" i="35"/>
  <c r="BD61" i="35"/>
  <c r="BD59" i="35"/>
  <c r="EA119" i="2"/>
  <c r="AZ69" i="35"/>
  <c r="AZ73" i="35" s="1"/>
  <c r="EA116" i="2"/>
  <c r="DQ18" i="25"/>
  <c r="DQ19" i="25" s="1"/>
  <c r="EA118" i="2"/>
  <c r="AZ70" i="35" s="1"/>
  <c r="EA65" i="13"/>
  <c r="CS8" i="12"/>
  <c r="CT52" i="13"/>
  <c r="CN49" i="12"/>
  <c r="C10" i="1"/>
  <c r="C40" i="1"/>
  <c r="CU51" i="12"/>
  <c r="CU53" i="12" s="1"/>
  <c r="CU7" i="12"/>
  <c r="CU14" i="12"/>
  <c r="CU25" i="12" s="1"/>
  <c r="CW47" i="13"/>
  <c r="CW48" i="13" s="1"/>
  <c r="CV50" i="13"/>
  <c r="CV52" i="13" s="1"/>
  <c r="CV8" i="12" s="1"/>
  <c r="EG10" i="13" l="1"/>
  <c r="EG23" i="13"/>
  <c r="BH91" i="35"/>
  <c r="EI48" i="14"/>
  <c r="EG46" i="2"/>
  <c r="EG74" i="2"/>
  <c r="EG45" i="2"/>
  <c r="EI108" i="2"/>
  <c r="EI25" i="2"/>
  <c r="EI26" i="2" s="1"/>
  <c r="EI27" i="2"/>
  <c r="EI18" i="13"/>
  <c r="EK12" i="2"/>
  <c r="EK18" i="2" s="1"/>
  <c r="EK10" i="2"/>
  <c r="BJ33" i="35"/>
  <c r="EK7" i="2"/>
  <c r="EK61" i="14"/>
  <c r="EI41" i="2"/>
  <c r="EK105" i="14"/>
  <c r="EK10" i="14"/>
  <c r="EK38" i="14"/>
  <c r="EK8" i="14"/>
  <c r="EK110" i="14"/>
  <c r="EI35" i="12"/>
  <c r="EI57" i="12"/>
  <c r="EI30" i="12"/>
  <c r="EI11" i="12"/>
  <c r="EL40" i="14"/>
  <c r="EL41" i="14"/>
  <c r="EL6" i="2"/>
  <c r="EL56" i="14"/>
  <c r="EL57" i="14" s="1"/>
  <c r="EL60" i="14"/>
  <c r="EL6" i="14"/>
  <c r="EL58" i="14"/>
  <c r="EL59" i="14" s="1"/>
  <c r="EF77" i="2"/>
  <c r="EF111" i="2"/>
  <c r="EK57" i="14"/>
  <c r="EI28" i="12"/>
  <c r="EI20" i="13" s="1"/>
  <c r="EI19" i="2"/>
  <c r="EL26" i="14"/>
  <c r="EL34" i="14"/>
  <c r="EL35" i="14" s="1"/>
  <c r="EL27" i="14"/>
  <c r="EM25" i="14"/>
  <c r="EM27" i="14" s="1"/>
  <c r="EL36" i="14"/>
  <c r="EI86" i="2"/>
  <c r="EH34" i="12"/>
  <c r="EH40" i="12" s="1"/>
  <c r="EH39" i="12" s="1"/>
  <c r="EG40" i="12"/>
  <c r="EG39" i="12" s="1"/>
  <c r="DG229" i="35"/>
  <c r="DG230" i="35" s="1"/>
  <c r="EN16" i="14"/>
  <c r="EM19" i="14"/>
  <c r="EM66" i="14"/>
  <c r="EM20" i="14"/>
  <c r="BD21" i="35"/>
  <c r="BE14" i="35"/>
  <c r="BE18" i="35"/>
  <c r="BF3" i="35"/>
  <c r="BE48" i="35"/>
  <c r="BE61" i="35"/>
  <c r="BE58" i="35"/>
  <c r="BE44" i="35"/>
  <c r="BE49" i="35"/>
  <c r="BE19" i="35"/>
  <c r="BE41" i="35"/>
  <c r="BE55" i="35"/>
  <c r="BE62" i="35"/>
  <c r="BE20" i="35"/>
  <c r="BE42" i="35"/>
  <c r="BE64" i="35"/>
  <c r="BE66" i="35"/>
  <c r="BE45" i="35"/>
  <c r="BE31" i="35"/>
  <c r="BE54" i="35"/>
  <c r="BE26" i="35"/>
  <c r="BE40" i="35"/>
  <c r="BE50" i="35"/>
  <c r="BE63" i="35"/>
  <c r="BE27" i="35"/>
  <c r="BE43" i="35"/>
  <c r="BE65" i="35"/>
  <c r="BE22" i="35"/>
  <c r="BE15" i="35"/>
  <c r="BE53" i="35"/>
  <c r="BE60" i="35"/>
  <c r="BE59" i="35"/>
  <c r="DR18" i="25"/>
  <c r="DT18" i="25"/>
  <c r="CX47" i="13"/>
  <c r="CX48" i="13" s="1"/>
  <c r="CW50" i="13"/>
  <c r="CW52" i="13" s="1"/>
  <c r="CW8" i="12" s="1"/>
  <c r="CU49" i="12"/>
  <c r="CT8" i="12"/>
  <c r="CS7" i="12"/>
  <c r="CT7" i="12" s="1"/>
  <c r="CS51" i="12"/>
  <c r="CS14" i="12"/>
  <c r="CS25" i="12" s="1"/>
  <c r="CT25" i="12" s="1"/>
  <c r="CU72" i="12"/>
  <c r="CU70" i="12"/>
  <c r="C41" i="1"/>
  <c r="C42" i="1"/>
  <c r="C43" i="1"/>
  <c r="CV14" i="12"/>
  <c r="CV25" i="12" s="1"/>
  <c r="CV75" i="12"/>
  <c r="CV7" i="12"/>
  <c r="CV51" i="12"/>
  <c r="CV53" i="12" s="1"/>
  <c r="CO49" i="12"/>
  <c r="CO73" i="12"/>
  <c r="DR19" i="25"/>
  <c r="DT19" i="25"/>
  <c r="DG178" i="35" a="1"/>
  <c r="EG75" i="2" l="1"/>
  <c r="EG77" i="2" s="1"/>
  <c r="EG80" i="2" s="1"/>
  <c r="EM34" i="14"/>
  <c r="EM35" i="14" s="1"/>
  <c r="EI34" i="12"/>
  <c r="EI40" i="12" s="1"/>
  <c r="EI39" i="12" s="1"/>
  <c r="EK20" i="2"/>
  <c r="EK21" i="2" s="1"/>
  <c r="DG178" i="35"/>
  <c r="DG179" i="35" s="1"/>
  <c r="EL7" i="2"/>
  <c r="BK33" i="35"/>
  <c r="EL10" i="2"/>
  <c r="EL12" i="2"/>
  <c r="EL42" i="14"/>
  <c r="EL105" i="14"/>
  <c r="EL7" i="14"/>
  <c r="EL10" i="14"/>
  <c r="EL110" i="14"/>
  <c r="EL8" i="14"/>
  <c r="EL38" i="14"/>
  <c r="EI122" i="2"/>
  <c r="EI11" i="13"/>
  <c r="EI87" i="2"/>
  <c r="EK11" i="2"/>
  <c r="EK33" i="2"/>
  <c r="EK104" i="2"/>
  <c r="EK82" i="2"/>
  <c r="EK59" i="12"/>
  <c r="EK37" i="2"/>
  <c r="BJ35" i="35"/>
  <c r="EK24" i="2"/>
  <c r="BJ5" i="35"/>
  <c r="BJ9" i="35" s="1"/>
  <c r="EK106" i="2"/>
  <c r="EK39" i="2"/>
  <c r="EK61" i="12"/>
  <c r="EK107" i="2"/>
  <c r="EK35" i="2"/>
  <c r="EK105" i="2"/>
  <c r="EK84" i="2"/>
  <c r="EK83" i="2"/>
  <c r="EK64" i="13"/>
  <c r="EK67" i="13" s="1"/>
  <c r="EK85" i="2"/>
  <c r="EK31" i="2"/>
  <c r="EK55" i="12"/>
  <c r="EK10" i="12"/>
  <c r="EK28" i="12"/>
  <c r="EK19" i="2"/>
  <c r="EI22" i="13"/>
  <c r="EI19" i="13"/>
  <c r="EL54" i="14"/>
  <c r="EL61" i="14"/>
  <c r="EI9" i="13"/>
  <c r="EI109" i="2"/>
  <c r="EI124" i="2"/>
  <c r="EF114" i="2"/>
  <c r="EF112" i="2"/>
  <c r="EI44" i="2"/>
  <c r="EI62" i="12"/>
  <c r="EI43" i="2"/>
  <c r="EI42" i="2"/>
  <c r="EF78" i="2"/>
  <c r="EF115" i="2"/>
  <c r="EF79" i="2"/>
  <c r="EM36" i="14"/>
  <c r="EM37" i="14" s="1"/>
  <c r="EL37" i="14"/>
  <c r="EN25" i="14"/>
  <c r="EN19" i="14"/>
  <c r="EO16" i="14"/>
  <c r="EN17" i="14"/>
  <c r="EN20" i="14"/>
  <c r="EN66" i="14"/>
  <c r="EN39" i="14"/>
  <c r="BE21" i="35"/>
  <c r="BG3" i="35"/>
  <c r="BF22" i="35"/>
  <c r="BF53" i="35"/>
  <c r="BF60" i="35"/>
  <c r="BF58" i="35"/>
  <c r="BF48" i="35"/>
  <c r="BF61" i="35"/>
  <c r="BF59" i="35"/>
  <c r="BF66" i="35"/>
  <c r="BF72" i="35"/>
  <c r="BF45" i="35"/>
  <c r="BF31" i="35"/>
  <c r="BF49" i="35"/>
  <c r="BF41" i="35"/>
  <c r="BF50" i="35"/>
  <c r="BF63" i="35"/>
  <c r="BF43" i="35"/>
  <c r="BF64" i="35"/>
  <c r="BF44" i="35"/>
  <c r="BF54" i="35"/>
  <c r="BF40" i="35"/>
  <c r="BF55" i="35"/>
  <c r="BF62" i="35"/>
  <c r="BF42" i="35"/>
  <c r="BF65" i="35"/>
  <c r="CS53" i="12"/>
  <c r="CT53" i="12" s="1"/>
  <c r="CT51" i="12"/>
  <c r="CW75" i="12"/>
  <c r="CW14" i="12"/>
  <c r="CW25" i="12" s="1"/>
  <c r="CW51" i="12"/>
  <c r="CW53" i="12" s="1"/>
  <c r="CW7" i="12"/>
  <c r="CV70" i="12"/>
  <c r="CV72" i="12"/>
  <c r="CY48" i="13"/>
  <c r="DD47" i="13" s="1"/>
  <c r="CX50" i="13"/>
  <c r="CZ47" i="13"/>
  <c r="CZ48" i="13" s="1"/>
  <c r="CT14" i="12"/>
  <c r="CT75" i="12"/>
  <c r="CU75" i="12"/>
  <c r="EI23" i="13" l="1"/>
  <c r="EK86" i="2"/>
  <c r="EK100" i="2" s="1"/>
  <c r="EI46" i="2"/>
  <c r="EI74" i="2"/>
  <c r="EI45" i="2"/>
  <c r="EK41" i="2"/>
  <c r="EK44" i="2" s="1"/>
  <c r="EO25" i="14"/>
  <c r="EO19" i="14"/>
  <c r="EO17" i="14"/>
  <c r="EP16" i="14"/>
  <c r="EO66" i="14"/>
  <c r="EO20" i="14"/>
  <c r="EF119" i="2"/>
  <c r="EF65" i="13"/>
  <c r="EF118" i="2"/>
  <c r="BD70" i="35" s="1"/>
  <c r="BD69" i="35"/>
  <c r="BD73" i="35" s="1"/>
  <c r="EF116" i="2"/>
  <c r="EK27" i="2"/>
  <c r="EK25" i="2"/>
  <c r="EK26" i="2" s="1"/>
  <c r="EN34" i="14"/>
  <c r="EN27" i="14"/>
  <c r="EN26" i="14"/>
  <c r="EN36" i="14"/>
  <c r="EN37" i="14" s="1"/>
  <c r="EL20" i="2"/>
  <c r="EL18" i="2"/>
  <c r="EG78" i="2"/>
  <c r="EG79" i="2"/>
  <c r="EL37" i="2"/>
  <c r="EL85" i="2"/>
  <c r="EL105" i="2"/>
  <c r="EL31" i="2"/>
  <c r="EL64" i="13"/>
  <c r="EL67" i="13" s="1"/>
  <c r="EL33" i="2"/>
  <c r="EL104" i="2"/>
  <c r="EL84" i="2"/>
  <c r="EL107" i="2"/>
  <c r="EL35" i="2"/>
  <c r="BK35" i="35"/>
  <c r="EL83" i="2"/>
  <c r="EL55" i="12"/>
  <c r="BK5" i="35"/>
  <c r="BK9" i="35" s="1"/>
  <c r="EL59" i="12"/>
  <c r="EL61" i="12"/>
  <c r="EL39" i="2"/>
  <c r="EL106" i="2"/>
  <c r="EL10" i="12"/>
  <c r="EM10" i="12" s="1"/>
  <c r="EL11" i="2"/>
  <c r="EN58" i="14"/>
  <c r="EN40" i="14"/>
  <c r="EN60" i="14"/>
  <c r="EN6" i="2"/>
  <c r="EN56" i="14"/>
  <c r="EN41" i="14"/>
  <c r="EN6" i="14"/>
  <c r="EL47" i="14"/>
  <c r="EL55" i="14"/>
  <c r="EI10" i="13"/>
  <c r="EK57" i="12"/>
  <c r="EK35" i="12"/>
  <c r="EK11" i="12"/>
  <c r="EK30" i="12"/>
  <c r="EI68" i="13"/>
  <c r="EK108" i="2"/>
  <c r="BH3" i="35"/>
  <c r="BG61" i="35"/>
  <c r="BG59" i="35"/>
  <c r="BG43" i="35"/>
  <c r="BG41" i="35"/>
  <c r="BG63" i="35"/>
  <c r="BG65" i="35"/>
  <c r="CY50" i="13"/>
  <c r="CX52" i="13"/>
  <c r="CT70" i="12"/>
  <c r="CT72" i="12"/>
  <c r="D9" i="1"/>
  <c r="CV49" i="12"/>
  <c r="CV73" i="12"/>
  <c r="CW70" i="12"/>
  <c r="CW72" i="12"/>
  <c r="CZ50" i="13"/>
  <c r="CZ52" i="13" s="1"/>
  <c r="CZ8" i="12" s="1"/>
  <c r="DA47" i="13"/>
  <c r="DA48" i="13" s="1"/>
  <c r="EK11" i="13" l="1"/>
  <c r="EK68" i="13" s="1"/>
  <c r="EK122" i="2"/>
  <c r="EL18" i="13"/>
  <c r="EK87" i="2"/>
  <c r="EL41" i="2"/>
  <c r="EL43" i="2" s="1"/>
  <c r="EK74" i="2"/>
  <c r="EK46" i="2"/>
  <c r="EK45" i="2"/>
  <c r="EN57" i="14"/>
  <c r="EK124" i="2"/>
  <c r="EK109" i="2"/>
  <c r="EK9" i="13"/>
  <c r="EK10" i="13" s="1"/>
  <c r="EK75" i="2" s="1"/>
  <c r="EL108" i="2"/>
  <c r="EN7" i="2"/>
  <c r="EN12" i="2"/>
  <c r="EN10" i="2"/>
  <c r="BM33" i="35"/>
  <c r="EN61" i="14"/>
  <c r="EN54" i="14"/>
  <c r="EL48" i="14"/>
  <c r="BK91" i="35"/>
  <c r="EL30" i="12"/>
  <c r="EL11" i="12"/>
  <c r="EM11" i="12" s="1"/>
  <c r="EL35" i="12"/>
  <c r="EM35" i="12" s="1"/>
  <c r="EL57" i="12"/>
  <c r="EL21" i="2"/>
  <c r="EL24" i="2"/>
  <c r="EL19" i="2"/>
  <c r="EL28" i="12"/>
  <c r="EN59" i="14"/>
  <c r="EP17" i="14"/>
  <c r="EP19" i="14"/>
  <c r="EQ16" i="14"/>
  <c r="EP25" i="14"/>
  <c r="EP20" i="14"/>
  <c r="EP66" i="14"/>
  <c r="EP39" i="14"/>
  <c r="EK34" i="12"/>
  <c r="EK40" i="12" s="1"/>
  <c r="EK39" i="12" s="1"/>
  <c r="EO26" i="14"/>
  <c r="EO36" i="14"/>
  <c r="EO37" i="14" s="1"/>
  <c r="EO34" i="14"/>
  <c r="EO35" i="14" s="1"/>
  <c r="EO27" i="14"/>
  <c r="EK101" i="2"/>
  <c r="EK102" i="2"/>
  <c r="EN35" i="14"/>
  <c r="EK42" i="2"/>
  <c r="EK62" i="12"/>
  <c r="EK43" i="2"/>
  <c r="EI75" i="2"/>
  <c r="EI77" i="2" s="1"/>
  <c r="EN42" i="14"/>
  <c r="EN38" i="14"/>
  <c r="EN10" i="14"/>
  <c r="EN8" i="14"/>
  <c r="EN7" i="14"/>
  <c r="BH18" i="35"/>
  <c r="BI3" i="35"/>
  <c r="BH14" i="35"/>
  <c r="BH44" i="35"/>
  <c r="BH54" i="35"/>
  <c r="BH19" i="35"/>
  <c r="BH41" i="35"/>
  <c r="BH50" i="35"/>
  <c r="BH63" i="35"/>
  <c r="BH20" i="35"/>
  <c r="BH43" i="35"/>
  <c r="BH65" i="35"/>
  <c r="BH45" i="35"/>
  <c r="BH49" i="35"/>
  <c r="BH26" i="35"/>
  <c r="BH40" i="35"/>
  <c r="BH55" i="35"/>
  <c r="BH62" i="35"/>
  <c r="BH27" i="35"/>
  <c r="BH42" i="35"/>
  <c r="BH64" i="35"/>
  <c r="BH22" i="35"/>
  <c r="BH15" i="35"/>
  <c r="BH48" i="35"/>
  <c r="BH61" i="35"/>
  <c r="BH59" i="35"/>
  <c r="BH72" i="35"/>
  <c r="BH53" i="35"/>
  <c r="BH60" i="35"/>
  <c r="BH58" i="35"/>
  <c r="BH66" i="35"/>
  <c r="BH31" i="35"/>
  <c r="CS49" i="12"/>
  <c r="CW49" i="12"/>
  <c r="CY52" i="13"/>
  <c r="CX8" i="12"/>
  <c r="CT49" i="12"/>
  <c r="CU73" i="12"/>
  <c r="CT73" i="12"/>
  <c r="DA50" i="13"/>
  <c r="DA52" i="13" s="1"/>
  <c r="DA8" i="12" s="1"/>
  <c r="DB47" i="13"/>
  <c r="DB48" i="13" s="1"/>
  <c r="CZ51" i="12"/>
  <c r="CZ53" i="12" s="1"/>
  <c r="CZ7" i="12"/>
  <c r="CZ14" i="12"/>
  <c r="CZ26" i="12" s="1"/>
  <c r="D40" i="1"/>
  <c r="D10" i="1"/>
  <c r="EL42" i="2" l="1"/>
  <c r="EL62" i="12"/>
  <c r="EN104" i="2"/>
  <c r="EN37" i="2"/>
  <c r="BM5" i="35"/>
  <c r="BM9" i="35" s="1"/>
  <c r="EN55" i="12"/>
  <c r="EN84" i="2"/>
  <c r="EN82" i="2"/>
  <c r="EN105" i="2"/>
  <c r="EN39" i="2"/>
  <c r="EN59" i="12"/>
  <c r="BM35" i="35"/>
  <c r="EN83" i="2"/>
  <c r="EN35" i="2"/>
  <c r="EN85" i="2"/>
  <c r="EN61" i="12"/>
  <c r="EN64" i="13"/>
  <c r="EN67" i="13" s="1"/>
  <c r="EN31" i="2"/>
  <c r="EN33" i="2"/>
  <c r="EN106" i="2"/>
  <c r="EN107" i="2"/>
  <c r="EN10" i="12"/>
  <c r="EN11" i="2"/>
  <c r="EM30" i="12"/>
  <c r="EL22" i="13"/>
  <c r="EL9" i="13"/>
  <c r="EL109" i="2"/>
  <c r="EL124" i="2"/>
  <c r="EN18" i="2"/>
  <c r="EN20" i="2"/>
  <c r="EM28" i="12"/>
  <c r="EL34" i="12"/>
  <c r="EL20" i="13"/>
  <c r="EP6" i="14"/>
  <c r="EP56" i="14"/>
  <c r="EP57" i="14" s="1"/>
  <c r="EP6" i="2"/>
  <c r="EP41" i="14"/>
  <c r="EP60" i="14"/>
  <c r="EL25" i="2"/>
  <c r="EL26" i="2" s="1"/>
  <c r="EL44" i="2"/>
  <c r="EL27" i="2"/>
  <c r="EK111" i="2"/>
  <c r="EK77" i="2"/>
  <c r="EN47" i="14"/>
  <c r="EN55" i="14"/>
  <c r="EI79" i="2"/>
  <c r="EI78" i="2"/>
  <c r="EI80" i="2"/>
  <c r="EP34" i="14"/>
  <c r="EP36" i="14"/>
  <c r="EP37" i="14" s="1"/>
  <c r="EP27" i="14"/>
  <c r="EP26" i="14"/>
  <c r="EQ19" i="14"/>
  <c r="ER16" i="14"/>
  <c r="EQ17" i="14"/>
  <c r="ER17" i="14" s="1"/>
  <c r="EQ25" i="14"/>
  <c r="EQ66" i="14"/>
  <c r="EQ20" i="14"/>
  <c r="EQ39" i="14"/>
  <c r="EL19" i="13"/>
  <c r="BJ3" i="35"/>
  <c r="BI14" i="35"/>
  <c r="BI18" i="35"/>
  <c r="BI58" i="35"/>
  <c r="BI44" i="35"/>
  <c r="BI54" i="35"/>
  <c r="BI19" i="35"/>
  <c r="BI41" i="35"/>
  <c r="BI63" i="35"/>
  <c r="BI20" i="35"/>
  <c r="BI42" i="35"/>
  <c r="BI64" i="35"/>
  <c r="BI22" i="35"/>
  <c r="BI45" i="35"/>
  <c r="BI15" i="35"/>
  <c r="BI49" i="35"/>
  <c r="BI26" i="35"/>
  <c r="BI40" i="35"/>
  <c r="BI50" i="35"/>
  <c r="BI62" i="35"/>
  <c r="BI27" i="35"/>
  <c r="BI43" i="35"/>
  <c r="BI65" i="35"/>
  <c r="BI53" i="35"/>
  <c r="BI60" i="35"/>
  <c r="BI66" i="35"/>
  <c r="BI48" i="35"/>
  <c r="BI61" i="35"/>
  <c r="BI59" i="35"/>
  <c r="BI31" i="35"/>
  <c r="BH21" i="35"/>
  <c r="CW73" i="12"/>
  <c r="D42" i="1"/>
  <c r="D41" i="1"/>
  <c r="D43" i="1"/>
  <c r="CZ49" i="12"/>
  <c r="CX7" i="12"/>
  <c r="CY7" i="12" s="1"/>
  <c r="CX75" i="12"/>
  <c r="CX14" i="12"/>
  <c r="CX25" i="12" s="1"/>
  <c r="CY25" i="12" s="1"/>
  <c r="CX51" i="12"/>
  <c r="CY8" i="12"/>
  <c r="CZ72" i="12"/>
  <c r="CZ70" i="12"/>
  <c r="DC47" i="13"/>
  <c r="DC48" i="13" s="1"/>
  <c r="DB50" i="13"/>
  <c r="DB52" i="13" s="1"/>
  <c r="DB8" i="12" s="1"/>
  <c r="DA75" i="12"/>
  <c r="DA51" i="12"/>
  <c r="DA53" i="12" s="1"/>
  <c r="DA14" i="12"/>
  <c r="DA26" i="12" s="1"/>
  <c r="DA7" i="12"/>
  <c r="EN41" i="2" l="1"/>
  <c r="BJ66" i="35" s="1"/>
  <c r="DH229" i="35"/>
  <c r="DH230" i="35" s="1"/>
  <c r="ER19" i="14"/>
  <c r="ER20" i="14"/>
  <c r="ER66" i="14"/>
  <c r="EN48" i="14"/>
  <c r="BM91" i="35"/>
  <c r="EL46" i="2"/>
  <c r="EL74" i="2"/>
  <c r="EL45" i="2"/>
  <c r="EN35" i="12"/>
  <c r="EN30" i="12"/>
  <c r="EN57" i="12"/>
  <c r="EN11" i="12"/>
  <c r="EL10" i="13"/>
  <c r="EM34" i="12"/>
  <c r="EM40" i="12" s="1"/>
  <c r="EM39" i="12" s="1"/>
  <c r="EL40" i="12"/>
  <c r="EL39" i="12" s="1"/>
  <c r="EL23" i="13"/>
  <c r="EN108" i="2"/>
  <c r="EK78" i="2"/>
  <c r="EK115" i="2"/>
  <c r="EK119" i="2" s="1"/>
  <c r="EK79" i="2"/>
  <c r="EN21" i="2"/>
  <c r="BJ53" i="35" s="1"/>
  <c r="EK114" i="2"/>
  <c r="EK112" i="2"/>
  <c r="EP61" i="14"/>
  <c r="BI55" i="35"/>
  <c r="EP12" i="2"/>
  <c r="EP18" i="2" s="1"/>
  <c r="EP10" i="2"/>
  <c r="EP7" i="2"/>
  <c r="EN24" i="2"/>
  <c r="BJ50" i="35" s="1"/>
  <c r="EN19" i="2"/>
  <c r="BJ45" i="35" s="1"/>
  <c r="EN28" i="12"/>
  <c r="EN20" i="13" s="1"/>
  <c r="EN18" i="13"/>
  <c r="EQ60" i="14"/>
  <c r="EQ58" i="14"/>
  <c r="EQ59" i="14" s="1"/>
  <c r="EQ40" i="14"/>
  <c r="EQ41" i="14"/>
  <c r="EQ6" i="14"/>
  <c r="EQ42" i="14" s="1"/>
  <c r="EQ56" i="14"/>
  <c r="EQ6" i="2"/>
  <c r="EP35" i="14"/>
  <c r="EP42" i="14"/>
  <c r="EP10" i="14"/>
  <c r="EP110" i="14"/>
  <c r="EP38" i="14"/>
  <c r="EP8" i="14"/>
  <c r="EP105" i="14"/>
  <c r="EN86" i="2"/>
  <c r="BJ72" i="35" s="1"/>
  <c r="EQ26" i="14"/>
  <c r="EQ36" i="14"/>
  <c r="EQ34" i="14"/>
  <c r="EQ35" i="14" s="1"/>
  <c r="EQ27" i="14"/>
  <c r="ER25" i="14"/>
  <c r="ER27" i="14" s="1"/>
  <c r="BI21" i="35"/>
  <c r="BK3" i="35"/>
  <c r="BJ60" i="35"/>
  <c r="BJ58" i="35"/>
  <c r="BJ31" i="35"/>
  <c r="BJ48" i="35"/>
  <c r="BJ61" i="35"/>
  <c r="BJ59" i="35"/>
  <c r="BJ22" i="35"/>
  <c r="BJ44" i="35"/>
  <c r="BJ54" i="35"/>
  <c r="BJ40" i="35"/>
  <c r="BJ63" i="35"/>
  <c r="BJ43" i="35"/>
  <c r="BJ64" i="35"/>
  <c r="BJ49" i="35"/>
  <c r="BJ41" i="35"/>
  <c r="BJ62" i="35"/>
  <c r="BJ42" i="35"/>
  <c r="BJ65" i="35"/>
  <c r="DB51" i="12"/>
  <c r="DB53" i="12" s="1"/>
  <c r="DB14" i="12"/>
  <c r="DB26" i="12" s="1"/>
  <c r="DB7" i="12"/>
  <c r="DB75" i="12"/>
  <c r="CY75" i="12"/>
  <c r="CZ75" i="12"/>
  <c r="DD48" i="13"/>
  <c r="DC50" i="13"/>
  <c r="CX53" i="12"/>
  <c r="CY51" i="12"/>
  <c r="CY14" i="12"/>
  <c r="CY26" i="12" s="1"/>
  <c r="DA73" i="12"/>
  <c r="DA49" i="12"/>
  <c r="DA72" i="12"/>
  <c r="DA70" i="12"/>
  <c r="DH178" i="35" a="1"/>
  <c r="EN22" i="13" l="1"/>
  <c r="EN42" i="2"/>
  <c r="EN43" i="2"/>
  <c r="EN62" i="12"/>
  <c r="ER34" i="14"/>
  <c r="ER35" i="14" s="1"/>
  <c r="DH178" i="35"/>
  <c r="DH179" i="35" s="1"/>
  <c r="EN11" i="13"/>
  <c r="EN122" i="2"/>
  <c r="EN87" i="2"/>
  <c r="EQ54" i="14"/>
  <c r="EQ61" i="14"/>
  <c r="EN25" i="2"/>
  <c r="EN44" i="2"/>
  <c r="EN27" i="2"/>
  <c r="EQ12" i="2"/>
  <c r="EQ18" i="2" s="1"/>
  <c r="EQ10" i="2"/>
  <c r="EQ7" i="2"/>
  <c r="EQ57" i="14"/>
  <c r="EP20" i="2"/>
  <c r="EP21" i="2" s="1"/>
  <c r="EL75" i="2"/>
  <c r="EL77" i="2" s="1"/>
  <c r="EQ10" i="14"/>
  <c r="EQ38" i="14"/>
  <c r="EQ110" i="14"/>
  <c r="EQ7" i="14"/>
  <c r="EQ8" i="14"/>
  <c r="EQ105" i="14"/>
  <c r="EP84" i="2"/>
  <c r="EP24" i="2"/>
  <c r="EP31" i="2"/>
  <c r="EP85" i="2"/>
  <c r="EP105" i="2"/>
  <c r="EP107" i="2"/>
  <c r="EP35" i="2"/>
  <c r="EP82" i="2"/>
  <c r="EP104" i="2"/>
  <c r="EP61" i="12"/>
  <c r="EP59" i="12"/>
  <c r="EP39" i="2"/>
  <c r="EP106" i="2"/>
  <c r="EP33" i="2"/>
  <c r="EP55" i="12"/>
  <c r="EP83" i="2"/>
  <c r="EP64" i="13"/>
  <c r="EP67" i="13" s="1"/>
  <c r="EP37" i="2"/>
  <c r="EP10" i="12"/>
  <c r="EP11" i="2"/>
  <c r="EK118" i="2"/>
  <c r="BH70" i="35" s="1"/>
  <c r="EK65" i="13"/>
  <c r="EK116" i="2"/>
  <c r="BH69" i="35"/>
  <c r="BH73" i="35" s="1"/>
  <c r="EN19" i="13"/>
  <c r="ER36" i="14"/>
  <c r="ER37" i="14" s="1"/>
  <c r="EQ37" i="14"/>
  <c r="EP19" i="2"/>
  <c r="EP28" i="12"/>
  <c r="EN34" i="12"/>
  <c r="EN40" i="12" s="1"/>
  <c r="EN39" i="12" s="1"/>
  <c r="EN9" i="13"/>
  <c r="EN124" i="2"/>
  <c r="EN109" i="2"/>
  <c r="BL3" i="35"/>
  <c r="BK63" i="35"/>
  <c r="BK61" i="35"/>
  <c r="BK59" i="35"/>
  <c r="BK43" i="35"/>
  <c r="BK65" i="35"/>
  <c r="BK41" i="35"/>
  <c r="DS17" i="13"/>
  <c r="CX49" i="12"/>
  <c r="CX73" i="12"/>
  <c r="DB49" i="12"/>
  <c r="DB73" i="12"/>
  <c r="CY53" i="12"/>
  <c r="CX72" i="12"/>
  <c r="CX70" i="12"/>
  <c r="DB72" i="12"/>
  <c r="DB70" i="12"/>
  <c r="DC52" i="13"/>
  <c r="DD50" i="13"/>
  <c r="DE47" i="13"/>
  <c r="DE48" i="13" s="1"/>
  <c r="DI47" i="13"/>
  <c r="EN23" i="13" l="1"/>
  <c r="EQ20" i="2"/>
  <c r="EQ21" i="2" s="1"/>
  <c r="EP41" i="2"/>
  <c r="EP62" i="12" s="1"/>
  <c r="EL78" i="2"/>
  <c r="EL79" i="2"/>
  <c r="EL80" i="2"/>
  <c r="EN74" i="2"/>
  <c r="EN46" i="2"/>
  <c r="EN45" i="2"/>
  <c r="EN10" i="13"/>
  <c r="EP86" i="2"/>
  <c r="BL72" i="35" s="1"/>
  <c r="EQ55" i="14"/>
  <c r="EQ47" i="14"/>
  <c r="EQ48" i="14" s="1"/>
  <c r="EQ104" i="2"/>
  <c r="EQ106" i="2"/>
  <c r="EQ35" i="2"/>
  <c r="EQ105" i="2"/>
  <c r="EQ84" i="2"/>
  <c r="EQ55" i="12"/>
  <c r="EQ39" i="2"/>
  <c r="EQ33" i="2"/>
  <c r="EQ31" i="2"/>
  <c r="EQ59" i="12"/>
  <c r="EQ61" i="12"/>
  <c r="EQ107" i="2"/>
  <c r="EQ64" i="13"/>
  <c r="EQ67" i="13" s="1"/>
  <c r="EQ83" i="2"/>
  <c r="EQ24" i="2"/>
  <c r="EQ85" i="2"/>
  <c r="EQ37" i="2"/>
  <c r="EQ10" i="12"/>
  <c r="ER10" i="12" s="1"/>
  <c r="EQ11" i="2"/>
  <c r="EP11" i="12"/>
  <c r="EP30" i="12"/>
  <c r="EP35" i="12"/>
  <c r="EP57" i="12"/>
  <c r="EP25" i="2"/>
  <c r="EP26" i="2" s="1"/>
  <c r="EP27" i="2"/>
  <c r="EN26" i="2"/>
  <c r="BJ55" i="35"/>
  <c r="EP108" i="2"/>
  <c r="EN68" i="13"/>
  <c r="EQ19" i="2"/>
  <c r="EQ28" i="12"/>
  <c r="BM3" i="35"/>
  <c r="BL14" i="35"/>
  <c r="BL18" i="35"/>
  <c r="BL45" i="35"/>
  <c r="BL49" i="35"/>
  <c r="BL19" i="35"/>
  <c r="BL41" i="35"/>
  <c r="BL63" i="35"/>
  <c r="BL27" i="35"/>
  <c r="BL42" i="35"/>
  <c r="BL65" i="35"/>
  <c r="BL44" i="35"/>
  <c r="BL54" i="35"/>
  <c r="BL26" i="35"/>
  <c r="BL40" i="35"/>
  <c r="BL50" i="35"/>
  <c r="BL62" i="35"/>
  <c r="BL20" i="35"/>
  <c r="BL43" i="35"/>
  <c r="BL64" i="35"/>
  <c r="BL31" i="35"/>
  <c r="BL22" i="35"/>
  <c r="BL53" i="35"/>
  <c r="BL60" i="35"/>
  <c r="BL58" i="35"/>
  <c r="BL48" i="35"/>
  <c r="BL61" i="35"/>
  <c r="BL59" i="35"/>
  <c r="BL15" i="35"/>
  <c r="CY70" i="12"/>
  <c r="CY72" i="12"/>
  <c r="DE50" i="13"/>
  <c r="DE52" i="13" s="1"/>
  <c r="DE8" i="12" s="1"/>
  <c r="DF47" i="13"/>
  <c r="DF48" i="13" s="1"/>
  <c r="CY73" i="12"/>
  <c r="CY49" i="12"/>
  <c r="CZ73" i="12"/>
  <c r="DC8" i="12"/>
  <c r="DD52" i="13"/>
  <c r="BL66" i="35" l="1"/>
  <c r="EP43" i="2"/>
  <c r="EP44" i="2"/>
  <c r="EP74" i="2" s="1"/>
  <c r="EP42" i="2"/>
  <c r="EQ18" i="13"/>
  <c r="EQ20" i="13"/>
  <c r="ER28" i="12"/>
  <c r="EP11" i="13"/>
  <c r="EP68" i="13" s="1"/>
  <c r="EP122" i="2"/>
  <c r="EP100" i="2"/>
  <c r="EP87" i="2"/>
  <c r="EP34" i="12"/>
  <c r="EP40" i="12" s="1"/>
  <c r="EP39" i="12" s="1"/>
  <c r="EQ41" i="2"/>
  <c r="EQ44" i="2" s="1"/>
  <c r="EQ35" i="12"/>
  <c r="ER35" i="12" s="1"/>
  <c r="EQ30" i="12"/>
  <c r="EQ11" i="12"/>
  <c r="ER11" i="12" s="1"/>
  <c r="EQ57" i="12"/>
  <c r="BL55" i="35"/>
  <c r="EQ108" i="2"/>
  <c r="EP124" i="2"/>
  <c r="EP109" i="2"/>
  <c r="EP9" i="13"/>
  <c r="EP10" i="13" s="1"/>
  <c r="EP75" i="2" s="1"/>
  <c r="EN75" i="2"/>
  <c r="EN77" i="2" s="1"/>
  <c r="EQ25" i="2"/>
  <c r="EQ26" i="2" s="1"/>
  <c r="EQ27" i="2"/>
  <c r="BL21" i="35"/>
  <c r="BM14" i="35"/>
  <c r="BM18" i="35"/>
  <c r="BM45" i="35"/>
  <c r="BM54" i="35"/>
  <c r="BM26" i="35"/>
  <c r="BM40" i="35"/>
  <c r="BM50" i="35"/>
  <c r="BM63" i="35"/>
  <c r="BM27" i="35"/>
  <c r="BM43" i="35"/>
  <c r="BM65" i="35"/>
  <c r="BM48" i="35"/>
  <c r="BM59" i="35"/>
  <c r="BM44" i="35"/>
  <c r="BM31" i="35"/>
  <c r="BM49" i="35"/>
  <c r="BM19" i="35"/>
  <c r="BM41" i="35"/>
  <c r="BM62" i="35"/>
  <c r="BM20" i="35"/>
  <c r="BM42" i="35"/>
  <c r="BM64" i="35"/>
  <c r="BM22" i="35"/>
  <c r="BM15" i="35"/>
  <c r="BM53" i="35"/>
  <c r="BM60" i="35"/>
  <c r="BM58" i="35"/>
  <c r="BM61" i="35"/>
  <c r="DC14" i="12"/>
  <c r="DC26" i="12" s="1"/>
  <c r="DD8" i="12"/>
  <c r="DD75" i="12" s="1"/>
  <c r="DC7" i="12"/>
  <c r="DD7" i="12" s="1"/>
  <c r="DC51" i="12"/>
  <c r="DC75" i="12"/>
  <c r="DF50" i="13"/>
  <c r="DF52" i="13" s="1"/>
  <c r="DF8" i="12" s="1"/>
  <c r="DG47" i="13"/>
  <c r="DG48" i="13" s="1"/>
  <c r="DE14" i="12"/>
  <c r="DE26" i="12" s="1"/>
  <c r="DE7" i="12"/>
  <c r="DE51" i="12"/>
  <c r="DE53" i="12" s="1"/>
  <c r="EP45" i="2" l="1"/>
  <c r="EP46" i="2"/>
  <c r="BM55" i="35"/>
  <c r="EQ74" i="2"/>
  <c r="EQ46" i="2"/>
  <c r="EQ45" i="2"/>
  <c r="EN80" i="2"/>
  <c r="EN78" i="2"/>
  <c r="EN79" i="2"/>
  <c r="EQ9" i="13"/>
  <c r="EQ109" i="2"/>
  <c r="EQ124" i="2"/>
  <c r="EQ42" i="2"/>
  <c r="EQ43" i="2"/>
  <c r="EQ62" i="12"/>
  <c r="EP77" i="2"/>
  <c r="EP111" i="2"/>
  <c r="BM66" i="35"/>
  <c r="EQ34" i="12"/>
  <c r="ER30" i="12"/>
  <c r="EQ22" i="13"/>
  <c r="EQ19" i="13"/>
  <c r="EP102" i="2"/>
  <c r="EP101" i="2"/>
  <c r="BM21" i="35"/>
  <c r="DV17" i="13"/>
  <c r="DE75" i="12"/>
  <c r="DE72" i="12"/>
  <c r="DD51" i="12"/>
  <c r="DC53" i="12"/>
  <c r="DE49" i="12"/>
  <c r="DD14" i="12"/>
  <c r="DD26" i="12" s="1"/>
  <c r="DH47" i="13"/>
  <c r="DH48" i="13" s="1"/>
  <c r="DG50" i="13"/>
  <c r="DG52" i="13" s="1"/>
  <c r="DG8" i="12" s="1"/>
  <c r="DW17" i="13"/>
  <c r="DF75" i="12"/>
  <c r="DF51" i="12"/>
  <c r="DF53" i="12" s="1"/>
  <c r="DF14" i="12"/>
  <c r="DF26" i="12" s="1"/>
  <c r="DF7" i="12"/>
  <c r="EQ10" i="13" l="1"/>
  <c r="EQ40" i="12"/>
  <c r="EQ39" i="12" s="1"/>
  <c r="ER34" i="12"/>
  <c r="ER40" i="12" s="1"/>
  <c r="ER39" i="12" s="1"/>
  <c r="EQ23" i="13"/>
  <c r="EP114" i="2"/>
  <c r="EP112" i="2"/>
  <c r="EP115" i="2"/>
  <c r="EP78" i="2"/>
  <c r="EP79" i="2"/>
  <c r="DF49" i="12"/>
  <c r="DF73" i="12"/>
  <c r="DC73" i="12"/>
  <c r="DC49" i="12"/>
  <c r="DF70" i="12"/>
  <c r="DF72" i="12"/>
  <c r="DG75" i="12"/>
  <c r="DG51" i="12"/>
  <c r="DG53" i="12" s="1"/>
  <c r="DG14" i="12"/>
  <c r="DG26" i="12" s="1"/>
  <c r="DG7" i="12"/>
  <c r="DC70" i="12"/>
  <c r="DD53" i="12"/>
  <c r="DC72" i="12"/>
  <c r="DX17" i="13"/>
  <c r="DH50" i="13"/>
  <c r="DI48" i="13"/>
  <c r="EP119" i="2" l="1"/>
  <c r="EP65" i="13"/>
  <c r="EP118" i="2"/>
  <c r="BL70" i="35" s="1"/>
  <c r="EP116" i="2"/>
  <c r="BL69" i="35"/>
  <c r="BL73" i="35" s="1"/>
  <c r="EQ75" i="2"/>
  <c r="EQ77" i="2" s="1"/>
  <c r="DY17" i="13"/>
  <c r="DG49" i="12"/>
  <c r="DG73" i="12"/>
  <c r="DG72" i="12"/>
  <c r="DD49" i="12"/>
  <c r="DD73" i="12"/>
  <c r="DE73" i="12"/>
  <c r="DN47" i="13"/>
  <c r="DJ47" i="13"/>
  <c r="DJ48" i="13" s="1"/>
  <c r="DZ17" i="13"/>
  <c r="DI50" i="13"/>
  <c r="DH52" i="13"/>
  <c r="F9" i="1"/>
  <c r="DD70" i="12"/>
  <c r="DD72" i="12"/>
  <c r="EQ78" i="2" l="1"/>
  <c r="EQ79" i="2"/>
  <c r="EQ80" i="2"/>
  <c r="EA17" i="13"/>
  <c r="DI52" i="13"/>
  <c r="DH8" i="12"/>
  <c r="F10" i="1"/>
  <c r="DJ50" i="13"/>
  <c r="DJ52" i="13" s="1"/>
  <c r="DJ8" i="12" s="1"/>
  <c r="DK47" i="13"/>
  <c r="DK48" i="13" s="1"/>
  <c r="F40" i="1" l="1"/>
  <c r="F42" i="1"/>
  <c r="EB17" i="13"/>
  <c r="EC17" i="13" s="1"/>
  <c r="DL47" i="13"/>
  <c r="DL48" i="13" s="1"/>
  <c r="DK50" i="13"/>
  <c r="DK52" i="13" s="1"/>
  <c r="DK8" i="12" s="1"/>
  <c r="DJ7" i="12"/>
  <c r="DJ14" i="12"/>
  <c r="DJ26" i="12" s="1"/>
  <c r="DJ75" i="12"/>
  <c r="DJ51" i="12"/>
  <c r="DJ53" i="12" s="1"/>
  <c r="F41" i="1"/>
  <c r="DH14" i="12"/>
  <c r="DH26" i="12" s="1"/>
  <c r="DH7" i="12"/>
  <c r="DI7" i="12" s="1"/>
  <c r="DH75" i="12"/>
  <c r="DI8" i="12"/>
  <c r="DI75" i="12" s="1"/>
  <c r="DH51" i="12"/>
  <c r="DK14" i="12" l="1"/>
  <c r="DK26" i="12" s="1"/>
  <c r="DK51" i="12"/>
  <c r="DK53" i="12" s="1"/>
  <c r="DK75" i="12"/>
  <c r="DK7" i="12"/>
  <c r="DL50" i="13"/>
  <c r="DL52" i="13" s="1"/>
  <c r="DL8" i="12" s="1"/>
  <c r="DM47" i="13"/>
  <c r="DM48" i="13" s="1"/>
  <c r="DJ49" i="12"/>
  <c r="DJ72" i="12"/>
  <c r="DI14" i="12"/>
  <c r="DI26" i="12" s="1"/>
  <c r="DH53" i="12"/>
  <c r="DI51" i="12"/>
  <c r="DL14" i="12" l="1"/>
  <c r="DL26" i="12" s="1"/>
  <c r="DL7" i="12"/>
  <c r="DL51" i="12"/>
  <c r="DL53" i="12" s="1"/>
  <c r="DL75" i="12"/>
  <c r="DI53" i="12"/>
  <c r="DH72" i="12"/>
  <c r="DK72" i="12"/>
  <c r="DK73" i="12"/>
  <c r="DK49" i="12"/>
  <c r="DH49" i="12"/>
  <c r="DH73" i="12"/>
  <c r="DJ73" i="12"/>
  <c r="DN48" i="13"/>
  <c r="DM50" i="13"/>
  <c r="DI72" i="12" l="1"/>
  <c r="G9" i="1"/>
  <c r="DS47" i="13"/>
  <c r="DO47" i="13"/>
  <c r="DO48" i="13" s="1"/>
  <c r="DP47" i="13" s="1"/>
  <c r="DP48" i="13" s="1"/>
  <c r="DL72" i="12"/>
  <c r="DM52" i="13"/>
  <c r="DN50" i="13"/>
  <c r="DI73" i="12"/>
  <c r="DI49" i="12"/>
  <c r="DL73" i="12"/>
  <c r="DL49" i="12"/>
  <c r="DP50" i="13" l="1"/>
  <c r="DP52" i="13" s="1"/>
  <c r="DQ47" i="13"/>
  <c r="DQ48" i="13" s="1"/>
  <c r="G10" i="1"/>
  <c r="G40" i="1" s="1"/>
  <c r="DN52" i="13"/>
  <c r="DM8" i="12"/>
  <c r="DO50" i="13"/>
  <c r="DO52" i="13" s="1"/>
  <c r="DO8" i="12" s="1"/>
  <c r="DO7" i="12" s="1"/>
  <c r="DQ50" i="13" l="1"/>
  <c r="DQ52" i="13" s="1"/>
  <c r="DR47" i="13"/>
  <c r="DR48" i="13" s="1"/>
  <c r="DR50" i="13" s="1"/>
  <c r="DR52" i="13" s="1"/>
  <c r="DR8" i="12" s="1"/>
  <c r="DP8" i="12"/>
  <c r="DO75" i="12"/>
  <c r="DM75" i="12"/>
  <c r="DM51" i="12"/>
  <c r="DM7" i="12"/>
  <c r="DN7" i="12" s="1"/>
  <c r="DN8" i="12"/>
  <c r="DN75" i="12" s="1"/>
  <c r="DM14" i="12"/>
  <c r="DM26" i="12" s="1"/>
  <c r="DO14" i="12"/>
  <c r="DO26" i="12" s="1"/>
  <c r="DO51" i="12"/>
  <c r="DO53" i="12" s="1"/>
  <c r="G41" i="1"/>
  <c r="DR14" i="12" l="1"/>
  <c r="DR26" i="12" s="1"/>
  <c r="DR49" i="12" s="1"/>
  <c r="DR7" i="12"/>
  <c r="DR51" i="12"/>
  <c r="DR53" i="12" s="1"/>
  <c r="DP7" i="12"/>
  <c r="DP14" i="12"/>
  <c r="DP26" i="12" s="1"/>
  <c r="DP51" i="12"/>
  <c r="DP53" i="12" s="1"/>
  <c r="DP75" i="12"/>
  <c r="DN14" i="12"/>
  <c r="DN26" i="12" s="1"/>
  <c r="DO73" i="12"/>
  <c r="DN51" i="12"/>
  <c r="DM53" i="12"/>
  <c r="DO72" i="12"/>
  <c r="DO49" i="12"/>
  <c r="DP72" i="12" l="1"/>
  <c r="DP73" i="12"/>
  <c r="DP49" i="12"/>
  <c r="DN53" i="12"/>
  <c r="DM72" i="12"/>
  <c r="DM73" i="12"/>
  <c r="DM49" i="12"/>
  <c r="DN49" i="12" l="1"/>
  <c r="DN73" i="12"/>
  <c r="H9" i="1"/>
  <c r="DN72" i="12"/>
  <c r="AY23" i="25" l="1"/>
  <c r="H10" i="1"/>
  <c r="H40" i="1" s="1"/>
  <c r="D28" i="21"/>
  <c r="H41" i="1" l="1"/>
  <c r="DQ8" i="12" l="1"/>
  <c r="DQ7" i="12" s="1"/>
  <c r="AR168" i="35"/>
  <c r="DL129" i="2"/>
  <c r="DQ130" i="2" s="1"/>
  <c r="DQ51" i="12" l="1"/>
  <c r="DQ53" i="12" s="1"/>
  <c r="DQ14" i="12"/>
  <c r="DQ26" i="12" s="1"/>
  <c r="DQ75" i="12"/>
  <c r="DL132" i="2"/>
  <c r="DQ133" i="2" s="1"/>
  <c r="DQ73" i="12" l="1"/>
  <c r="DQ49" i="12"/>
  <c r="DQ72" i="12"/>
  <c r="DS50" i="2"/>
  <c r="X20" i="25"/>
  <c r="Y20" i="25" s="1"/>
  <c r="DS52" i="2" l="1"/>
  <c r="X21" i="25"/>
  <c r="Y21" i="25" s="1"/>
  <c r="AD20" i="25"/>
  <c r="DS55" i="2" l="1"/>
  <c r="AE20" i="25"/>
  <c r="AG20" i="25"/>
  <c r="AD21" i="25"/>
  <c r="DS56" i="2" l="1"/>
  <c r="AG21" i="25"/>
  <c r="AE21" i="25"/>
  <c r="DS57" i="2" l="1"/>
  <c r="DS60" i="2" l="1"/>
  <c r="DS58" i="2" s="1"/>
  <c r="DS46" i="12" l="1"/>
  <c r="DS62" i="2"/>
  <c r="DS7" i="13"/>
  <c r="DS121" i="2"/>
  <c r="DX135" i="14"/>
  <c r="DS63" i="2" l="1"/>
  <c r="DS71" i="2"/>
  <c r="DS66" i="2"/>
  <c r="DS64" i="2"/>
  <c r="I29" i="1" s="1"/>
  <c r="AK22" i="25"/>
  <c r="BM22" i="25"/>
  <c r="BF23" i="25"/>
  <c r="EC135" i="14"/>
  <c r="BM23" i="25" l="1"/>
  <c r="I20" i="1"/>
  <c r="DS72" i="2"/>
  <c r="DS67" i="2"/>
  <c r="DS68" i="2"/>
  <c r="AL22" i="25"/>
  <c r="AN22" i="25"/>
  <c r="BN22" i="25"/>
  <c r="BP22" i="25"/>
  <c r="BG23" i="25"/>
  <c r="BI23" i="25"/>
  <c r="I44" i="1" l="1"/>
  <c r="I37" i="1"/>
  <c r="BP23" i="25"/>
  <c r="BN23" i="25"/>
  <c r="L6" i="37" l="1"/>
  <c r="L25" i="37"/>
  <c r="L22" i="37"/>
  <c r="K9" i="37"/>
  <c r="L9" i="37"/>
  <c r="P9" i="37"/>
  <c r="Z26" i="37" l="1"/>
  <c r="AA26" i="37" s="1"/>
  <c r="Z23" i="37"/>
  <c r="AA23" i="37" s="1"/>
  <c r="M6" i="37"/>
  <c r="S10" i="37"/>
  <c r="W10" i="37" s="1"/>
  <c r="U10" i="37"/>
  <c r="Z10" i="37"/>
  <c r="AB10" i="37"/>
  <c r="AK10" i="37"/>
  <c r="AL10" i="37" s="1"/>
  <c r="AM10" i="37"/>
  <c r="P11" i="37"/>
  <c r="O9" i="37"/>
  <c r="L11" i="37"/>
  <c r="M22" i="37"/>
  <c r="O11" i="37"/>
  <c r="M25" i="37"/>
  <c r="M9" i="37"/>
  <c r="M11" i="37"/>
  <c r="K11" i="37"/>
  <c r="AF10" i="37" l="1"/>
  <c r="AH10" i="37"/>
  <c r="N6" i="37"/>
  <c r="AA10" i="37"/>
  <c r="T10" i="37"/>
  <c r="AN10" i="37"/>
  <c r="AC10" i="37"/>
  <c r="P10" i="37"/>
  <c r="P12" i="37"/>
  <c r="S12" i="37"/>
  <c r="Z12" i="37"/>
  <c r="AF12" i="37"/>
  <c r="AK12" i="37"/>
  <c r="AL12" i="37" s="1"/>
  <c r="N11" i="37"/>
  <c r="N9" i="37"/>
  <c r="M13" i="37"/>
  <c r="O13" i="37"/>
  <c r="N25" i="37"/>
  <c r="P13" i="37"/>
  <c r="N22" i="37"/>
  <c r="K13" i="37"/>
  <c r="L13" i="37"/>
  <c r="N13" i="37"/>
  <c r="AG10" i="37" l="1"/>
  <c r="AI10" i="37"/>
  <c r="J6" i="37"/>
  <c r="AG12" i="37"/>
  <c r="AA12" i="37"/>
  <c r="T12" i="37"/>
  <c r="P14" i="37"/>
  <c r="U14" i="37"/>
  <c r="Z14" i="37"/>
  <c r="AB14" i="37"/>
  <c r="AF14" i="37"/>
  <c r="AH14" i="37"/>
  <c r="AM14" i="37"/>
  <c r="K15" i="37"/>
  <c r="J13" i="37"/>
  <c r="N15" i="37"/>
  <c r="L15" i="37"/>
  <c r="J22" i="37"/>
  <c r="J25" i="37"/>
  <c r="P15" i="37"/>
  <c r="J9" i="37"/>
  <c r="J11" i="37"/>
  <c r="M15" i="37"/>
  <c r="J15" i="37"/>
  <c r="O15" i="37"/>
  <c r="N26" i="37" l="1"/>
  <c r="N23" i="37"/>
  <c r="N10" i="37"/>
  <c r="N12" i="37"/>
  <c r="N14" i="37"/>
  <c r="I6" i="37"/>
  <c r="K24" i="37"/>
  <c r="N24" i="37"/>
  <c r="M24" i="37"/>
  <c r="P24" i="37"/>
  <c r="J24" i="37"/>
  <c r="L24" i="37"/>
  <c r="O24" i="37"/>
  <c r="AA14" i="37"/>
  <c r="AG14" i="37"/>
  <c r="AI14" i="37"/>
  <c r="AC14" i="37"/>
  <c r="N16" i="37"/>
  <c r="P16" i="37"/>
  <c r="U16" i="37"/>
  <c r="Z16" i="37"/>
  <c r="AB16" i="37"/>
  <c r="AF16" i="37"/>
  <c r="AH16" i="37"/>
  <c r="AM16" i="37"/>
  <c r="I22" i="37"/>
  <c r="I17" i="37"/>
  <c r="J17" i="37"/>
  <c r="P17" i="37"/>
  <c r="N17" i="37"/>
  <c r="I25" i="37"/>
  <c r="I15" i="37"/>
  <c r="M17" i="37"/>
  <c r="O17" i="37"/>
  <c r="I11" i="37"/>
  <c r="L17" i="37"/>
  <c r="I13" i="37"/>
  <c r="I9" i="37"/>
  <c r="K17" i="37"/>
  <c r="M26" i="37" l="1"/>
  <c r="M23" i="37"/>
  <c r="I24" i="37"/>
  <c r="M10" i="37"/>
  <c r="M12" i="37"/>
  <c r="M14" i="37"/>
  <c r="M16" i="37"/>
  <c r="H6" i="37"/>
  <c r="O27" i="37"/>
  <c r="P27" i="37"/>
  <c r="J27" i="37"/>
  <c r="M27" i="37"/>
  <c r="N27" i="37"/>
  <c r="K27" i="37"/>
  <c r="L27" i="37"/>
  <c r="I27" i="37"/>
  <c r="AG16" i="37"/>
  <c r="AI16" i="37"/>
  <c r="AC16" i="37"/>
  <c r="AA16" i="37"/>
  <c r="M18" i="37"/>
  <c r="N18" i="37"/>
  <c r="P18" i="37"/>
  <c r="U18" i="37"/>
  <c r="Z18" i="37"/>
  <c r="AB18" i="37"/>
  <c r="AF18" i="37"/>
  <c r="AH18" i="37"/>
  <c r="AM18" i="37"/>
  <c r="M19" i="37"/>
  <c r="N19" i="37"/>
  <c r="H25" i="37"/>
  <c r="H9" i="37"/>
  <c r="K19" i="37"/>
  <c r="H22" i="37"/>
  <c r="P19" i="37"/>
  <c r="I19" i="37"/>
  <c r="H15" i="37"/>
  <c r="O19" i="37"/>
  <c r="J19" i="37"/>
  <c r="H17" i="37"/>
  <c r="H11" i="37"/>
  <c r="H19" i="37"/>
  <c r="L19" i="37"/>
  <c r="H13" i="37"/>
  <c r="L26" i="37" l="1"/>
  <c r="H27" i="37"/>
  <c r="L23" i="37"/>
  <c r="H24" i="37"/>
  <c r="L10" i="37"/>
  <c r="L12" i="37"/>
  <c r="L14" i="37"/>
  <c r="L16" i="37"/>
  <c r="L18" i="37"/>
  <c r="G6" i="37"/>
  <c r="AG18" i="37"/>
  <c r="AI18" i="37"/>
  <c r="AC18" i="37"/>
  <c r="AA18" i="37"/>
  <c r="L20" i="37"/>
  <c r="M20" i="37"/>
  <c r="N20" i="37"/>
  <c r="P20" i="37"/>
  <c r="U20" i="37"/>
  <c r="Z20" i="37"/>
  <c r="AB20" i="37"/>
  <c r="AF20" i="37"/>
  <c r="AH20" i="37"/>
  <c r="AM20" i="37"/>
  <c r="H21" i="37"/>
  <c r="I21" i="37"/>
  <c r="J21" i="37"/>
  <c r="O21" i="37"/>
  <c r="K21" i="37"/>
  <c r="L21" i="37"/>
  <c r="M21" i="37"/>
  <c r="N21" i="37"/>
  <c r="P21" i="37"/>
  <c r="G11" i="37"/>
  <c r="P33" i="37"/>
  <c r="L33" i="37"/>
  <c r="G9" i="37"/>
  <c r="M33" i="37"/>
  <c r="G19" i="37"/>
  <c r="G22" i="37"/>
  <c r="H33" i="37"/>
  <c r="G25" i="37"/>
  <c r="G17" i="37"/>
  <c r="I33" i="37"/>
  <c r="G13" i="37"/>
  <c r="G15" i="37"/>
  <c r="K33" i="37"/>
  <c r="J33" i="37"/>
  <c r="O33" i="37"/>
  <c r="G33" i="37"/>
  <c r="N33" i="37"/>
  <c r="K26" i="37" l="1"/>
  <c r="G27" i="37"/>
  <c r="K23" i="37"/>
  <c r="G24" i="37"/>
  <c r="K12" i="37"/>
  <c r="K10" i="37"/>
  <c r="K14" i="37"/>
  <c r="K16" i="37"/>
  <c r="K18" i="37"/>
  <c r="K20" i="37"/>
  <c r="G21" i="37"/>
  <c r="AA20" i="37"/>
  <c r="AI20" i="37"/>
  <c r="AG20" i="37"/>
  <c r="AC20" i="37"/>
  <c r="P28" i="37"/>
  <c r="N28" i="37"/>
  <c r="M28" i="37"/>
  <c r="L28" i="37"/>
  <c r="K28" i="37"/>
  <c r="O28" i="37"/>
  <c r="O30" i="37" s="1"/>
  <c r="J28" i="37"/>
  <c r="J30" i="37" s="1"/>
  <c r="I28" i="37"/>
  <c r="I30" i="37" s="1"/>
  <c r="H28" i="37"/>
  <c r="H30" i="37" s="1"/>
  <c r="G28" i="37"/>
  <c r="G30" i="37" s="1"/>
  <c r="G34" i="37"/>
  <c r="H34" i="37"/>
  <c r="I34" i="37"/>
  <c r="J34" i="37"/>
  <c r="O34" i="37"/>
  <c r="K34" i="37"/>
  <c r="L34" i="37"/>
  <c r="M34" i="37"/>
  <c r="N34" i="37"/>
  <c r="P34" i="37"/>
  <c r="G35" i="37"/>
  <c r="L30" i="37" l="1"/>
  <c r="AB29" i="37"/>
  <c r="Z29" i="37"/>
  <c r="L29" i="37"/>
  <c r="M30" i="37"/>
  <c r="M29" i="37"/>
  <c r="AH29" i="37"/>
  <c r="AF29" i="37"/>
  <c r="U29" i="37"/>
  <c r="K30" i="37"/>
  <c r="K29" i="37"/>
  <c r="N30" i="37"/>
  <c r="N29" i="37"/>
  <c r="AM29" i="37"/>
  <c r="P29" i="37"/>
  <c r="P30" i="37"/>
  <c r="G36" i="37"/>
  <c r="O37" i="37"/>
  <c r="N37" i="37"/>
  <c r="L37" i="37"/>
  <c r="G37" i="37"/>
  <c r="H37" i="37"/>
  <c r="K37" i="37"/>
  <c r="M37" i="37"/>
  <c r="J37" i="37"/>
  <c r="I37" i="37"/>
  <c r="P37" i="37"/>
  <c r="AI29" i="37" l="1"/>
  <c r="AG29" i="37"/>
  <c r="AC29" i="37"/>
  <c r="AA29" i="37"/>
  <c r="K38" i="37"/>
  <c r="L38" i="37"/>
  <c r="M38" i="37"/>
  <c r="N38" i="37"/>
  <c r="P38" i="37"/>
  <c r="U38" i="37"/>
  <c r="AB38" i="37"/>
  <c r="AH38" i="37"/>
  <c r="AM38" i="37"/>
  <c r="O39" i="37"/>
  <c r="M40" i="37"/>
  <c r="G40" i="37"/>
  <c r="K40" i="37"/>
  <c r="L39" i="37"/>
  <c r="O40" i="37"/>
  <c r="M39" i="37"/>
  <c r="L40" i="37"/>
  <c r="I39" i="37"/>
  <c r="N39" i="37"/>
  <c r="K39" i="37"/>
  <c r="H40" i="37"/>
  <c r="I40" i="37"/>
  <c r="G39" i="37"/>
  <c r="P39" i="37"/>
  <c r="H39" i="37"/>
  <c r="N40" i="37"/>
  <c r="J40" i="37"/>
  <c r="J39" i="37"/>
  <c r="K41" i="37" l="1"/>
  <c r="L41" i="37"/>
  <c r="M41" i="37"/>
  <c r="N41" i="37"/>
  <c r="U41" i="37"/>
  <c r="AB41" i="37"/>
  <c r="AH41" i="37"/>
  <c r="I42" i="37"/>
  <c r="J42" i="37"/>
  <c r="M42" i="37"/>
  <c r="O42" i="37"/>
  <c r="L42" i="37"/>
  <c r="P42" i="37"/>
  <c r="K42" i="37"/>
  <c r="H42" i="37"/>
  <c r="N42" i="37"/>
  <c r="G42" i="37"/>
  <c r="K43" i="37" l="1"/>
  <c r="L43" i="37"/>
  <c r="M43" i="37"/>
  <c r="N43" i="37"/>
  <c r="P43" i="37"/>
  <c r="S43" i="37"/>
  <c r="W43" i="37" s="1"/>
  <c r="U43" i="37"/>
  <c r="Z43" i="37"/>
  <c r="AB43" i="37"/>
  <c r="AF43" i="37"/>
  <c r="AH43" i="37"/>
  <c r="AK43" i="37"/>
  <c r="AM43" i="37"/>
  <c r="G44" i="37"/>
  <c r="H44" i="37"/>
  <c r="I44" i="37"/>
  <c r="J44" i="37"/>
  <c r="O44" i="37"/>
  <c r="K44" i="37"/>
  <c r="L44" i="37"/>
  <c r="M44" i="37"/>
  <c r="N44" i="37"/>
  <c r="P44" i="37"/>
  <c r="L45" i="37"/>
  <c r="I45" i="37"/>
  <c r="N45" i="37"/>
  <c r="K45" i="37"/>
  <c r="H45" i="37"/>
  <c r="G45" i="37"/>
  <c r="O45" i="37"/>
  <c r="M45" i="37"/>
  <c r="J45" i="37"/>
  <c r="AG43" i="37" l="1"/>
  <c r="AA43" i="37"/>
  <c r="T43" i="37"/>
  <c r="AI43" i="37"/>
  <c r="AC43" i="37"/>
  <c r="K46" i="37"/>
  <c r="L46" i="37"/>
  <c r="M46" i="37"/>
  <c r="N46" i="37"/>
  <c r="U46" i="37"/>
  <c r="AB46" i="37"/>
  <c r="AH46" i="37"/>
  <c r="G47" i="37"/>
  <c r="H47" i="37"/>
  <c r="I47" i="37"/>
  <c r="J47" i="37"/>
  <c r="O47" i="37"/>
  <c r="K47" i="37"/>
  <c r="L47" i="37"/>
  <c r="M47" i="37"/>
  <c r="N47" i="37"/>
  <c r="DG25" i="13" l="1"/>
  <c r="DG26" i="13" s="1"/>
  <c r="DG68" i="13"/>
  <c r="DL68" i="13"/>
  <c r="DG87" i="2" l="1"/>
  <c r="DG102" i="2"/>
  <c r="DH117" i="2"/>
  <c r="DG118" i="2"/>
  <c r="AJ70" i="35" s="1"/>
  <c r="H35" i="37"/>
  <c r="DG127" i="2" l="1"/>
  <c r="DG129" i="2"/>
  <c r="H36" i="37"/>
  <c r="DG114" i="2"/>
  <c r="DL112" i="2"/>
  <c r="DL116" i="2"/>
  <c r="DG117" i="2"/>
  <c r="AJ73" i="35"/>
  <c r="DJ70" i="12"/>
  <c r="DG65" i="13"/>
  <c r="DG61" i="13" s="1"/>
  <c r="DJ71" i="12"/>
  <c r="DG132" i="2" l="1"/>
  <c r="DL130" i="2"/>
  <c r="DH93" i="2"/>
  <c r="DH123" i="2" s="1"/>
  <c r="DH129" i="2" s="1"/>
  <c r="DH102" i="2"/>
  <c r="DH112" i="2"/>
  <c r="DG134" i="2" l="1"/>
  <c r="DL133" i="2"/>
  <c r="DH132" i="2"/>
  <c r="DH130" i="2"/>
  <c r="DH127" i="2"/>
  <c r="DI93" i="2"/>
  <c r="DH89" i="2"/>
  <c r="DI123" i="2"/>
  <c r="DH114" i="2"/>
  <c r="DH113" i="2"/>
  <c r="DH134" i="2" l="1"/>
  <c r="DH133" i="2"/>
  <c r="DH82" i="2"/>
  <c r="DI89" i="2"/>
  <c r="DI147" i="2" s="1"/>
  <c r="DH147" i="2"/>
  <c r="DK93" i="2"/>
  <c r="DK123" i="2" s="1"/>
  <c r="DK127" i="2" s="1"/>
  <c r="DK102" i="2"/>
  <c r="DI82" i="2" l="1"/>
  <c r="DI137" i="2" s="1"/>
  <c r="DH137" i="2"/>
  <c r="DL113" i="2"/>
  <c r="DK112" i="2"/>
  <c r="DK114" i="2"/>
  <c r="DP112" i="2"/>
  <c r="DK129" i="2"/>
  <c r="DP130" i="2" l="1"/>
  <c r="DK130" i="2"/>
  <c r="DK132" i="2"/>
  <c r="L20" i="25"/>
  <c r="M20" i="25" s="1"/>
  <c r="DK133" i="2" l="1"/>
  <c r="DL134" i="2"/>
  <c r="DP133" i="2"/>
  <c r="L21" i="25"/>
  <c r="M21" i="25" s="1"/>
  <c r="DJ93" i="2"/>
  <c r="DJ123" i="2" s="1"/>
  <c r="DJ102" i="2"/>
  <c r="DJ114" i="2"/>
  <c r="DJ129" i="2" l="1"/>
  <c r="DJ132" i="2" s="1"/>
  <c r="DK134" i="2" s="1"/>
  <c r="DJ127" i="2"/>
  <c r="F21" i="25"/>
  <c r="G21" i="25" s="1"/>
  <c r="DK113" i="2"/>
  <c r="F20" i="25"/>
  <c r="G20" i="25" s="1"/>
  <c r="DE11" i="13"/>
  <c r="DJ68" i="13" s="1"/>
  <c r="DI86" i="2"/>
  <c r="DI87" i="2" s="1"/>
  <c r="DE87" i="2"/>
  <c r="DE100" i="2"/>
  <c r="DE122" i="2"/>
  <c r="DI122" i="2" s="1"/>
  <c r="DI127" i="2" s="1"/>
  <c r="DI11" i="13" l="1"/>
  <c r="DE102" i="2"/>
  <c r="DJ101" i="2"/>
  <c r="DE101" i="2"/>
  <c r="DE111" i="2"/>
  <c r="DG113" i="2" s="1"/>
  <c r="DE115" i="2"/>
  <c r="DE68" i="13"/>
  <c r="DE25" i="13"/>
  <c r="DE26" i="13" s="1"/>
  <c r="DE127" i="2"/>
  <c r="DE129" i="2"/>
  <c r="DI100" i="2"/>
  <c r="DH71" i="12" l="1"/>
  <c r="AH69" i="35"/>
  <c r="AH73" i="35" s="1"/>
  <c r="DJ130" i="2"/>
  <c r="DE130" i="2"/>
  <c r="DG71" i="12"/>
  <c r="DE71" i="12"/>
  <c r="DG70" i="12"/>
  <c r="DE70" i="12"/>
  <c r="DH70" i="12"/>
  <c r="DI115" i="2"/>
  <c r="DE118" i="2"/>
  <c r="AH70" i="35" s="1"/>
  <c r="DI111" i="2"/>
  <c r="DE119" i="2"/>
  <c r="DE114" i="2"/>
  <c r="DE112" i="2"/>
  <c r="DJ112" i="2"/>
  <c r="DE113" i="2"/>
  <c r="DE116" i="2"/>
  <c r="DE65" i="13"/>
  <c r="DE61" i="13" s="1"/>
  <c r="DI102" i="2"/>
  <c r="DI101" i="2"/>
  <c r="DJ116" i="2"/>
  <c r="DE117" i="2"/>
  <c r="DF117" i="2"/>
  <c r="DN68" i="13"/>
  <c r="DI68" i="13"/>
  <c r="DI25" i="13"/>
  <c r="DI26" i="13" s="1"/>
  <c r="DE132" i="2"/>
  <c r="DI129" i="2"/>
  <c r="DI71" i="12" l="1"/>
  <c r="DA69" i="35"/>
  <c r="DI132" i="2"/>
  <c r="DI130" i="2"/>
  <c r="DI118" i="2"/>
  <c r="DJ117" i="2"/>
  <c r="G17" i="1"/>
  <c r="G34" i="1" s="1"/>
  <c r="DK70" i="12"/>
  <c r="DI116" i="2"/>
  <c r="DI70" i="12"/>
  <c r="DL70" i="12"/>
  <c r="DL71" i="12"/>
  <c r="DK71" i="12"/>
  <c r="DI65" i="13"/>
  <c r="DI61" i="13" s="1"/>
  <c r="DI119" i="2"/>
  <c r="DI112" i="2"/>
  <c r="DI114" i="2"/>
  <c r="DJ113" i="2"/>
  <c r="DF134" i="2"/>
  <c r="DE134" i="2"/>
  <c r="DJ133" i="2"/>
  <c r="DE133" i="2"/>
  <c r="DA70" i="35" l="1"/>
  <c r="G26" i="1"/>
  <c r="DJ134" i="2"/>
  <c r="G21" i="1"/>
  <c r="DI133" i="2"/>
  <c r="G42" i="1"/>
  <c r="BM20" i="25"/>
  <c r="BN20" i="25" s="1"/>
  <c r="CV20" i="25"/>
  <c r="CY20" i="25" s="1"/>
  <c r="EF20" i="25"/>
  <c r="EG20" i="25" s="1"/>
  <c r="G36" i="1" l="1"/>
  <c r="G43" i="1"/>
  <c r="EI20" i="25"/>
  <c r="CW20" i="25"/>
  <c r="BP20" i="25"/>
  <c r="EK20" i="25"/>
  <c r="BM21" i="25"/>
  <c r="BP21" i="25" s="1"/>
  <c r="CV21" i="25"/>
  <c r="CW21" i="25" s="1"/>
  <c r="EF21" i="25"/>
  <c r="EG21" i="25" s="1"/>
  <c r="EI21" i="25" l="1"/>
  <c r="BN21" i="25"/>
  <c r="EK21" i="25"/>
  <c r="CY21" i="25"/>
  <c r="DN128" i="2"/>
  <c r="N33" i="42"/>
  <c r="BF18" i="25" l="1"/>
  <c r="BG18" i="25" s="1"/>
  <c r="BF19" i="25" l="1"/>
  <c r="BI18" i="25"/>
  <c r="BI19" i="25" l="1"/>
  <c r="BG19" i="25"/>
  <c r="M35" i="37"/>
  <c r="M36" i="37" l="1"/>
  <c r="DS11" i="13" l="1"/>
  <c r="DS25" i="13" s="1"/>
  <c r="DS24" i="13"/>
  <c r="DS46" i="13"/>
  <c r="AS168" i="35"/>
  <c r="AS69" i="35"/>
  <c r="AS70" i="35"/>
  <c r="AS72" i="35"/>
  <c r="P40" i="37"/>
  <c r="AM41" i="37" l="1"/>
  <c r="P41" i="37"/>
  <c r="DS68" i="13"/>
  <c r="AS73" i="35"/>
  <c r="DS54" i="13"/>
  <c r="DS66" i="13"/>
  <c r="DS26" i="13"/>
  <c r="DR74" i="12"/>
  <c r="DS42" i="12"/>
  <c r="DS48" i="13" l="1"/>
  <c r="DS74" i="12"/>
  <c r="DS47" i="12"/>
  <c r="DS48" i="12"/>
  <c r="DS56" i="13"/>
  <c r="E7" i="21"/>
  <c r="E9" i="21" s="1"/>
  <c r="E10" i="21" s="1"/>
  <c r="P45" i="37"/>
  <c r="DX47" i="13" l="1"/>
  <c r="DT47" i="13"/>
  <c r="DT48" i="13" s="1"/>
  <c r="P47" i="37"/>
  <c r="AM46" i="37"/>
  <c r="P46" i="37"/>
  <c r="DS50" i="13"/>
  <c r="DS57" i="13"/>
  <c r="I28" i="1" s="1"/>
  <c r="DS58" i="13"/>
  <c r="DS59" i="13"/>
  <c r="DS60" i="13" s="1"/>
  <c r="DT50" i="13" l="1"/>
  <c r="DT52" i="13" s="1"/>
  <c r="DU47" i="13"/>
  <c r="DU48" i="13" s="1"/>
  <c r="DU50" i="13" s="1"/>
  <c r="DU52" i="13" s="1"/>
  <c r="DS52" i="13"/>
  <c r="DC234" i="35"/>
  <c r="DC75" i="35"/>
  <c r="DC76" i="35" s="1"/>
  <c r="DR75" i="12" l="1"/>
  <c r="DS7" i="12"/>
  <c r="DS8" i="12"/>
  <c r="DS75" i="12" s="1"/>
  <c r="DS14" i="12" l="1"/>
  <c r="DS26" i="12" s="1"/>
  <c r="DS49" i="12" s="1"/>
  <c r="DS51" i="12"/>
  <c r="DR73" i="12" l="1"/>
  <c r="DR72" i="12"/>
  <c r="DS53" i="12"/>
  <c r="DS72" i="12" s="1"/>
  <c r="DS87" i="2"/>
  <c r="DS89" i="2"/>
  <c r="DS147" i="2" s="1"/>
  <c r="DS90" i="2"/>
  <c r="DS148" i="2" s="1"/>
  <c r="DS91" i="2"/>
  <c r="DS149" i="2" s="1"/>
  <c r="DS92" i="2"/>
  <c r="DS150" i="2" s="1"/>
  <c r="DW93" i="2"/>
  <c r="DW123" i="2" s="1"/>
  <c r="DS96" i="2"/>
  <c r="DS97" i="2"/>
  <c r="DS98" i="2"/>
  <c r="DS99" i="2"/>
  <c r="DS122" i="2"/>
  <c r="DS128" i="2"/>
  <c r="DS137" i="2"/>
  <c r="DW137" i="2"/>
  <c r="DW82" i="2" s="1"/>
  <c r="EB93" i="2" l="1"/>
  <c r="DS73" i="12"/>
  <c r="DW86" i="2"/>
  <c r="EB137" i="2"/>
  <c r="EB123" i="2" l="1"/>
  <c r="EG93" i="2"/>
  <c r="EB82" i="2"/>
  <c r="EG137" i="2"/>
  <c r="DW11" i="13"/>
  <c r="AW72" i="35"/>
  <c r="DW122" i="2"/>
  <c r="DW100" i="2"/>
  <c r="DW87" i="2"/>
  <c r="I9" i="1"/>
  <c r="E28" i="21" s="1"/>
  <c r="I23" i="1"/>
  <c r="I45" i="1" s="1"/>
  <c r="AG31" i="37" l="1"/>
  <c r="EB86" i="2"/>
  <c r="EL93" i="2"/>
  <c r="EG123" i="2"/>
  <c r="EG82" i="2"/>
  <c r="EL137" i="2"/>
  <c r="DW111" i="2"/>
  <c r="DW102" i="2"/>
  <c r="DW115" i="2"/>
  <c r="DW101" i="2"/>
  <c r="I38" i="1"/>
  <c r="DW68" i="13"/>
  <c r="I10" i="1"/>
  <c r="BA72" i="35"/>
  <c r="AF35" i="37"/>
  <c r="AF32" i="37"/>
  <c r="AG35" i="37" l="1"/>
  <c r="AF36" i="37"/>
  <c r="AI35" i="37"/>
  <c r="AG32" i="37"/>
  <c r="EB11" i="13"/>
  <c r="EB100" i="2"/>
  <c r="EB87" i="2"/>
  <c r="EB122" i="2"/>
  <c r="EQ93" i="2"/>
  <c r="EQ123" i="2" s="1"/>
  <c r="EL123" i="2"/>
  <c r="EG86" i="2"/>
  <c r="EL82" i="2"/>
  <c r="EQ137" i="2"/>
  <c r="EQ82" i="2" s="1"/>
  <c r="DW65" i="13"/>
  <c r="AW69" i="35"/>
  <c r="AW73" i="35" s="1"/>
  <c r="CO18" i="25"/>
  <c r="DW117" i="2"/>
  <c r="DW116" i="2"/>
  <c r="DW118" i="2"/>
  <c r="AW70" i="35" s="1"/>
  <c r="DW112" i="2"/>
  <c r="DW114" i="2"/>
  <c r="DW119" i="2"/>
  <c r="DW113" i="2"/>
  <c r="I41" i="1"/>
  <c r="I40" i="1"/>
  <c r="AG36" i="37" l="1"/>
  <c r="AI36" i="37"/>
  <c r="EB68" i="13"/>
  <c r="EB101" i="2"/>
  <c r="EB111" i="2"/>
  <c r="EB102" i="2"/>
  <c r="EB115" i="2"/>
  <c r="DX18" i="25" s="1"/>
  <c r="BE72" i="35"/>
  <c r="EG11" i="13"/>
  <c r="EG122" i="2"/>
  <c r="EG100" i="2"/>
  <c r="EG87" i="2"/>
  <c r="EL86" i="2"/>
  <c r="EQ86" i="2"/>
  <c r="CO19" i="25"/>
  <c r="CP18" i="25"/>
  <c r="CR18" i="25"/>
  <c r="EB119" i="2" l="1"/>
  <c r="EB113" i="2"/>
  <c r="EB114" i="2"/>
  <c r="EB112" i="2"/>
  <c r="EB116" i="2"/>
  <c r="EB118" i="2"/>
  <c r="BA70" i="35" s="1"/>
  <c r="EB117" i="2"/>
  <c r="EB65" i="13"/>
  <c r="BA69" i="35"/>
  <c r="BA73" i="35" s="1"/>
  <c r="EG68" i="13"/>
  <c r="EG101" i="2"/>
  <c r="EG115" i="2"/>
  <c r="EG111" i="2"/>
  <c r="EG102" i="2"/>
  <c r="EL100" i="2"/>
  <c r="EL101" i="2" s="1"/>
  <c r="EL122" i="2"/>
  <c r="BI72" i="35"/>
  <c r="EL87" i="2"/>
  <c r="EL11" i="13"/>
  <c r="EQ122" i="2"/>
  <c r="EQ87" i="2"/>
  <c r="EQ11" i="13"/>
  <c r="EQ100" i="2"/>
  <c r="BM72" i="35"/>
  <c r="CP19" i="25"/>
  <c r="CR19" i="25"/>
  <c r="EA18" i="25"/>
  <c r="DX19" i="25"/>
  <c r="DY18" i="25"/>
  <c r="EC18" i="25"/>
  <c r="EG116" i="2" l="1"/>
  <c r="BE69" i="35"/>
  <c r="BE73" i="35" s="1"/>
  <c r="EG117" i="2"/>
  <c r="EG118" i="2"/>
  <c r="BE70" i="35" s="1"/>
  <c r="EG65" i="13"/>
  <c r="EG112" i="2"/>
  <c r="EG119" i="2"/>
  <c r="EG114" i="2"/>
  <c r="EG113" i="2"/>
  <c r="EQ101" i="2"/>
  <c r="EL115" i="2"/>
  <c r="EL116" i="2" s="1"/>
  <c r="EL111" i="2"/>
  <c r="EL112" i="2" s="1"/>
  <c r="EL102" i="2"/>
  <c r="EL68" i="13"/>
  <c r="EQ68" i="13"/>
  <c r="EQ115" i="2"/>
  <c r="EQ111" i="2"/>
  <c r="EQ102" i="2"/>
  <c r="EC19" i="25"/>
  <c r="DY19" i="25"/>
  <c r="EA19" i="25"/>
  <c r="BT23" i="25"/>
  <c r="EQ116" i="2" l="1"/>
  <c r="BI69" i="35"/>
  <c r="BI73" i="35" s="1"/>
  <c r="EL117" i="2"/>
  <c r="EL118" i="2"/>
  <c r="BI70" i="35" s="1"/>
  <c r="EL65" i="13"/>
  <c r="EQ112" i="2"/>
  <c r="EL119" i="2"/>
  <c r="EL114" i="2"/>
  <c r="EL113" i="2"/>
  <c r="BM69" i="35"/>
  <c r="BM73" i="35" s="1"/>
  <c r="EQ117" i="2"/>
  <c r="EQ118" i="2"/>
  <c r="BM70" i="35" s="1"/>
  <c r="EQ65" i="13"/>
  <c r="EQ119" i="2"/>
  <c r="EQ113" i="2"/>
  <c r="EQ114" i="2"/>
  <c r="BU23" i="25"/>
  <c r="BW23" i="25"/>
  <c r="AT168" i="35" l="1"/>
  <c r="DT8" i="12" l="1"/>
  <c r="DT75" i="12" l="1"/>
  <c r="DT14" i="12"/>
  <c r="DT26" i="12" s="1"/>
  <c r="DT49" i="12" s="1"/>
  <c r="DT51" i="12"/>
  <c r="DT53" i="12" s="1"/>
  <c r="DT7" i="12"/>
  <c r="DT73" i="12" l="1"/>
  <c r="DT72" i="12"/>
  <c r="CA23" i="25" l="1"/>
  <c r="CB23" i="25" l="1"/>
  <c r="CD23" i="25"/>
  <c r="DY63" i="2" l="1"/>
  <c r="DY72" i="2" l="1"/>
  <c r="X88" i="1" l="1"/>
  <c r="X89" i="1"/>
  <c r="X90" i="1"/>
  <c r="X91" i="1"/>
  <c r="X92" i="1"/>
  <c r="X93" i="1"/>
  <c r="X94" i="1"/>
  <c r="X95" i="1"/>
  <c r="X96" i="1"/>
  <c r="X97" i="1"/>
  <c r="X98" i="1"/>
  <c r="X99" i="1"/>
  <c r="X100" i="1"/>
  <c r="X101" i="1"/>
  <c r="X102" i="1"/>
  <c r="X103" i="1"/>
  <c r="X104" i="1"/>
  <c r="X105" i="1"/>
  <c r="X106" i="1"/>
  <c r="X107" i="1"/>
  <c r="X108" i="1"/>
  <c r="X109" i="1"/>
  <c r="X110" i="1"/>
  <c r="X111" i="1"/>
  <c r="X112" i="1"/>
  <c r="X113" i="1"/>
  <c r="X114" i="1"/>
  <c r="X115" i="1"/>
  <c r="X116" i="1"/>
  <c r="X117" i="1"/>
  <c r="X118" i="1"/>
  <c r="X119" i="1"/>
  <c r="X120" i="1"/>
  <c r="X121" i="1"/>
  <c r="X122" i="1"/>
  <c r="X123" i="1"/>
  <c r="X124" i="1"/>
  <c r="X125" i="1"/>
  <c r="X126" i="1"/>
  <c r="X127" i="1"/>
  <c r="X128" i="1"/>
  <c r="X129" i="1"/>
  <c r="X130" i="1"/>
  <c r="X131" i="1"/>
  <c r="X132" i="1"/>
  <c r="X133" i="1"/>
  <c r="X134" i="1"/>
  <c r="X135" i="1"/>
  <c r="X136" i="1"/>
  <c r="X137" i="1"/>
  <c r="X138" i="1"/>
  <c r="X139" i="1"/>
  <c r="X140" i="1"/>
  <c r="X141" i="1"/>
  <c r="X142" i="1"/>
  <c r="X143" i="1"/>
  <c r="X144" i="1"/>
  <c r="X145" i="1"/>
  <c r="X146" i="1"/>
  <c r="X147" i="1"/>
  <c r="X148" i="1"/>
  <c r="X149" i="1"/>
  <c r="X150" i="1"/>
  <c r="X151" i="1"/>
  <c r="X152" i="1"/>
  <c r="X153" i="1"/>
  <c r="X154" i="1"/>
  <c r="X155" i="1"/>
  <c r="X156" i="1"/>
  <c r="X157" i="1"/>
  <c r="X158" i="1"/>
  <c r="X159" i="1"/>
  <c r="X160" i="1"/>
  <c r="X161" i="1"/>
  <c r="X162" i="1"/>
  <c r="X163" i="1"/>
  <c r="X164" i="1"/>
  <c r="X165" i="1"/>
  <c r="X166" i="1"/>
  <c r="X167" i="1"/>
  <c r="X168" i="1"/>
  <c r="X169" i="1"/>
  <c r="X170" i="1"/>
  <c r="X171" i="1"/>
  <c r="X172" i="1"/>
  <c r="X173" i="1"/>
  <c r="X174" i="1"/>
  <c r="X175" i="1"/>
  <c r="X176" i="1"/>
  <c r="X177" i="1"/>
  <c r="X178" i="1"/>
  <c r="X179" i="1"/>
  <c r="X180" i="1"/>
  <c r="X181" i="1"/>
  <c r="X182" i="1"/>
  <c r="X183" i="1"/>
  <c r="X184" i="1"/>
  <c r="X185" i="1"/>
  <c r="X186" i="1"/>
  <c r="X187" i="1"/>
  <c r="X188" i="1"/>
  <c r="X189" i="1"/>
  <c r="X190" i="1"/>
  <c r="X191" i="1"/>
  <c r="X192" i="1"/>
  <c r="X193" i="1"/>
  <c r="X194" i="1"/>
  <c r="X195" i="1"/>
  <c r="X196" i="1"/>
  <c r="X197" i="1"/>
  <c r="X198" i="1"/>
  <c r="X199" i="1"/>
  <c r="X200" i="1"/>
  <c r="X201" i="1"/>
  <c r="X202" i="1"/>
  <c r="X203" i="1"/>
  <c r="X204" i="1"/>
  <c r="X205" i="1"/>
  <c r="X206" i="1"/>
  <c r="X207" i="1"/>
  <c r="X208" i="1"/>
  <c r="X209" i="1"/>
  <c r="X210" i="1"/>
  <c r="X211" i="1"/>
  <c r="X212" i="1"/>
  <c r="X213" i="1"/>
  <c r="X214" i="1"/>
  <c r="X215" i="1"/>
  <c r="X216" i="1"/>
  <c r="X217" i="1"/>
  <c r="X218" i="1"/>
  <c r="X219" i="1"/>
  <c r="X220" i="1"/>
  <c r="X221" i="1"/>
  <c r="X222" i="1"/>
  <c r="X223" i="1"/>
  <c r="X224" i="1"/>
  <c r="X225" i="1"/>
  <c r="X226" i="1"/>
  <c r="X227" i="1"/>
  <c r="X228" i="1"/>
  <c r="X229" i="1"/>
  <c r="X230" i="1"/>
  <c r="X231" i="1"/>
  <c r="X232" i="1"/>
  <c r="X233" i="1"/>
  <c r="X234" i="1"/>
  <c r="X235" i="1"/>
  <c r="X236" i="1"/>
  <c r="X237" i="1"/>
  <c r="X238" i="1"/>
  <c r="X239" i="1"/>
  <c r="X240" i="1"/>
  <c r="X241" i="1"/>
  <c r="X242" i="1"/>
  <c r="X243" i="1"/>
  <c r="X244" i="1"/>
  <c r="X245" i="1"/>
  <c r="X246" i="1"/>
  <c r="X247" i="1"/>
  <c r="X248" i="1"/>
  <c r="X249" i="1"/>
  <c r="X250" i="1"/>
  <c r="X251" i="1"/>
  <c r="X252" i="1"/>
  <c r="X253" i="1"/>
  <c r="X254" i="1"/>
  <c r="X255" i="1"/>
  <c r="X256" i="1"/>
  <c r="X257" i="1"/>
  <c r="X258" i="1"/>
  <c r="X259" i="1"/>
  <c r="X260" i="1"/>
  <c r="X261" i="1"/>
  <c r="X262" i="1"/>
  <c r="X263" i="1"/>
  <c r="X264" i="1"/>
  <c r="X265" i="1"/>
  <c r="X266" i="1"/>
  <c r="X267" i="1"/>
  <c r="X268" i="1"/>
  <c r="X269" i="1"/>
  <c r="X270" i="1"/>
  <c r="X271" i="1"/>
  <c r="X272" i="1"/>
  <c r="X273" i="1"/>
  <c r="X274" i="1"/>
  <c r="X275" i="1"/>
  <c r="X276" i="1"/>
  <c r="X277" i="1"/>
  <c r="X278" i="1"/>
  <c r="X279" i="1"/>
  <c r="X280" i="1"/>
  <c r="X281" i="1"/>
  <c r="X282" i="1"/>
  <c r="X283" i="1"/>
  <c r="X284" i="1"/>
  <c r="X285" i="1"/>
  <c r="X286" i="1"/>
  <c r="X287" i="1"/>
  <c r="X288" i="1"/>
  <c r="X289" i="1"/>
  <c r="X290" i="1"/>
  <c r="X291" i="1"/>
  <c r="X292" i="1"/>
  <c r="X293" i="1"/>
  <c r="X294" i="1"/>
  <c r="X295" i="1"/>
  <c r="X296" i="1"/>
  <c r="X297" i="1"/>
  <c r="X298" i="1"/>
  <c r="X299" i="1"/>
  <c r="X300" i="1"/>
  <c r="X301" i="1"/>
  <c r="X302" i="1"/>
  <c r="X303" i="1"/>
  <c r="X304" i="1"/>
  <c r="X305" i="1"/>
  <c r="X306" i="1"/>
  <c r="X307" i="1"/>
  <c r="X308" i="1"/>
  <c r="X309" i="1"/>
  <c r="X310" i="1"/>
  <c r="X311" i="1"/>
  <c r="X312" i="1"/>
  <c r="X313" i="1"/>
  <c r="X314" i="1"/>
  <c r="X315" i="1"/>
  <c r="X316" i="1"/>
  <c r="X317" i="1"/>
  <c r="X318" i="1"/>
  <c r="X319" i="1"/>
  <c r="X320" i="1"/>
  <c r="X321" i="1"/>
  <c r="X322" i="1"/>
  <c r="X323" i="1"/>
  <c r="X324" i="1"/>
  <c r="X325" i="1"/>
  <c r="X326" i="1"/>
  <c r="X327" i="1"/>
  <c r="X328" i="1"/>
  <c r="X329" i="1"/>
  <c r="X330" i="1"/>
  <c r="X331" i="1"/>
  <c r="X332" i="1"/>
  <c r="X333" i="1"/>
  <c r="X334" i="1"/>
  <c r="X335" i="1"/>
  <c r="X336" i="1"/>
  <c r="X337" i="1"/>
  <c r="X338" i="1"/>
  <c r="X339" i="1"/>
  <c r="X340" i="1"/>
  <c r="X341" i="1"/>
  <c r="X342" i="1"/>
  <c r="X343" i="1"/>
  <c r="X344" i="1"/>
  <c r="X345" i="1"/>
  <c r="X346" i="1"/>
  <c r="X347" i="1"/>
  <c r="X348" i="1"/>
  <c r="X349" i="1"/>
  <c r="X350" i="1"/>
  <c r="X351" i="1"/>
  <c r="X352" i="1"/>
  <c r="X353" i="1"/>
  <c r="X354" i="1"/>
  <c r="X355" i="1"/>
  <c r="X356" i="1"/>
  <c r="X357" i="1"/>
  <c r="X358" i="1"/>
  <c r="X359" i="1"/>
  <c r="X360" i="1"/>
  <c r="X361" i="1"/>
  <c r="X362" i="1"/>
  <c r="X363" i="1"/>
  <c r="X364" i="1"/>
  <c r="X365" i="1"/>
  <c r="X366" i="1"/>
  <c r="X367" i="1"/>
  <c r="X368" i="1"/>
  <c r="X369" i="1"/>
  <c r="X370" i="1"/>
  <c r="X371" i="1"/>
  <c r="X372" i="1"/>
  <c r="X373" i="1"/>
  <c r="X374" i="1"/>
  <c r="X375" i="1"/>
  <c r="X376" i="1"/>
  <c r="X377" i="1"/>
  <c r="X378" i="1"/>
  <c r="X379" i="1"/>
  <c r="X380" i="1"/>
  <c r="X381" i="1"/>
  <c r="X382" i="1"/>
  <c r="X383" i="1"/>
  <c r="X384" i="1"/>
  <c r="X385" i="1"/>
  <c r="X386" i="1"/>
  <c r="X387" i="1"/>
  <c r="X388" i="1"/>
  <c r="X389" i="1"/>
  <c r="X390" i="1"/>
  <c r="X391" i="1"/>
  <c r="X392" i="1"/>
  <c r="X393" i="1"/>
  <c r="X394" i="1"/>
  <c r="X395" i="1"/>
  <c r="X396" i="1"/>
  <c r="X397" i="1"/>
  <c r="X398" i="1"/>
  <c r="X399" i="1"/>
  <c r="X400" i="1"/>
  <c r="X401" i="1"/>
  <c r="X402" i="1"/>
  <c r="X403" i="1"/>
  <c r="X404" i="1"/>
  <c r="X405" i="1"/>
  <c r="X406" i="1"/>
  <c r="X407" i="1"/>
  <c r="X408" i="1"/>
  <c r="X409" i="1"/>
  <c r="X410" i="1"/>
  <c r="X411" i="1"/>
  <c r="X412" i="1"/>
  <c r="X413" i="1"/>
  <c r="X414" i="1"/>
  <c r="X415" i="1"/>
  <c r="X416" i="1"/>
  <c r="X417" i="1"/>
  <c r="X418" i="1"/>
  <c r="X419" i="1"/>
  <c r="X420" i="1"/>
  <c r="X421" i="1"/>
  <c r="X422" i="1"/>
  <c r="X423" i="1"/>
  <c r="X424" i="1"/>
  <c r="X425" i="1"/>
  <c r="X426" i="1"/>
  <c r="X427" i="1"/>
  <c r="X428" i="1"/>
  <c r="X429" i="1"/>
  <c r="V88" i="1" s="1"/>
  <c r="V89" i="1" s="1"/>
  <c r="V90" i="1" s="1"/>
  <c r="V91" i="1" s="1"/>
  <c r="V92" i="1" s="1"/>
  <c r="V93" i="1" s="1"/>
  <c r="V94" i="1" s="1"/>
  <c r="V95" i="1" s="1"/>
  <c r="V96" i="1" s="1"/>
  <c r="V97" i="1" s="1"/>
  <c r="V98" i="1" s="1"/>
  <c r="V99" i="1" s="1"/>
  <c r="V100" i="1" s="1"/>
  <c r="V101" i="1" s="1"/>
  <c r="V102" i="1" s="1"/>
  <c r="V103" i="1" s="1"/>
  <c r="V104" i="1" s="1"/>
  <c r="V105" i="1" s="1"/>
  <c r="V106" i="1" s="1"/>
  <c r="V107" i="1" s="1"/>
  <c r="V108" i="1" s="1"/>
  <c r="V109" i="1" s="1"/>
  <c r="V110" i="1" s="1"/>
  <c r="V111" i="1" s="1"/>
  <c r="V112" i="1" s="1"/>
  <c r="V113" i="1" s="1"/>
  <c r="V114" i="1" s="1"/>
  <c r="V115" i="1" s="1"/>
  <c r="V116" i="1" s="1"/>
  <c r="V117" i="1" s="1"/>
  <c r="V118" i="1" s="1"/>
  <c r="V119" i="1" s="1"/>
  <c r="V120" i="1" s="1"/>
  <c r="V121" i="1" s="1"/>
  <c r="V122" i="1" s="1"/>
  <c r="V123" i="1" s="1"/>
  <c r="V124" i="1" s="1"/>
  <c r="V125" i="1" s="1"/>
  <c r="V126" i="1" s="1"/>
  <c r="V127" i="1" s="1"/>
  <c r="V128" i="1" s="1"/>
  <c r="V129" i="1" s="1"/>
  <c r="V130" i="1" s="1"/>
  <c r="V131" i="1" s="1"/>
  <c r="V132" i="1" s="1"/>
  <c r="V133" i="1" s="1"/>
  <c r="V134" i="1" s="1"/>
  <c r="V135" i="1" s="1"/>
  <c r="V136" i="1" s="1"/>
  <c r="V137" i="1" s="1"/>
  <c r="V138" i="1" s="1"/>
  <c r="V139" i="1" s="1"/>
  <c r="V140" i="1" s="1"/>
  <c r="V141" i="1" s="1"/>
  <c r="V142" i="1" s="1"/>
  <c r="V143" i="1" s="1"/>
  <c r="V144" i="1" s="1"/>
  <c r="V145" i="1" s="1"/>
  <c r="V146" i="1" s="1"/>
  <c r="V147" i="1" s="1"/>
  <c r="V148" i="1" s="1"/>
  <c r="V149" i="1" s="1"/>
  <c r="V150" i="1" s="1"/>
  <c r="V151" i="1" s="1"/>
  <c r="V152" i="1" s="1"/>
  <c r="V153" i="1" s="1"/>
  <c r="V154" i="1" s="1"/>
  <c r="V155" i="1" s="1"/>
  <c r="V156" i="1" s="1"/>
  <c r="V157" i="1" s="1"/>
  <c r="V158" i="1" s="1"/>
  <c r="V159" i="1" s="1"/>
  <c r="V160" i="1" s="1"/>
  <c r="V161" i="1" s="1"/>
  <c r="V162" i="1" s="1"/>
  <c r="V163" i="1" s="1"/>
  <c r="V164" i="1" s="1"/>
  <c r="V165" i="1" s="1"/>
  <c r="V166" i="1" s="1"/>
  <c r="V167" i="1" s="1"/>
  <c r="V168" i="1" s="1"/>
  <c r="V169" i="1" s="1"/>
  <c r="V170" i="1" s="1"/>
  <c r="V171" i="1" s="1"/>
  <c r="V172" i="1" s="1"/>
  <c r="V173" i="1" s="1"/>
  <c r="V174" i="1" s="1"/>
  <c r="V175" i="1" s="1"/>
  <c r="V176" i="1" s="1"/>
  <c r="V177" i="1" s="1"/>
  <c r="V178" i="1" s="1"/>
  <c r="V179" i="1" s="1"/>
  <c r="V180" i="1" s="1"/>
  <c r="V181" i="1" s="1"/>
  <c r="V182" i="1" s="1"/>
  <c r="V183" i="1" s="1"/>
  <c r="V184" i="1" s="1"/>
  <c r="V185" i="1" s="1"/>
  <c r="V186" i="1" s="1"/>
  <c r="V187" i="1" s="1"/>
  <c r="V188" i="1" s="1"/>
  <c r="V189" i="1" s="1"/>
  <c r="V190" i="1" s="1"/>
  <c r="V191" i="1" s="1"/>
  <c r="V192" i="1" s="1"/>
  <c r="V193" i="1" s="1"/>
  <c r="V194" i="1" s="1"/>
  <c r="V195" i="1" s="1"/>
  <c r="V196" i="1" s="1"/>
  <c r="V197" i="1" s="1"/>
  <c r="V198" i="1" s="1"/>
  <c r="V199" i="1" s="1"/>
  <c r="V200" i="1" s="1"/>
  <c r="V201" i="1" s="1"/>
  <c r="V202" i="1" s="1"/>
  <c r="V203" i="1" s="1"/>
  <c r="V204" i="1" s="1"/>
  <c r="V205" i="1" s="1"/>
  <c r="V206" i="1" s="1"/>
  <c r="V207" i="1" s="1"/>
  <c r="V208" i="1" s="1"/>
  <c r="V209" i="1" s="1"/>
  <c r="V210" i="1" s="1"/>
  <c r="V211" i="1" s="1"/>
  <c r="V212" i="1" s="1"/>
  <c r="V213" i="1" s="1"/>
  <c r="V214" i="1" s="1"/>
  <c r="V215" i="1" s="1"/>
  <c r="V216" i="1" s="1"/>
  <c r="V217" i="1" s="1"/>
  <c r="V218" i="1" s="1"/>
  <c r="V219" i="1" s="1"/>
  <c r="V220" i="1" s="1"/>
  <c r="V221" i="1" s="1"/>
  <c r="V222" i="1" s="1"/>
  <c r="V223" i="1" s="1"/>
  <c r="V224" i="1" s="1"/>
  <c r="V225" i="1" s="1"/>
  <c r="V226" i="1" s="1"/>
  <c r="V227" i="1" s="1"/>
  <c r="V228" i="1" s="1"/>
  <c r="V229" i="1" s="1"/>
  <c r="V230" i="1" s="1"/>
  <c r="V231" i="1" s="1"/>
  <c r="V232" i="1" s="1"/>
  <c r="V233" i="1" s="1"/>
  <c r="V234" i="1" s="1"/>
  <c r="V235" i="1" s="1"/>
  <c r="V236" i="1" s="1"/>
  <c r="V237" i="1" s="1"/>
  <c r="V238" i="1" s="1"/>
  <c r="V239" i="1" s="1"/>
  <c r="V240" i="1" s="1"/>
  <c r="V241" i="1" s="1"/>
  <c r="V242" i="1" s="1"/>
  <c r="V243" i="1" s="1"/>
  <c r="V244" i="1" s="1"/>
  <c r="V245" i="1" s="1"/>
  <c r="V246" i="1" s="1"/>
  <c r="V247" i="1" s="1"/>
  <c r="V248" i="1" s="1"/>
  <c r="V249" i="1" s="1"/>
  <c r="V250" i="1" s="1"/>
  <c r="V251" i="1" s="1"/>
  <c r="V252" i="1" s="1"/>
  <c r="V253" i="1" s="1"/>
  <c r="V254" i="1" s="1"/>
  <c r="V255" i="1" s="1"/>
  <c r="V256" i="1" s="1"/>
  <c r="V257" i="1" s="1"/>
  <c r="V258" i="1" s="1"/>
  <c r="V259" i="1" s="1"/>
  <c r="V260" i="1" s="1"/>
  <c r="V261" i="1" s="1"/>
  <c r="V262" i="1" s="1"/>
  <c r="V263" i="1" s="1"/>
  <c r="V264" i="1" s="1"/>
  <c r="V265" i="1" s="1"/>
  <c r="V266" i="1" s="1"/>
  <c r="V267" i="1" s="1"/>
  <c r="V268" i="1" s="1"/>
  <c r="V269" i="1" s="1"/>
  <c r="V270" i="1" s="1"/>
  <c r="V271" i="1" s="1"/>
  <c r="V272" i="1" s="1"/>
  <c r="V273" i="1" s="1"/>
  <c r="V274" i="1" s="1"/>
  <c r="V275" i="1" s="1"/>
  <c r="V276" i="1" s="1"/>
  <c r="V277" i="1" s="1"/>
  <c r="V278" i="1" s="1"/>
  <c r="V279" i="1" s="1"/>
  <c r="V280" i="1" s="1"/>
  <c r="V281" i="1" s="1"/>
  <c r="V282" i="1" s="1"/>
  <c r="V283" i="1" s="1"/>
  <c r="V284" i="1" s="1"/>
  <c r="V285" i="1" s="1"/>
  <c r="V286" i="1" s="1"/>
  <c r="V287" i="1" s="1"/>
  <c r="V288" i="1" s="1"/>
  <c r="V289" i="1" s="1"/>
  <c r="V290" i="1" s="1"/>
  <c r="V291" i="1" s="1"/>
  <c r="V292" i="1" s="1"/>
  <c r="V293" i="1" s="1"/>
  <c r="V294" i="1" s="1"/>
  <c r="V295" i="1" s="1"/>
  <c r="V296" i="1" s="1"/>
  <c r="V297" i="1" s="1"/>
  <c r="V298" i="1" s="1"/>
  <c r="V299" i="1" s="1"/>
  <c r="V300" i="1" s="1"/>
  <c r="V301" i="1" s="1"/>
  <c r="V302" i="1" s="1"/>
  <c r="V303" i="1" s="1"/>
  <c r="V304" i="1" s="1"/>
  <c r="V305" i="1" s="1"/>
  <c r="V306" i="1" s="1"/>
  <c r="V307" i="1" s="1"/>
  <c r="V308" i="1" s="1"/>
  <c r="V309" i="1" s="1"/>
  <c r="V310" i="1" s="1"/>
  <c r="V311" i="1" s="1"/>
  <c r="V312" i="1" s="1"/>
  <c r="V313" i="1" s="1"/>
  <c r="V314" i="1" s="1"/>
  <c r="V315" i="1" s="1"/>
  <c r="V316" i="1" s="1"/>
  <c r="V317" i="1" s="1"/>
  <c r="V318" i="1" s="1"/>
  <c r="V319" i="1" s="1"/>
  <c r="V320" i="1" s="1"/>
  <c r="V321" i="1" s="1"/>
  <c r="V322" i="1" s="1"/>
  <c r="V323" i="1" s="1"/>
  <c r="V324" i="1" s="1"/>
  <c r="V325" i="1" s="1"/>
  <c r="V326" i="1" s="1"/>
  <c r="V327" i="1" s="1"/>
  <c r="V328" i="1" s="1"/>
  <c r="V329" i="1" s="1"/>
  <c r="V330" i="1" s="1"/>
  <c r="V331" i="1" s="1"/>
  <c r="V332" i="1" s="1"/>
  <c r="V333" i="1" s="1"/>
  <c r="V334" i="1" s="1"/>
  <c r="V335" i="1" s="1"/>
  <c r="V336" i="1" s="1"/>
  <c r="V337" i="1" s="1"/>
  <c r="V338" i="1" s="1"/>
  <c r="V339" i="1" s="1"/>
  <c r="V340" i="1" s="1"/>
  <c r="V341" i="1" s="1"/>
  <c r="V342" i="1" s="1"/>
  <c r="V343" i="1" s="1"/>
  <c r="V344" i="1" s="1"/>
  <c r="V345" i="1" s="1"/>
  <c r="V346" i="1" s="1"/>
  <c r="V347" i="1" s="1"/>
  <c r="V348" i="1" s="1"/>
  <c r="V349" i="1" s="1"/>
  <c r="V350" i="1" s="1"/>
  <c r="V351" i="1" s="1"/>
  <c r="V352" i="1" s="1"/>
  <c r="V353" i="1" s="1"/>
  <c r="V354" i="1" s="1"/>
  <c r="V355" i="1" s="1"/>
  <c r="V356" i="1" s="1"/>
  <c r="V357" i="1" s="1"/>
  <c r="V358" i="1" s="1"/>
  <c r="V359" i="1" s="1"/>
  <c r="V360" i="1" s="1"/>
  <c r="V361" i="1" s="1"/>
  <c r="V362" i="1" s="1"/>
  <c r="V363" i="1" s="1"/>
  <c r="V364" i="1" s="1"/>
  <c r="V365" i="1" s="1"/>
  <c r="V366" i="1" s="1"/>
  <c r="V367" i="1" s="1"/>
  <c r="V368" i="1" s="1"/>
  <c r="V369" i="1" s="1"/>
  <c r="V370" i="1" s="1"/>
  <c r="V371" i="1" s="1"/>
  <c r="V372" i="1" s="1"/>
  <c r="V373" i="1" s="1"/>
  <c r="V374" i="1" s="1"/>
  <c r="V375" i="1" s="1"/>
  <c r="V376" i="1" s="1"/>
  <c r="V377" i="1" s="1"/>
  <c r="V378" i="1" s="1"/>
  <c r="V379" i="1" s="1"/>
  <c r="V380" i="1" s="1"/>
  <c r="V381" i="1" s="1"/>
  <c r="V382" i="1" s="1"/>
  <c r="V383" i="1" s="1"/>
  <c r="V384" i="1" s="1"/>
  <c r="V385" i="1" s="1"/>
  <c r="V386" i="1" s="1"/>
  <c r="V387" i="1" s="1"/>
  <c r="V388" i="1" s="1"/>
  <c r="V389" i="1" s="1"/>
  <c r="V390" i="1" s="1"/>
  <c r="V391" i="1" s="1"/>
  <c r="V392" i="1" s="1"/>
  <c r="V393" i="1" s="1"/>
  <c r="V394" i="1" s="1"/>
  <c r="V395" i="1" s="1"/>
  <c r="V396" i="1" s="1"/>
  <c r="V397" i="1" s="1"/>
  <c r="V398" i="1" s="1"/>
  <c r="V399" i="1" s="1"/>
  <c r="V400" i="1" s="1"/>
  <c r="V401" i="1" s="1"/>
  <c r="V402" i="1" s="1"/>
  <c r="V403" i="1" s="1"/>
  <c r="V404" i="1" s="1"/>
  <c r="V405" i="1" s="1"/>
  <c r="V406" i="1" s="1"/>
  <c r="V407" i="1" s="1"/>
  <c r="V408" i="1" s="1"/>
  <c r="V409" i="1" s="1"/>
  <c r="V410" i="1" s="1"/>
  <c r="V411" i="1" s="1"/>
  <c r="V412" i="1" s="1"/>
  <c r="V413" i="1" s="1"/>
  <c r="V414" i="1" s="1"/>
  <c r="V415" i="1" s="1"/>
  <c r="V416" i="1" s="1"/>
  <c r="V417" i="1" s="1"/>
  <c r="V418" i="1" s="1"/>
  <c r="V419" i="1" s="1"/>
  <c r="V420" i="1" s="1"/>
  <c r="V421" i="1" s="1"/>
  <c r="V422" i="1" s="1"/>
  <c r="V423" i="1" s="1"/>
  <c r="V424" i="1" s="1"/>
  <c r="V425" i="1" s="1"/>
  <c r="V426" i="1" s="1"/>
  <c r="V427" i="1" s="1"/>
  <c r="V428" i="1" s="1"/>
  <c r="V429" i="1" s="1"/>
  <c r="V430" i="1" s="1"/>
  <c r="V431" i="1" s="1"/>
  <c r="V432" i="1" s="1"/>
  <c r="V433" i="1" s="1"/>
  <c r="V434" i="1" s="1"/>
  <c r="V435" i="1" s="1"/>
  <c r="V436" i="1" s="1"/>
  <c r="V437" i="1" s="1"/>
  <c r="V438" i="1" s="1"/>
  <c r="V439" i="1" s="1"/>
  <c r="V440" i="1" s="1"/>
  <c r="V441" i="1" s="1"/>
  <c r="V442" i="1" s="1"/>
  <c r="V443" i="1" s="1"/>
  <c r="V444" i="1" s="1"/>
  <c r="V445" i="1" s="1"/>
  <c r="V446" i="1" s="1"/>
  <c r="V447" i="1" s="1"/>
  <c r="V448" i="1" s="1"/>
  <c r="V449" i="1" s="1"/>
  <c r="V450" i="1" s="1"/>
  <c r="V451" i="1" s="1"/>
  <c r="V452" i="1" s="1"/>
  <c r="V453" i="1" s="1"/>
  <c r="V454" i="1" s="1"/>
  <c r="V455" i="1" s="1"/>
  <c r="V456" i="1" s="1"/>
  <c r="V457" i="1" s="1"/>
  <c r="V458" i="1" s="1"/>
  <c r="V459" i="1" s="1"/>
  <c r="V460" i="1" s="1"/>
  <c r="V461" i="1" s="1"/>
  <c r="V462" i="1" s="1"/>
  <c r="V463" i="1" s="1"/>
  <c r="V464" i="1" s="1"/>
  <c r="V465" i="1" s="1"/>
  <c r="V466" i="1" s="1"/>
  <c r="V467" i="1" s="1"/>
  <c r="V468" i="1" s="1"/>
  <c r="V469" i="1" s="1"/>
  <c r="V470" i="1" s="1"/>
  <c r="V471" i="1" s="1"/>
  <c r="V472" i="1" s="1"/>
  <c r="V473" i="1" s="1"/>
  <c r="V474" i="1" s="1"/>
  <c r="V475" i="1" s="1"/>
  <c r="V476" i="1" s="1"/>
  <c r="V477" i="1" s="1"/>
  <c r="V478" i="1" s="1"/>
  <c r="V479" i="1" s="1"/>
  <c r="V480" i="1" s="1"/>
  <c r="V481" i="1" s="1"/>
  <c r="V482" i="1" s="1"/>
  <c r="V483" i="1" s="1"/>
  <c r="V484" i="1" s="1"/>
  <c r="V485" i="1" s="1"/>
  <c r="V486" i="1" s="1"/>
  <c r="V487" i="1" s="1"/>
  <c r="V488" i="1" s="1"/>
  <c r="V489" i="1" s="1"/>
  <c r="V490" i="1" s="1"/>
  <c r="V491" i="1" s="1"/>
  <c r="V492" i="1" s="1"/>
  <c r="V493" i="1" s="1"/>
  <c r="V494" i="1" s="1"/>
  <c r="V495" i="1" s="1"/>
  <c r="V496" i="1" s="1"/>
  <c r="V497" i="1" s="1"/>
  <c r="V498" i="1" s="1"/>
  <c r="V499" i="1" s="1"/>
  <c r="V500" i="1" s="1"/>
  <c r="V501" i="1" s="1"/>
  <c r="V502" i="1" s="1"/>
  <c r="V503" i="1" s="1"/>
  <c r="V504" i="1" s="1"/>
  <c r="V505" i="1" s="1"/>
  <c r="V506" i="1" s="1"/>
  <c r="V507" i="1" s="1"/>
  <c r="V508" i="1" s="1"/>
  <c r="V509" i="1" s="1"/>
  <c r="V510" i="1" s="1"/>
  <c r="V511" i="1" s="1"/>
  <c r="V512" i="1" s="1"/>
  <c r="V513" i="1" s="1"/>
  <c r="V514" i="1" s="1"/>
  <c r="V515" i="1" s="1"/>
  <c r="V516" i="1" s="1"/>
  <c r="V517" i="1" s="1"/>
  <c r="V518" i="1" s="1"/>
  <c r="V519" i="1" s="1"/>
  <c r="V520" i="1" s="1"/>
  <c r="V521" i="1" s="1"/>
  <c r="V522" i="1" s="1"/>
  <c r="V523" i="1" s="1"/>
  <c r="V524" i="1" s="1"/>
  <c r="V525" i="1" s="1"/>
  <c r="V526" i="1" s="1"/>
  <c r="V527" i="1" s="1"/>
  <c r="V528" i="1" s="1"/>
  <c r="V529" i="1" s="1"/>
  <c r="V530" i="1" s="1"/>
  <c r="V531" i="1" s="1"/>
  <c r="V532" i="1" s="1"/>
  <c r="V533" i="1" s="1"/>
  <c r="V534" i="1" s="1"/>
  <c r="V535" i="1" s="1"/>
  <c r="V536" i="1" s="1"/>
  <c r="V537" i="1" s="1"/>
  <c r="V538" i="1" s="1"/>
  <c r="V539" i="1" s="1"/>
  <c r="V540" i="1" s="1"/>
  <c r="V541" i="1" s="1"/>
  <c r="V542" i="1" s="1"/>
  <c r="V543" i="1" s="1"/>
  <c r="V544" i="1" s="1"/>
  <c r="V545" i="1" s="1"/>
  <c r="V546" i="1" s="1"/>
  <c r="V547" i="1" s="1"/>
  <c r="V548" i="1" s="1"/>
  <c r="V549" i="1" s="1"/>
  <c r="V550" i="1" s="1"/>
  <c r="V551" i="1" s="1"/>
  <c r="V552" i="1" s="1"/>
  <c r="V553" i="1" s="1"/>
  <c r="V554" i="1" s="1"/>
  <c r="V555" i="1" s="1"/>
  <c r="V556" i="1" s="1"/>
  <c r="V557" i="1" s="1"/>
  <c r="V558" i="1" s="1"/>
  <c r="V559" i="1" s="1"/>
  <c r="V560" i="1" s="1"/>
  <c r="V561" i="1" s="1"/>
  <c r="V562" i="1" s="1"/>
  <c r="V563" i="1" s="1"/>
  <c r="V564" i="1" s="1"/>
  <c r="V565" i="1" s="1"/>
  <c r="V566" i="1" s="1"/>
  <c r="V567" i="1" s="1"/>
  <c r="V568" i="1" s="1"/>
  <c r="V569" i="1" s="1"/>
  <c r="V570" i="1" s="1"/>
  <c r="V571" i="1" s="1"/>
  <c r="V572" i="1" s="1"/>
  <c r="V573" i="1" s="1"/>
  <c r="V574" i="1" s="1"/>
  <c r="V575" i="1" s="1"/>
  <c r="V576" i="1" s="1"/>
  <c r="V577" i="1" s="1"/>
  <c r="V578" i="1" s="1"/>
  <c r="V579" i="1" s="1"/>
  <c r="V580" i="1" s="1"/>
  <c r="V581" i="1" s="1"/>
  <c r="V582" i="1" s="1"/>
  <c r="V583" i="1" s="1"/>
  <c r="V584" i="1" s="1"/>
  <c r="V585" i="1" s="1"/>
  <c r="V586" i="1" s="1"/>
  <c r="X430" i="1"/>
  <c r="X431" i="1"/>
  <c r="X432" i="1"/>
  <c r="X433" i="1"/>
  <c r="X434" i="1"/>
  <c r="X435" i="1"/>
  <c r="X436" i="1"/>
  <c r="X437" i="1"/>
  <c r="X438" i="1"/>
  <c r="X439" i="1"/>
  <c r="X440" i="1"/>
  <c r="X441" i="1"/>
  <c r="X442" i="1"/>
  <c r="X443" i="1"/>
  <c r="X444" i="1"/>
  <c r="X445" i="1"/>
  <c r="X446" i="1"/>
  <c r="X447" i="1"/>
  <c r="X448" i="1"/>
  <c r="X449" i="1"/>
  <c r="X450" i="1"/>
  <c r="X451" i="1"/>
  <c r="X452" i="1"/>
  <c r="X453" i="1"/>
  <c r="X454" i="1"/>
  <c r="X455" i="1"/>
  <c r="X456" i="1"/>
  <c r="X457" i="1"/>
  <c r="X458" i="1"/>
  <c r="X459" i="1"/>
  <c r="X460" i="1"/>
  <c r="X461" i="1"/>
  <c r="X462" i="1"/>
  <c r="X463" i="1"/>
  <c r="X464" i="1"/>
  <c r="X465" i="1"/>
  <c r="X466" i="1"/>
  <c r="X467" i="1"/>
  <c r="X468" i="1"/>
  <c r="X469" i="1"/>
  <c r="X470" i="1"/>
  <c r="X471" i="1"/>
  <c r="X472" i="1"/>
  <c r="X473" i="1"/>
  <c r="X474" i="1"/>
  <c r="X475" i="1"/>
  <c r="X476" i="1"/>
  <c r="X477" i="1"/>
  <c r="X478" i="1"/>
  <c r="X479" i="1"/>
  <c r="X480" i="1"/>
  <c r="X481" i="1"/>
  <c r="X482" i="1"/>
  <c r="X483" i="1"/>
  <c r="X484" i="1"/>
  <c r="X485" i="1"/>
  <c r="X486" i="1"/>
  <c r="X487" i="1"/>
  <c r="X488" i="1"/>
  <c r="X489" i="1"/>
  <c r="X490" i="1"/>
  <c r="X491" i="1"/>
  <c r="X492" i="1"/>
  <c r="X493" i="1"/>
  <c r="X494" i="1"/>
  <c r="X495" i="1"/>
  <c r="X496" i="1"/>
  <c r="X497" i="1"/>
  <c r="X498" i="1"/>
  <c r="X499" i="1"/>
  <c r="X500" i="1"/>
  <c r="X501" i="1"/>
  <c r="X502" i="1"/>
  <c r="X503" i="1"/>
  <c r="X504" i="1"/>
  <c r="X505" i="1"/>
  <c r="X506" i="1"/>
  <c r="X507" i="1"/>
  <c r="X508" i="1"/>
  <c r="X509" i="1"/>
  <c r="X510" i="1"/>
  <c r="X511" i="1"/>
  <c r="X512" i="1"/>
  <c r="X513" i="1"/>
  <c r="X514" i="1"/>
  <c r="X515" i="1"/>
  <c r="X516" i="1"/>
  <c r="X517" i="1"/>
  <c r="X518" i="1"/>
  <c r="X519" i="1"/>
  <c r="X520" i="1"/>
  <c r="X521" i="1"/>
  <c r="X522" i="1"/>
  <c r="X523" i="1"/>
  <c r="X524" i="1"/>
  <c r="X525" i="1"/>
  <c r="X526" i="1"/>
  <c r="X527" i="1"/>
  <c r="X528" i="1"/>
  <c r="X529" i="1"/>
  <c r="X530" i="1"/>
  <c r="X531" i="1"/>
  <c r="X532" i="1"/>
  <c r="X533" i="1"/>
  <c r="X534" i="1"/>
  <c r="X535" i="1"/>
  <c r="X536" i="1"/>
  <c r="X537" i="1"/>
  <c r="X538" i="1"/>
  <c r="X539" i="1"/>
  <c r="X540" i="1"/>
  <c r="X541" i="1"/>
  <c r="X542" i="1"/>
  <c r="X543" i="1"/>
  <c r="X544" i="1"/>
  <c r="X545" i="1"/>
  <c r="X546" i="1"/>
  <c r="X547" i="1"/>
  <c r="X548" i="1"/>
  <c r="X549" i="1"/>
  <c r="X550" i="1"/>
  <c r="X551" i="1"/>
  <c r="X552" i="1"/>
  <c r="X553" i="1"/>
  <c r="X554" i="1"/>
  <c r="X555" i="1"/>
  <c r="X556" i="1"/>
  <c r="X557" i="1"/>
  <c r="X558" i="1"/>
  <c r="X559" i="1"/>
  <c r="X560" i="1"/>
  <c r="X561" i="1"/>
  <c r="Z35" i="37"/>
  <c r="L35" i="37"/>
  <c r="Z32" i="37"/>
  <c r="AA31" i="37" l="1"/>
  <c r="L36" i="37"/>
  <c r="AA32" i="37"/>
  <c r="AA35" i="37"/>
  <c r="AC35" i="37"/>
  <c r="Z36" i="37"/>
  <c r="AC36" i="37" l="1"/>
  <c r="AA36" i="37"/>
  <c r="M27" i="42"/>
  <c r="V28" i="42"/>
  <c r="M28" i="42"/>
  <c r="V27" i="42"/>
  <c r="M34" i="42"/>
  <c r="M33" i="42"/>
  <c r="V34" i="42"/>
  <c r="V33" i="42"/>
  <c r="BT18" i="25" l="1"/>
  <c r="BT19" i="25" s="1"/>
  <c r="BU18" i="25" l="1"/>
  <c r="BW18" i="25"/>
  <c r="BU19" i="25"/>
  <c r="BW19" i="25"/>
  <c r="AZ23" i="25" l="1"/>
  <c r="BB23" i="25"/>
  <c r="DT93" i="2" l="1"/>
  <c r="DT123" i="2" s="1"/>
  <c r="DT102" i="2"/>
  <c r="DT111" i="2"/>
  <c r="DT115" i="2"/>
  <c r="N27" i="42"/>
  <c r="N35" i="37"/>
  <c r="DT114" i="2" l="1"/>
  <c r="DU113" i="2"/>
  <c r="N36" i="37"/>
  <c r="DY93" i="2"/>
  <c r="DY123" i="2" s="1"/>
  <c r="DX93" i="2"/>
  <c r="DT65" i="13"/>
  <c r="DT61" i="13" s="1"/>
  <c r="DX123" i="2"/>
  <c r="DT127" i="2"/>
  <c r="DT129" i="2"/>
  <c r="EC123" i="2"/>
  <c r="AT69" i="35"/>
  <c r="AT73" i="35" s="1"/>
  <c r="DT118" i="2"/>
  <c r="DT71" i="12"/>
  <c r="DT70" i="12"/>
  <c r="DT119" i="2"/>
  <c r="ED93" i="2"/>
  <c r="N28" i="42"/>
  <c r="DT132" i="2" l="1"/>
  <c r="DU134" i="2" s="1"/>
  <c r="DY100" i="2"/>
  <c r="DY102" i="2" s="1"/>
  <c r="EC93" i="2"/>
  <c r="AT70" i="35"/>
  <c r="EI93" i="2"/>
  <c r="ED123" i="2"/>
  <c r="ED100" i="2"/>
  <c r="ED101" i="2" s="1"/>
  <c r="EH93" i="2"/>
  <c r="DY111" i="2" l="1"/>
  <c r="DY114" i="2" s="1"/>
  <c r="DY115" i="2"/>
  <c r="DY65" i="13" s="1"/>
  <c r="DY101" i="2"/>
  <c r="EI123" i="2"/>
  <c r="EI100" i="2"/>
  <c r="EI101" i="2" s="1"/>
  <c r="EM93" i="2"/>
  <c r="EN93" i="2"/>
  <c r="EH123" i="2"/>
  <c r="ED115" i="2"/>
  <c r="ED111" i="2"/>
  <c r="ED102" i="2"/>
  <c r="AX69" i="35"/>
  <c r="AX73" i="35" s="1"/>
  <c r="DC18" i="25"/>
  <c r="DY118" i="2"/>
  <c r="AX70" i="35" s="1"/>
  <c r="ED116" i="2" l="1"/>
  <c r="DY116" i="2"/>
  <c r="DY112" i="2"/>
  <c r="DY113" i="2"/>
  <c r="DY119" i="2"/>
  <c r="ED112" i="2"/>
  <c r="EM123" i="2"/>
  <c r="EI115" i="2"/>
  <c r="EI116" i="2" s="1"/>
  <c r="EI111" i="2"/>
  <c r="EI112" i="2" s="1"/>
  <c r="EI102" i="2"/>
  <c r="EN123" i="2"/>
  <c r="EN100" i="2"/>
  <c r="EN101" i="2" s="1"/>
  <c r="ER93" i="2"/>
  <c r="ED118" i="2"/>
  <c r="BB70" i="35" s="1"/>
  <c r="ED65" i="13"/>
  <c r="BB69" i="35"/>
  <c r="BB73" i="35" s="1"/>
  <c r="ED119" i="2"/>
  <c r="ED114" i="2"/>
  <c r="ED113" i="2"/>
  <c r="DF18" i="25"/>
  <c r="DD18" i="25"/>
  <c r="DC19" i="25"/>
  <c r="EI118" i="2" l="1"/>
  <c r="BF70" i="35" s="1"/>
  <c r="BF69" i="35"/>
  <c r="BF73" i="35" s="1"/>
  <c r="EI65" i="13"/>
  <c r="EI119" i="2"/>
  <c r="EI114" i="2"/>
  <c r="EI113" i="2"/>
  <c r="ER123" i="2"/>
  <c r="EN115" i="2"/>
  <c r="EN116" i="2" s="1"/>
  <c r="EN111" i="2"/>
  <c r="EN112" i="2" s="1"/>
  <c r="EN102" i="2"/>
  <c r="DF19" i="25"/>
  <c r="DD19" i="25"/>
  <c r="EN118" i="2" l="1"/>
  <c r="BJ70" i="35" s="1"/>
  <c r="BJ69" i="35"/>
  <c r="BJ73" i="35" s="1"/>
  <c r="EN65" i="13"/>
  <c r="EN119" i="2"/>
  <c r="EN114" i="2"/>
  <c r="EN113" i="2"/>
  <c r="H40" i="26" l="1"/>
  <c r="DT87" i="14" l="1"/>
  <c r="AT18" i="35" s="1"/>
  <c r="DT84" i="14" l="1"/>
  <c r="DT90" i="14"/>
  <c r="DT89" i="14"/>
  <c r="AT14" i="35"/>
  <c r="DT86" i="14" l="1"/>
  <c r="DT85" i="14"/>
  <c r="DY84" i="14"/>
  <c r="AX14" i="35"/>
  <c r="DY87" i="14" l="1"/>
  <c r="DY90" i="14" s="1"/>
  <c r="DY85" i="14"/>
  <c r="ED84" i="14"/>
  <c r="ED87" i="14" s="1"/>
  <c r="AX18" i="35"/>
  <c r="DY89" i="14"/>
  <c r="DY88" i="14"/>
  <c r="BB14" i="35"/>
  <c r="ED85" i="14" l="1"/>
  <c r="EI84" i="14"/>
  <c r="ED90" i="14"/>
  <c r="BB18" i="35"/>
  <c r="ED89" i="14"/>
  <c r="ED88" i="14"/>
  <c r="BF14" i="35"/>
  <c r="EI87" i="14" l="1"/>
  <c r="EI88" i="14" s="1"/>
  <c r="EI85" i="14"/>
  <c r="EN84" i="14"/>
  <c r="BF18" i="35"/>
  <c r="EI89" i="14"/>
  <c r="BJ14" i="35"/>
  <c r="EN87" i="14"/>
  <c r="EN85" i="14"/>
  <c r="EI90" i="14" l="1"/>
  <c r="BJ18" i="35"/>
  <c r="EN90" i="14"/>
  <c r="EN89" i="14"/>
  <c r="EN88" i="14"/>
  <c r="AT26" i="35" l="1"/>
  <c r="AT150" i="35"/>
  <c r="DT97" i="14"/>
  <c r="DT101" i="14" l="1"/>
  <c r="DT99" i="14"/>
  <c r="AT151" i="35" s="1"/>
  <c r="AT155" i="35" s="1"/>
  <c r="DT100" i="14"/>
  <c r="AT152" i="35" s="1"/>
  <c r="AT149" i="35"/>
  <c r="DT94" i="14"/>
  <c r="AT19" i="35"/>
  <c r="DT105" i="14" l="1"/>
  <c r="DT104" i="14"/>
  <c r="DT106" i="14"/>
  <c r="DT102" i="14"/>
  <c r="AT27" i="35" s="1"/>
  <c r="DT103" i="14"/>
  <c r="DY94" i="14"/>
  <c r="DT96" i="14"/>
  <c r="DT95" i="14"/>
  <c r="AT15" i="35"/>
  <c r="AT20" i="35"/>
  <c r="AT21" i="35" s="1"/>
  <c r="DT107" i="14" l="1"/>
  <c r="DT110" i="14"/>
  <c r="DT109" i="14"/>
  <c r="DT108" i="14"/>
  <c r="DY97" i="14"/>
  <c r="AX15" i="35"/>
  <c r="DY96" i="14"/>
  <c r="ED94" i="14"/>
  <c r="DY98" i="14" l="1"/>
  <c r="DY99" i="14"/>
  <c r="AX151" i="35" s="1"/>
  <c r="AX155" i="35" s="1"/>
  <c r="DY100" i="14"/>
  <c r="AX152" i="35" s="1"/>
  <c r="DY101" i="14"/>
  <c r="AX149" i="35"/>
  <c r="AX19" i="35"/>
  <c r="BB15" i="35"/>
  <c r="ED97" i="14"/>
  <c r="ED96" i="14"/>
  <c r="EI94" i="14"/>
  <c r="AX26" i="35" l="1"/>
  <c r="AX150" i="35"/>
  <c r="DY105" i="14"/>
  <c r="DY102" i="14"/>
  <c r="AX27" i="35" s="1"/>
  <c r="DY106" i="14"/>
  <c r="DY103" i="14"/>
  <c r="DY104" i="14"/>
  <c r="AX20" i="35"/>
  <c r="AX21" i="35" s="1"/>
  <c r="BB19" i="35"/>
  <c r="ED101" i="14"/>
  <c r="ED98" i="14"/>
  <c r="BB26" i="35" s="1"/>
  <c r="ED99" i="14"/>
  <c r="ED100" i="14"/>
  <c r="EI97" i="14"/>
  <c r="BF15" i="35"/>
  <c r="EI96" i="14"/>
  <c r="EN94" i="14"/>
  <c r="DY107" i="14" l="1"/>
  <c r="DY108" i="14"/>
  <c r="DY109" i="14"/>
  <c r="DY110" i="14"/>
  <c r="ED102" i="14"/>
  <c r="BB27" i="35" s="1"/>
  <c r="ED103" i="14"/>
  <c r="ED104" i="14"/>
  <c r="ED106" i="14"/>
  <c r="ED105" i="14"/>
  <c r="BB20" i="35"/>
  <c r="BB21" i="35" s="1"/>
  <c r="EI98" i="14"/>
  <c r="BF26" i="35" s="1"/>
  <c r="EI99" i="14"/>
  <c r="EI100" i="14"/>
  <c r="EI101" i="14"/>
  <c r="BF19" i="35"/>
  <c r="BJ15" i="35"/>
  <c r="EN97" i="14"/>
  <c r="EN96" i="14"/>
  <c r="ED110" i="14" l="1"/>
  <c r="ED107" i="14"/>
  <c r="ED108" i="14"/>
  <c r="ED109" i="14"/>
  <c r="EI102" i="14"/>
  <c r="BF27" i="35" s="1"/>
  <c r="EI105" i="14"/>
  <c r="EI103" i="14"/>
  <c r="EI104" i="14"/>
  <c r="EI106" i="14"/>
  <c r="BF20" i="35"/>
  <c r="BF21" i="35" s="1"/>
  <c r="EN98" i="14"/>
  <c r="BJ26" i="35" s="1"/>
  <c r="EN99" i="14"/>
  <c r="EN100" i="14"/>
  <c r="EN101" i="14"/>
  <c r="BJ19" i="35"/>
  <c r="EI109" i="14" l="1"/>
  <c r="EI107" i="14"/>
  <c r="EI110" i="14"/>
  <c r="EI108" i="14"/>
  <c r="BJ20" i="35"/>
  <c r="BJ21" i="35" s="1"/>
  <c r="EN102" i="14"/>
  <c r="BJ27" i="35" s="1"/>
  <c r="EN103" i="14"/>
  <c r="EN104" i="14"/>
  <c r="EN106" i="14"/>
  <c r="EN105" i="14"/>
  <c r="EN110" i="14" l="1"/>
  <c r="EN109" i="14"/>
  <c r="EN107" i="14"/>
  <c r="EN108" i="14"/>
  <c r="DC69" i="35" l="1"/>
  <c r="DC70" i="35"/>
  <c r="BM18" i="25"/>
  <c r="BN18" i="25" l="1"/>
  <c r="BP18" i="25"/>
  <c r="BM19" i="25"/>
  <c r="BP19" i="25" l="1"/>
  <c r="BN19" i="25"/>
  <c r="K35" i="37"/>
  <c r="K36" i="37" l="1"/>
  <c r="EF13" i="25"/>
  <c r="EG13" i="25" s="1"/>
  <c r="L28" i="42"/>
  <c r="L34" i="42"/>
  <c r="L27" i="42"/>
  <c r="L33" i="42"/>
  <c r="EI13" i="25" l="1"/>
  <c r="EK13" i="25"/>
  <c r="DU150" i="14"/>
  <c r="DU151" i="14"/>
  <c r="DU152" i="14"/>
  <c r="DU155" i="14"/>
  <c r="DU158" i="14"/>
  <c r="DU149" i="14" l="1"/>
  <c r="DU159" i="14" s="1"/>
  <c r="DX9" i="13"/>
  <c r="AU5" i="35"/>
  <c r="AU9" i="35" s="1"/>
  <c r="AU11" i="35"/>
  <c r="AU33" i="35"/>
  <c r="AU34" i="35"/>
  <c r="AU35" i="35"/>
  <c r="AU40" i="35"/>
  <c r="AU42" i="35"/>
  <c r="AU44" i="35"/>
  <c r="AU45" i="35"/>
  <c r="AU48" i="35"/>
  <c r="AU49" i="35"/>
  <c r="AU50" i="35"/>
  <c r="AU53" i="35"/>
  <c r="AU54" i="35"/>
  <c r="AU55" i="35"/>
  <c r="AU58" i="35"/>
  <c r="AU60" i="35"/>
  <c r="AU62" i="35"/>
  <c r="AU64" i="35"/>
  <c r="AU66" i="35"/>
  <c r="AU72" i="35"/>
  <c r="AU162" i="35"/>
  <c r="AU165" i="35"/>
  <c r="S13" i="37"/>
  <c r="W13" i="37" l="1"/>
  <c r="DV20" i="13"/>
  <c r="DX20" i="13" s="1"/>
  <c r="DV18" i="13"/>
  <c r="DX18" i="13" s="1"/>
  <c r="DX11" i="13"/>
  <c r="DX68" i="13" s="1"/>
  <c r="DU75" i="2"/>
  <c r="DX10" i="13"/>
  <c r="T13" i="37"/>
  <c r="DV19" i="13" l="1"/>
  <c r="DV42" i="12"/>
  <c r="DV22" i="13"/>
  <c r="DX22" i="13" s="1"/>
  <c r="DV17" i="12"/>
  <c r="DU77" i="2"/>
  <c r="DW42" i="12" l="1"/>
  <c r="DU79" i="2"/>
  <c r="DU78" i="2"/>
  <c r="DU115" i="2"/>
  <c r="DU65" i="13" s="1"/>
  <c r="DU61" i="13" s="1"/>
  <c r="DU80" i="2"/>
  <c r="DV19" i="12"/>
  <c r="DW17" i="12"/>
  <c r="DX19" i="13"/>
  <c r="DX23" i="13" s="1"/>
  <c r="DV23" i="13"/>
  <c r="DW19" i="12" l="1"/>
  <c r="DX17" i="12"/>
  <c r="DY17" i="12" s="1"/>
  <c r="DU118" i="2"/>
  <c r="AU70" i="35" s="1"/>
  <c r="DU116" i="2"/>
  <c r="DU117" i="2"/>
  <c r="AU69" i="35"/>
  <c r="AU73" i="35" s="1"/>
  <c r="DU119" i="2"/>
  <c r="DX42" i="12"/>
  <c r="DY19" i="12" l="1"/>
  <c r="AU168" i="35"/>
  <c r="DY42" i="12"/>
  <c r="DX19" i="12"/>
  <c r="DU8" i="12" l="1"/>
  <c r="DV47" i="13"/>
  <c r="S14" i="37"/>
  <c r="S15" i="37"/>
  <c r="W15" i="37" l="1"/>
  <c r="T14" i="37"/>
  <c r="W14" i="37"/>
  <c r="DU7" i="12"/>
  <c r="DU51" i="12"/>
  <c r="DU53" i="12" s="1"/>
  <c r="DU14" i="12"/>
  <c r="DU26" i="12" s="1"/>
  <c r="DU49" i="12" s="1"/>
  <c r="DU75" i="12"/>
  <c r="T15" i="37"/>
  <c r="DU73" i="12" l="1"/>
  <c r="DU72" i="12"/>
  <c r="S16" i="37"/>
  <c r="W16" i="37" s="1"/>
  <c r="S17" i="37"/>
  <c r="W17" i="37" l="1"/>
  <c r="T16" i="37"/>
  <c r="T17" i="37"/>
  <c r="S18" i="37"/>
  <c r="S19" i="37"/>
  <c r="W19" i="37" l="1"/>
  <c r="T18" i="37"/>
  <c r="W18" i="37"/>
  <c r="T19" i="37"/>
  <c r="S20" i="37"/>
  <c r="S21" i="37"/>
  <c r="W21" i="37" s="1"/>
  <c r="S22" i="37"/>
  <c r="T20" i="37" l="1"/>
  <c r="W20" i="37"/>
  <c r="T21" i="37"/>
  <c r="T22" i="37"/>
  <c r="S23" i="37"/>
  <c r="T23" i="37" s="1"/>
  <c r="S24" i="37"/>
  <c r="T24" i="37" s="1"/>
  <c r="S28" i="37"/>
  <c r="S25" i="37"/>
  <c r="W28" i="37" l="1"/>
  <c r="T25" i="37"/>
  <c r="S26" i="37"/>
  <c r="T26" i="37" s="1"/>
  <c r="S27" i="37"/>
  <c r="T27" i="37" s="1"/>
  <c r="S29" i="37"/>
  <c r="T28" i="37"/>
  <c r="S30" i="37"/>
  <c r="T31" i="37"/>
  <c r="S33" i="37"/>
  <c r="S35" i="37"/>
  <c r="S32" i="37"/>
  <c r="W35" i="37" l="1"/>
  <c r="W33" i="37"/>
  <c r="T30" i="37"/>
  <c r="W30" i="37"/>
  <c r="T29" i="37"/>
  <c r="W29" i="37"/>
  <c r="T32" i="37"/>
  <c r="T33" i="37"/>
  <c r="S34" i="37"/>
  <c r="T35" i="37"/>
  <c r="S36" i="37"/>
  <c r="S37" i="37"/>
  <c r="W37" i="37" l="1"/>
  <c r="T36" i="37"/>
  <c r="W36" i="37"/>
  <c r="T34" i="37"/>
  <c r="W34" i="37"/>
  <c r="T37" i="37"/>
  <c r="S38" i="37"/>
  <c r="S44" i="37"/>
  <c r="W44" i="37" s="1"/>
  <c r="S45" i="37"/>
  <c r="S40" i="37"/>
  <c r="S39" i="37"/>
  <c r="W39" i="37" l="1"/>
  <c r="W40" i="37"/>
  <c r="W45" i="37"/>
  <c r="T39" i="37"/>
  <c r="S41" i="37"/>
  <c r="T40" i="37"/>
  <c r="T44" i="37"/>
  <c r="T45" i="37"/>
  <c r="S46" i="37"/>
  <c r="S47" i="37"/>
  <c r="DX6" i="2"/>
  <c r="DX8" i="2"/>
  <c r="DX10" i="2"/>
  <c r="DX12" i="2"/>
  <c r="DD40" i="35" s="1"/>
  <c r="DX15" i="2"/>
  <c r="DD42" i="35" s="1"/>
  <c r="DX20" i="2"/>
  <c r="DX22" i="2"/>
  <c r="DX31" i="2"/>
  <c r="DD58" i="35" s="1"/>
  <c r="DX33" i="2"/>
  <c r="DD60" i="35" s="1"/>
  <c r="DX35" i="2"/>
  <c r="DD62" i="35" s="1"/>
  <c r="DX37" i="2"/>
  <c r="DD64" i="35" s="1"/>
  <c r="DX39" i="2"/>
  <c r="DX41" i="2"/>
  <c r="DX43" i="2" s="1"/>
  <c r="DX44" i="2"/>
  <c r="DV50" i="2"/>
  <c r="DV52" i="2" s="1"/>
  <c r="DX74" i="2"/>
  <c r="DX75" i="2"/>
  <c r="DX77" i="2"/>
  <c r="DV80" i="2"/>
  <c r="DX82" i="2"/>
  <c r="DX83" i="2"/>
  <c r="DX84" i="2"/>
  <c r="DX85" i="2"/>
  <c r="DX86" i="2"/>
  <c r="DX100" i="2"/>
  <c r="DX104" i="2"/>
  <c r="DX105" i="2"/>
  <c r="DX106" i="2"/>
  <c r="DX107" i="2"/>
  <c r="DX108" i="2"/>
  <c r="DX111" i="2"/>
  <c r="DV113" i="2"/>
  <c r="DX115" i="2"/>
  <c r="DY117" i="2" s="1"/>
  <c r="DV117" i="2"/>
  <c r="DX122" i="2"/>
  <c r="DX124" i="2"/>
  <c r="AK15" i="37"/>
  <c r="AA15" i="42"/>
  <c r="O16" i="42"/>
  <c r="O13" i="42"/>
  <c r="AK25" i="37"/>
  <c r="AK13" i="37"/>
  <c r="AK28" i="37"/>
  <c r="O17" i="42"/>
  <c r="O15" i="42"/>
  <c r="AK22" i="37"/>
  <c r="AK31" i="37"/>
  <c r="AK35" i="37"/>
  <c r="AA13" i="42"/>
  <c r="AK33" i="37"/>
  <c r="AK17" i="37"/>
  <c r="O14" i="42"/>
  <c r="T47" i="37" l="1"/>
  <c r="W47" i="37"/>
  <c r="T46" i="37"/>
  <c r="W46" i="37"/>
  <c r="T41" i="37"/>
  <c r="W41" i="37"/>
  <c r="DX21" i="2"/>
  <c r="DD53" i="35" s="1"/>
  <c r="DX139" i="2"/>
  <c r="DX40" i="2"/>
  <c r="DX36" i="2"/>
  <c r="DD63" i="35" s="1"/>
  <c r="CV18" i="25"/>
  <c r="DX109" i="2"/>
  <c r="DX34" i="2"/>
  <c r="DD61" i="35" s="1"/>
  <c r="DX145" i="2"/>
  <c r="DX144" i="2"/>
  <c r="DX138" i="2"/>
  <c r="DX137" i="2"/>
  <c r="DX140" i="2"/>
  <c r="DX32" i="2"/>
  <c r="DD59" i="35" s="1"/>
  <c r="DX87" i="2"/>
  <c r="DX78" i="2"/>
  <c r="DX143" i="2"/>
  <c r="DX142" i="2"/>
  <c r="DX42" i="2"/>
  <c r="DX79" i="2"/>
  <c r="AL17" i="37"/>
  <c r="AN17" i="37"/>
  <c r="AK18" i="37"/>
  <c r="AL35" i="37"/>
  <c r="AN35" i="37"/>
  <c r="AK36" i="37"/>
  <c r="AL33" i="37"/>
  <c r="AN33" i="37"/>
  <c r="AK34" i="37"/>
  <c r="AL31" i="37"/>
  <c r="AL22" i="37"/>
  <c r="AK23" i="37"/>
  <c r="AL23" i="37" s="1"/>
  <c r="AK24" i="37"/>
  <c r="AL24" i="37" s="1"/>
  <c r="AL28" i="37"/>
  <c r="AN28" i="37"/>
  <c r="AK30" i="37"/>
  <c r="AK29" i="37"/>
  <c r="AR29" i="37"/>
  <c r="AL13" i="37"/>
  <c r="AN13" i="37"/>
  <c r="AK14" i="37"/>
  <c r="AK44" i="37"/>
  <c r="AN15" i="37"/>
  <c r="AL15" i="37"/>
  <c r="AK16" i="37"/>
  <c r="AL25" i="37"/>
  <c r="AK26" i="37"/>
  <c r="AL26" i="37" s="1"/>
  <c r="AK27" i="37"/>
  <c r="AL27" i="37" s="1"/>
  <c r="DX114" i="2"/>
  <c r="DX119" i="2"/>
  <c r="DD11" i="35"/>
  <c r="DD34" i="35"/>
  <c r="DD186" i="35" s="1"/>
  <c r="DX16" i="2"/>
  <c r="DX17" i="2" s="1"/>
  <c r="DX9" i="2"/>
  <c r="DV55" i="2"/>
  <c r="DX118" i="2"/>
  <c r="DD70" i="35" s="1"/>
  <c r="DX46" i="2"/>
  <c r="DX65" i="13"/>
  <c r="DD69" i="35"/>
  <c r="DX45" i="2"/>
  <c r="DX13" i="2"/>
  <c r="DX14" i="2" s="1"/>
  <c r="DD48" i="35"/>
  <c r="DX62" i="12"/>
  <c r="DD66" i="35"/>
  <c r="DD5" i="35"/>
  <c r="DX55" i="12"/>
  <c r="DX57" i="12" s="1"/>
  <c r="DX61" i="12"/>
  <c r="DD35" i="35"/>
  <c r="DX64" i="13"/>
  <c r="DX67" i="13" s="1"/>
  <c r="DX11" i="2"/>
  <c r="DD33" i="35"/>
  <c r="DD185" i="35" s="1"/>
  <c r="DD49" i="35"/>
  <c r="DX18" i="2"/>
  <c r="DX24" i="2" s="1"/>
  <c r="DX102" i="2"/>
  <c r="DX7" i="2"/>
  <c r="DX38" i="2"/>
  <c r="DD65" i="35" s="1"/>
  <c r="DX23" i="2"/>
  <c r="DD54" i="35" s="1"/>
  <c r="AA17" i="42"/>
  <c r="O19" i="42"/>
  <c r="AA19" i="42"/>
  <c r="O20" i="42"/>
  <c r="O22" i="42"/>
  <c r="AA18" i="42"/>
  <c r="O21" i="42"/>
  <c r="AA22" i="42"/>
  <c r="AA14" i="42"/>
  <c r="AK19" i="37"/>
  <c r="AA16" i="42"/>
  <c r="O18" i="42"/>
  <c r="CV19" i="25" l="1"/>
  <c r="CW18" i="25"/>
  <c r="CY18" i="25"/>
  <c r="DD67" i="35"/>
  <c r="DD41" i="35"/>
  <c r="AL19" i="37"/>
  <c r="AN19" i="37"/>
  <c r="AK21" i="37"/>
  <c r="AK20" i="37"/>
  <c r="AL14" i="37"/>
  <c r="AN14" i="37"/>
  <c r="AL34" i="37"/>
  <c r="AN34" i="37"/>
  <c r="AL36" i="37"/>
  <c r="AN36" i="37"/>
  <c r="DD44" i="35"/>
  <c r="DX19" i="2"/>
  <c r="DD45" i="35" s="1"/>
  <c r="AL30" i="37"/>
  <c r="AN30" i="37"/>
  <c r="DV56" i="2"/>
  <c r="AL18" i="37"/>
  <c r="AN18" i="37"/>
  <c r="DD9" i="35"/>
  <c r="DD6" i="35"/>
  <c r="DD170" i="35" s="1"/>
  <c r="DD43" i="35"/>
  <c r="DD50" i="35"/>
  <c r="DD55" i="35" s="1"/>
  <c r="DX27" i="2"/>
  <c r="DX25" i="2"/>
  <c r="AL44" i="37"/>
  <c r="AN44" i="37"/>
  <c r="AL16" i="37"/>
  <c r="AN16" i="37"/>
  <c r="O23" i="42"/>
  <c r="AA23" i="42"/>
  <c r="O24" i="42"/>
  <c r="O31" i="42"/>
  <c r="O33" i="42"/>
  <c r="AA25" i="42"/>
  <c r="O34" i="42"/>
  <c r="AA20" i="42"/>
  <c r="AA24" i="42"/>
  <c r="O32" i="42"/>
  <c r="O29" i="42"/>
  <c r="O25" i="42"/>
  <c r="AA21" i="42"/>
  <c r="AA33" i="42"/>
  <c r="AA28" i="42"/>
  <c r="O26" i="42"/>
  <c r="AA26" i="42"/>
  <c r="O35" i="42"/>
  <c r="O30" i="42"/>
  <c r="O27" i="42"/>
  <c r="O36" i="42"/>
  <c r="AA27" i="42"/>
  <c r="O28" i="42"/>
  <c r="CY19" i="25" l="1"/>
  <c r="CW19" i="25"/>
  <c r="AL21" i="37"/>
  <c r="AN21" i="37"/>
  <c r="DV57" i="2"/>
  <c r="DX26" i="2"/>
  <c r="O38" i="42"/>
  <c r="AA38" i="42"/>
  <c r="O39" i="42"/>
  <c r="DV60" i="2" l="1"/>
  <c r="O40" i="42"/>
  <c r="DV62" i="2" l="1"/>
  <c r="O41" i="42"/>
  <c r="DU39" i="14"/>
  <c r="DU40" i="14" s="1"/>
  <c r="DX39" i="14"/>
  <c r="DX41" i="14" s="1"/>
  <c r="DU41" i="14"/>
  <c r="DU44" i="14"/>
  <c r="DU45" i="14" s="1"/>
  <c r="DU54" i="14"/>
  <c r="DU55" i="14" s="1"/>
  <c r="DU56" i="14"/>
  <c r="DU60" i="14"/>
  <c r="DU61" i="14" s="1"/>
  <c r="DU73" i="14"/>
  <c r="AU22" i="35" s="1"/>
  <c r="J14" i="1"/>
  <c r="J32" i="1" s="1"/>
  <c r="J16" i="1"/>
  <c r="J33" i="1" s="1"/>
  <c r="J17" i="1"/>
  <c r="J19" i="1"/>
  <c r="J35" i="1" s="1"/>
  <c r="J25" i="1"/>
  <c r="J26" i="1"/>
  <c r="J27" i="1"/>
  <c r="V29" i="42"/>
  <c r="Z37" i="37"/>
  <c r="DU87" i="14" l="1"/>
  <c r="AU18" i="35" s="1"/>
  <c r="DU74" i="14"/>
  <c r="AU156" i="35" s="1"/>
  <c r="DV90" i="14"/>
  <c r="Q19" i="26"/>
  <c r="DU89" i="14"/>
  <c r="DV40" i="14"/>
  <c r="DU90" i="14"/>
  <c r="DX60" i="14"/>
  <c r="DU97" i="14"/>
  <c r="AU19" i="35" s="1"/>
  <c r="DU21" i="14"/>
  <c r="DU22" i="14" s="1"/>
  <c r="DU58" i="14"/>
  <c r="DU59" i="14" s="1"/>
  <c r="AA37" i="37"/>
  <c r="AC37" i="37"/>
  <c r="Z38" i="37"/>
  <c r="DU57" i="14"/>
  <c r="DX56" i="14"/>
  <c r="DU70" i="14"/>
  <c r="DX87" i="14"/>
  <c r="DX73" i="14"/>
  <c r="DU6" i="14"/>
  <c r="DU84" i="14"/>
  <c r="DV7" i="13"/>
  <c r="DV46" i="12"/>
  <c r="DV74" i="12" s="1"/>
  <c r="DV66" i="2"/>
  <c r="DV63" i="2"/>
  <c r="DV71" i="2"/>
  <c r="DV64" i="2"/>
  <c r="DV121" i="2"/>
  <c r="V31" i="42"/>
  <c r="V30" i="42"/>
  <c r="Z39" i="37"/>
  <c r="AU149" i="35" l="1"/>
  <c r="DX21" i="14"/>
  <c r="DZ21" i="14"/>
  <c r="EC21" i="14" s="1"/>
  <c r="DX97" i="14"/>
  <c r="DX98" i="14" s="1"/>
  <c r="DU99" i="14"/>
  <c r="AU151" i="35" s="1"/>
  <c r="AU155" i="35" s="1"/>
  <c r="DV100" i="14"/>
  <c r="AV152" i="35" s="1"/>
  <c r="DU100" i="14"/>
  <c r="AU152" i="35" s="1"/>
  <c r="DU101" i="14"/>
  <c r="DU105" i="14" s="1"/>
  <c r="DU94" i="14"/>
  <c r="DD214" i="35"/>
  <c r="DD220" i="35" s="1"/>
  <c r="DX61" i="14"/>
  <c r="AA39" i="37"/>
  <c r="AC39" i="37"/>
  <c r="DD18" i="35"/>
  <c r="DD25" i="35" s="1"/>
  <c r="DD144" i="35"/>
  <c r="DX89" i="14"/>
  <c r="DX88" i="14"/>
  <c r="DX84" i="14"/>
  <c r="DD212" i="35"/>
  <c r="DX49" i="14"/>
  <c r="DX50" i="14" s="1"/>
  <c r="DX57" i="14"/>
  <c r="DV24" i="13"/>
  <c r="DV25" i="13"/>
  <c r="DV68" i="2"/>
  <c r="DV67" i="2"/>
  <c r="DV128" i="2"/>
  <c r="DV129" i="2" s="1"/>
  <c r="Q14" i="26"/>
  <c r="DX22" i="14"/>
  <c r="DZ70" i="14"/>
  <c r="DV71" i="14"/>
  <c r="DU72" i="14"/>
  <c r="DU71" i="14"/>
  <c r="DU76" i="14" s="1"/>
  <c r="DU77" i="14" s="1"/>
  <c r="DV47" i="12"/>
  <c r="DV48" i="12"/>
  <c r="DD147" i="35"/>
  <c r="DD22" i="35"/>
  <c r="DX74" i="14"/>
  <c r="DD193" i="35" s="1"/>
  <c r="DX70" i="14"/>
  <c r="Q20" i="26"/>
  <c r="Q22" i="26" s="1"/>
  <c r="Q23" i="26" s="1"/>
  <c r="AU14" i="35"/>
  <c r="DU85" i="14"/>
  <c r="DV85" i="14"/>
  <c r="DZ84" i="14"/>
  <c r="DU86" i="14"/>
  <c r="DV72" i="2"/>
  <c r="CH23" i="25"/>
  <c r="DZ39" i="14"/>
  <c r="AC38" i="37"/>
  <c r="AA38" i="37"/>
  <c r="AU31" i="35"/>
  <c r="DU7" i="14"/>
  <c r="DV7" i="14"/>
  <c r="DX6" i="14"/>
  <c r="DU38" i="14"/>
  <c r="DU12" i="14"/>
  <c r="DU13" i="14" s="1"/>
  <c r="DU10" i="14"/>
  <c r="DU42" i="14"/>
  <c r="DU8" i="14"/>
  <c r="Z40" i="37"/>
  <c r="V32" i="42"/>
  <c r="V35" i="42"/>
  <c r="DX101" i="14" l="1"/>
  <c r="EE21" i="14"/>
  <c r="DD218" i="35"/>
  <c r="AU15" i="35"/>
  <c r="DX94" i="14"/>
  <c r="DZ94" i="14"/>
  <c r="DU95" i="14"/>
  <c r="DU96" i="14"/>
  <c r="AU20" i="35"/>
  <c r="AU21" i="35" s="1"/>
  <c r="DU106" i="14"/>
  <c r="DU103" i="14"/>
  <c r="DU104" i="14"/>
  <c r="DV104" i="14"/>
  <c r="DU102" i="14"/>
  <c r="AU27" i="35" s="1"/>
  <c r="DD19" i="35"/>
  <c r="DD26" i="35" s="1"/>
  <c r="DX99" i="14"/>
  <c r="DD192" i="35" s="1"/>
  <c r="DD145" i="35"/>
  <c r="DD158" i="35" s="1"/>
  <c r="AA40" i="37"/>
  <c r="AC40" i="37"/>
  <c r="Z41" i="37"/>
  <c r="DV130" i="2"/>
  <c r="DV132" i="2"/>
  <c r="DV46" i="13"/>
  <c r="DV66" i="13"/>
  <c r="DV54" i="13"/>
  <c r="DV56" i="13" s="1"/>
  <c r="EA71" i="14"/>
  <c r="EE70" i="14"/>
  <c r="DZ73" i="14"/>
  <c r="DZ71" i="14"/>
  <c r="AY14" i="35"/>
  <c r="DZ85" i="14"/>
  <c r="EA85" i="14"/>
  <c r="EE84" i="14"/>
  <c r="DZ87" i="14"/>
  <c r="DZ6" i="2"/>
  <c r="DZ41" i="14"/>
  <c r="DZ40" i="14"/>
  <c r="EA40" i="14"/>
  <c r="DZ60" i="14"/>
  <c r="DZ6" i="14"/>
  <c r="EC39" i="14"/>
  <c r="DZ58" i="14"/>
  <c r="DZ56" i="14"/>
  <c r="DZ42" i="14"/>
  <c r="DD20" i="35"/>
  <c r="DD27" i="35" s="1"/>
  <c r="DX105" i="14"/>
  <c r="DX103" i="14"/>
  <c r="DX102" i="14"/>
  <c r="EH21" i="14"/>
  <c r="EH22" i="14" s="1"/>
  <c r="EJ21" i="14"/>
  <c r="EE39" i="14"/>
  <c r="DD14" i="35"/>
  <c r="DX86" i="14"/>
  <c r="EC22" i="14"/>
  <c r="R14" i="26"/>
  <c r="DD151" i="35"/>
  <c r="DD157" i="35"/>
  <c r="CI23" i="25"/>
  <c r="CK23" i="25"/>
  <c r="DD31" i="35"/>
  <c r="DD187" i="35" s="1"/>
  <c r="DX8" i="14"/>
  <c r="DX171" i="14"/>
  <c r="DX38" i="14"/>
  <c r="DX10" i="14"/>
  <c r="DX42" i="14"/>
  <c r="Q17" i="26"/>
  <c r="H17" i="26" s="1"/>
  <c r="DY71" i="14"/>
  <c r="DX72" i="14"/>
  <c r="DV26" i="13"/>
  <c r="V39" i="42"/>
  <c r="Z45" i="37"/>
  <c r="V36" i="42"/>
  <c r="DD152" i="35" l="1"/>
  <c r="DX106" i="14"/>
  <c r="DU107" i="14"/>
  <c r="DU109" i="14"/>
  <c r="DV109" i="14"/>
  <c r="DU108" i="14"/>
  <c r="DU110" i="14"/>
  <c r="DD21" i="35"/>
  <c r="DD28" i="35" s="1"/>
  <c r="EE94" i="14"/>
  <c r="AY15" i="35"/>
  <c r="DZ97" i="14"/>
  <c r="DZ101" i="14" s="1"/>
  <c r="DZ106" i="14" s="1"/>
  <c r="EC94" i="14"/>
  <c r="DZ96" i="14"/>
  <c r="DX96" i="14"/>
  <c r="DD15" i="35"/>
  <c r="AA45" i="37"/>
  <c r="AC45" i="37"/>
  <c r="Z46" i="37"/>
  <c r="Z47" i="37"/>
  <c r="AY33" i="35"/>
  <c r="DZ12" i="2"/>
  <c r="DZ20" i="2" s="1"/>
  <c r="DZ7" i="2"/>
  <c r="EC6" i="2"/>
  <c r="AY18" i="35"/>
  <c r="EA90" i="14"/>
  <c r="DZ89" i="14"/>
  <c r="DZ88" i="14"/>
  <c r="EC87" i="14"/>
  <c r="DZ90" i="14"/>
  <c r="DV58" i="13"/>
  <c r="DV59" i="13"/>
  <c r="DV60" i="13" s="1"/>
  <c r="DV61" i="13"/>
  <c r="DV57" i="13"/>
  <c r="AV168" i="35" s="1"/>
  <c r="DV48" i="13"/>
  <c r="BC14" i="35"/>
  <c r="EE85" i="14"/>
  <c r="EF85" i="14"/>
  <c r="EE87" i="14"/>
  <c r="EJ84" i="14"/>
  <c r="G17" i="26"/>
  <c r="G18" i="26" s="1"/>
  <c r="I17" i="26"/>
  <c r="I18" i="26" s="1"/>
  <c r="J17" i="26"/>
  <c r="J18" i="26" s="1"/>
  <c r="H18" i="26"/>
  <c r="F17" i="26"/>
  <c r="F18" i="26" s="1"/>
  <c r="EM21" i="14"/>
  <c r="EM22" i="14" s="1"/>
  <c r="EO21" i="14"/>
  <c r="EJ39" i="14"/>
  <c r="EC56" i="14"/>
  <c r="DZ57" i="14"/>
  <c r="DV134" i="2"/>
  <c r="DV133" i="2"/>
  <c r="EE6" i="2"/>
  <c r="EE56" i="14"/>
  <c r="EE58" i="14"/>
  <c r="EE41" i="14"/>
  <c r="EE40" i="14"/>
  <c r="EF40" i="14"/>
  <c r="EE60" i="14"/>
  <c r="EH39" i="14"/>
  <c r="DZ59" i="14"/>
  <c r="EC41" i="14"/>
  <c r="EC60" i="14"/>
  <c r="H15" i="26"/>
  <c r="R19" i="26"/>
  <c r="AY31" i="35"/>
  <c r="DZ8" i="14"/>
  <c r="DZ7" i="14"/>
  <c r="EA7" i="14"/>
  <c r="EC6" i="14"/>
  <c r="EC42" i="14" s="1"/>
  <c r="DZ38" i="14"/>
  <c r="DZ10" i="14"/>
  <c r="DX183" i="14"/>
  <c r="DX157" i="14"/>
  <c r="DX136" i="14" s="1"/>
  <c r="DX167" i="14"/>
  <c r="DX161" i="14" s="1"/>
  <c r="DX150" i="14"/>
  <c r="DZ61" i="14"/>
  <c r="DZ54" i="14"/>
  <c r="AA41" i="37"/>
  <c r="AC41" i="37"/>
  <c r="AY22" i="35"/>
  <c r="DZ8" i="2"/>
  <c r="DZ10" i="2" s="1"/>
  <c r="DZ74" i="14"/>
  <c r="AY156" i="35" s="1"/>
  <c r="EC73" i="14"/>
  <c r="EE71" i="14"/>
  <c r="EF71" i="14"/>
  <c r="EJ70" i="14"/>
  <c r="EE73" i="14"/>
  <c r="EE6" i="14" s="1"/>
  <c r="AE13" i="42"/>
  <c r="V40" i="42"/>
  <c r="AP15" i="37"/>
  <c r="EC97" i="14" l="1"/>
  <c r="DZ100" i="14"/>
  <c r="AY152" i="35" s="1"/>
  <c r="DZ99" i="14"/>
  <c r="AY151" i="35" s="1"/>
  <c r="AY155" i="35" s="1"/>
  <c r="AY19" i="35"/>
  <c r="AY149" i="35"/>
  <c r="EA100" i="14"/>
  <c r="DE15" i="35"/>
  <c r="EC96" i="14"/>
  <c r="EJ94" i="14"/>
  <c r="EH94" i="14"/>
  <c r="EE96" i="14"/>
  <c r="EE97" i="14"/>
  <c r="EE101" i="14" s="1"/>
  <c r="BC15" i="35"/>
  <c r="DZ98" i="14"/>
  <c r="DX110" i="14"/>
  <c r="DX108" i="14"/>
  <c r="DX107" i="14"/>
  <c r="DD146" i="35"/>
  <c r="AQ15" i="37"/>
  <c r="AS15" i="37"/>
  <c r="AP16" i="37"/>
  <c r="DZ10" i="12"/>
  <c r="DZ59" i="12"/>
  <c r="AY35" i="35"/>
  <c r="DZ64" i="13"/>
  <c r="DZ67" i="13" s="1"/>
  <c r="DZ61" i="12"/>
  <c r="DZ55" i="12"/>
  <c r="AY5" i="35"/>
  <c r="AY9" i="35" s="1"/>
  <c r="DZ83" i="2"/>
  <c r="DZ33" i="2"/>
  <c r="DZ35" i="2"/>
  <c r="DZ82" i="2"/>
  <c r="DZ107" i="2"/>
  <c r="EC107" i="2" s="1"/>
  <c r="DZ11" i="2"/>
  <c r="AY162" i="35" s="1"/>
  <c r="DZ37" i="2"/>
  <c r="DZ39" i="2"/>
  <c r="EC39" i="2" s="1"/>
  <c r="EC10" i="2"/>
  <c r="DZ84" i="2"/>
  <c r="DZ85" i="2"/>
  <c r="DZ105" i="2"/>
  <c r="EC105" i="2" s="1"/>
  <c r="DZ31" i="2"/>
  <c r="DZ106" i="2"/>
  <c r="EC106" i="2" s="1"/>
  <c r="DZ104" i="2"/>
  <c r="AY48" i="35"/>
  <c r="DZ21" i="2"/>
  <c r="AY53" i="35" s="1"/>
  <c r="EC20" i="2"/>
  <c r="BD33" i="35"/>
  <c r="EE20" i="2"/>
  <c r="EE12" i="2"/>
  <c r="EH6" i="2"/>
  <c r="DE212" i="35"/>
  <c r="EC49" i="14"/>
  <c r="EC57" i="14"/>
  <c r="EJ6" i="2"/>
  <c r="EJ7" i="2" s="1"/>
  <c r="EJ56" i="14"/>
  <c r="EJ58" i="14"/>
  <c r="EJ41" i="14"/>
  <c r="EJ40" i="14"/>
  <c r="EM39" i="14"/>
  <c r="EJ60" i="14"/>
  <c r="EK40" i="14"/>
  <c r="EE7" i="2"/>
  <c r="DZ47" i="14"/>
  <c r="DZ55" i="14"/>
  <c r="EE61" i="14"/>
  <c r="EE54" i="14"/>
  <c r="AY34" i="35"/>
  <c r="AY11" i="35"/>
  <c r="EC8" i="2"/>
  <c r="DZ15" i="2"/>
  <c r="DZ9" i="2"/>
  <c r="ER21" i="14"/>
  <c r="ER22" i="14" s="1"/>
  <c r="EO39" i="14"/>
  <c r="DW47" i="13"/>
  <c r="DV50" i="13"/>
  <c r="DV52" i="13" s="1"/>
  <c r="DV8" i="12" s="1"/>
  <c r="BB33" i="35"/>
  <c r="DE33" i="35"/>
  <c r="DE185" i="35" s="1"/>
  <c r="ES6" i="2"/>
  <c r="EC7" i="2"/>
  <c r="DE31" i="35"/>
  <c r="DE187" i="35" s="1"/>
  <c r="EC10" i="14"/>
  <c r="EC8" i="14"/>
  <c r="EC171" i="14"/>
  <c r="EC38" i="14"/>
  <c r="EH41" i="14"/>
  <c r="EH60" i="14"/>
  <c r="AY40" i="35"/>
  <c r="EC12" i="2"/>
  <c r="DX130" i="14"/>
  <c r="DX163" i="14"/>
  <c r="DX149" i="14"/>
  <c r="DX173" i="14"/>
  <c r="AA47" i="37"/>
  <c r="AC47" i="37"/>
  <c r="BC31" i="35"/>
  <c r="EE10" i="14"/>
  <c r="EE8" i="14"/>
  <c r="EE7" i="14"/>
  <c r="EF7" i="14"/>
  <c r="EE38" i="14"/>
  <c r="EH6" i="14"/>
  <c r="EH42" i="14" s="1"/>
  <c r="EE42" i="14"/>
  <c r="BG14" i="35"/>
  <c r="EJ85" i="14"/>
  <c r="EK85" i="14"/>
  <c r="EO84" i="14"/>
  <c r="EJ87" i="14"/>
  <c r="AY20" i="35"/>
  <c r="AY21" i="35" s="1"/>
  <c r="DZ105" i="14"/>
  <c r="DZ104" i="14"/>
  <c r="EA104" i="14"/>
  <c r="DZ103" i="14"/>
  <c r="DZ102" i="14"/>
  <c r="AY27" i="35" s="1"/>
  <c r="AA46" i="37"/>
  <c r="AC46" i="37"/>
  <c r="AY26" i="35"/>
  <c r="AY150" i="35"/>
  <c r="EE59" i="14"/>
  <c r="BC22" i="35"/>
  <c r="EE8" i="2"/>
  <c r="EE9" i="2" s="1"/>
  <c r="EE74" i="14"/>
  <c r="EH73" i="14"/>
  <c r="EJ71" i="14"/>
  <c r="EO70" i="14"/>
  <c r="EK71" i="14"/>
  <c r="EJ73" i="14"/>
  <c r="EJ6" i="14" s="1"/>
  <c r="H14" i="26"/>
  <c r="H19" i="26"/>
  <c r="EC106" i="14"/>
  <c r="DZ110" i="14"/>
  <c r="DZ109" i="14"/>
  <c r="EA109" i="14"/>
  <c r="DZ108" i="14"/>
  <c r="DZ107" i="14"/>
  <c r="DE214" i="35"/>
  <c r="DE220" i="35" s="1"/>
  <c r="EC61" i="14"/>
  <c r="BC18" i="35"/>
  <c r="EE90" i="14"/>
  <c r="EF90" i="14"/>
  <c r="EE89" i="14"/>
  <c r="EE88" i="14"/>
  <c r="EH87" i="14"/>
  <c r="DE22" i="35"/>
  <c r="DE147" i="35"/>
  <c r="EC70" i="14"/>
  <c r="EC74" i="14"/>
  <c r="DE193" i="35" s="1"/>
  <c r="R20" i="26"/>
  <c r="R22" i="26" s="1"/>
  <c r="EC98" i="14"/>
  <c r="EH56" i="14"/>
  <c r="EE57" i="14"/>
  <c r="DE18" i="35"/>
  <c r="DE144" i="35"/>
  <c r="EC89" i="14"/>
  <c r="EC88" i="14"/>
  <c r="EC84" i="14"/>
  <c r="EC101" i="14"/>
  <c r="AE15" i="42"/>
  <c r="AP17" i="37"/>
  <c r="AP13" i="37"/>
  <c r="AP22" i="37"/>
  <c r="AU15" i="37"/>
  <c r="AE14" i="42"/>
  <c r="R23" i="26" l="1"/>
  <c r="DF15" i="35"/>
  <c r="EH96" i="14"/>
  <c r="BG15" i="35"/>
  <c r="EJ96" i="14"/>
  <c r="EJ97" i="14"/>
  <c r="EJ98" i="14" s="1"/>
  <c r="BG26" i="35" s="1"/>
  <c r="EM94" i="14"/>
  <c r="EO94" i="14"/>
  <c r="DD148" i="35"/>
  <c r="DD153" i="35"/>
  <c r="DD159" i="35"/>
  <c r="EE98" i="14"/>
  <c r="BC26" i="35" s="1"/>
  <c r="EE100" i="14"/>
  <c r="BC19" i="35"/>
  <c r="EF100" i="14"/>
  <c r="EE99" i="14"/>
  <c r="EH97" i="14"/>
  <c r="EH101" i="14" s="1"/>
  <c r="DE19" i="35"/>
  <c r="EC99" i="14"/>
  <c r="DE192" i="35" s="1"/>
  <c r="DE145" i="35"/>
  <c r="DE158" i="35" s="1"/>
  <c r="AV15" i="37"/>
  <c r="AX15" i="37"/>
  <c r="AU16" i="37"/>
  <c r="AQ22" i="37"/>
  <c r="AP24" i="37"/>
  <c r="AQ24" i="37" s="1"/>
  <c r="AP23" i="37"/>
  <c r="AQ23" i="37" s="1"/>
  <c r="AQ13" i="37"/>
  <c r="AS13" i="37"/>
  <c r="AP14" i="37"/>
  <c r="AP44" i="37"/>
  <c r="AQ17" i="37"/>
  <c r="AS17" i="37"/>
  <c r="AP18" i="37"/>
  <c r="AE17" i="42"/>
  <c r="AE38" i="42" s="1"/>
  <c r="DE40" i="35"/>
  <c r="DE41" i="35" s="1"/>
  <c r="EC13" i="2"/>
  <c r="EC14" i="2" s="1"/>
  <c r="EM41" i="14"/>
  <c r="EM60" i="14"/>
  <c r="BG33" i="35"/>
  <c r="DF33" i="35"/>
  <c r="DF185" i="35" s="1"/>
  <c r="EC85" i="2"/>
  <c r="EC140" i="2" s="1"/>
  <c r="EC83" i="2"/>
  <c r="EC138" i="2" s="1"/>
  <c r="BG31" i="35"/>
  <c r="EJ10" i="14"/>
  <c r="EJ8" i="14"/>
  <c r="EJ7" i="14"/>
  <c r="EM6" i="14"/>
  <c r="EJ38" i="14"/>
  <c r="EK7" i="14"/>
  <c r="EC84" i="2"/>
  <c r="EC139" i="2" s="1"/>
  <c r="BD34" i="35"/>
  <c r="BD11" i="35"/>
  <c r="EH8" i="2"/>
  <c r="EE15" i="2"/>
  <c r="EE18" i="2" s="1"/>
  <c r="BC40" i="35"/>
  <c r="EH12" i="2"/>
  <c r="DZ35" i="12"/>
  <c r="DZ11" i="12"/>
  <c r="DZ30" i="12"/>
  <c r="DZ57" i="12"/>
  <c r="EE47" i="14"/>
  <c r="EE55" i="14"/>
  <c r="BG22" i="35"/>
  <c r="EJ8" i="2"/>
  <c r="EM73" i="14"/>
  <c r="EJ74" i="14"/>
  <c r="EJ42" i="14"/>
  <c r="DE48" i="35"/>
  <c r="EC21" i="2"/>
  <c r="DE53" i="35" s="1"/>
  <c r="EJ57" i="14"/>
  <c r="EM56" i="14"/>
  <c r="AY64" i="35"/>
  <c r="EC37" i="2"/>
  <c r="DV14" i="12"/>
  <c r="DV26" i="12" s="1"/>
  <c r="DV7" i="12"/>
  <c r="DW50" i="2" s="1"/>
  <c r="DV51" i="12"/>
  <c r="DV53" i="12" s="1"/>
  <c r="DV75" i="12"/>
  <c r="EA18" i="13"/>
  <c r="DZ18" i="13"/>
  <c r="BG18" i="35"/>
  <c r="EJ90" i="14"/>
  <c r="EK90" i="14"/>
  <c r="EJ89" i="14"/>
  <c r="EJ88" i="14"/>
  <c r="EM87" i="14"/>
  <c r="BC48" i="35"/>
  <c r="EH20" i="2"/>
  <c r="EE21" i="2"/>
  <c r="BC53" i="35" s="1"/>
  <c r="EC55" i="12"/>
  <c r="EC57" i="12" s="1"/>
  <c r="EC64" i="13"/>
  <c r="EC67" i="13" s="1"/>
  <c r="BB5" i="35"/>
  <c r="BB9" i="35" s="1"/>
  <c r="DE5" i="35"/>
  <c r="EC61" i="12"/>
  <c r="DE35" i="35"/>
  <c r="BB35" i="35"/>
  <c r="ES10" i="2"/>
  <c r="EC11" i="2"/>
  <c r="K14" i="1"/>
  <c r="EC40" i="2"/>
  <c r="EO73" i="14"/>
  <c r="EP71" i="14"/>
  <c r="EO71" i="14"/>
  <c r="DF31" i="35"/>
  <c r="DF187" i="35" s="1"/>
  <c r="EH10" i="14"/>
  <c r="EH171" i="14"/>
  <c r="EH8" i="14"/>
  <c r="EH38" i="14"/>
  <c r="DX131" i="14"/>
  <c r="EC104" i="2"/>
  <c r="EC142" i="2" s="1"/>
  <c r="DZ108" i="2"/>
  <c r="EC145" i="2"/>
  <c r="BK14" i="35"/>
  <c r="EO87" i="14"/>
  <c r="EP85" i="14"/>
  <c r="EO85" i="14"/>
  <c r="EJ59" i="14"/>
  <c r="BI33" i="35"/>
  <c r="EJ12" i="2"/>
  <c r="EJ20" i="2" s="1"/>
  <c r="EM6" i="2"/>
  <c r="EM7" i="2" s="1"/>
  <c r="EJ10" i="2"/>
  <c r="AY42" i="35"/>
  <c r="EC15" i="2"/>
  <c r="BB92" i="35"/>
  <c r="EC50" i="14"/>
  <c r="EC144" i="2"/>
  <c r="DZ86" i="2"/>
  <c r="EC82" i="2"/>
  <c r="EC137" i="2" s="1"/>
  <c r="AQ16" i="37"/>
  <c r="AS16" i="37"/>
  <c r="EC72" i="14"/>
  <c r="ED71" i="14"/>
  <c r="R17" i="26"/>
  <c r="DE20" i="35"/>
  <c r="DE21" i="35" s="1"/>
  <c r="EC105" i="14"/>
  <c r="EC103" i="14"/>
  <c r="EC102" i="14"/>
  <c r="BC20" i="35"/>
  <c r="BC21" i="35" s="1"/>
  <c r="EE105" i="14"/>
  <c r="EE104" i="14"/>
  <c r="EF104" i="14"/>
  <c r="EE103" i="14"/>
  <c r="EE102" i="14"/>
  <c r="BC27" i="35" s="1"/>
  <c r="DF18" i="35"/>
  <c r="DF144" i="35"/>
  <c r="EH89" i="14"/>
  <c r="EH88" i="14"/>
  <c r="EH84" i="14"/>
  <c r="DF147" i="35"/>
  <c r="DF22" i="35"/>
  <c r="EH70" i="14"/>
  <c r="EH74" i="14"/>
  <c r="DF193" i="35" s="1"/>
  <c r="DE157" i="35"/>
  <c r="DE151" i="35"/>
  <c r="DE146" i="35"/>
  <c r="EC110" i="14"/>
  <c r="EC107" i="14"/>
  <c r="EC108" i="14"/>
  <c r="DZ22" i="2"/>
  <c r="DE218" i="35"/>
  <c r="AY58" i="35"/>
  <c r="EC31" i="2"/>
  <c r="DZ41" i="2"/>
  <c r="AY62" i="35"/>
  <c r="EC35" i="2"/>
  <c r="G14" i="26"/>
  <c r="I14" i="26"/>
  <c r="J14" i="26"/>
  <c r="H8" i="26"/>
  <c r="F14" i="26"/>
  <c r="DF212" i="35"/>
  <c r="EH49" i="14"/>
  <c r="EH50" i="14" s="1"/>
  <c r="EH57" i="14"/>
  <c r="DF214" i="35"/>
  <c r="DF220" i="35" s="1"/>
  <c r="EH61" i="14"/>
  <c r="EC157" i="14"/>
  <c r="EC136" i="14" s="1"/>
  <c r="EC183" i="14"/>
  <c r="EC150" i="14"/>
  <c r="EC167" i="14"/>
  <c r="EC161" i="14" s="1"/>
  <c r="EO6" i="2"/>
  <c r="ER39" i="14"/>
  <c r="EO56" i="14"/>
  <c r="EO58" i="14"/>
  <c r="EO41" i="14"/>
  <c r="EO40" i="14"/>
  <c r="EP40" i="14"/>
  <c r="EO60" i="14"/>
  <c r="EO6" i="14"/>
  <c r="EO42" i="14" s="1"/>
  <c r="DE14" i="35"/>
  <c r="EC86" i="14"/>
  <c r="DX175" i="14"/>
  <c r="DX151" i="14"/>
  <c r="AY91" i="35"/>
  <c r="DZ48" i="14"/>
  <c r="EE106" i="14"/>
  <c r="DZ18" i="2"/>
  <c r="EH7" i="2"/>
  <c r="BB11" i="35"/>
  <c r="BB34" i="35"/>
  <c r="DE11" i="35"/>
  <c r="DE25" i="35" s="1"/>
  <c r="DE34" i="35"/>
  <c r="DE186" i="35" s="1"/>
  <c r="EH9" i="2"/>
  <c r="ES8" i="2"/>
  <c r="EC9" i="2"/>
  <c r="EJ61" i="14"/>
  <c r="EJ54" i="14"/>
  <c r="EE10" i="2"/>
  <c r="EC143" i="2"/>
  <c r="AY60" i="35"/>
  <c r="EC33" i="2"/>
  <c r="AZ15" i="37"/>
  <c r="AU17" i="37"/>
  <c r="AE18" i="42"/>
  <c r="AE16" i="42"/>
  <c r="AU22" i="37"/>
  <c r="EH98" i="14" l="1"/>
  <c r="DE148" i="35"/>
  <c r="DE152" i="35"/>
  <c r="DF218" i="35"/>
  <c r="EO97" i="14"/>
  <c r="EO96" i="14"/>
  <c r="ER94" i="14"/>
  <c r="BK15" i="35"/>
  <c r="DE28" i="35"/>
  <c r="EM96" i="14"/>
  <c r="DG15" i="35"/>
  <c r="EK100" i="14"/>
  <c r="EJ100" i="14"/>
  <c r="EJ99" i="14"/>
  <c r="EM97" i="14"/>
  <c r="EM98" i="14" s="1"/>
  <c r="BG19" i="35"/>
  <c r="DF19" i="35"/>
  <c r="EH99" i="14"/>
  <c r="DF192" i="35" s="1"/>
  <c r="DF145" i="35"/>
  <c r="DF158" i="35" s="1"/>
  <c r="DE26" i="35"/>
  <c r="EJ101" i="14"/>
  <c r="EJ106" i="14" s="1"/>
  <c r="AV22" i="37"/>
  <c r="AU24" i="37"/>
  <c r="AV24" i="37" s="1"/>
  <c r="AU23" i="37"/>
  <c r="AV23" i="37" s="1"/>
  <c r="AV17" i="37"/>
  <c r="AX17" i="37"/>
  <c r="AU18" i="37"/>
  <c r="BA15" i="37"/>
  <c r="BC15" i="37"/>
  <c r="AZ16" i="37"/>
  <c r="EC163" i="14"/>
  <c r="EC149" i="14"/>
  <c r="EC173" i="14"/>
  <c r="DF157" i="35"/>
  <c r="DF151" i="35"/>
  <c r="EJ55" i="14"/>
  <c r="EJ47" i="14"/>
  <c r="DE58" i="35"/>
  <c r="EC32" i="2"/>
  <c r="DE59" i="35" s="1"/>
  <c r="BG48" i="35"/>
  <c r="EM20" i="2"/>
  <c r="EJ21" i="2"/>
  <c r="BG53" i="35" s="1"/>
  <c r="DZ11" i="13"/>
  <c r="AY72" i="35"/>
  <c r="DZ87" i="2"/>
  <c r="EC86" i="2"/>
  <c r="EC87" i="2" s="1"/>
  <c r="DZ100" i="2"/>
  <c r="DZ122" i="2"/>
  <c r="EC122" i="2" s="1"/>
  <c r="EC18" i="13"/>
  <c r="DZ22" i="13"/>
  <c r="EA22" i="13"/>
  <c r="DZ19" i="13"/>
  <c r="EA19" i="13"/>
  <c r="EO57" i="14"/>
  <c r="ER56" i="14"/>
  <c r="BG92" i="35"/>
  <c r="DX132" i="14"/>
  <c r="DX153" i="14"/>
  <c r="DX134" i="14" s="1"/>
  <c r="ER60" i="14"/>
  <c r="ER41" i="14"/>
  <c r="AY49" i="35"/>
  <c r="DZ23" i="2"/>
  <c r="AY54" i="35" s="1"/>
  <c r="EC22" i="2"/>
  <c r="AS44" i="37"/>
  <c r="AQ44" i="37"/>
  <c r="DF20" i="35"/>
  <c r="EH105" i="14"/>
  <c r="EH102" i="14"/>
  <c r="EH103" i="14"/>
  <c r="ER6" i="2"/>
  <c r="ER7" i="2" s="1"/>
  <c r="EO12" i="2"/>
  <c r="F15" i="26"/>
  <c r="F19" i="26" s="1"/>
  <c r="F8" i="26"/>
  <c r="DF14" i="35"/>
  <c r="EH86" i="14"/>
  <c r="DF48" i="35"/>
  <c r="EH21" i="2"/>
  <c r="DF53" i="35" s="1"/>
  <c r="EE28" i="12"/>
  <c r="BC44" i="35"/>
  <c r="EE19" i="2"/>
  <c r="BC45" i="35" s="1"/>
  <c r="AQ14" i="37"/>
  <c r="AS14" i="37"/>
  <c r="K32" i="1"/>
  <c r="G47" i="1"/>
  <c r="G49" i="1" s="1"/>
  <c r="O14" i="1"/>
  <c r="DV72" i="12"/>
  <c r="DG147" i="35"/>
  <c r="DG22" i="35"/>
  <c r="EM70" i="14"/>
  <c r="EM74" i="14"/>
  <c r="DG193" i="35" s="1"/>
  <c r="DF40" i="35"/>
  <c r="DF41" i="35" s="1"/>
  <c r="EH13" i="2"/>
  <c r="EH14" i="2" s="1"/>
  <c r="DG31" i="35"/>
  <c r="DG187" i="35" s="1"/>
  <c r="EM38" i="14"/>
  <c r="EM171" i="14"/>
  <c r="EM10" i="14"/>
  <c r="EM8" i="14"/>
  <c r="DG214" i="35"/>
  <c r="DG220" i="35" s="1"/>
  <c r="EM61" i="14"/>
  <c r="J8" i="26"/>
  <c r="J15" i="26"/>
  <c r="J19" i="26" s="1"/>
  <c r="DE27" i="35"/>
  <c r="DE42" i="35"/>
  <c r="DE43" i="35" s="1"/>
  <c r="EC16" i="2"/>
  <c r="EC17" i="2" s="1"/>
  <c r="EH183" i="14"/>
  <c r="EH150" i="14"/>
  <c r="EH167" i="14"/>
  <c r="EH161" i="14" s="1"/>
  <c r="EH157" i="14"/>
  <c r="EH136" i="14" s="1"/>
  <c r="H20" i="26"/>
  <c r="DW71" i="12"/>
  <c r="DW52" i="2"/>
  <c r="DX50" i="2"/>
  <c r="DX71" i="12" s="1"/>
  <c r="DG18" i="35"/>
  <c r="DG144" i="35"/>
  <c r="EM89" i="14"/>
  <c r="EM84" i="14"/>
  <c r="EM88" i="14"/>
  <c r="DV73" i="12"/>
  <c r="DV49" i="12"/>
  <c r="BI34" i="35"/>
  <c r="BI11" i="35"/>
  <c r="EJ15" i="2"/>
  <c r="EJ22" i="2" s="1"/>
  <c r="EM8" i="2"/>
  <c r="BC42" i="35"/>
  <c r="EH15" i="2"/>
  <c r="EM42" i="14"/>
  <c r="DE64" i="35"/>
  <c r="EC38" i="2"/>
  <c r="DE65" i="35" s="1"/>
  <c r="EE22" i="2"/>
  <c r="BK31" i="35"/>
  <c r="ER6" i="14"/>
  <c r="ER42" i="14" s="1"/>
  <c r="EO38" i="14"/>
  <c r="EO10" i="14"/>
  <c r="EO8" i="14"/>
  <c r="EO7" i="14"/>
  <c r="EP7" i="14"/>
  <c r="I8" i="26"/>
  <c r="I15" i="26"/>
  <c r="I19" i="26" s="1"/>
  <c r="DE60" i="35"/>
  <c r="EC34" i="2"/>
  <c r="DE61" i="35" s="1"/>
  <c r="EO54" i="14"/>
  <c r="EO61" i="14"/>
  <c r="G15" i="26"/>
  <c r="G19" i="26" s="1"/>
  <c r="G8" i="26"/>
  <c r="DE62" i="35"/>
  <c r="EC36" i="2"/>
  <c r="DE63" i="35" s="1"/>
  <c r="DF11" i="35"/>
  <c r="BG34" i="35"/>
  <c r="DF34" i="35"/>
  <c r="DF186" i="35" s="1"/>
  <c r="BG11" i="35"/>
  <c r="EC18" i="2"/>
  <c r="EJ59" i="12"/>
  <c r="EJ10" i="12"/>
  <c r="EJ55" i="12"/>
  <c r="EJ61" i="12"/>
  <c r="BI35" i="35"/>
  <c r="EJ64" i="13"/>
  <c r="EJ67" i="13" s="1"/>
  <c r="BI5" i="35"/>
  <c r="BI9" i="35" s="1"/>
  <c r="EM10" i="2"/>
  <c r="EJ31" i="2"/>
  <c r="EJ83" i="2"/>
  <c r="EJ104" i="2"/>
  <c r="EJ33" i="2"/>
  <c r="EJ35" i="2"/>
  <c r="EJ82" i="2"/>
  <c r="EJ37" i="2"/>
  <c r="EJ85" i="2"/>
  <c r="EJ107" i="2"/>
  <c r="EM107" i="2" s="1"/>
  <c r="EJ84" i="2"/>
  <c r="EJ106" i="2"/>
  <c r="EM106" i="2" s="1"/>
  <c r="EJ39" i="2"/>
  <c r="EM39" i="2" s="1"/>
  <c r="EJ105" i="2"/>
  <c r="EM105" i="2" s="1"/>
  <c r="BK18" i="35"/>
  <c r="ER87" i="14"/>
  <c r="EO90" i="14"/>
  <c r="EP90" i="14"/>
  <c r="EO89" i="14"/>
  <c r="EO88" i="14"/>
  <c r="EO101" i="14"/>
  <c r="EO106" i="14" s="1"/>
  <c r="EO7" i="2"/>
  <c r="DG212" i="35"/>
  <c r="EM57" i="14"/>
  <c r="EM49" i="14"/>
  <c r="EM50" i="14" s="1"/>
  <c r="EJ9" i="2"/>
  <c r="AV16" i="37"/>
  <c r="AX16" i="37"/>
  <c r="EC130" i="14"/>
  <c r="DE153" i="35"/>
  <c r="DE159" i="35"/>
  <c r="BL33" i="35"/>
  <c r="DG33" i="35"/>
  <c r="DG185" i="35" s="1"/>
  <c r="DZ28" i="12"/>
  <c r="AY44" i="35"/>
  <c r="DZ19" i="2"/>
  <c r="AY45" i="35" s="1"/>
  <c r="DZ24" i="2"/>
  <c r="EE10" i="12"/>
  <c r="EE59" i="12"/>
  <c r="EE61" i="12"/>
  <c r="EE55" i="12"/>
  <c r="BD35" i="35"/>
  <c r="EE64" i="13"/>
  <c r="EE67" i="13" s="1"/>
  <c r="BD5" i="35"/>
  <c r="BD9" i="35" s="1"/>
  <c r="EE24" i="2"/>
  <c r="EE31" i="2"/>
  <c r="EE83" i="2"/>
  <c r="EE104" i="2"/>
  <c r="EE33" i="2"/>
  <c r="EE35" i="2"/>
  <c r="EE37" i="2"/>
  <c r="EE85" i="2"/>
  <c r="EJ11" i="2"/>
  <c r="EE39" i="2"/>
  <c r="EH39" i="2" s="1"/>
  <c r="EH10" i="2"/>
  <c r="EE84" i="2"/>
  <c r="EE106" i="2"/>
  <c r="EH106" i="2" s="1"/>
  <c r="EE82" i="2"/>
  <c r="EE107" i="2"/>
  <c r="EH107" i="2" s="1"/>
  <c r="EE105" i="2"/>
  <c r="EH105" i="2" s="1"/>
  <c r="EE11" i="2"/>
  <c r="BC162" i="35" s="1"/>
  <c r="EH106" i="14"/>
  <c r="EE110" i="14"/>
  <c r="EE109" i="14"/>
  <c r="EE107" i="14"/>
  <c r="EE108" i="14"/>
  <c r="EF109" i="14"/>
  <c r="DZ62" i="12"/>
  <c r="AY66" i="35"/>
  <c r="DZ43" i="2"/>
  <c r="DZ42" i="2"/>
  <c r="EC41" i="2"/>
  <c r="BG40" i="35"/>
  <c r="EM12" i="2"/>
  <c r="BK22" i="35"/>
  <c r="EO8" i="2"/>
  <c r="EO9" i="2" s="1"/>
  <c r="ER73" i="14"/>
  <c r="EO74" i="14"/>
  <c r="EO98" i="14"/>
  <c r="BK26" i="35" s="1"/>
  <c r="DE9" i="35"/>
  <c r="DE6" i="35"/>
  <c r="DE170" i="35" s="1"/>
  <c r="BD91" i="35"/>
  <c r="EE48" i="14"/>
  <c r="EO59" i="14"/>
  <c r="EH72" i="14"/>
  <c r="EI71" i="14"/>
  <c r="DZ9" i="13"/>
  <c r="EC108" i="2"/>
  <c r="EC109" i="2" s="1"/>
  <c r="DZ124" i="2"/>
  <c r="EC124" i="2" s="1"/>
  <c r="DZ109" i="2"/>
  <c r="AS18" i="37"/>
  <c r="AQ18" i="37"/>
  <c r="BE15" i="37"/>
  <c r="AP25" i="37"/>
  <c r="AZ22" i="37"/>
  <c r="AE22" i="42"/>
  <c r="AP28" i="37"/>
  <c r="AU13" i="37"/>
  <c r="AZ13" i="37"/>
  <c r="AZ17" i="37"/>
  <c r="EJ105" i="14" l="1"/>
  <c r="EC22" i="13"/>
  <c r="EK104" i="14"/>
  <c r="EJ103" i="14"/>
  <c r="EJ102" i="14"/>
  <c r="BG27" i="35" s="1"/>
  <c r="EJ104" i="14"/>
  <c r="EO10" i="2"/>
  <c r="EO84" i="2" s="1"/>
  <c r="DG218" i="35"/>
  <c r="DF26" i="35"/>
  <c r="EJ18" i="2"/>
  <c r="EJ24" i="2" s="1"/>
  <c r="BG50" i="35" s="1"/>
  <c r="EM144" i="2"/>
  <c r="DF152" i="35"/>
  <c r="BG20" i="35"/>
  <c r="BG21" i="35" s="1"/>
  <c r="ER96" i="14"/>
  <c r="DH15" i="35"/>
  <c r="EM99" i="14"/>
  <c r="DG192" i="35" s="1"/>
  <c r="DG19" i="35"/>
  <c r="DG145" i="35"/>
  <c r="DG158" i="35" s="1"/>
  <c r="EM101" i="14"/>
  <c r="EM103" i="14" s="1"/>
  <c r="EO100" i="14"/>
  <c r="EP100" i="14"/>
  <c r="EO99" i="14"/>
  <c r="ER97" i="14"/>
  <c r="BK19" i="35"/>
  <c r="EH144" i="2"/>
  <c r="AX13" i="37"/>
  <c r="AV13" i="37"/>
  <c r="AU14" i="37"/>
  <c r="AU44" i="37"/>
  <c r="BA17" i="37"/>
  <c r="BC17" i="37"/>
  <c r="AZ18" i="37"/>
  <c r="BA22" i="37"/>
  <c r="AZ24" i="37"/>
  <c r="BA24" i="37" s="1"/>
  <c r="AZ23" i="37"/>
  <c r="BA23" i="37" s="1"/>
  <c r="BC13" i="37"/>
  <c r="BA13" i="37"/>
  <c r="AZ14" i="37"/>
  <c r="AZ44" i="37"/>
  <c r="AQ25" i="37"/>
  <c r="AP26" i="37"/>
  <c r="AQ26" i="37" s="1"/>
  <c r="AP27" i="37"/>
  <c r="AQ27" i="37" s="1"/>
  <c r="BF15" i="37"/>
  <c r="BH15" i="37"/>
  <c r="BE16" i="37"/>
  <c r="AQ28" i="37"/>
  <c r="AS28" i="37"/>
  <c r="AP30" i="37"/>
  <c r="AP29" i="37"/>
  <c r="AE23" i="42"/>
  <c r="EH55" i="12"/>
  <c r="EH57" i="12" s="1"/>
  <c r="EH61" i="12"/>
  <c r="BG35" i="35"/>
  <c r="EH64" i="13"/>
  <c r="EH67" i="13" s="1"/>
  <c r="DF5" i="35"/>
  <c r="DF35" i="35"/>
  <c r="BG5" i="35"/>
  <c r="BG9" i="35" s="1"/>
  <c r="EM11" i="2"/>
  <c r="L14" i="1"/>
  <c r="L32" i="1" s="1"/>
  <c r="EH11" i="2"/>
  <c r="DE67" i="35"/>
  <c r="EC9" i="13"/>
  <c r="DZ10" i="13"/>
  <c r="DZ17" i="12"/>
  <c r="DH22" i="35"/>
  <c r="DH147" i="35"/>
  <c r="ER70" i="14"/>
  <c r="ER72" i="14" s="1"/>
  <c r="ER74" i="14"/>
  <c r="DH193" i="35" s="1"/>
  <c r="EH40" i="2"/>
  <c r="BK20" i="35"/>
  <c r="BK21" i="35" s="1"/>
  <c r="EO102" i="14"/>
  <c r="BK27" i="35" s="1"/>
  <c r="EO105" i="14"/>
  <c r="EP104" i="14"/>
  <c r="EO103" i="14"/>
  <c r="EO104" i="14"/>
  <c r="EM145" i="2"/>
  <c r="BG49" i="35"/>
  <c r="EJ23" i="2"/>
  <c r="BG54" i="35" s="1"/>
  <c r="EM22" i="2"/>
  <c r="DG157" i="35"/>
  <c r="DG151" i="35"/>
  <c r="EM72" i="14"/>
  <c r="EN71" i="14"/>
  <c r="EE20" i="13"/>
  <c r="EF20" i="13"/>
  <c r="DX159" i="14"/>
  <c r="BC16" i="37"/>
  <c r="BA16" i="37"/>
  <c r="BL11" i="35"/>
  <c r="DG11" i="35"/>
  <c r="BL34" i="35"/>
  <c r="DG34" i="35"/>
  <c r="DG186" i="35" s="1"/>
  <c r="DX133" i="14"/>
  <c r="DX128" i="14"/>
  <c r="DX129" i="14" s="1"/>
  <c r="DF27" i="35"/>
  <c r="EC100" i="2"/>
  <c r="DZ101" i="2"/>
  <c r="DZ102" i="2"/>
  <c r="BI91" i="35"/>
  <c r="EJ48" i="14"/>
  <c r="DG48" i="35"/>
  <c r="EM21" i="2"/>
  <c r="DG53" i="35" s="1"/>
  <c r="J20" i="26"/>
  <c r="EE30" i="12"/>
  <c r="EE57" i="12"/>
  <c r="EE11" i="12"/>
  <c r="EE35" i="12"/>
  <c r="EH85" i="2"/>
  <c r="EH140" i="2" s="1"/>
  <c r="EC131" i="14"/>
  <c r="BG64" i="35"/>
  <c r="EM37" i="2"/>
  <c r="EJ107" i="14"/>
  <c r="EM106" i="14"/>
  <c r="EJ110" i="14"/>
  <c r="EK109" i="14"/>
  <c r="EJ108" i="14"/>
  <c r="EJ109" i="14"/>
  <c r="EH163" i="14"/>
  <c r="EH149" i="14"/>
  <c r="EH173" i="14"/>
  <c r="BC64" i="35"/>
  <c r="EH37" i="2"/>
  <c r="EJ86" i="2"/>
  <c r="EM82" i="2"/>
  <c r="EM137" i="2" s="1"/>
  <c r="EJ30" i="12"/>
  <c r="EJ11" i="12"/>
  <c r="EJ35" i="12"/>
  <c r="EJ57" i="12"/>
  <c r="G20" i="26"/>
  <c r="DH31" i="35"/>
  <c r="DH187" i="35" s="1"/>
  <c r="ER38" i="14"/>
  <c r="ER171" i="14"/>
  <c r="ER10" i="14"/>
  <c r="ER8" i="14"/>
  <c r="BG42" i="35"/>
  <c r="EM15" i="2"/>
  <c r="EM18" i="2" s="1"/>
  <c r="EM24" i="2" s="1"/>
  <c r="AV18" i="37"/>
  <c r="AX18" i="37"/>
  <c r="EC151" i="14"/>
  <c r="EC175" i="14"/>
  <c r="EM61" i="12"/>
  <c r="EM55" i="12"/>
  <c r="EM57" i="12" s="1"/>
  <c r="BL5" i="35"/>
  <c r="BL9" i="35" s="1"/>
  <c r="DG5" i="35"/>
  <c r="BL35" i="35"/>
  <c r="EM64" i="13"/>
  <c r="EM67" i="13" s="1"/>
  <c r="DG35" i="35"/>
  <c r="M14" i="1"/>
  <c r="DF42" i="35"/>
  <c r="DF43" i="35" s="1"/>
  <c r="EH16" i="2"/>
  <c r="EH17" i="2" s="1"/>
  <c r="DG14" i="35"/>
  <c r="EM86" i="14"/>
  <c r="BG62" i="35"/>
  <c r="EM35" i="2"/>
  <c r="EJ18" i="13"/>
  <c r="EK18" i="13"/>
  <c r="EM157" i="14"/>
  <c r="EM136" i="14" s="1"/>
  <c r="EM183" i="14"/>
  <c r="EM167" i="14"/>
  <c r="EM161" i="14" s="1"/>
  <c r="EM150" i="14"/>
  <c r="DF25" i="35"/>
  <c r="BC50" i="35"/>
  <c r="EE25" i="2"/>
  <c r="EM85" i="2"/>
  <c r="EM140" i="2" s="1"/>
  <c r="BC62" i="35"/>
  <c r="EH35" i="2"/>
  <c r="EF18" i="13"/>
  <c r="EE18" i="13"/>
  <c r="DH18" i="35"/>
  <c r="DH144" i="35"/>
  <c r="ER88" i="14"/>
  <c r="ER89" i="14"/>
  <c r="ER84" i="14"/>
  <c r="BG60" i="35"/>
  <c r="EM33" i="2"/>
  <c r="EO55" i="14"/>
  <c r="EO47" i="14"/>
  <c r="EO48" i="14" s="1"/>
  <c r="BC49" i="35"/>
  <c r="EE23" i="2"/>
  <c r="BC54" i="35" s="1"/>
  <c r="EH22" i="2"/>
  <c r="DW55" i="2"/>
  <c r="DX52" i="2"/>
  <c r="EH130" i="14"/>
  <c r="DE49" i="35"/>
  <c r="EC23" i="2"/>
  <c r="DE54" i="35" s="1"/>
  <c r="DH212" i="35"/>
  <c r="ER57" i="14"/>
  <c r="ER49" i="14"/>
  <c r="ER50" i="14" s="1"/>
  <c r="EH84" i="2"/>
  <c r="DH33" i="35"/>
  <c r="DH185" i="35" s="1"/>
  <c r="EP109" i="14"/>
  <c r="EO108" i="14"/>
  <c r="EO107" i="14"/>
  <c r="ER106" i="14"/>
  <c r="EO109" i="14"/>
  <c r="EO110" i="14"/>
  <c r="EM84" i="2"/>
  <c r="EO15" i="2"/>
  <c r="EO22" i="2" s="1"/>
  <c r="ER8" i="2"/>
  <c r="ER9" i="2" s="1"/>
  <c r="DG40" i="35"/>
  <c r="DG41" i="35" s="1"/>
  <c r="EM13" i="2"/>
  <c r="EM14" i="2" s="1"/>
  <c r="DF146" i="35"/>
  <c r="EH107" i="14"/>
  <c r="EH110" i="14"/>
  <c r="EH108" i="14"/>
  <c r="EC62" i="12"/>
  <c r="DE66" i="35"/>
  <c r="EC43" i="2"/>
  <c r="EC42" i="2"/>
  <c r="EJ108" i="2"/>
  <c r="EM104" i="2"/>
  <c r="EM142" i="2" s="1"/>
  <c r="DE44" i="35"/>
  <c r="EC19" i="2"/>
  <c r="DE45" i="35" s="1"/>
  <c r="EC24" i="2"/>
  <c r="F20" i="26"/>
  <c r="EC11" i="13"/>
  <c r="EC68" i="13" s="1"/>
  <c r="DZ68" i="13"/>
  <c r="DZ42" i="12"/>
  <c r="DH214" i="35"/>
  <c r="DH220" i="35" s="1"/>
  <c r="ER61" i="14"/>
  <c r="BC60" i="35"/>
  <c r="EH33" i="2"/>
  <c r="EE108" i="2"/>
  <c r="EH104" i="2"/>
  <c r="EH142" i="2" s="1"/>
  <c r="EH83" i="2"/>
  <c r="EH138" i="2" s="1"/>
  <c r="BK40" i="35"/>
  <c r="ER12" i="2"/>
  <c r="DF21" i="35"/>
  <c r="DF28" i="35" s="1"/>
  <c r="AY50" i="35"/>
  <c r="DZ44" i="2"/>
  <c r="DZ27" i="2"/>
  <c r="EE27" i="2"/>
  <c r="DZ25" i="2"/>
  <c r="EH143" i="2"/>
  <c r="EH145" i="2"/>
  <c r="EM143" i="2"/>
  <c r="EM83" i="2"/>
  <c r="EM138" i="2" s="1"/>
  <c r="EM9" i="2"/>
  <c r="EH18" i="2"/>
  <c r="EH24" i="2" s="1"/>
  <c r="EH82" i="2"/>
  <c r="EH137" i="2" s="1"/>
  <c r="EE86" i="2"/>
  <c r="BC58" i="35"/>
  <c r="EH31" i="2"/>
  <c r="EE41" i="2"/>
  <c r="EE44" i="2" s="1"/>
  <c r="DZ34" i="12"/>
  <c r="DZ40" i="12" s="1"/>
  <c r="DZ20" i="13"/>
  <c r="EA20" i="13"/>
  <c r="EA23" i="13" s="1"/>
  <c r="BL92" i="35"/>
  <c r="EM40" i="2"/>
  <c r="BG58" i="35"/>
  <c r="EJ41" i="2"/>
  <c r="EM31" i="2"/>
  <c r="I20" i="26"/>
  <c r="EO20" i="2"/>
  <c r="EC19" i="13"/>
  <c r="AU19" i="37"/>
  <c r="AP31" i="37"/>
  <c r="AU25" i="37"/>
  <c r="AZ19" i="37"/>
  <c r="AE24" i="42"/>
  <c r="BE17" i="37"/>
  <c r="AE33" i="42"/>
  <c r="AE19" i="42"/>
  <c r="AP19" i="37"/>
  <c r="AZ25" i="37"/>
  <c r="EO104" i="2" l="1"/>
  <c r="ER10" i="2"/>
  <c r="ER55" i="12" s="1"/>
  <c r="ER57" i="12" s="1"/>
  <c r="EO37" i="2"/>
  <c r="EO39" i="2"/>
  <c r="ER39" i="2" s="1"/>
  <c r="EO85" i="2"/>
  <c r="ER85" i="2" s="1"/>
  <c r="EO64" i="13"/>
  <c r="EO67" i="13" s="1"/>
  <c r="EO59" i="12"/>
  <c r="EO10" i="12"/>
  <c r="EO106" i="2"/>
  <c r="ER106" i="2" s="1"/>
  <c r="ER144" i="2" s="1"/>
  <c r="EO83" i="2"/>
  <c r="ER83" i="2" s="1"/>
  <c r="ER138" i="2" s="1"/>
  <c r="EO82" i="2"/>
  <c r="ER82" i="2" s="1"/>
  <c r="ER137" i="2" s="1"/>
  <c r="EO107" i="2"/>
  <c r="ER107" i="2" s="1"/>
  <c r="ER145" i="2" s="1"/>
  <c r="EO61" i="12"/>
  <c r="EO35" i="2"/>
  <c r="BK62" i="35" s="1"/>
  <c r="EO11" i="2"/>
  <c r="EO33" i="2"/>
  <c r="BK60" i="35" s="1"/>
  <c r="EO31" i="2"/>
  <c r="ER31" i="2" s="1"/>
  <c r="EO55" i="12"/>
  <c r="EO11" i="12" s="1"/>
  <c r="EO105" i="2"/>
  <c r="ER105" i="2" s="1"/>
  <c r="ER143" i="2" s="1"/>
  <c r="EJ27" i="2"/>
  <c r="EJ19" i="2"/>
  <c r="BG45" i="35" s="1"/>
  <c r="EJ25" i="2"/>
  <c r="BG55" i="35" s="1"/>
  <c r="EJ28" i="12"/>
  <c r="EK20" i="13" s="1"/>
  <c r="BG44" i="35"/>
  <c r="EJ44" i="2"/>
  <c r="EJ45" i="2" s="1"/>
  <c r="DG26" i="35"/>
  <c r="EO18" i="2"/>
  <c r="EO24" i="2" s="1"/>
  <c r="BK50" i="35" s="1"/>
  <c r="M32" i="1"/>
  <c r="DH145" i="35"/>
  <c r="DH158" i="35" s="1"/>
  <c r="ER99" i="14"/>
  <c r="DH192" i="35" s="1"/>
  <c r="DH19" i="35"/>
  <c r="DG25" i="35"/>
  <c r="ER98" i="14"/>
  <c r="EM102" i="14"/>
  <c r="DG20" i="35"/>
  <c r="DG27" i="35" s="1"/>
  <c r="ER101" i="14"/>
  <c r="ER102" i="14" s="1"/>
  <c r="EM105" i="14"/>
  <c r="DG152" i="35"/>
  <c r="AV19" i="37"/>
  <c r="AX19" i="37"/>
  <c r="AU21" i="37"/>
  <c r="AU20" i="37"/>
  <c r="BA19" i="37"/>
  <c r="BC19" i="37"/>
  <c r="AZ20" i="37"/>
  <c r="AZ21" i="37"/>
  <c r="AQ31" i="37"/>
  <c r="BA25" i="37"/>
  <c r="AZ26" i="37"/>
  <c r="BA26" i="37" s="1"/>
  <c r="AZ27" i="37"/>
  <c r="BA27" i="37" s="1"/>
  <c r="AQ19" i="37"/>
  <c r="AS19" i="37"/>
  <c r="AP20" i="37"/>
  <c r="AP21" i="37"/>
  <c r="BF17" i="37"/>
  <c r="BH17" i="37"/>
  <c r="BE18" i="37"/>
  <c r="AV25" i="37"/>
  <c r="AU26" i="37"/>
  <c r="AV26" i="37" s="1"/>
  <c r="AU27" i="37"/>
  <c r="AV27" i="37" s="1"/>
  <c r="DF50" i="35"/>
  <c r="DF55" i="35" s="1"/>
  <c r="EM27" i="2"/>
  <c r="EH25" i="2"/>
  <c r="DG50" i="35"/>
  <c r="DG55" i="35" s="1"/>
  <c r="EM25" i="2"/>
  <c r="EH44" i="2"/>
  <c r="EE46" i="2"/>
  <c r="EE74" i="2"/>
  <c r="BK49" i="35"/>
  <c r="EO23" i="2"/>
  <c r="BK54" i="35" s="1"/>
  <c r="ER22" i="2"/>
  <c r="BK48" i="35"/>
  <c r="EO21" i="2"/>
  <c r="BK53" i="35" s="1"/>
  <c r="ER20" i="2"/>
  <c r="DH218" i="35"/>
  <c r="DF62" i="35"/>
  <c r="EH36" i="2"/>
  <c r="DF63" i="35" s="1"/>
  <c r="DG64" i="35"/>
  <c r="EM38" i="2"/>
  <c r="DG65" i="35" s="1"/>
  <c r="AQ30" i="37"/>
  <c r="AS30" i="37"/>
  <c r="EC20" i="13"/>
  <c r="EC23" i="13" s="1"/>
  <c r="DZ23" i="13"/>
  <c r="ER84" i="2"/>
  <c r="EE9" i="13"/>
  <c r="EH108" i="2"/>
  <c r="EH109" i="2" s="1"/>
  <c r="EE124" i="2"/>
  <c r="EH124" i="2" s="1"/>
  <c r="EE109" i="2"/>
  <c r="DH40" i="35"/>
  <c r="DH41" i="35" s="1"/>
  <c r="ER13" i="2"/>
  <c r="ER14" i="2" s="1"/>
  <c r="DZ39" i="12"/>
  <c r="DH146" i="35"/>
  <c r="ER108" i="14"/>
  <c r="ER107" i="14"/>
  <c r="ER110" i="14"/>
  <c r="DG60" i="35"/>
  <c r="EM34" i="2"/>
  <c r="DG61" i="35" s="1"/>
  <c r="EM130" i="14"/>
  <c r="ER61" i="12"/>
  <c r="DH5" i="35"/>
  <c r="ER64" i="13"/>
  <c r="ER67" i="13" s="1"/>
  <c r="DH35" i="35"/>
  <c r="N14" i="1"/>
  <c r="N32" i="1" s="1"/>
  <c r="DF153" i="35"/>
  <c r="DF159" i="35"/>
  <c r="DF148" i="35"/>
  <c r="EC132" i="14"/>
  <c r="EC153" i="14"/>
  <c r="EC134" i="14" s="1"/>
  <c r="EC102" i="2"/>
  <c r="EC101" i="2"/>
  <c r="DG49" i="35"/>
  <c r="EM23" i="2"/>
  <c r="DG54" i="35" s="1"/>
  <c r="BH16" i="37"/>
  <c r="BF16" i="37"/>
  <c r="BC18" i="37"/>
  <c r="BA18" i="37"/>
  <c r="EE62" i="12"/>
  <c r="BC66" i="35"/>
  <c r="EH41" i="2"/>
  <c r="EE43" i="2"/>
  <c r="EE42" i="2"/>
  <c r="DE50" i="35"/>
  <c r="DE55" i="35" s="1"/>
  <c r="EH27" i="2"/>
  <c r="ES24" i="2"/>
  <c r="EC25" i="2"/>
  <c r="EC27" i="2"/>
  <c r="DF58" i="35"/>
  <c r="EH32" i="2"/>
  <c r="DF59" i="35" s="1"/>
  <c r="AY55" i="35"/>
  <c r="AY165" i="35"/>
  <c r="DZ26" i="2"/>
  <c r="DG44" i="35"/>
  <c r="EM19" i="2"/>
  <c r="DG45" i="35" s="1"/>
  <c r="EH131" i="14"/>
  <c r="EJ19" i="13"/>
  <c r="EK19" i="13"/>
  <c r="BK64" i="35"/>
  <c r="ER37" i="2"/>
  <c r="DF6" i="35"/>
  <c r="DF170" i="35" s="1"/>
  <c r="DF9" i="35"/>
  <c r="DG42" i="35"/>
  <c r="DG43" i="35" s="1"/>
  <c r="EM16" i="2"/>
  <c r="EM17" i="2" s="1"/>
  <c r="EK22" i="13"/>
  <c r="EJ22" i="13"/>
  <c r="ER104" i="2"/>
  <c r="ER142" i="2" s="1"/>
  <c r="DH14" i="35"/>
  <c r="ER86" i="14"/>
  <c r="EH175" i="14"/>
  <c r="EH151" i="14"/>
  <c r="DG58" i="35"/>
  <c r="EM32" i="2"/>
  <c r="DG59" i="35" s="1"/>
  <c r="EE11" i="13"/>
  <c r="BC72" i="35"/>
  <c r="EE87" i="2"/>
  <c r="EE122" i="2"/>
  <c r="EH122" i="2" s="1"/>
  <c r="EE100" i="2"/>
  <c r="EH86" i="2"/>
  <c r="EH87" i="2" s="1"/>
  <c r="EM163" i="14"/>
  <c r="EM149" i="14"/>
  <c r="EM173" i="14"/>
  <c r="EO18" i="13"/>
  <c r="EP18" i="13"/>
  <c r="EJ62" i="12"/>
  <c r="BG66" i="35"/>
  <c r="EM41" i="2"/>
  <c r="EJ43" i="2"/>
  <c r="EJ42" i="2"/>
  <c r="EE45" i="2"/>
  <c r="EC44" i="2"/>
  <c r="DZ46" i="2"/>
  <c r="DZ74" i="2"/>
  <c r="DZ45" i="2"/>
  <c r="EJ9" i="13"/>
  <c r="EJ109" i="2"/>
  <c r="EM108" i="2"/>
  <c r="EM109" i="2" s="1"/>
  <c r="EJ124" i="2"/>
  <c r="EM124" i="2" s="1"/>
  <c r="DW56" i="2"/>
  <c r="DX55" i="2"/>
  <c r="EF19" i="13"/>
  <c r="EE19" i="13"/>
  <c r="DZ19" i="12"/>
  <c r="EA17" i="12"/>
  <c r="AV44" i="37"/>
  <c r="AX44" i="37"/>
  <c r="DF60" i="35"/>
  <c r="EH34" i="2"/>
  <c r="DF61" i="35" s="1"/>
  <c r="DH11" i="35"/>
  <c r="DH34" i="35"/>
  <c r="DH186" i="35" s="1"/>
  <c r="DF49" i="35"/>
  <c r="EH23" i="2"/>
  <c r="DF54" i="35" s="1"/>
  <c r="DH157" i="35"/>
  <c r="DH151" i="35"/>
  <c r="EM18" i="13"/>
  <c r="EJ11" i="13"/>
  <c r="BG72" i="35"/>
  <c r="EJ122" i="2"/>
  <c r="EM122" i="2" s="1"/>
  <c r="EJ100" i="2"/>
  <c r="EJ87" i="2"/>
  <c r="EM86" i="2"/>
  <c r="EM87" i="2" s="1"/>
  <c r="ER35" i="2"/>
  <c r="EC10" i="13"/>
  <c r="DZ75" i="2"/>
  <c r="AV14" i="37"/>
  <c r="AX14" i="37"/>
  <c r="DF44" i="35"/>
  <c r="EH19" i="2"/>
  <c r="DF45" i="35" s="1"/>
  <c r="EA42" i="12"/>
  <c r="BK42" i="35"/>
  <c r="ER15" i="2"/>
  <c r="ER18" i="2" s="1"/>
  <c r="BC165" i="35"/>
  <c r="BC55" i="35"/>
  <c r="EE26" i="2"/>
  <c r="DG62" i="35"/>
  <c r="EM36" i="2"/>
  <c r="DG63" i="35" s="1"/>
  <c r="DG9" i="35"/>
  <c r="DG6" i="35"/>
  <c r="DG170" i="35" s="1"/>
  <c r="EF22" i="13"/>
  <c r="EE22" i="13"/>
  <c r="EE34" i="12"/>
  <c r="EE40" i="12" s="1"/>
  <c r="BC44" i="37"/>
  <c r="BA44" i="37"/>
  <c r="EH18" i="13"/>
  <c r="ER150" i="14"/>
  <c r="ER157" i="14"/>
  <c r="ER136" i="14" s="1"/>
  <c r="ER167" i="14"/>
  <c r="ER161" i="14" s="1"/>
  <c r="ER183" i="14"/>
  <c r="DF64" i="35"/>
  <c r="EH38" i="2"/>
  <c r="DF65" i="35" s="1"/>
  <c r="DG146" i="35"/>
  <c r="EM108" i="14"/>
  <c r="EM107" i="14"/>
  <c r="EM110" i="14"/>
  <c r="EH20" i="13"/>
  <c r="BC14" i="37"/>
  <c r="BA14" i="37"/>
  <c r="AP32" i="37"/>
  <c r="AZ28" i="37"/>
  <c r="BE25" i="37"/>
  <c r="AE34" i="42"/>
  <c r="BE22" i="37"/>
  <c r="AP33" i="37"/>
  <c r="AE21" i="42"/>
  <c r="AE25" i="42"/>
  <c r="AE20" i="42"/>
  <c r="AU33" i="37"/>
  <c r="BE13" i="37"/>
  <c r="AU28" i="37"/>
  <c r="ER140" i="2" l="1"/>
  <c r="ER40" i="2"/>
  <c r="EJ34" i="12"/>
  <c r="EJ40" i="12" s="1"/>
  <c r="EJ26" i="2"/>
  <c r="BE14" i="37"/>
  <c r="BH14" i="37" s="1"/>
  <c r="BF13" i="37"/>
  <c r="BH13" i="37"/>
  <c r="BE44" i="37"/>
  <c r="BF44" i="37" s="1"/>
  <c r="ER11" i="2"/>
  <c r="EO86" i="2"/>
  <c r="ER86" i="2" s="1"/>
  <c r="ER87" i="2" s="1"/>
  <c r="BK58" i="35"/>
  <c r="EO108" i="2"/>
  <c r="EO124" i="2" s="1"/>
  <c r="ER124" i="2" s="1"/>
  <c r="EJ46" i="2"/>
  <c r="EJ74" i="2"/>
  <c r="EM74" i="2" s="1"/>
  <c r="EO41" i="2"/>
  <c r="EO44" i="2" s="1"/>
  <c r="EO57" i="12"/>
  <c r="EO35" i="12"/>
  <c r="EO30" i="12"/>
  <c r="EJ20" i="13"/>
  <c r="EM20" i="13" s="1"/>
  <c r="ER33" i="2"/>
  <c r="DH60" i="35" s="1"/>
  <c r="EK23" i="13"/>
  <c r="EH19" i="13"/>
  <c r="EM44" i="2"/>
  <c r="EM45" i="2" s="1"/>
  <c r="EO27" i="2"/>
  <c r="EO25" i="2"/>
  <c r="BK55" i="35" s="1"/>
  <c r="EO19" i="2"/>
  <c r="BK45" i="35" s="1"/>
  <c r="BK44" i="35"/>
  <c r="EO28" i="12"/>
  <c r="DH148" i="35"/>
  <c r="DH26" i="35"/>
  <c r="ER105" i="14"/>
  <c r="DH152" i="35"/>
  <c r="EM19" i="13"/>
  <c r="DG67" i="35"/>
  <c r="ER103" i="14"/>
  <c r="EF23" i="13"/>
  <c r="DF67" i="35"/>
  <c r="DH20" i="35"/>
  <c r="DH21" i="35" s="1"/>
  <c r="DH28" i="35" s="1"/>
  <c r="EC159" i="14"/>
  <c r="DG21" i="35"/>
  <c r="DG28" i="35" s="1"/>
  <c r="DH25" i="35"/>
  <c r="AV33" i="37"/>
  <c r="AX33" i="37"/>
  <c r="AU34" i="37"/>
  <c r="BF22" i="37"/>
  <c r="BE24" i="37"/>
  <c r="BF24" i="37" s="1"/>
  <c r="BE23" i="37"/>
  <c r="BF23" i="37" s="1"/>
  <c r="BF25" i="37"/>
  <c r="BE26" i="37"/>
  <c r="BF26" i="37" s="1"/>
  <c r="BE27" i="37"/>
  <c r="BF27" i="37" s="1"/>
  <c r="BA28" i="37"/>
  <c r="BC28" i="37"/>
  <c r="AZ29" i="37"/>
  <c r="AZ30" i="37"/>
  <c r="AQ32" i="37"/>
  <c r="AQ33" i="37"/>
  <c r="AS33" i="37"/>
  <c r="AP34" i="37"/>
  <c r="AV28" i="37"/>
  <c r="AX28" i="37"/>
  <c r="AU29" i="37"/>
  <c r="AU30" i="37"/>
  <c r="DH44" i="35"/>
  <c r="ER19" i="2"/>
  <c r="DH45" i="35" s="1"/>
  <c r="ER24" i="2"/>
  <c r="EM22" i="13"/>
  <c r="EC133" i="14"/>
  <c r="EC128" i="14"/>
  <c r="EC129" i="14" s="1"/>
  <c r="DH159" i="35"/>
  <c r="DH153" i="35"/>
  <c r="EH46" i="2"/>
  <c r="L27" i="1" s="1"/>
  <c r="L19" i="1"/>
  <c r="BF18" i="37"/>
  <c r="BH18" i="37"/>
  <c r="EE39" i="12"/>
  <c r="EM11" i="13"/>
  <c r="EJ68" i="13"/>
  <c r="EH11" i="13"/>
  <c r="EH68" i="13" s="1"/>
  <c r="EE68" i="13"/>
  <c r="DH64" i="35"/>
  <c r="ER38" i="2"/>
  <c r="DH65" i="35" s="1"/>
  <c r="EM9" i="13"/>
  <c r="EJ10" i="13"/>
  <c r="EC26" i="2"/>
  <c r="K25" i="1"/>
  <c r="DH48" i="35"/>
  <c r="ER21" i="2"/>
  <c r="DH53" i="35" s="1"/>
  <c r="EM26" i="2"/>
  <c r="M25" i="1"/>
  <c r="AQ21" i="37"/>
  <c r="AS21" i="37"/>
  <c r="BC21" i="37"/>
  <c r="BA21" i="37"/>
  <c r="EC75" i="2"/>
  <c r="EC74" i="2"/>
  <c r="DZ77" i="2"/>
  <c r="DZ111" i="2"/>
  <c r="EH132" i="14"/>
  <c r="EH153" i="14"/>
  <c r="EH134" i="14" s="1"/>
  <c r="DG159" i="35"/>
  <c r="DG153" i="35"/>
  <c r="DG148" i="35"/>
  <c r="EB17" i="12"/>
  <c r="EA19" i="12"/>
  <c r="ER18" i="13"/>
  <c r="EM131" i="14"/>
  <c r="DH49" i="35"/>
  <c r="ER23" i="2"/>
  <c r="DH54" i="35" s="1"/>
  <c r="EM62" i="12"/>
  <c r="DG66" i="35"/>
  <c r="EM43" i="2"/>
  <c r="EM42" i="2"/>
  <c r="EH26" i="2"/>
  <c r="L25" i="1"/>
  <c r="DH42" i="35"/>
  <c r="DH43" i="35" s="1"/>
  <c r="ER16" i="2"/>
  <c r="ER17" i="2" s="1"/>
  <c r="EM151" i="14"/>
  <c r="EM175" i="14"/>
  <c r="DH9" i="35"/>
  <c r="DH6" i="35"/>
  <c r="DH170" i="35" s="1"/>
  <c r="EJ39" i="12"/>
  <c r="ER163" i="14"/>
  <c r="ER149" i="14"/>
  <c r="ER173" i="14"/>
  <c r="DH62" i="35"/>
  <c r="ER36" i="2"/>
  <c r="DH63" i="35" s="1"/>
  <c r="ER130" i="14"/>
  <c r="EH9" i="13"/>
  <c r="EE10" i="13"/>
  <c r="EH74" i="2"/>
  <c r="EE111" i="2"/>
  <c r="AX21" i="37"/>
  <c r="AV21" i="37"/>
  <c r="EP19" i="13"/>
  <c r="EO19" i="13"/>
  <c r="DH58" i="35"/>
  <c r="ER32" i="2"/>
  <c r="DH59" i="35" s="1"/>
  <c r="EH45" i="2"/>
  <c r="ES44" i="2"/>
  <c r="EC46" i="2"/>
  <c r="EC45" i="2"/>
  <c r="K19" i="1"/>
  <c r="BK66" i="35"/>
  <c r="EE23" i="13"/>
  <c r="EH22" i="13"/>
  <c r="EB42" i="12"/>
  <c r="EH100" i="2"/>
  <c r="EJ101" i="2"/>
  <c r="EE102" i="2"/>
  <c r="EE101" i="2"/>
  <c r="EO9" i="13"/>
  <c r="EO109" i="2"/>
  <c r="EH62" i="12"/>
  <c r="DF66" i="35"/>
  <c r="EH42" i="2"/>
  <c r="EH43" i="2"/>
  <c r="EM100" i="2"/>
  <c r="EJ102" i="2"/>
  <c r="DW57" i="2"/>
  <c r="DX56" i="2"/>
  <c r="AZ31" i="37"/>
  <c r="AZ33" i="37"/>
  <c r="AU31" i="37"/>
  <c r="BE19" i="37"/>
  <c r="AE26" i="42"/>
  <c r="BF14" i="37" l="1"/>
  <c r="EO22" i="13"/>
  <c r="EO62" i="12"/>
  <c r="BH44" i="37"/>
  <c r="EO43" i="2"/>
  <c r="ER41" i="2"/>
  <c r="ER42" i="2" s="1"/>
  <c r="ER108" i="2"/>
  <c r="ER109" i="2" s="1"/>
  <c r="EO42" i="2"/>
  <c r="BK72" i="35"/>
  <c r="EO11" i="13"/>
  <c r="ER11" i="13" s="1"/>
  <c r="ER68" i="13" s="1"/>
  <c r="EO100" i="2"/>
  <c r="EO101" i="2" s="1"/>
  <c r="EO122" i="2"/>
  <c r="ER122" i="2" s="1"/>
  <c r="EO87" i="2"/>
  <c r="EJ111" i="2"/>
  <c r="EJ113" i="2" s="1"/>
  <c r="EP22" i="13"/>
  <c r="ER22" i="13" s="1"/>
  <c r="EO45" i="2"/>
  <c r="EO74" i="2"/>
  <c r="EO46" i="2"/>
  <c r="ER44" i="2"/>
  <c r="ER45" i="2" s="1"/>
  <c r="M19" i="1"/>
  <c r="M35" i="1" s="1"/>
  <c r="EO26" i="2"/>
  <c r="EM46" i="2"/>
  <c r="M27" i="1" s="1"/>
  <c r="ER34" i="2"/>
  <c r="DH61" i="35" s="1"/>
  <c r="DH67" i="35" s="1"/>
  <c r="EJ23" i="13"/>
  <c r="EH23" i="13"/>
  <c r="EO34" i="12"/>
  <c r="EO40" i="12" s="1"/>
  <c r="EO39" i="12" s="1"/>
  <c r="BC33" i="37"/>
  <c r="BA33" i="37"/>
  <c r="AZ34" i="37"/>
  <c r="BC34" i="37" s="1"/>
  <c r="EO20" i="13"/>
  <c r="EO23" i="13" s="1"/>
  <c r="ER19" i="13"/>
  <c r="EP20" i="13"/>
  <c r="EM23" i="13"/>
  <c r="DH27" i="35"/>
  <c r="BF19" i="37"/>
  <c r="BH19" i="37"/>
  <c r="BE21" i="37"/>
  <c r="BE20" i="37"/>
  <c r="BA31" i="37"/>
  <c r="AV31" i="37"/>
  <c r="DH50" i="35"/>
  <c r="DH55" i="35" s="1"/>
  <c r="ER25" i="2"/>
  <c r="ER27" i="2"/>
  <c r="AV30" i="37"/>
  <c r="AX30" i="37"/>
  <c r="EH10" i="13"/>
  <c r="EE75" i="2"/>
  <c r="EE77" i="2" s="1"/>
  <c r="L35" i="1"/>
  <c r="ER74" i="2"/>
  <c r="AQ34" i="37"/>
  <c r="AS34" i="37"/>
  <c r="ER131" i="14"/>
  <c r="DW60" i="2"/>
  <c r="DX57" i="2"/>
  <c r="EM132" i="14"/>
  <c r="EM153" i="14"/>
  <c r="EM134" i="14" s="1"/>
  <c r="EH159" i="14"/>
  <c r="EH133" i="14"/>
  <c r="EH128" i="14"/>
  <c r="EH129" i="14" s="1"/>
  <c r="DZ113" i="2"/>
  <c r="EE112" i="2"/>
  <c r="DZ114" i="2"/>
  <c r="EA113" i="2"/>
  <c r="EC111" i="2"/>
  <c r="DZ112" i="2"/>
  <c r="EM10" i="13"/>
  <c r="EJ75" i="2"/>
  <c r="EJ77" i="2" s="1"/>
  <c r="BA30" i="37"/>
  <c r="BC30" i="37"/>
  <c r="AV34" i="37"/>
  <c r="AX34" i="37"/>
  <c r="EO10" i="13"/>
  <c r="ER9" i="13"/>
  <c r="O19" i="1"/>
  <c r="K35" i="1"/>
  <c r="EM102" i="2"/>
  <c r="EC77" i="2"/>
  <c r="DZ80" i="2"/>
  <c r="DZ115" i="2"/>
  <c r="DZ79" i="2"/>
  <c r="DZ78" i="2"/>
  <c r="EA80" i="2"/>
  <c r="EE113" i="2"/>
  <c r="EH111" i="2"/>
  <c r="EE114" i="2"/>
  <c r="EF113" i="2"/>
  <c r="EC17" i="12"/>
  <c r="ED17" i="12" s="1"/>
  <c r="EB19" i="12"/>
  <c r="EM68" i="13"/>
  <c r="EM101" i="2"/>
  <c r="EH102" i="2"/>
  <c r="EH101" i="2"/>
  <c r="K27" i="1"/>
  <c r="ER175" i="14"/>
  <c r="ER151" i="14"/>
  <c r="EC42" i="12"/>
  <c r="EO102" i="2"/>
  <c r="BE28" i="37"/>
  <c r="BE33" i="37"/>
  <c r="AZ32" i="37"/>
  <c r="AU32" i="37"/>
  <c r="DH66" i="35" l="1"/>
  <c r="ER43" i="2"/>
  <c r="ER62" i="12"/>
  <c r="ER100" i="2"/>
  <c r="BF28" i="37"/>
  <c r="BH28" i="37"/>
  <c r="BE30" i="37"/>
  <c r="BF30" i="37" s="1"/>
  <c r="BE29" i="37"/>
  <c r="EJ112" i="2"/>
  <c r="EO111" i="2"/>
  <c r="EO113" i="2" s="1"/>
  <c r="EO68" i="13"/>
  <c r="EJ114" i="2"/>
  <c r="EM111" i="2"/>
  <c r="EM112" i="2" s="1"/>
  <c r="EP23" i="13"/>
  <c r="EK113" i="2"/>
  <c r="BF33" i="37"/>
  <c r="BH33" i="37"/>
  <c r="BE34" i="37"/>
  <c r="BF34" i="37" s="1"/>
  <c r="N19" i="1"/>
  <c r="N35" i="1" s="1"/>
  <c r="ER46" i="2"/>
  <c r="N27" i="1" s="1"/>
  <c r="BA34" i="37"/>
  <c r="ER20" i="13"/>
  <c r="ER23" i="13" s="1"/>
  <c r="EM159" i="14"/>
  <c r="AV32" i="37"/>
  <c r="BA32" i="37"/>
  <c r="EC19" i="12"/>
  <c r="AY69" i="35"/>
  <c r="AY73" i="35" s="1"/>
  <c r="DZ65" i="13"/>
  <c r="EC115" i="2"/>
  <c r="DZ116" i="2"/>
  <c r="DZ117" i="2"/>
  <c r="EA117" i="2"/>
  <c r="DZ118" i="2"/>
  <c r="AY70" i="35" s="1"/>
  <c r="DJ18" i="25"/>
  <c r="DZ119" i="2"/>
  <c r="EH75" i="2"/>
  <c r="EE78" i="2"/>
  <c r="EH77" i="2"/>
  <c r="EH79" i="2" s="1"/>
  <c r="EF80" i="2"/>
  <c r="EE115" i="2"/>
  <c r="EE119" i="2" s="1"/>
  <c r="EJ79" i="2"/>
  <c r="EE80" i="2"/>
  <c r="EM133" i="14"/>
  <c r="EM128" i="14"/>
  <c r="EM129" i="14" s="1"/>
  <c r="EE17" i="12"/>
  <c r="ED19" i="12"/>
  <c r="EC79" i="2"/>
  <c r="EC78" i="2"/>
  <c r="K16" i="1"/>
  <c r="ER102" i="2"/>
  <c r="EJ78" i="2"/>
  <c r="EJ80" i="2"/>
  <c r="EM77" i="2"/>
  <c r="EK80" i="2"/>
  <c r="EJ115" i="2"/>
  <c r="EP113" i="2"/>
  <c r="EM75" i="2"/>
  <c r="DX60" i="2"/>
  <c r="DX58" i="2" s="1"/>
  <c r="DW62" i="2"/>
  <c r="ER26" i="2"/>
  <c r="N25" i="1"/>
  <c r="EH114" i="2"/>
  <c r="BF21" i="37"/>
  <c r="BH21" i="37"/>
  <c r="ED42" i="12"/>
  <c r="EH112" i="2"/>
  <c r="EC114" i="2"/>
  <c r="EC112" i="2"/>
  <c r="ER10" i="13"/>
  <c r="EO75" i="2"/>
  <c r="EO77" i="2" s="1"/>
  <c r="EO79" i="2" s="1"/>
  <c r="ER132" i="14"/>
  <c r="ER153" i="14"/>
  <c r="ER134" i="14" s="1"/>
  <c r="EE79" i="2"/>
  <c r="AP35" i="37"/>
  <c r="BE31" i="37"/>
  <c r="AF37" i="37"/>
  <c r="AE27" i="42"/>
  <c r="BH30" i="37" l="1"/>
  <c r="BF31" i="37"/>
  <c r="ER101" i="2"/>
  <c r="ER111" i="2"/>
  <c r="ER112" i="2" s="1"/>
  <c r="EO114" i="2"/>
  <c r="EO112" i="2"/>
  <c r="EM114" i="2"/>
  <c r="ER159" i="14"/>
  <c r="BH34" i="37"/>
  <c r="EE116" i="2"/>
  <c r="AQ35" i="37"/>
  <c r="AS35" i="37"/>
  <c r="AP36" i="37"/>
  <c r="AG37" i="37"/>
  <c r="AI37" i="37"/>
  <c r="AF38" i="37"/>
  <c r="DJ19" i="25"/>
  <c r="DK18" i="25"/>
  <c r="DM18" i="25"/>
  <c r="K33" i="1"/>
  <c r="O16" i="1"/>
  <c r="EE65" i="13"/>
  <c r="BC69" i="35"/>
  <c r="BC73" i="35" s="1"/>
  <c r="EH115" i="2"/>
  <c r="EH116" i="2" s="1"/>
  <c r="EE117" i="2"/>
  <c r="EF117" i="2"/>
  <c r="EE118" i="2"/>
  <c r="BC70" i="35" s="1"/>
  <c r="EJ116" i="2"/>
  <c r="EC65" i="13"/>
  <c r="DE69" i="35"/>
  <c r="EC118" i="2"/>
  <c r="ED117" i="2"/>
  <c r="EF18" i="25"/>
  <c r="EC116" i="2"/>
  <c r="K17" i="1"/>
  <c r="H21" i="26"/>
  <c r="EM78" i="2"/>
  <c r="M16" i="1"/>
  <c r="EM79" i="2"/>
  <c r="EH78" i="2"/>
  <c r="L16" i="1"/>
  <c r="L33" i="1" s="1"/>
  <c r="ER133" i="14"/>
  <c r="ER128" i="14"/>
  <c r="ER129" i="14" s="1"/>
  <c r="ER75" i="2"/>
  <c r="EC119" i="2"/>
  <c r="BG69" i="35"/>
  <c r="BG73" i="35" s="1"/>
  <c r="EJ65" i="13"/>
  <c r="EK117" i="2"/>
  <c r="EJ117" i="2"/>
  <c r="EM115" i="2"/>
  <c r="EJ118" i="2"/>
  <c r="BG70" i="35" s="1"/>
  <c r="EJ119" i="2"/>
  <c r="DW7" i="13"/>
  <c r="DW64" i="2"/>
  <c r="DW63" i="2"/>
  <c r="DW71" i="2"/>
  <c r="DW66" i="2"/>
  <c r="DW121" i="2"/>
  <c r="DX62" i="2"/>
  <c r="DW46" i="12"/>
  <c r="EF17" i="12"/>
  <c r="EE19" i="12"/>
  <c r="EE42" i="12"/>
  <c r="EO78" i="2"/>
  <c r="ER77" i="2"/>
  <c r="EO80" i="2"/>
  <c r="EP80" i="2"/>
  <c r="EO115" i="2"/>
  <c r="AK37" i="37"/>
  <c r="AE28" i="42"/>
  <c r="AU35" i="37"/>
  <c r="AF39" i="37"/>
  <c r="BE32" i="37"/>
  <c r="AA29" i="42"/>
  <c r="AZ35" i="37"/>
  <c r="ER114" i="2" l="1"/>
  <c r="BF32" i="37"/>
  <c r="AG39" i="37"/>
  <c r="AI39" i="37"/>
  <c r="AV35" i="37"/>
  <c r="AX35" i="37"/>
  <c r="AU36" i="37"/>
  <c r="AL37" i="37"/>
  <c r="AN37" i="37"/>
  <c r="AK38" i="37"/>
  <c r="BA35" i="37"/>
  <c r="BC35" i="37"/>
  <c r="AZ36" i="37"/>
  <c r="DW72" i="2"/>
  <c r="CO23" i="25"/>
  <c r="EF42" i="12"/>
  <c r="K34" i="1"/>
  <c r="I55" i="1" s="1"/>
  <c r="I47" i="1"/>
  <c r="I49" i="1" s="1"/>
  <c r="EG18" i="25"/>
  <c r="EF19" i="25"/>
  <c r="EI18" i="25"/>
  <c r="EK18" i="25"/>
  <c r="EH65" i="13"/>
  <c r="DF69" i="35"/>
  <c r="EI117" i="2"/>
  <c r="EH118" i="2"/>
  <c r="EM116" i="2"/>
  <c r="L17" i="1"/>
  <c r="L34" i="1" s="1"/>
  <c r="EH119" i="2"/>
  <c r="EF19" i="12"/>
  <c r="EG17" i="12"/>
  <c r="DX46" i="12"/>
  <c r="DX74" i="12" s="1"/>
  <c r="DW47" i="12"/>
  <c r="DW48" i="12"/>
  <c r="DX66" i="2"/>
  <c r="DX64" i="2"/>
  <c r="J29" i="1" s="1"/>
  <c r="DX63" i="2"/>
  <c r="DX71" i="2"/>
  <c r="CV22" i="25"/>
  <c r="EM65" i="13"/>
  <c r="DG69" i="35"/>
  <c r="EN117" i="2"/>
  <c r="EM118" i="2"/>
  <c r="M17" i="1"/>
  <c r="EO65" i="13"/>
  <c r="BK69" i="35"/>
  <c r="BK73" i="35" s="1"/>
  <c r="EP117" i="2"/>
  <c r="ER115" i="2"/>
  <c r="ER116" i="2" s="1"/>
  <c r="EO118" i="2"/>
  <c r="BK70" i="35" s="1"/>
  <c r="EO117" i="2"/>
  <c r="DW128" i="2"/>
  <c r="DX128" i="2" s="1"/>
  <c r="DX121" i="2"/>
  <c r="DW67" i="2"/>
  <c r="DW68" i="2"/>
  <c r="EO116" i="2"/>
  <c r="DM19" i="25"/>
  <c r="DK19" i="25"/>
  <c r="DE70" i="35"/>
  <c r="K26" i="1"/>
  <c r="H22" i="26"/>
  <c r="EM119" i="2"/>
  <c r="AI38" i="37"/>
  <c r="AG38" i="37"/>
  <c r="ER78" i="2"/>
  <c r="N16" i="1"/>
  <c r="N33" i="1" s="1"/>
  <c r="M33" i="1"/>
  <c r="AQ36" i="37"/>
  <c r="AS36" i="37"/>
  <c r="DW24" i="13"/>
  <c r="DW25" i="13"/>
  <c r="DX7" i="13"/>
  <c r="DX25" i="13" s="1"/>
  <c r="ER79" i="2"/>
  <c r="EO119" i="2"/>
  <c r="DW74" i="12"/>
  <c r="AK39" i="37"/>
  <c r="AA30" i="42"/>
  <c r="AA31" i="42"/>
  <c r="AF40" i="37"/>
  <c r="BE35" i="37"/>
  <c r="M34" i="1" l="1"/>
  <c r="DW26" i="13"/>
  <c r="DX127" i="2"/>
  <c r="BF35" i="37"/>
  <c r="BH35" i="37"/>
  <c r="BE36" i="37"/>
  <c r="AG40" i="37"/>
  <c r="AI40" i="37"/>
  <c r="AF41" i="37"/>
  <c r="AL39" i="37"/>
  <c r="AN39" i="37"/>
  <c r="DW129" i="2"/>
  <c r="ER65" i="13"/>
  <c r="DH69" i="35"/>
  <c r="ER118" i="2"/>
  <c r="N17" i="1"/>
  <c r="N34" i="1" s="1"/>
  <c r="DW46" i="13"/>
  <c r="DW54" i="13"/>
  <c r="DW56" i="13" s="1"/>
  <c r="DW66" i="13"/>
  <c r="DX24" i="13"/>
  <c r="DX26" i="13" s="1"/>
  <c r="EH17" i="12"/>
  <c r="EI17" i="12" s="1"/>
  <c r="EG19" i="12"/>
  <c r="ER119" i="2"/>
  <c r="CW22" i="25"/>
  <c r="CY22" i="25"/>
  <c r="EK19" i="25"/>
  <c r="EG19" i="25"/>
  <c r="EI19" i="25"/>
  <c r="BA36" i="37"/>
  <c r="BC36" i="37"/>
  <c r="DX72" i="2"/>
  <c r="CV23" i="25"/>
  <c r="J20" i="1"/>
  <c r="J55" i="1"/>
  <c r="K55" i="1" s="1"/>
  <c r="H55" i="1"/>
  <c r="G55" i="1" s="1"/>
  <c r="DX68" i="2"/>
  <c r="DX67" i="2"/>
  <c r="DF70" i="35"/>
  <c r="L26" i="1"/>
  <c r="DG70" i="35"/>
  <c r="M26" i="1"/>
  <c r="EG42" i="12"/>
  <c r="AX36" i="37"/>
  <c r="AV36" i="37"/>
  <c r="CR23" i="25"/>
  <c r="CP23" i="25"/>
  <c r="I22" i="26"/>
  <c r="I21" i="26" s="1"/>
  <c r="G22" i="26"/>
  <c r="G21" i="26" s="1"/>
  <c r="J22" i="26"/>
  <c r="J21" i="26" s="1"/>
  <c r="F22" i="26"/>
  <c r="F21" i="26" s="1"/>
  <c r="DX47" i="12"/>
  <c r="DX48" i="12"/>
  <c r="AA35" i="42"/>
  <c r="AF45" i="37"/>
  <c r="AA32" i="42"/>
  <c r="AK40" i="37"/>
  <c r="N21" i="26" l="1"/>
  <c r="AL40" i="37"/>
  <c r="AN40" i="37"/>
  <c r="AK41" i="37"/>
  <c r="AG45" i="37"/>
  <c r="AI45" i="37"/>
  <c r="AF46" i="37"/>
  <c r="AF47" i="37"/>
  <c r="J37" i="1"/>
  <c r="J44" i="1"/>
  <c r="DX54" i="13"/>
  <c r="DX66" i="13"/>
  <c r="DW130" i="2"/>
  <c r="DW132" i="2"/>
  <c r="DX129" i="2"/>
  <c r="EI19" i="12"/>
  <c r="EJ17" i="12"/>
  <c r="AG41" i="37"/>
  <c r="AI41" i="37"/>
  <c r="EH42" i="12"/>
  <c r="DW58" i="13"/>
  <c r="DW59" i="13"/>
  <c r="DW60" i="13" s="1"/>
  <c r="DW61" i="13"/>
  <c r="DW57" i="13"/>
  <c r="AW168" i="35" s="1"/>
  <c r="CY23" i="25"/>
  <c r="CW23" i="25"/>
  <c r="EH19" i="12"/>
  <c r="DW48" i="13"/>
  <c r="DX46" i="13"/>
  <c r="BH36" i="37"/>
  <c r="BF36" i="37"/>
  <c r="DH70" i="35"/>
  <c r="N26" i="1"/>
  <c r="AA36" i="42"/>
  <c r="EI42" i="12" l="1"/>
  <c r="DX48" i="13"/>
  <c r="EC47" i="13" s="1"/>
  <c r="DY47" i="13"/>
  <c r="DW50" i="13"/>
  <c r="DX56" i="13"/>
  <c r="F7" i="21"/>
  <c r="F9" i="21" s="1"/>
  <c r="F10" i="21" s="1"/>
  <c r="AI47" i="37"/>
  <c r="AG47" i="37"/>
  <c r="DW134" i="2"/>
  <c r="DW133" i="2"/>
  <c r="EJ19" i="12"/>
  <c r="EK17" i="12"/>
  <c r="AG46" i="37"/>
  <c r="AI46" i="37"/>
  <c r="DX132" i="2"/>
  <c r="AA39" i="42"/>
  <c r="AK45" i="37"/>
  <c r="AL45" i="37" l="1"/>
  <c r="AN45" i="37"/>
  <c r="AK47" i="37"/>
  <c r="AK46" i="37"/>
  <c r="DX57" i="13"/>
  <c r="DX58" i="13"/>
  <c r="DX59" i="13"/>
  <c r="DX61" i="13"/>
  <c r="DX50" i="13"/>
  <c r="DW52" i="13"/>
  <c r="EK19" i="12"/>
  <c r="EL17" i="12"/>
  <c r="J21" i="1"/>
  <c r="EJ42" i="12"/>
  <c r="AA40" i="42"/>
  <c r="DX52" i="13" l="1"/>
  <c r="DW8" i="12"/>
  <c r="DX60" i="13"/>
  <c r="J23" i="1"/>
  <c r="EL19" i="12"/>
  <c r="EM17" i="12"/>
  <c r="EN17" i="12" s="1"/>
  <c r="EK42" i="12"/>
  <c r="DD234" i="35"/>
  <c r="DD75" i="35"/>
  <c r="DD76" i="35" s="1"/>
  <c r="J28" i="1"/>
  <c r="AL47" i="37"/>
  <c r="AN47" i="37"/>
  <c r="J43" i="1"/>
  <c r="EM19" i="12" l="1"/>
  <c r="EL42" i="12"/>
  <c r="EO17" i="12"/>
  <c r="EN19" i="12"/>
  <c r="DW14" i="12"/>
  <c r="DW7" i="12"/>
  <c r="DX8" i="12"/>
  <c r="DX75" i="12" s="1"/>
  <c r="DW51" i="12"/>
  <c r="DW75" i="12"/>
  <c r="J38" i="1"/>
  <c r="J45" i="1"/>
  <c r="DW53" i="12" l="1"/>
  <c r="DX51" i="12"/>
  <c r="EM42" i="12"/>
  <c r="DX14" i="12"/>
  <c r="DX26" i="12" s="1"/>
  <c r="DW26" i="12"/>
  <c r="DX7" i="12"/>
  <c r="DY50" i="2" s="1"/>
  <c r="EO19" i="12"/>
  <c r="EP17" i="12"/>
  <c r="EQ17" i="12" l="1"/>
  <c r="EP19" i="12"/>
  <c r="DY71" i="12"/>
  <c r="DY52" i="2"/>
  <c r="DW73" i="12"/>
  <c r="DW49" i="12"/>
  <c r="DX73" i="12"/>
  <c r="DX49" i="12"/>
  <c r="EN42" i="12"/>
  <c r="DW72" i="12"/>
  <c r="DX53" i="12"/>
  <c r="DW70" i="12"/>
  <c r="DX70" i="12" l="1"/>
  <c r="DX72" i="12"/>
  <c r="J9" i="1"/>
  <c r="DY55" i="2"/>
  <c r="EO42" i="12"/>
  <c r="ER17" i="12"/>
  <c r="EQ19" i="12"/>
  <c r="ER19" i="12" l="1"/>
  <c r="EP42" i="12"/>
  <c r="DY56" i="2"/>
  <c r="F28" i="21"/>
  <c r="J10" i="1"/>
  <c r="DY57" i="2" l="1"/>
  <c r="EQ42" i="12"/>
  <c r="J41" i="1"/>
  <c r="J40" i="1"/>
  <c r="J42" i="1"/>
  <c r="ER42" i="12" l="1"/>
  <c r="DY60" i="2"/>
  <c r="DY62" i="2" l="1"/>
  <c r="DY7" i="13" l="1"/>
  <c r="DY71" i="2"/>
  <c r="DY66" i="2"/>
  <c r="DY64" i="2"/>
  <c r="DY121" i="2"/>
  <c r="DY46" i="12"/>
  <c r="DY47" i="12" l="1"/>
  <c r="DY48" i="12"/>
  <c r="DY128" i="2"/>
  <c r="DY129" i="2" s="1"/>
  <c r="DY67" i="2"/>
  <c r="DY68" i="2"/>
  <c r="DC23" i="25"/>
  <c r="DY25" i="13"/>
  <c r="DY24" i="13"/>
  <c r="DY74" i="12"/>
  <c r="DY26" i="13" l="1"/>
  <c r="DY130" i="2"/>
  <c r="DY132" i="2"/>
  <c r="DD23" i="25"/>
  <c r="DF23" i="25"/>
  <c r="DY54" i="13"/>
  <c r="DY56" i="13" s="1"/>
  <c r="DY46" i="13"/>
  <c r="DY66" i="13"/>
  <c r="DY57" i="13" l="1"/>
  <c r="AX168" i="35" s="1"/>
  <c r="DY58" i="13"/>
  <c r="DY59" i="13"/>
  <c r="DY60" i="13" s="1"/>
  <c r="DY61" i="13"/>
  <c r="DY48" i="13"/>
  <c r="DY134" i="2"/>
  <c r="DY133" i="2"/>
  <c r="DY50" i="13" l="1"/>
  <c r="DY52" i="13" s="1"/>
  <c r="DY8" i="12" s="1"/>
  <c r="DZ47" i="13"/>
  <c r="DY14" i="12" l="1"/>
  <c r="DY26" i="12" s="1"/>
  <c r="DY7" i="12"/>
  <c r="DZ50" i="2" s="1"/>
  <c r="DY51" i="12"/>
  <c r="DY53" i="12" s="1"/>
  <c r="DY75" i="12"/>
  <c r="DY70" i="12" l="1"/>
  <c r="DY72" i="12"/>
  <c r="DZ52" i="2"/>
  <c r="DZ71" i="12"/>
  <c r="DY73" i="12"/>
  <c r="DY49" i="12"/>
  <c r="DZ55" i="2" l="1"/>
  <c r="DZ56" i="2" l="1"/>
  <c r="DZ57" i="2" l="1"/>
  <c r="DZ60" i="2" l="1"/>
  <c r="DZ62" i="2" l="1"/>
  <c r="DZ7" i="13" l="1"/>
  <c r="DZ121" i="2"/>
  <c r="DZ66" i="2"/>
  <c r="DZ64" i="2"/>
  <c r="DZ63" i="2"/>
  <c r="DZ71" i="2"/>
  <c r="DZ46" i="12"/>
  <c r="DZ68" i="2" l="1"/>
  <c r="DZ67" i="2"/>
  <c r="DZ128" i="2"/>
  <c r="DZ129" i="2" s="1"/>
  <c r="DZ47" i="12"/>
  <c r="DZ48" i="12"/>
  <c r="DZ72" i="2"/>
  <c r="DJ23" i="25"/>
  <c r="DZ74" i="12"/>
  <c r="DZ24" i="13"/>
  <c r="DZ25" i="13"/>
  <c r="DK23" i="25" l="1"/>
  <c r="DM23" i="25"/>
  <c r="DZ132" i="2"/>
  <c r="DZ130" i="2"/>
  <c r="DZ26" i="13"/>
  <c r="DZ46" i="13"/>
  <c r="DZ66" i="13"/>
  <c r="DZ54" i="13"/>
  <c r="DZ56" i="13" s="1"/>
  <c r="DZ48" i="13" l="1"/>
  <c r="DZ133" i="2"/>
  <c r="DZ134" i="2"/>
  <c r="DZ58" i="13"/>
  <c r="DZ59" i="13"/>
  <c r="DZ60" i="13" s="1"/>
  <c r="DZ57" i="13"/>
  <c r="AY168" i="35" s="1"/>
  <c r="DZ61" i="13"/>
  <c r="EA47" i="13" l="1"/>
  <c r="DZ50" i="13"/>
  <c r="DZ52" i="13" s="1"/>
  <c r="DZ8" i="12" s="1"/>
  <c r="DZ51" i="12" l="1"/>
  <c r="DZ53" i="12" s="1"/>
  <c r="DZ7" i="12"/>
  <c r="EA50" i="2" s="1"/>
  <c r="DZ14" i="12"/>
  <c r="DZ26" i="12" s="1"/>
  <c r="DZ75" i="12"/>
  <c r="DZ73" i="12" l="1"/>
  <c r="DZ49" i="12"/>
  <c r="EA52" i="2"/>
  <c r="EA71" i="12"/>
  <c r="DZ70" i="12"/>
  <c r="DZ72" i="12"/>
  <c r="EA55" i="2" l="1"/>
  <c r="EA56" i="2" l="1"/>
  <c r="EA57" i="2" l="1"/>
  <c r="EA60" i="2" l="1"/>
  <c r="EA62" i="2" l="1"/>
  <c r="EA7" i="13" l="1"/>
  <c r="EA71" i="2"/>
  <c r="EA64" i="2"/>
  <c r="EA121" i="2"/>
  <c r="EA66" i="2"/>
  <c r="EA63" i="2"/>
  <c r="EA46" i="12"/>
  <c r="EA47" i="12" l="1"/>
  <c r="EA48" i="12"/>
  <c r="EA128" i="2"/>
  <c r="EA129" i="2" s="1"/>
  <c r="EA68" i="2"/>
  <c r="EA67" i="2"/>
  <c r="EA25" i="13"/>
  <c r="EA24" i="13"/>
  <c r="DQ23" i="25"/>
  <c r="EA72" i="2"/>
  <c r="EA74" i="12"/>
  <c r="EA46" i="13" l="1"/>
  <c r="EA66" i="13"/>
  <c r="EA54" i="13"/>
  <c r="EA56" i="13" s="1"/>
  <c r="EA26" i="13"/>
  <c r="EA132" i="2"/>
  <c r="EA130" i="2"/>
  <c r="DR23" i="25"/>
  <c r="DT23" i="25"/>
  <c r="EA134" i="2" l="1"/>
  <c r="EA133" i="2"/>
  <c r="EA58" i="13"/>
  <c r="EA57" i="13"/>
  <c r="AZ168" i="35" s="1"/>
  <c r="EA61" i="13"/>
  <c r="EA59" i="13"/>
  <c r="EA60" i="13" s="1"/>
  <c r="EA48" i="13"/>
  <c r="EB47" i="13" l="1"/>
  <c r="EA50" i="13"/>
  <c r="EA52" i="13" s="1"/>
  <c r="EA8" i="12" s="1"/>
  <c r="EA7" i="12" l="1"/>
  <c r="EB50" i="2" s="1"/>
  <c r="EA14" i="12"/>
  <c r="EA26" i="12" s="1"/>
  <c r="EA51" i="12"/>
  <c r="EA53" i="12" s="1"/>
  <c r="EA75" i="12"/>
  <c r="EA73" i="12" l="1"/>
  <c r="EA49" i="12"/>
  <c r="EA70" i="12"/>
  <c r="EA72" i="12"/>
  <c r="EB52" i="2"/>
  <c r="EB71" i="12"/>
  <c r="EC50" i="2"/>
  <c r="EC71" i="12" s="1"/>
  <c r="EB55" i="2" l="1"/>
  <c r="EC52" i="2"/>
  <c r="EB56" i="2" l="1"/>
  <c r="EC55" i="2"/>
  <c r="EB57" i="2" l="1"/>
  <c r="EC56" i="2"/>
  <c r="ES56" i="2" s="1"/>
  <c r="EB60" i="2" l="1"/>
  <c r="EC57" i="2"/>
  <c r="EC60" i="2" l="1"/>
  <c r="EC58" i="2" s="1"/>
  <c r="H20" i="21" s="1"/>
  <c r="EB62" i="2"/>
  <c r="EB7" i="13" l="1"/>
  <c r="EB71" i="2"/>
  <c r="EB64" i="2"/>
  <c r="EB121" i="2"/>
  <c r="EB66" i="2"/>
  <c r="EB63" i="2"/>
  <c r="EC62" i="2"/>
  <c r="EB46" i="12"/>
  <c r="AE29" i="42"/>
  <c r="AP37" i="37"/>
  <c r="AQ37" i="37" l="1"/>
  <c r="AS37" i="37"/>
  <c r="AP38" i="37"/>
  <c r="EB128" i="2"/>
  <c r="EC128" i="2" s="1"/>
  <c r="EC121" i="2"/>
  <c r="EC46" i="12"/>
  <c r="EC74" i="12" s="1"/>
  <c r="EB47" i="12"/>
  <c r="EB48" i="12"/>
  <c r="ES62" i="2"/>
  <c r="EC71" i="2"/>
  <c r="EC66" i="2"/>
  <c r="EC64" i="2"/>
  <c r="K29" i="1" s="1"/>
  <c r="EF22" i="25"/>
  <c r="EC63" i="2"/>
  <c r="EB25" i="13"/>
  <c r="EB24" i="13"/>
  <c r="EC7" i="13"/>
  <c r="EC25" i="13" s="1"/>
  <c r="EB68" i="2"/>
  <c r="EB67" i="2"/>
  <c r="DX23" i="25"/>
  <c r="EB72" i="2"/>
  <c r="EB74" i="12"/>
  <c r="AE30" i="42"/>
  <c r="AP39" i="37"/>
  <c r="AE31" i="42"/>
  <c r="EB129" i="2" l="1"/>
  <c r="EB132" i="2" s="1"/>
  <c r="AQ39" i="37"/>
  <c r="AS39" i="37"/>
  <c r="EB26" i="13"/>
  <c r="EC127" i="2"/>
  <c r="EC68" i="2"/>
  <c r="EC67" i="2"/>
  <c r="EI22" i="25"/>
  <c r="EG22" i="25"/>
  <c r="EK22" i="25"/>
  <c r="EF23" i="25"/>
  <c r="K20" i="1"/>
  <c r="EC72" i="2"/>
  <c r="EB46" i="13"/>
  <c r="EB54" i="13"/>
  <c r="EB56" i="13" s="1"/>
  <c r="EB66" i="13"/>
  <c r="EC24" i="13"/>
  <c r="EC26" i="13" s="1"/>
  <c r="EC47" i="12"/>
  <c r="EC48" i="12"/>
  <c r="DY23" i="25"/>
  <c r="EA23" i="25"/>
  <c r="EC23" i="25"/>
  <c r="AE32" i="42"/>
  <c r="AE35" i="42"/>
  <c r="AP40" i="37"/>
  <c r="EB130" i="2" l="1"/>
  <c r="EC129" i="2"/>
  <c r="EC132" i="2" s="1"/>
  <c r="AQ40" i="37"/>
  <c r="AS40" i="37"/>
  <c r="AP41" i="37"/>
  <c r="EB48" i="13"/>
  <c r="EC46" i="13"/>
  <c r="EC66" i="13"/>
  <c r="EC54" i="13"/>
  <c r="EB134" i="2"/>
  <c r="EB133" i="2"/>
  <c r="EB57" i="13"/>
  <c r="BA168" i="35" s="1"/>
  <c r="EB59" i="13"/>
  <c r="EB60" i="13" s="1"/>
  <c r="EB58" i="13"/>
  <c r="EB61" i="13"/>
  <c r="EK23" i="25"/>
  <c r="EG23" i="25"/>
  <c r="EI23" i="25"/>
  <c r="O20" i="1"/>
  <c r="K44" i="1"/>
  <c r="K37" i="1"/>
  <c r="AE36" i="42"/>
  <c r="EC130" i="2" l="1"/>
  <c r="EC56" i="13"/>
  <c r="G7" i="21"/>
  <c r="G9" i="21" s="1"/>
  <c r="G10" i="21" s="1"/>
  <c r="K21" i="1"/>
  <c r="EC133" i="2"/>
  <c r="EC48" i="13"/>
  <c r="EH47" i="13" s="1"/>
  <c r="EB50" i="13"/>
  <c r="ED47" i="13"/>
  <c r="AE39" i="42"/>
  <c r="AP45" i="37"/>
  <c r="AQ45" i="37" l="1"/>
  <c r="AS45" i="37"/>
  <c r="AP46" i="37"/>
  <c r="AP47" i="37"/>
  <c r="EB52" i="13"/>
  <c r="EC50" i="13"/>
  <c r="K43" i="1"/>
  <c r="K36" i="1"/>
  <c r="EC57" i="13"/>
  <c r="EC58" i="13"/>
  <c r="EC59" i="13"/>
  <c r="EC61" i="13"/>
  <c r="AE40" i="42"/>
  <c r="DE75" i="35" l="1"/>
  <c r="DE76" i="35" s="1"/>
  <c r="DE234" i="35"/>
  <c r="K28" i="1"/>
  <c r="EC52" i="13"/>
  <c r="EB8" i="12"/>
  <c r="EC60" i="13"/>
  <c r="K23" i="1"/>
  <c r="M51" i="1"/>
  <c r="AQ47" i="37"/>
  <c r="AS47" i="37"/>
  <c r="K38" i="1" l="1"/>
  <c r="O23" i="1"/>
  <c r="K45" i="1"/>
  <c r="EB51" i="12"/>
  <c r="EB14" i="12"/>
  <c r="EB7" i="12"/>
  <c r="EC8" i="12"/>
  <c r="EC75" i="12" s="1"/>
  <c r="EB75" i="12"/>
  <c r="EC7" i="12" l="1"/>
  <c r="ED50" i="2" s="1"/>
  <c r="EC14" i="12"/>
  <c r="EC26" i="12" s="1"/>
  <c r="EB26" i="12"/>
  <c r="EC51" i="12"/>
  <c r="EB53" i="12"/>
  <c r="EC53" i="12" l="1"/>
  <c r="EB70" i="12"/>
  <c r="EB72" i="12"/>
  <c r="EB73" i="12"/>
  <c r="EB49" i="12"/>
  <c r="EC73" i="12"/>
  <c r="EC49" i="12"/>
  <c r="ED71" i="12"/>
  <c r="ED52" i="2"/>
  <c r="ED55" i="2" l="1"/>
  <c r="EC70" i="12"/>
  <c r="EC72" i="12"/>
  <c r="K9" i="1"/>
  <c r="G28" i="21" l="1"/>
  <c r="H25" i="26"/>
  <c r="K10" i="1"/>
  <c r="G50" i="1"/>
  <c r="G51" i="1" s="1"/>
  <c r="G52" i="1" s="1"/>
  <c r="G53" i="1" s="1"/>
  <c r="I50" i="1"/>
  <c r="I51" i="1" s="1"/>
  <c r="I52" i="1" s="1"/>
  <c r="I53" i="1" s="1"/>
  <c r="ED56" i="2"/>
  <c r="ED57" i="2" l="1"/>
  <c r="F25" i="26"/>
  <c r="G25" i="26"/>
  <c r="I25" i="26"/>
  <c r="J25" i="26"/>
  <c r="K42" i="1"/>
  <c r="K41" i="1"/>
  <c r="K40" i="1"/>
  <c r="D19" i="21"/>
  <c r="E19" i="21" s="1"/>
  <c r="H12" i="21"/>
  <c r="H14" i="21" s="1"/>
  <c r="H21" i="21" s="1"/>
  <c r="J17" i="21" s="1"/>
  <c r="J16" i="21" l="1"/>
  <c r="J18" i="21"/>
  <c r="K49" i="1"/>
  <c r="ED60" i="2"/>
  <c r="J19" i="21" l="1"/>
  <c r="J15" i="21"/>
  <c r="ED62" i="2"/>
  <c r="J20" i="21" l="1"/>
  <c r="ED7" i="13"/>
  <c r="ED66" i="2"/>
  <c r="ED64" i="2"/>
  <c r="ED71" i="2"/>
  <c r="ED121" i="2"/>
  <c r="ED63" i="2"/>
  <c r="ED46" i="12"/>
  <c r="ED74" i="12" s="1"/>
  <c r="J14" i="21"/>
  <c r="ED24" i="13" l="1"/>
  <c r="ED25" i="13"/>
  <c r="ED128" i="2"/>
  <c r="ED129" i="2" s="1"/>
  <c r="J21" i="21"/>
  <c r="ED47" i="12"/>
  <c r="ED48" i="12"/>
  <c r="ED72" i="2"/>
  <c r="J13" i="21"/>
  <c r="ED67" i="2"/>
  <c r="ED68" i="2"/>
  <c r="ED132" i="2" l="1"/>
  <c r="ED130" i="2"/>
  <c r="ED26" i="13"/>
  <c r="ED46" i="13"/>
  <c r="ED66" i="13"/>
  <c r="ED54" i="13"/>
  <c r="ED56" i="13" s="1"/>
  <c r="ED48" i="13" l="1"/>
  <c r="ED134" i="2"/>
  <c r="ED133" i="2"/>
  <c r="ED57" i="13"/>
  <c r="BB168" i="35" s="1"/>
  <c r="ED58" i="13"/>
  <c r="ED61" i="13"/>
  <c r="ED59" i="13"/>
  <c r="ED60" i="13" s="1"/>
  <c r="EE47" i="13" l="1"/>
  <c r="ED50" i="13"/>
  <c r="ED52" i="13" s="1"/>
  <c r="ED8" i="12" s="1"/>
  <c r="ED51" i="12" l="1"/>
  <c r="ED53" i="12" s="1"/>
  <c r="ED7" i="12"/>
  <c r="EE50" i="2" s="1"/>
  <c r="ED14" i="12"/>
  <c r="ED26" i="12" s="1"/>
  <c r="ED75" i="12"/>
  <c r="ED73" i="12" l="1"/>
  <c r="ED49" i="12"/>
  <c r="EE52" i="2"/>
  <c r="EE71" i="12"/>
  <c r="ED70" i="12"/>
  <c r="ED72" i="12"/>
  <c r="EE55" i="2" l="1"/>
  <c r="EE56" i="2" l="1"/>
  <c r="EE57" i="2" l="1"/>
  <c r="EE60" i="2" l="1"/>
  <c r="EE62" i="2" l="1"/>
  <c r="EE7" i="13" l="1"/>
  <c r="EE66" i="2"/>
  <c r="EE64" i="2"/>
  <c r="EE71" i="2"/>
  <c r="EE121" i="2"/>
  <c r="EE63" i="2"/>
  <c r="EE46" i="12"/>
  <c r="EE74" i="12" s="1"/>
  <c r="EE72" i="2" l="1"/>
  <c r="EE24" i="13"/>
  <c r="EE25" i="13"/>
  <c r="EE47" i="12"/>
  <c r="EE48" i="12"/>
  <c r="EE128" i="2"/>
  <c r="EE129" i="2" s="1"/>
  <c r="EE68" i="2"/>
  <c r="EE67" i="2"/>
  <c r="EE26" i="13" l="1"/>
  <c r="EE132" i="2"/>
  <c r="EE130" i="2"/>
  <c r="EE66" i="13"/>
  <c r="EE46" i="13"/>
  <c r="EE54" i="13"/>
  <c r="EE56" i="13" s="1"/>
  <c r="EE48" i="13" l="1"/>
  <c r="EE61" i="13"/>
  <c r="EE57" i="13"/>
  <c r="BC168" i="35" s="1"/>
  <c r="EE58" i="13"/>
  <c r="EE59" i="13"/>
  <c r="EE60" i="13" s="1"/>
  <c r="EE134" i="2"/>
  <c r="EE133" i="2"/>
  <c r="EF47" i="13" l="1"/>
  <c r="EE50" i="13"/>
  <c r="EE52" i="13" s="1"/>
  <c r="EE8" i="12" s="1"/>
  <c r="EE51" i="12" l="1"/>
  <c r="EE53" i="12" s="1"/>
  <c r="EE14" i="12"/>
  <c r="EE26" i="12" s="1"/>
  <c r="EE7" i="12"/>
  <c r="EF50" i="2" s="1"/>
  <c r="EE75" i="12"/>
  <c r="EF52" i="2" l="1"/>
  <c r="EF71" i="12"/>
  <c r="EE73" i="12"/>
  <c r="EE49" i="12"/>
  <c r="EE72" i="12"/>
  <c r="EE70" i="12"/>
  <c r="EF55" i="2" l="1"/>
  <c r="EF56" i="2" l="1"/>
  <c r="EF57" i="2" l="1"/>
  <c r="EF60" i="2" l="1"/>
  <c r="EF62" i="2" l="1"/>
  <c r="EF7" i="13" l="1"/>
  <c r="EF71" i="2"/>
  <c r="EF66" i="2"/>
  <c r="EF64" i="2"/>
  <c r="EF121" i="2"/>
  <c r="EF63" i="2"/>
  <c r="EF46" i="12"/>
  <c r="EF47" i="12" l="1"/>
  <c r="EF48" i="12"/>
  <c r="EF72" i="2"/>
  <c r="EF24" i="13"/>
  <c r="EF25" i="13"/>
  <c r="EF74" i="12"/>
  <c r="EF128" i="2"/>
  <c r="EF129" i="2" s="1"/>
  <c r="EF68" i="2"/>
  <c r="EF67" i="2"/>
  <c r="EF132" i="2" l="1"/>
  <c r="EF130" i="2"/>
  <c r="EF54" i="13"/>
  <c r="EF56" i="13" s="1"/>
  <c r="EF46" i="13"/>
  <c r="EF66" i="13"/>
  <c r="EF26" i="13"/>
  <c r="EF48" i="13" l="1"/>
  <c r="EF57" i="13"/>
  <c r="BD168" i="35" s="1"/>
  <c r="EF58" i="13"/>
  <c r="EF59" i="13"/>
  <c r="EF60" i="13" s="1"/>
  <c r="EF61" i="13"/>
  <c r="EF134" i="2"/>
  <c r="EF133" i="2"/>
  <c r="EF50" i="13" l="1"/>
  <c r="EF52" i="13" s="1"/>
  <c r="EF8" i="12" s="1"/>
  <c r="EG47" i="13"/>
  <c r="EF7" i="12" l="1"/>
  <c r="EG50" i="2" s="1"/>
  <c r="EF14" i="12"/>
  <c r="EF26" i="12" s="1"/>
  <c r="EF51" i="12"/>
  <c r="EF53" i="12" s="1"/>
  <c r="EF75" i="12"/>
  <c r="EF73" i="12" l="1"/>
  <c r="EF49" i="12"/>
  <c r="EF72" i="12"/>
  <c r="EF70" i="12"/>
  <c r="EG52" i="2"/>
  <c r="EG71" i="12"/>
  <c r="EH50" i="2"/>
  <c r="EH71" i="12" s="1"/>
  <c r="EG55" i="2" l="1"/>
  <c r="EH52" i="2"/>
  <c r="EG56" i="2" l="1"/>
  <c r="EH55" i="2"/>
  <c r="EG57" i="2" l="1"/>
  <c r="EH56" i="2"/>
  <c r="EG60" i="2" l="1"/>
  <c r="EH57" i="2"/>
  <c r="EH60" i="2" l="1"/>
  <c r="EH58" i="2" s="1"/>
  <c r="EG62" i="2"/>
  <c r="EG7" i="13" l="1"/>
  <c r="EG64" i="2"/>
  <c r="EG71" i="2"/>
  <c r="EG121" i="2"/>
  <c r="EG66" i="2"/>
  <c r="EG63" i="2"/>
  <c r="EH62" i="2"/>
  <c r="EG46" i="12"/>
  <c r="EG74" i="12" s="1"/>
  <c r="AU37" i="37"/>
  <c r="AV37" i="37" l="1"/>
  <c r="AX37" i="37"/>
  <c r="AU38" i="37"/>
  <c r="EH46" i="12"/>
  <c r="EH74" i="12" s="1"/>
  <c r="EG48" i="12"/>
  <c r="EG47" i="12"/>
  <c r="EH66" i="2"/>
  <c r="EH71" i="2"/>
  <c r="EH64" i="2"/>
  <c r="L29" i="1" s="1"/>
  <c r="EH63" i="2"/>
  <c r="EG68" i="2"/>
  <c r="EG67" i="2"/>
  <c r="EG128" i="2"/>
  <c r="EH128" i="2" s="1"/>
  <c r="EH121" i="2"/>
  <c r="EG72" i="2"/>
  <c r="EG25" i="13"/>
  <c r="EG24" i="13"/>
  <c r="EH7" i="13"/>
  <c r="EH25" i="13" s="1"/>
  <c r="AU39" i="37"/>
  <c r="EG129" i="2" l="1"/>
  <c r="EG130" i="2" s="1"/>
  <c r="EG26" i="13"/>
  <c r="AV39" i="37"/>
  <c r="AX39" i="37"/>
  <c r="L20" i="1"/>
  <c r="EH72" i="2"/>
  <c r="EH68" i="2"/>
  <c r="EH67" i="2"/>
  <c r="EH127" i="2"/>
  <c r="EG46" i="13"/>
  <c r="EG54" i="13"/>
  <c r="EG56" i="13" s="1"/>
  <c r="EG66" i="13"/>
  <c r="EH24" i="13"/>
  <c r="EH47" i="12"/>
  <c r="EH48" i="12"/>
  <c r="AU40" i="37"/>
  <c r="EH129" i="2" l="1"/>
  <c r="EH132" i="2" s="1"/>
  <c r="EG132" i="2"/>
  <c r="EG133" i="2" s="1"/>
  <c r="AV40" i="37"/>
  <c r="AX40" i="37"/>
  <c r="AU41" i="37"/>
  <c r="EH54" i="13"/>
  <c r="EH66" i="13"/>
  <c r="EG61" i="13"/>
  <c r="EG57" i="13"/>
  <c r="BE168" i="35" s="1"/>
  <c r="EG58" i="13"/>
  <c r="EG59" i="13"/>
  <c r="EG60" i="13" s="1"/>
  <c r="EH130" i="2"/>
  <c r="EH26" i="13"/>
  <c r="EG48" i="13"/>
  <c r="EH46" i="13"/>
  <c r="L44" i="1"/>
  <c r="L37" i="1"/>
  <c r="EG134" i="2" l="1"/>
  <c r="EI47" i="13"/>
  <c r="EG50" i="13"/>
  <c r="EH48" i="13"/>
  <c r="EM47" i="13" s="1"/>
  <c r="EH56" i="13"/>
  <c r="H7" i="21"/>
  <c r="H9" i="21" s="1"/>
  <c r="L21" i="1"/>
  <c r="EH133" i="2"/>
  <c r="AU45" i="37"/>
  <c r="AV45" i="37" l="1"/>
  <c r="AX45" i="37"/>
  <c r="AU46" i="37"/>
  <c r="AU47" i="37"/>
  <c r="H10" i="21"/>
  <c r="EH50" i="13"/>
  <c r="EG52" i="13"/>
  <c r="L36" i="1"/>
  <c r="L43" i="1"/>
  <c r="EH57" i="13"/>
  <c r="EH59" i="13"/>
  <c r="EH61" i="13"/>
  <c r="EH58" i="13"/>
  <c r="DF75" i="35" l="1"/>
  <c r="DF76" i="35" s="1"/>
  <c r="DF234" i="35"/>
  <c r="L28" i="1"/>
  <c r="AV47" i="37"/>
  <c r="AX47" i="37"/>
  <c r="EH60" i="13"/>
  <c r="L23" i="1"/>
  <c r="EG8" i="12"/>
  <c r="EH52" i="13"/>
  <c r="EG7" i="12" l="1"/>
  <c r="EH8" i="12"/>
  <c r="EH75" i="12" s="1"/>
  <c r="EG14" i="12"/>
  <c r="EG51" i="12"/>
  <c r="EG75" i="12"/>
  <c r="L38" i="1"/>
  <c r="L45" i="1"/>
  <c r="EG53" i="12" l="1"/>
  <c r="EH51" i="12"/>
  <c r="EH14" i="12"/>
  <c r="EH26" i="12" s="1"/>
  <c r="EG26" i="12"/>
  <c r="EH7" i="12"/>
  <c r="EI50" i="2" s="1"/>
  <c r="EI71" i="12" l="1"/>
  <c r="EI52" i="2"/>
  <c r="EG73" i="12"/>
  <c r="EG49" i="12"/>
  <c r="EH73" i="12"/>
  <c r="EH49" i="12"/>
  <c r="EH53" i="12"/>
  <c r="EG70" i="12"/>
  <c r="EG72" i="12"/>
  <c r="EH70" i="12" l="1"/>
  <c r="EH72" i="12"/>
  <c r="L9" i="1"/>
  <c r="L10" i="1" s="1"/>
  <c r="EI55" i="2"/>
  <c r="EI56" i="2" l="1"/>
  <c r="L40" i="1"/>
  <c r="L42" i="1"/>
  <c r="L41" i="1"/>
  <c r="EI57" i="2" l="1"/>
  <c r="EI60" i="2" l="1"/>
  <c r="EI62" i="2" l="1"/>
  <c r="EI7" i="13" l="1"/>
  <c r="EI64" i="2"/>
  <c r="EI71" i="2"/>
  <c r="EI66" i="2"/>
  <c r="EI121" i="2"/>
  <c r="EI63" i="2"/>
  <c r="EI46" i="12"/>
  <c r="EI48" i="12" l="1"/>
  <c r="EI47" i="12"/>
  <c r="EI128" i="2"/>
  <c r="EI67" i="2"/>
  <c r="EI68" i="2"/>
  <c r="EI72" i="2"/>
  <c r="EI24" i="13"/>
  <c r="EI25" i="13"/>
  <c r="EI74" i="12"/>
  <c r="EI26" i="13" l="1"/>
  <c r="EI129" i="2"/>
  <c r="EI46" i="13"/>
  <c r="EI54" i="13"/>
  <c r="EI56" i="13" s="1"/>
  <c r="EI66" i="13"/>
  <c r="EI48" i="13" l="1"/>
  <c r="EI58" i="13"/>
  <c r="EI61" i="13"/>
  <c r="EI57" i="13"/>
  <c r="EI59" i="13"/>
  <c r="EI60" i="13" s="1"/>
  <c r="EI132" i="2"/>
  <c r="EI130" i="2"/>
  <c r="EI134" i="2" l="1"/>
  <c r="EI133" i="2"/>
  <c r="EJ47" i="13"/>
  <c r="EI50" i="13"/>
  <c r="EI52" i="13" s="1"/>
  <c r="EI8" i="12" s="1"/>
  <c r="EI14" i="12" l="1"/>
  <c r="EI26" i="12" s="1"/>
  <c r="EI7" i="12"/>
  <c r="EJ50" i="2" s="1"/>
  <c r="EI51" i="12"/>
  <c r="EI53" i="12" s="1"/>
  <c r="EI75" i="12"/>
  <c r="EI72" i="12" l="1"/>
  <c r="EI70" i="12"/>
  <c r="EJ52" i="2"/>
  <c r="EJ71" i="12"/>
  <c r="EI73" i="12"/>
  <c r="EI49" i="12"/>
  <c r="EJ55" i="2" l="1"/>
  <c r="EJ56" i="2" l="1"/>
  <c r="EJ57" i="2" l="1"/>
  <c r="EJ60" i="2" l="1"/>
  <c r="EJ62" i="2" l="1"/>
  <c r="EJ7" i="13" l="1"/>
  <c r="EJ66" i="2"/>
  <c r="EJ64" i="2"/>
  <c r="EJ71" i="2"/>
  <c r="EJ121" i="2"/>
  <c r="EJ63" i="2"/>
  <c r="EJ46" i="12"/>
  <c r="EJ47" i="12" l="1"/>
  <c r="EJ48" i="12"/>
  <c r="EJ68" i="2"/>
  <c r="EJ67" i="2"/>
  <c r="EJ72" i="2"/>
  <c r="EJ128" i="2"/>
  <c r="EJ24" i="13"/>
  <c r="EJ25" i="13"/>
  <c r="EJ74" i="12"/>
  <c r="EJ26" i="13" l="1"/>
  <c r="EJ54" i="13"/>
  <c r="EJ56" i="13" s="1"/>
  <c r="EJ66" i="13"/>
  <c r="EJ46" i="13"/>
  <c r="EJ129" i="2"/>
  <c r="EJ48" i="13" l="1"/>
  <c r="EJ132" i="2"/>
  <c r="EJ130" i="2"/>
  <c r="EJ57" i="13"/>
  <c r="EJ58" i="13"/>
  <c r="EJ59" i="13"/>
  <c r="EJ60" i="13" s="1"/>
  <c r="EJ61" i="13"/>
  <c r="EJ134" i="2" l="1"/>
  <c r="EJ133" i="2"/>
  <c r="EJ50" i="13"/>
  <c r="EJ52" i="13" s="1"/>
  <c r="EJ8" i="12" s="1"/>
  <c r="EK47" i="13"/>
  <c r="EJ14" i="12" l="1"/>
  <c r="EJ26" i="12" s="1"/>
  <c r="EJ51" i="12"/>
  <c r="EJ53" i="12" s="1"/>
  <c r="EJ7" i="12"/>
  <c r="EK50" i="2" s="1"/>
  <c r="EJ75" i="12"/>
  <c r="EK52" i="2" l="1"/>
  <c r="EK71" i="12"/>
  <c r="EJ72" i="12"/>
  <c r="EJ70" i="12"/>
  <c r="EJ73" i="12"/>
  <c r="EJ49" i="12"/>
  <c r="EK55" i="2" l="1"/>
  <c r="EK56" i="2" l="1"/>
  <c r="EK57" i="2" l="1"/>
  <c r="EK60" i="2" l="1"/>
  <c r="EK62" i="2" l="1"/>
  <c r="EK7" i="13" l="1"/>
  <c r="EK71" i="2"/>
  <c r="EK66" i="2"/>
  <c r="EK64" i="2"/>
  <c r="EK121" i="2"/>
  <c r="EK63" i="2"/>
  <c r="EK46" i="12"/>
  <c r="EK72" i="2" l="1"/>
  <c r="EK48" i="12"/>
  <c r="EK47" i="12"/>
  <c r="EK67" i="2"/>
  <c r="EK68" i="2"/>
  <c r="EK24" i="13"/>
  <c r="EK25" i="13"/>
  <c r="EK128" i="2"/>
  <c r="EK129" i="2" s="1"/>
  <c r="EK74" i="12"/>
  <c r="EK26" i="13" l="1"/>
  <c r="EK132" i="2"/>
  <c r="EK130" i="2"/>
  <c r="EK54" i="13"/>
  <c r="EK56" i="13" s="1"/>
  <c r="EK46" i="13"/>
  <c r="EK66" i="13"/>
  <c r="EK48" i="13" l="1"/>
  <c r="EK57" i="13"/>
  <c r="EK58" i="13"/>
  <c r="EK59" i="13"/>
  <c r="EK60" i="13" s="1"/>
  <c r="EK61" i="13"/>
  <c r="EK134" i="2"/>
  <c r="EK133" i="2"/>
  <c r="EK50" i="13" l="1"/>
  <c r="EK52" i="13" s="1"/>
  <c r="EK8" i="12" s="1"/>
  <c r="EL47" i="13"/>
  <c r="EK14" i="12" l="1"/>
  <c r="EK26" i="12" s="1"/>
  <c r="EK51" i="12"/>
  <c r="EK53" i="12" s="1"/>
  <c r="EK7" i="12"/>
  <c r="EL50" i="2" s="1"/>
  <c r="EK75" i="12"/>
  <c r="EL52" i="2" l="1"/>
  <c r="EL71" i="12"/>
  <c r="EM50" i="2"/>
  <c r="EM71" i="12" s="1"/>
  <c r="EK72" i="12"/>
  <c r="EK70" i="12"/>
  <c r="EK73" i="12"/>
  <c r="EK49" i="12"/>
  <c r="EL55" i="2" l="1"/>
  <c r="EM52" i="2"/>
  <c r="EL56" i="2" l="1"/>
  <c r="EM55" i="2"/>
  <c r="EL57" i="2" l="1"/>
  <c r="EM56" i="2"/>
  <c r="EL60" i="2" l="1"/>
  <c r="EM57" i="2"/>
  <c r="EM60" i="2" l="1"/>
  <c r="EM58" i="2" s="1"/>
  <c r="EL62" i="2"/>
  <c r="EL7" i="13" l="1"/>
  <c r="EL121" i="2"/>
  <c r="EL66" i="2"/>
  <c r="EL71" i="2"/>
  <c r="EL64" i="2"/>
  <c r="EL63" i="2"/>
  <c r="EM62" i="2"/>
  <c r="EL46" i="12"/>
  <c r="AZ37" i="37"/>
  <c r="BA37" i="37" l="1"/>
  <c r="BC37" i="37"/>
  <c r="AZ38" i="37"/>
  <c r="EM46" i="12"/>
  <c r="EM74" i="12" s="1"/>
  <c r="EL47" i="12"/>
  <c r="EL48" i="12"/>
  <c r="EM71" i="2"/>
  <c r="EM66" i="2"/>
  <c r="EM64" i="2"/>
  <c r="M29" i="1" s="1"/>
  <c r="EM63" i="2"/>
  <c r="EL24" i="13"/>
  <c r="EL25" i="13"/>
  <c r="EM7" i="13"/>
  <c r="EM25" i="13" s="1"/>
  <c r="EL72" i="2"/>
  <c r="EL68" i="2"/>
  <c r="EL67" i="2"/>
  <c r="EL128" i="2"/>
  <c r="EM128" i="2" s="1"/>
  <c r="EM121" i="2"/>
  <c r="EL74" i="12"/>
  <c r="AZ39" i="37"/>
  <c r="EL129" i="2" l="1"/>
  <c r="EL132" i="2" s="1"/>
  <c r="EL26" i="13"/>
  <c r="BA39" i="37"/>
  <c r="BC39" i="37"/>
  <c r="EM68" i="2"/>
  <c r="EM67" i="2"/>
  <c r="EM127" i="2"/>
  <c r="M20" i="1"/>
  <c r="EM72" i="2"/>
  <c r="EM48" i="12"/>
  <c r="EM47" i="12"/>
  <c r="EL54" i="13"/>
  <c r="EL56" i="13" s="1"/>
  <c r="EL46" i="13"/>
  <c r="EL66" i="13"/>
  <c r="EM24" i="13"/>
  <c r="EM26" i="13" s="1"/>
  <c r="AZ40" i="37"/>
  <c r="EL130" i="2" l="1"/>
  <c r="EM129" i="2"/>
  <c r="EM130" i="2" s="1"/>
  <c r="BA40" i="37"/>
  <c r="BC40" i="37"/>
  <c r="AZ41" i="37"/>
  <c r="EL134" i="2"/>
  <c r="EL133" i="2"/>
  <c r="M44" i="1"/>
  <c r="M37" i="1"/>
  <c r="EL48" i="13"/>
  <c r="EM46" i="13"/>
  <c r="EM54" i="13"/>
  <c r="EM66" i="13"/>
  <c r="EL59" i="13"/>
  <c r="EL60" i="13" s="1"/>
  <c r="EL61" i="13"/>
  <c r="EL57" i="13"/>
  <c r="EL58" i="13"/>
  <c r="EM132" i="2" l="1"/>
  <c r="EL50" i="13"/>
  <c r="EN47" i="13"/>
  <c r="EM48" i="13"/>
  <c r="ER47" i="13" s="1"/>
  <c r="M21" i="1"/>
  <c r="EM133" i="2"/>
  <c r="EM56" i="13"/>
  <c r="I7" i="21"/>
  <c r="I9" i="21" s="1"/>
  <c r="AZ45" i="37"/>
  <c r="BA45" i="37" l="1"/>
  <c r="BC45" i="37"/>
  <c r="AZ46" i="37"/>
  <c r="AZ47" i="37"/>
  <c r="I10" i="21"/>
  <c r="EM59" i="13"/>
  <c r="EM61" i="13"/>
  <c r="EM57" i="13"/>
  <c r="EM58" i="13"/>
  <c r="M43" i="1"/>
  <c r="M36" i="1"/>
  <c r="EM50" i="13"/>
  <c r="EL52" i="13"/>
  <c r="DG234" i="35" l="1"/>
  <c r="DG75" i="35"/>
  <c r="DG76" i="35" s="1"/>
  <c r="M28" i="1"/>
  <c r="EM60" i="13"/>
  <c r="M23" i="1"/>
  <c r="EM52" i="13"/>
  <c r="EL8" i="12"/>
  <c r="BC47" i="37"/>
  <c r="BA47" i="37"/>
  <c r="EM8" i="12" l="1"/>
  <c r="EM75" i="12" s="1"/>
  <c r="EL51" i="12"/>
  <c r="EL14" i="12"/>
  <c r="EL7" i="12"/>
  <c r="EL75" i="12"/>
  <c r="M45" i="1"/>
  <c r="M38" i="1"/>
  <c r="EM7" i="12" l="1"/>
  <c r="EN50" i="2" s="1"/>
  <c r="EM14" i="12"/>
  <c r="EM26" i="12" s="1"/>
  <c r="EL26" i="12"/>
  <c r="EL53" i="12"/>
  <c r="EM51" i="12"/>
  <c r="EL73" i="12" l="1"/>
  <c r="EL49" i="12"/>
  <c r="EL70" i="12"/>
  <c r="EL72" i="12"/>
  <c r="EM53" i="12"/>
  <c r="EM73" i="12"/>
  <c r="EM49" i="12"/>
  <c r="EN71" i="12"/>
  <c r="EN52" i="2"/>
  <c r="EN55" i="2" l="1"/>
  <c r="EM70" i="12"/>
  <c r="EM72" i="12"/>
  <c r="M9" i="1"/>
  <c r="M10" i="1" s="1"/>
  <c r="EN56" i="2" l="1"/>
  <c r="M41" i="1"/>
  <c r="M40" i="1"/>
  <c r="M42" i="1"/>
  <c r="EN57" i="2" l="1"/>
  <c r="EN60" i="2" l="1"/>
  <c r="EN62" i="2" l="1"/>
  <c r="EN7" i="13" l="1"/>
  <c r="EN71" i="2"/>
  <c r="EN72" i="2" s="1"/>
  <c r="EN64" i="2"/>
  <c r="EN66" i="2"/>
  <c r="EN121" i="2"/>
  <c r="EN63" i="2"/>
  <c r="EN46" i="12"/>
  <c r="EN48" i="12" l="1"/>
  <c r="EN47" i="12"/>
  <c r="EN74" i="12"/>
  <c r="EN128" i="2"/>
  <c r="EN129" i="2" s="1"/>
  <c r="EN68" i="2"/>
  <c r="EN67" i="2"/>
  <c r="EN25" i="13"/>
  <c r="EN24" i="13"/>
  <c r="EN132" i="2" l="1"/>
  <c r="EN130" i="2"/>
  <c r="EN46" i="13"/>
  <c r="EN54" i="13"/>
  <c r="EN56" i="13" s="1"/>
  <c r="EN66" i="13"/>
  <c r="EN26" i="13"/>
  <c r="EN59" i="13" l="1"/>
  <c r="EN60" i="13" s="1"/>
  <c r="EN61" i="13"/>
  <c r="EN58" i="13"/>
  <c r="EN57" i="13"/>
  <c r="EN48" i="13"/>
  <c r="EN134" i="2"/>
  <c r="EN133" i="2"/>
  <c r="EN50" i="13" l="1"/>
  <c r="EN52" i="13" s="1"/>
  <c r="EN8" i="12" s="1"/>
  <c r="EO47" i="13"/>
  <c r="EN51" i="12" l="1"/>
  <c r="EN53" i="12" s="1"/>
  <c r="EN7" i="12"/>
  <c r="EO50" i="2" s="1"/>
  <c r="EN14" i="12"/>
  <c r="EN26" i="12" s="1"/>
  <c r="EN75" i="12"/>
  <c r="EO52" i="2" l="1"/>
  <c r="EO71" i="12"/>
  <c r="EN73" i="12"/>
  <c r="EN49" i="12"/>
  <c r="EN70" i="12"/>
  <c r="EN72" i="12"/>
  <c r="EO55" i="2" l="1"/>
  <c r="EO56" i="2" l="1"/>
  <c r="EO57" i="2" l="1"/>
  <c r="EO60" i="2" l="1"/>
  <c r="EO62" i="2" l="1"/>
  <c r="EO7" i="13" l="1"/>
  <c r="EO71" i="2"/>
  <c r="EO72" i="2" s="1"/>
  <c r="EO66" i="2"/>
  <c r="EO64" i="2"/>
  <c r="EO121" i="2"/>
  <c r="EO63" i="2"/>
  <c r="EO46" i="12"/>
  <c r="EO74" i="12" s="1"/>
  <c r="EO47" i="12" l="1"/>
  <c r="EO48" i="12"/>
  <c r="EO128" i="2"/>
  <c r="EO129" i="2" s="1"/>
  <c r="EO68" i="2"/>
  <c r="EO67" i="2"/>
  <c r="EO24" i="13"/>
  <c r="EO25" i="13"/>
  <c r="EO26" i="13" l="1"/>
  <c r="EO132" i="2"/>
  <c r="EO130" i="2"/>
  <c r="EO46" i="13"/>
  <c r="EO54" i="13"/>
  <c r="EO56" i="13" s="1"/>
  <c r="EO66" i="13"/>
  <c r="EO58" i="13" l="1"/>
  <c r="EO59" i="13"/>
  <c r="EO60" i="13" s="1"/>
  <c r="EO61" i="13"/>
  <c r="EO57" i="13"/>
  <c r="EO48" i="13"/>
  <c r="EO134" i="2"/>
  <c r="EO133" i="2"/>
  <c r="EO50" i="13" l="1"/>
  <c r="EO52" i="13" s="1"/>
  <c r="EO8" i="12" s="1"/>
  <c r="EP47" i="13"/>
  <c r="EO51" i="12" l="1"/>
  <c r="EO53" i="12" s="1"/>
  <c r="EO14" i="12"/>
  <c r="EO26" i="12" s="1"/>
  <c r="EO7" i="12"/>
  <c r="EP50" i="2" s="1"/>
  <c r="EO75" i="12"/>
  <c r="EP52" i="2" l="1"/>
  <c r="EP71" i="12"/>
  <c r="EO73" i="12"/>
  <c r="EO49" i="12"/>
  <c r="EO72" i="12"/>
  <c r="EO70" i="12"/>
  <c r="EP55" i="2" l="1"/>
  <c r="EP56" i="2" l="1"/>
  <c r="EP57" i="2" l="1"/>
  <c r="EP60" i="2" l="1"/>
  <c r="EP62" i="2" l="1"/>
  <c r="EP7" i="13" l="1"/>
  <c r="EP66" i="2"/>
  <c r="EP64" i="2"/>
  <c r="EP71" i="2"/>
  <c r="EP72" i="2" s="1"/>
  <c r="EP121" i="2"/>
  <c r="EP63" i="2"/>
  <c r="EP46" i="12"/>
  <c r="EP128" i="2" l="1"/>
  <c r="EP67" i="2"/>
  <c r="EP68" i="2"/>
  <c r="EP48" i="12"/>
  <c r="EP47" i="12"/>
  <c r="EP24" i="13"/>
  <c r="EP25" i="13"/>
  <c r="EP74" i="12"/>
  <c r="EP26" i="13" l="1"/>
  <c r="EP46" i="13"/>
  <c r="EP66" i="13"/>
  <c r="EP54" i="13"/>
  <c r="EP56" i="13" s="1"/>
  <c r="EP129" i="2"/>
  <c r="EP132" i="2" l="1"/>
  <c r="EP130" i="2"/>
  <c r="EP58" i="13"/>
  <c r="EP59" i="13"/>
  <c r="EP60" i="13" s="1"/>
  <c r="EP57" i="13"/>
  <c r="EP61" i="13"/>
  <c r="EP48" i="13"/>
  <c r="EQ47" i="13" l="1"/>
  <c r="EP50" i="13"/>
  <c r="EP52" i="13" s="1"/>
  <c r="EP8" i="12" s="1"/>
  <c r="EP134" i="2"/>
  <c r="EP133" i="2"/>
  <c r="EP51" i="12" l="1"/>
  <c r="EP53" i="12" s="1"/>
  <c r="EP7" i="12"/>
  <c r="EQ50" i="2" s="1"/>
  <c r="EP14" i="12"/>
  <c r="EP26" i="12" s="1"/>
  <c r="EP75" i="12"/>
  <c r="EP73" i="12" l="1"/>
  <c r="EP49" i="12"/>
  <c r="EQ52" i="2"/>
  <c r="EQ71" i="12"/>
  <c r="ER50" i="2"/>
  <c r="ER71" i="12" s="1"/>
  <c r="EP70" i="12"/>
  <c r="EP72" i="12"/>
  <c r="EQ55" i="2" l="1"/>
  <c r="ER52" i="2"/>
  <c r="EQ56" i="2" l="1"/>
  <c r="ER55" i="2"/>
  <c r="EQ57" i="2" l="1"/>
  <c r="ER56" i="2"/>
  <c r="EQ60" i="2" l="1"/>
  <c r="ER57" i="2"/>
  <c r="ER60" i="2" l="1"/>
  <c r="ER58" i="2" s="1"/>
  <c r="EQ62" i="2"/>
  <c r="EQ7" i="13" l="1"/>
  <c r="EQ66" i="2"/>
  <c r="EQ64" i="2"/>
  <c r="EQ71" i="2"/>
  <c r="EQ72" i="2" s="1"/>
  <c r="EQ121" i="2"/>
  <c r="EQ63" i="2"/>
  <c r="ER62" i="2"/>
  <c r="EQ46" i="12"/>
  <c r="BE37" i="37"/>
  <c r="BF37" i="37" l="1"/>
  <c r="BH37" i="37"/>
  <c r="BE38" i="37"/>
  <c r="EQ128" i="2"/>
  <c r="ER128" i="2" s="1"/>
  <c r="ER121" i="2"/>
  <c r="ER46" i="12"/>
  <c r="ER74" i="12" s="1"/>
  <c r="EQ47" i="12"/>
  <c r="EQ48" i="12"/>
  <c r="ER71" i="2"/>
  <c r="ER66" i="2"/>
  <c r="ER64" i="2"/>
  <c r="N29" i="1" s="1"/>
  <c r="ER63" i="2"/>
  <c r="EQ68" i="2"/>
  <c r="EQ67" i="2"/>
  <c r="EQ25" i="13"/>
  <c r="EQ24" i="13"/>
  <c r="ER7" i="13"/>
  <c r="ER25" i="13" s="1"/>
  <c r="EQ74" i="12"/>
  <c r="BE39" i="37"/>
  <c r="EQ26" i="13" l="1"/>
  <c r="ER127" i="2"/>
  <c r="BF39" i="37"/>
  <c r="BH39" i="37"/>
  <c r="ER48" i="12"/>
  <c r="ER47" i="12"/>
  <c r="N20" i="1"/>
  <c r="ER72" i="2"/>
  <c r="EQ129" i="2"/>
  <c r="EQ46" i="13"/>
  <c r="EQ54" i="13"/>
  <c r="EQ56" i="13" s="1"/>
  <c r="EQ66" i="13"/>
  <c r="ER24" i="13"/>
  <c r="ER26" i="13" s="1"/>
  <c r="ER68" i="2"/>
  <c r="ER67" i="2"/>
  <c r="BE40" i="37"/>
  <c r="BF40" i="37" l="1"/>
  <c r="BH40" i="37"/>
  <c r="BE41" i="37"/>
  <c r="EQ48" i="13"/>
  <c r="ER46" i="13"/>
  <c r="EQ57" i="13"/>
  <c r="EQ59" i="13"/>
  <c r="EQ60" i="13" s="1"/>
  <c r="EQ61" i="13"/>
  <c r="EQ58" i="13"/>
  <c r="EQ132" i="2"/>
  <c r="EQ130" i="2"/>
  <c r="ER129" i="2"/>
  <c r="N37" i="1"/>
  <c r="N44" i="1"/>
  <c r="ER54" i="13"/>
  <c r="ER66" i="13"/>
  <c r="EQ134" i="2" l="1"/>
  <c r="EQ133" i="2"/>
  <c r="ER56" i="13"/>
  <c r="J7" i="21"/>
  <c r="J9" i="21" s="1"/>
  <c r="ER132" i="2"/>
  <c r="ER130" i="2"/>
  <c r="ER48" i="13"/>
  <c r="EQ50" i="13"/>
  <c r="BE45" i="37"/>
  <c r="BF45" i="37" l="1"/>
  <c r="BH45" i="37"/>
  <c r="BE47" i="37"/>
  <c r="BE46" i="37"/>
  <c r="ER50" i="13"/>
  <c r="EQ52" i="13"/>
  <c r="K9" i="21"/>
  <c r="L9" i="21" s="1"/>
  <c r="M9" i="21" s="1"/>
  <c r="N9" i="21" s="1"/>
  <c r="O9" i="21" s="1"/>
  <c r="D13" i="21" s="1"/>
  <c r="D15" i="21" s="1"/>
  <c r="J10" i="21"/>
  <c r="S9" i="21"/>
  <c r="N21" i="1"/>
  <c r="ER133" i="2"/>
  <c r="ER57" i="13"/>
  <c r="ER58" i="13"/>
  <c r="ER59" i="13"/>
  <c r="ER61" i="13"/>
  <c r="M18" i="21" l="1"/>
  <c r="N16" i="21"/>
  <c r="K14" i="21"/>
  <c r="L21" i="21"/>
  <c r="K19" i="21"/>
  <c r="L17" i="21"/>
  <c r="L15" i="21"/>
  <c r="M15" i="21"/>
  <c r="Q20" i="21"/>
  <c r="N18" i="21"/>
  <c r="N14" i="21"/>
  <c r="K16" i="21"/>
  <c r="L16" i="21"/>
  <c r="N21" i="21"/>
  <c r="N13" i="21"/>
  <c r="N19" i="21"/>
  <c r="M17" i="21"/>
  <c r="K15" i="21"/>
  <c r="Q19" i="21"/>
  <c r="P16" i="21"/>
  <c r="P17" i="21"/>
  <c r="Q16" i="21"/>
  <c r="L20" i="21"/>
  <c r="P21" i="21"/>
  <c r="Q13" i="21"/>
  <c r="O21" i="21"/>
  <c r="O20" i="21"/>
  <c r="O17" i="21"/>
  <c r="Q17" i="21"/>
  <c r="O18" i="21"/>
  <c r="L18" i="21"/>
  <c r="Q21" i="21"/>
  <c r="K21" i="21"/>
  <c r="N20" i="21"/>
  <c r="P18" i="21"/>
  <c r="O14" i="21"/>
  <c r="N17" i="21"/>
  <c r="K52" i="1" s="1"/>
  <c r="M52" i="1" s="1"/>
  <c r="D31" i="21" s="1"/>
  <c r="L14" i="21"/>
  <c r="N15" i="21"/>
  <c r="O13" i="21"/>
  <c r="O19" i="21"/>
  <c r="M16" i="21"/>
  <c r="L19" i="21"/>
  <c r="K20" i="21"/>
  <c r="M21" i="21"/>
  <c r="M20" i="21"/>
  <c r="L13" i="21"/>
  <c r="O16" i="21"/>
  <c r="Q18" i="21"/>
  <c r="P15" i="21"/>
  <c r="Q15" i="21"/>
  <c r="M19" i="21"/>
  <c r="K18" i="21"/>
  <c r="P14" i="21"/>
  <c r="M13" i="21"/>
  <c r="P20" i="21"/>
  <c r="M14" i="21"/>
  <c r="D23" i="21"/>
  <c r="D20" i="21"/>
  <c r="E20" i="21" s="1"/>
  <c r="ER60" i="13"/>
  <c r="N23" i="1"/>
  <c r="ER52" i="13"/>
  <c r="EQ8" i="12"/>
  <c r="DH234" i="35"/>
  <c r="DH75" i="35"/>
  <c r="DH76" i="35" s="1"/>
  <c r="N28" i="1"/>
  <c r="P13" i="21"/>
  <c r="Q14" i="21"/>
  <c r="K13" i="21"/>
  <c r="BF47" i="37"/>
  <c r="BH47" i="37"/>
  <c r="N36" i="1"/>
  <c r="N43" i="1"/>
  <c r="D18" i="21"/>
  <c r="K17" i="21"/>
  <c r="O15" i="21"/>
  <c r="P19" i="21"/>
  <c r="K53" i="1" l="1"/>
  <c r="ER8" i="12"/>
  <c r="ER75" i="12" s="1"/>
  <c r="EQ51" i="12"/>
  <c r="EQ7" i="12"/>
  <c r="ER7" i="12" s="1"/>
  <c r="EQ14" i="12"/>
  <c r="EQ75" i="12"/>
  <c r="H31" i="26"/>
  <c r="H32" i="26" s="1"/>
  <c r="M48" i="1"/>
  <c r="M49" i="1"/>
  <c r="M53" i="1"/>
  <c r="M50" i="1"/>
  <c r="E18" i="21"/>
  <c r="D21" i="21"/>
  <c r="N38" i="1"/>
  <c r="N45" i="1"/>
  <c r="ER14" i="12" l="1"/>
  <c r="ER26" i="12" s="1"/>
  <c r="EQ26" i="12"/>
  <c r="H23" i="26"/>
  <c r="B58" i="1"/>
  <c r="EQ53" i="12"/>
  <c r="ER51" i="12"/>
  <c r="E21" i="21"/>
  <c r="K50" i="1"/>
  <c r="EQ72" i="12" l="1"/>
  <c r="EQ70" i="12"/>
  <c r="ER53" i="12"/>
  <c r="J58" i="1"/>
  <c r="G58" i="1"/>
  <c r="K58" i="1"/>
  <c r="B59" i="1"/>
  <c r="H58" i="1"/>
  <c r="B57" i="1"/>
  <c r="I58" i="1"/>
  <c r="EQ73" i="12"/>
  <c r="EQ49" i="12"/>
  <c r="F23" i="26"/>
  <c r="F24" i="26" s="1"/>
  <c r="F26" i="26" s="1"/>
  <c r="F28" i="26" s="1"/>
  <c r="F29" i="26" s="1"/>
  <c r="G23" i="26"/>
  <c r="G24" i="26" s="1"/>
  <c r="G26" i="26" s="1"/>
  <c r="G28" i="26" s="1"/>
  <c r="G29" i="26" s="1"/>
  <c r="J23" i="26"/>
  <c r="J24" i="26" s="1"/>
  <c r="J26" i="26" s="1"/>
  <c r="J28" i="26" s="1"/>
  <c r="J29" i="26" s="1"/>
  <c r="H24" i="26"/>
  <c r="H26" i="26" s="1"/>
  <c r="H28" i="26" s="1"/>
  <c r="I23" i="26"/>
  <c r="I24" i="26" s="1"/>
  <c r="I26" i="26" s="1"/>
  <c r="I28" i="26" s="1"/>
  <c r="ER73" i="12"/>
  <c r="ER49" i="12"/>
  <c r="H29" i="26" l="1"/>
  <c r="G41" i="26"/>
  <c r="G57" i="1"/>
  <c r="I57" i="1"/>
  <c r="H57" i="1"/>
  <c r="J57" i="1"/>
  <c r="B56" i="1"/>
  <c r="K57" i="1"/>
  <c r="G59" i="1"/>
  <c r="I59" i="1"/>
  <c r="K59" i="1"/>
  <c r="B60" i="1"/>
  <c r="H59" i="1"/>
  <c r="J59" i="1"/>
  <c r="ER72" i="12"/>
  <c r="ER70" i="12"/>
  <c r="N9" i="1"/>
  <c r="N10" i="1" s="1"/>
  <c r="I41" i="26"/>
  <c r="I29" i="26"/>
  <c r="N40" i="1" l="1"/>
  <c r="N41" i="1"/>
  <c r="N42" i="1"/>
  <c r="H60" i="1"/>
  <c r="I60" i="1"/>
  <c r="J60" i="1"/>
  <c r="K60" i="1"/>
  <c r="G60" i="1"/>
  <c r="H56" i="1"/>
  <c r="I56" i="1"/>
  <c r="J56" i="1"/>
  <c r="K56" i="1"/>
  <c r="G56" i="1"/>
  <c r="AR93" i="35"/>
  <c r="DQ32" i="14"/>
  <c r="DQ30" i="14" s="1"/>
  <c r="DV51" i="14"/>
  <c r="AV93" i="35" s="1"/>
  <c r="DQ52" i="14"/>
  <c r="DQ58" i="14"/>
  <c r="DS58" i="14"/>
  <c r="DC213" i="35" s="1"/>
  <c r="DC219" i="35" s="1"/>
  <c r="DQ59" i="14"/>
  <c r="AR91" i="35" l="1"/>
  <c r="DQ48" i="14"/>
  <c r="DQ54" i="14"/>
  <c r="EA51" i="14"/>
  <c r="DS51" i="14"/>
  <c r="DS52" i="14" s="1"/>
  <c r="DV32" i="14"/>
  <c r="DV30" i="14" s="1"/>
  <c r="DS59" i="14"/>
  <c r="DV58" i="14"/>
  <c r="DS54" i="14" l="1"/>
  <c r="DQ55" i="14"/>
  <c r="DV54" i="14"/>
  <c r="DV59" i="14"/>
  <c r="DX58" i="14"/>
  <c r="AZ93" i="35"/>
  <c r="EA58" i="14"/>
  <c r="EF51" i="14"/>
  <c r="BE93" i="35" l="1"/>
  <c r="EF58" i="14"/>
  <c r="EK51" i="14"/>
  <c r="EA54" i="14"/>
  <c r="EA59" i="14"/>
  <c r="EC58" i="14"/>
  <c r="DD213" i="35"/>
  <c r="DD219" i="35" s="1"/>
  <c r="DX59" i="14"/>
  <c r="DX51" i="14"/>
  <c r="DX52" i="14" s="1"/>
  <c r="DV55" i="14"/>
  <c r="DX54" i="14"/>
  <c r="DV47" i="14"/>
  <c r="DC211" i="35"/>
  <c r="DC217" i="35" s="1"/>
  <c r="DS47" i="14"/>
  <c r="DS48" i="14" s="1"/>
  <c r="DS55" i="14"/>
  <c r="AV91" i="35" l="1"/>
  <c r="DV48" i="14"/>
  <c r="EA55" i="14"/>
  <c r="EC54" i="14"/>
  <c r="EA47" i="14"/>
  <c r="BJ93" i="35"/>
  <c r="EP51" i="14"/>
  <c r="EP58" i="14" s="1"/>
  <c r="EK58" i="14"/>
  <c r="DD211" i="35"/>
  <c r="DD217" i="35" s="1"/>
  <c r="DX55" i="14"/>
  <c r="DX47" i="14"/>
  <c r="DX48" i="14" s="1"/>
  <c r="DE213" i="35"/>
  <c r="DE219" i="35" s="1"/>
  <c r="EC59" i="14"/>
  <c r="EC51" i="14"/>
  <c r="EF59" i="14"/>
  <c r="EH58" i="14"/>
  <c r="EF54" i="14"/>
  <c r="AZ91" i="35" l="1"/>
  <c r="EA48" i="14"/>
  <c r="DF213" i="35"/>
  <c r="DF219" i="35" s="1"/>
  <c r="EH59" i="14"/>
  <c r="EH51" i="14"/>
  <c r="EH52" i="14" s="1"/>
  <c r="EP54" i="14"/>
  <c r="EP59" i="14"/>
  <c r="ER58" i="14"/>
  <c r="EF55" i="14"/>
  <c r="EH54" i="14"/>
  <c r="EF47" i="14"/>
  <c r="DE211" i="35"/>
  <c r="DE217" i="35" s="1"/>
  <c r="EC55" i="14"/>
  <c r="EC47" i="14"/>
  <c r="BB93" i="35"/>
  <c r="EC52" i="14"/>
  <c r="EM58" i="14"/>
  <c r="EK59" i="14"/>
  <c r="EK54" i="14"/>
  <c r="DF211" i="35" l="1"/>
  <c r="DF217" i="35" s="1"/>
  <c r="EH55" i="14"/>
  <c r="EH47" i="14"/>
  <c r="BE91" i="35"/>
  <c r="EF48" i="14"/>
  <c r="DG213" i="35"/>
  <c r="DG219" i="35" s="1"/>
  <c r="EM51" i="14"/>
  <c r="EM52" i="14" s="1"/>
  <c r="EM59" i="14"/>
  <c r="BG93" i="35"/>
  <c r="DH213" i="35"/>
  <c r="DH219" i="35" s="1"/>
  <c r="ER51" i="14"/>
  <c r="ER52" i="14" s="1"/>
  <c r="ER59" i="14"/>
  <c r="EK47" i="14"/>
  <c r="EK55" i="14"/>
  <c r="EM54" i="14"/>
  <c r="ER54" i="14"/>
  <c r="EP47" i="14"/>
  <c r="EP48" i="14" s="1"/>
  <c r="EP55" i="14"/>
  <c r="BB91" i="35"/>
  <c r="EC48" i="14"/>
  <c r="BL93" i="35" l="1"/>
  <c r="DH211" i="35"/>
  <c r="DH217" i="35" s="1"/>
  <c r="ER47" i="14"/>
  <c r="ER55" i="14"/>
  <c r="DG211" i="35"/>
  <c r="DG217" i="35" s="1"/>
  <c r="EM47" i="14"/>
  <c r="EM55" i="14"/>
  <c r="BG91" i="35"/>
  <c r="EH48" i="14"/>
  <c r="BJ91" i="35"/>
  <c r="EK48" i="14"/>
  <c r="BL91" i="35" l="1"/>
  <c r="EM48" i="14"/>
  <c r="ER48" i="14"/>
  <c r="DM70" i="12"/>
  <c r="DN70" i="12"/>
  <c r="DO70" i="12"/>
  <c r="DP70" i="12"/>
  <c r="DQ70" i="12"/>
  <c r="DR70" i="12"/>
  <c r="DS70" i="12"/>
  <c r="DU70" i="12"/>
  <c r="DV70" i="12"/>
  <c r="DM71" i="12"/>
  <c r="DN71" i="12"/>
  <c r="DO71" i="12"/>
  <c r="DP71" i="12"/>
  <c r="DQ71" i="12"/>
  <c r="DR71" i="12"/>
  <c r="DS71" i="12"/>
  <c r="DU71" i="12"/>
  <c r="DV71" i="12"/>
  <c r="DM61" i="13"/>
  <c r="DN61" i="13"/>
  <c r="DO61" i="13"/>
  <c r="DS61" i="13"/>
  <c r="DM65" i="13"/>
  <c r="DN65" i="13"/>
  <c r="DO65" i="13"/>
  <c r="DS65" i="13"/>
  <c r="AO69" i="35"/>
  <c r="AP69" i="35"/>
  <c r="DB69" i="35"/>
  <c r="AO70" i="35"/>
  <c r="AP70" i="35"/>
  <c r="DB70" i="35"/>
  <c r="AO73" i="35"/>
  <c r="AP73" i="35"/>
  <c r="AK32" i="37"/>
  <c r="AL32" i="37"/>
  <c r="I35" i="37"/>
  <c r="J35" i="37"/>
  <c r="O35" i="37"/>
  <c r="P35" i="37"/>
  <c r="I36" i="37"/>
  <c r="J36" i="37"/>
  <c r="O36" i="37"/>
  <c r="P36" i="37"/>
  <c r="DM82" i="2"/>
  <c r="DN82" i="2"/>
  <c r="DM89" i="2"/>
  <c r="DN89" i="2"/>
  <c r="DV89" i="2"/>
  <c r="DW89" i="2"/>
  <c r="DX89" i="2"/>
  <c r="DY89" i="2"/>
  <c r="DZ89" i="2"/>
  <c r="EA89" i="2"/>
  <c r="EB89" i="2"/>
  <c r="EC89" i="2"/>
  <c r="ED89" i="2"/>
  <c r="EE89" i="2"/>
  <c r="EF89" i="2"/>
  <c r="EG89" i="2"/>
  <c r="EH89" i="2"/>
  <c r="EI89" i="2"/>
  <c r="EJ89" i="2"/>
  <c r="EK89" i="2"/>
  <c r="EL89" i="2"/>
  <c r="EM89" i="2"/>
  <c r="EN89" i="2"/>
  <c r="EO89" i="2"/>
  <c r="EP89" i="2"/>
  <c r="EQ89" i="2"/>
  <c r="ER89" i="2"/>
  <c r="DV90" i="2"/>
  <c r="DW90" i="2"/>
  <c r="DX90" i="2"/>
  <c r="DY90" i="2"/>
  <c r="DZ90" i="2"/>
  <c r="EA90" i="2"/>
  <c r="EB90" i="2"/>
  <c r="EC90" i="2"/>
  <c r="ED90" i="2"/>
  <c r="EE90" i="2"/>
  <c r="EF90" i="2"/>
  <c r="EG90" i="2"/>
  <c r="EH90" i="2"/>
  <c r="EI90" i="2"/>
  <c r="EJ90" i="2"/>
  <c r="EK90" i="2"/>
  <c r="EL90" i="2"/>
  <c r="EM90" i="2"/>
  <c r="EN90" i="2"/>
  <c r="EO90" i="2"/>
  <c r="EP90" i="2"/>
  <c r="EQ90" i="2"/>
  <c r="ER90" i="2"/>
  <c r="DV91" i="2"/>
  <c r="DW91" i="2"/>
  <c r="DX91" i="2"/>
  <c r="DY91" i="2"/>
  <c r="DZ91" i="2"/>
  <c r="EA91" i="2"/>
  <c r="EB91" i="2"/>
  <c r="EC91" i="2"/>
  <c r="ED91" i="2"/>
  <c r="EE91" i="2"/>
  <c r="EF91" i="2"/>
  <c r="EG91" i="2"/>
  <c r="EH91" i="2"/>
  <c r="EI91" i="2"/>
  <c r="EJ91" i="2"/>
  <c r="EK91" i="2"/>
  <c r="EL91" i="2"/>
  <c r="EM91" i="2"/>
  <c r="EN91" i="2"/>
  <c r="EO91" i="2"/>
  <c r="EP91" i="2"/>
  <c r="EQ91" i="2"/>
  <c r="ER91" i="2"/>
  <c r="DV92" i="2"/>
  <c r="DW92" i="2"/>
  <c r="DX92" i="2"/>
  <c r="DY92" i="2"/>
  <c r="DZ92" i="2"/>
  <c r="EA92" i="2"/>
  <c r="EB92" i="2"/>
  <c r="EC92" i="2"/>
  <c r="ED92" i="2"/>
  <c r="EE92" i="2"/>
  <c r="EF92" i="2"/>
  <c r="EG92" i="2"/>
  <c r="EH92" i="2"/>
  <c r="EI92" i="2"/>
  <c r="EJ92" i="2"/>
  <c r="EK92" i="2"/>
  <c r="EL92" i="2"/>
  <c r="EM92" i="2"/>
  <c r="EN92" i="2"/>
  <c r="EO92" i="2"/>
  <c r="EP92" i="2"/>
  <c r="EQ92" i="2"/>
  <c r="ER92" i="2"/>
  <c r="DM93" i="2"/>
  <c r="DN93" i="2"/>
  <c r="DO93" i="2"/>
  <c r="DS93" i="2"/>
  <c r="DV96" i="2"/>
  <c r="DW96" i="2"/>
  <c r="DX96" i="2"/>
  <c r="DY96" i="2"/>
  <c r="DZ96" i="2"/>
  <c r="EA96" i="2"/>
  <c r="EB96" i="2"/>
  <c r="EC96" i="2"/>
  <c r="ED96" i="2"/>
  <c r="EE96" i="2"/>
  <c r="EF96" i="2"/>
  <c r="EG96" i="2"/>
  <c r="EH96" i="2"/>
  <c r="EI96" i="2"/>
  <c r="EJ96" i="2"/>
  <c r="EK96" i="2"/>
  <c r="EL96" i="2"/>
  <c r="EM96" i="2"/>
  <c r="EN96" i="2"/>
  <c r="EO96" i="2"/>
  <c r="EP96" i="2"/>
  <c r="EQ96" i="2"/>
  <c r="ER96" i="2"/>
  <c r="DV97" i="2"/>
  <c r="DW97" i="2"/>
  <c r="DX97" i="2"/>
  <c r="DY97" i="2"/>
  <c r="DZ97" i="2"/>
  <c r="EA97" i="2"/>
  <c r="EB97" i="2"/>
  <c r="EC97" i="2"/>
  <c r="ED97" i="2"/>
  <c r="EE97" i="2"/>
  <c r="EF97" i="2"/>
  <c r="EG97" i="2"/>
  <c r="EH97" i="2"/>
  <c r="EI97" i="2"/>
  <c r="EJ97" i="2"/>
  <c r="EK97" i="2"/>
  <c r="EL97" i="2"/>
  <c r="EM97" i="2"/>
  <c r="EN97" i="2"/>
  <c r="EO97" i="2"/>
  <c r="EP97" i="2"/>
  <c r="EQ97" i="2"/>
  <c r="ER97" i="2"/>
  <c r="DV98" i="2"/>
  <c r="DW98" i="2"/>
  <c r="DX98" i="2"/>
  <c r="DY98" i="2"/>
  <c r="DZ98" i="2"/>
  <c r="EA98" i="2"/>
  <c r="EB98" i="2"/>
  <c r="EC98" i="2"/>
  <c r="ED98" i="2"/>
  <c r="EE98" i="2"/>
  <c r="EF98" i="2"/>
  <c r="EG98" i="2"/>
  <c r="EH98" i="2"/>
  <c r="EI98" i="2"/>
  <c r="EJ98" i="2"/>
  <c r="EK98" i="2"/>
  <c r="EL98" i="2"/>
  <c r="EM98" i="2"/>
  <c r="EN98" i="2"/>
  <c r="EO98" i="2"/>
  <c r="EP98" i="2"/>
  <c r="EQ98" i="2"/>
  <c r="ER98" i="2"/>
  <c r="DV99" i="2"/>
  <c r="DW99" i="2"/>
  <c r="DX99" i="2"/>
  <c r="DY99" i="2"/>
  <c r="DZ99" i="2"/>
  <c r="EA99" i="2"/>
  <c r="EB99" i="2"/>
  <c r="EC99" i="2"/>
  <c r="ED99" i="2"/>
  <c r="EE99" i="2"/>
  <c r="EF99" i="2"/>
  <c r="EG99" i="2"/>
  <c r="EH99" i="2"/>
  <c r="EI99" i="2"/>
  <c r="EJ99" i="2"/>
  <c r="EK99" i="2"/>
  <c r="EL99" i="2"/>
  <c r="EM99" i="2"/>
  <c r="EN99" i="2"/>
  <c r="EO99" i="2"/>
  <c r="EP99" i="2"/>
  <c r="EQ99" i="2"/>
  <c r="ER99" i="2"/>
  <c r="DM100" i="2"/>
  <c r="DN100" i="2"/>
  <c r="DO100" i="2"/>
  <c r="DS100" i="2"/>
  <c r="DM101" i="2"/>
  <c r="DN101" i="2"/>
  <c r="DO101" i="2"/>
  <c r="DR101" i="2"/>
  <c r="DS101" i="2"/>
  <c r="DT101" i="2"/>
  <c r="DX101" i="2"/>
  <c r="DM102" i="2"/>
  <c r="DN102" i="2"/>
  <c r="DO102" i="2"/>
  <c r="DS102" i="2"/>
  <c r="DM111" i="2"/>
  <c r="DN111" i="2"/>
  <c r="DO111" i="2"/>
  <c r="DS111" i="2"/>
  <c r="DM112" i="2"/>
  <c r="DN112" i="2"/>
  <c r="DO112" i="2"/>
  <c r="DR112" i="2"/>
  <c r="DS112" i="2"/>
  <c r="DT112" i="2"/>
  <c r="DX112" i="2"/>
  <c r="DM113" i="2"/>
  <c r="DO113" i="2"/>
  <c r="DP113" i="2"/>
  <c r="DT113" i="2"/>
  <c r="DM114" i="2"/>
  <c r="DN114" i="2"/>
  <c r="DO114" i="2"/>
  <c r="DS114" i="2"/>
  <c r="DM115" i="2"/>
  <c r="DN115" i="2"/>
  <c r="DO115" i="2"/>
  <c r="DS115" i="2"/>
  <c r="DM116" i="2"/>
  <c r="DN116" i="2"/>
  <c r="DO116" i="2"/>
  <c r="DR116" i="2"/>
  <c r="DS116" i="2"/>
  <c r="DT116" i="2"/>
  <c r="DX116" i="2"/>
  <c r="DM117" i="2"/>
  <c r="DO117" i="2"/>
  <c r="DP117" i="2"/>
  <c r="DT117" i="2"/>
  <c r="DM118" i="2"/>
  <c r="DN118" i="2"/>
  <c r="DO118" i="2"/>
  <c r="DS118" i="2"/>
  <c r="DM119" i="2"/>
  <c r="DN119" i="2"/>
  <c r="DO119" i="2"/>
  <c r="DS119" i="2"/>
  <c r="DM123" i="2"/>
  <c r="DN123" i="2"/>
  <c r="DO123" i="2"/>
  <c r="DS123" i="2"/>
  <c r="DN127" i="2"/>
  <c r="DO127" i="2"/>
  <c r="DS127" i="2"/>
  <c r="DM129" i="2"/>
  <c r="DN129" i="2"/>
  <c r="DO129" i="2"/>
  <c r="DS129" i="2"/>
  <c r="DM130" i="2"/>
  <c r="DN130" i="2"/>
  <c r="DO130" i="2"/>
  <c r="DR130" i="2"/>
  <c r="DS130" i="2"/>
  <c r="DT130" i="2"/>
  <c r="DX130" i="2"/>
  <c r="DM132" i="2"/>
  <c r="DN132" i="2"/>
  <c r="DO132" i="2"/>
  <c r="DS132" i="2"/>
  <c r="DM133" i="2"/>
  <c r="DN133" i="2"/>
  <c r="DO133" i="2"/>
  <c r="DR133" i="2"/>
  <c r="DS133" i="2"/>
  <c r="DT133" i="2"/>
  <c r="DX133" i="2"/>
  <c r="DM134" i="2"/>
  <c r="DO134" i="2"/>
  <c r="DP134" i="2"/>
  <c r="DT134" i="2"/>
  <c r="DM137" i="2"/>
  <c r="DN137" i="2"/>
  <c r="DM147" i="2"/>
  <c r="DN147" i="2"/>
  <c r="DV147" i="2"/>
  <c r="DW147" i="2"/>
  <c r="DX147" i="2"/>
  <c r="DY147" i="2"/>
  <c r="DZ147" i="2"/>
  <c r="EA147" i="2"/>
  <c r="EB147" i="2"/>
  <c r="EC147" i="2"/>
  <c r="ED147" i="2"/>
  <c r="EE147" i="2"/>
  <c r="EF147" i="2"/>
  <c r="EG147" i="2"/>
  <c r="EH147" i="2"/>
  <c r="EI147" i="2"/>
  <c r="EJ147" i="2"/>
  <c r="EK147" i="2"/>
  <c r="EL147" i="2"/>
  <c r="EM147" i="2"/>
  <c r="EN147" i="2"/>
  <c r="EO147" i="2"/>
  <c r="EP147" i="2"/>
  <c r="EQ147" i="2"/>
  <c r="ER147" i="2"/>
  <c r="DV148" i="2"/>
  <c r="DW148" i="2"/>
  <c r="DX148" i="2"/>
  <c r="DY148" i="2"/>
  <c r="DZ148" i="2"/>
  <c r="EA148" i="2"/>
  <c r="EB148" i="2"/>
  <c r="EC148" i="2"/>
  <c r="ED148" i="2"/>
  <c r="EE148" i="2"/>
  <c r="EF148" i="2"/>
  <c r="EG148" i="2"/>
  <c r="EH148" i="2"/>
  <c r="EI148" i="2"/>
  <c r="EJ148" i="2"/>
  <c r="EK148" i="2"/>
  <c r="EL148" i="2"/>
  <c r="EM148" i="2"/>
  <c r="EN148" i="2"/>
  <c r="EO148" i="2"/>
  <c r="EP148" i="2"/>
  <c r="EQ148" i="2"/>
  <c r="ER148" i="2"/>
  <c r="DV149" i="2"/>
  <c r="DW149" i="2"/>
  <c r="DX149" i="2"/>
  <c r="DY149" i="2"/>
  <c r="DZ149" i="2"/>
  <c r="EA149" i="2"/>
  <c r="EB149" i="2"/>
  <c r="EC149" i="2"/>
  <c r="ED149" i="2"/>
  <c r="EE149" i="2"/>
  <c r="EF149" i="2"/>
  <c r="EG149" i="2"/>
  <c r="EH149" i="2"/>
  <c r="EI149" i="2"/>
  <c r="EJ149" i="2"/>
  <c r="EK149" i="2"/>
  <c r="EL149" i="2"/>
  <c r="EM149" i="2"/>
  <c r="EN149" i="2"/>
  <c r="EO149" i="2"/>
  <c r="EP149" i="2"/>
  <c r="EQ149" i="2"/>
  <c r="ER149" i="2"/>
  <c r="DV150" i="2"/>
  <c r="DW150" i="2"/>
  <c r="DX150" i="2"/>
  <c r="DY150" i="2"/>
  <c r="DZ150" i="2"/>
  <c r="EA150" i="2"/>
  <c r="EB150" i="2"/>
  <c r="EC150" i="2"/>
  <c r="ED150" i="2"/>
  <c r="EE150" i="2"/>
  <c r="EF150" i="2"/>
  <c r="EG150" i="2"/>
  <c r="EH150" i="2"/>
  <c r="EI150" i="2"/>
  <c r="EJ150" i="2"/>
  <c r="EK150" i="2"/>
  <c r="EL150" i="2"/>
  <c r="EM150" i="2"/>
  <c r="EN150" i="2"/>
  <c r="EO150" i="2"/>
  <c r="EP150" i="2"/>
  <c r="EQ150" i="2"/>
  <c r="ER150" i="2"/>
  <c r="AK20" i="25"/>
  <c r="AL20" i="25"/>
  <c r="AN20" i="25"/>
  <c r="AK21" i="25"/>
  <c r="AL21" i="25"/>
  <c r="AN21" i="25"/>
  <c r="N34" i="42"/>
  <c r="AA34" i="42"/>
  <c r="H17" i="1"/>
  <c r="I17" i="1"/>
  <c r="O17" i="1"/>
  <c r="O18" i="1"/>
  <c r="H21" i="1"/>
  <c r="I21" i="1"/>
  <c r="O21" i="1"/>
  <c r="O22" i="1"/>
  <c r="H26" i="1"/>
  <c r="I26" i="1"/>
  <c r="H34" i="1"/>
  <c r="I34" i="1"/>
  <c r="J34" i="1"/>
  <c r="H36" i="1"/>
  <c r="I36" i="1"/>
  <c r="J36" i="1"/>
  <c r="H42" i="1"/>
  <c r="I42" i="1"/>
  <c r="H43" i="1"/>
  <c r="I4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Chang, Steven</author>
    <author>Maxwell Spaeth</author>
    <author>Dan Salmon</author>
    <author>Steven</author>
  </authors>
  <commentList>
    <comment ref="CZ6" authorId="0" shapeId="0" xr:uid="{3FEFBB32-6738-4C8B-8DCC-380021BDF29B}">
      <text>
        <r>
          <rPr>
            <b/>
            <sz val="9"/>
            <color indexed="81"/>
            <rFont val="Tahoma"/>
            <family val="2"/>
          </rPr>
          <t>Chang, Steven:</t>
        </r>
        <r>
          <rPr>
            <sz val="9"/>
            <color indexed="81"/>
            <rFont val="Tahoma"/>
            <family val="2"/>
          </rPr>
          <t xml:space="preserve">
Headwinds in 1H22 - from elimiiniation of SHOP rev share on partners' first million dollars of rev
&amp;
Shift from gross to net revenue recognition for sale of themes on revised contract</t>
        </r>
      </text>
    </comment>
    <comment ref="CY7" authorId="0" shapeId="0" xr:uid="{F080D591-71F6-4B2C-8B53-68F1CD18E3F1}">
      <text>
        <r>
          <rPr>
            <b/>
            <sz val="9"/>
            <color indexed="81"/>
            <rFont val="Tahoma"/>
            <family val="2"/>
          </rPr>
          <t>Chang, Steven:</t>
        </r>
        <r>
          <rPr>
            <sz val="9"/>
            <color indexed="81"/>
            <rFont val="Tahoma"/>
            <family val="2"/>
          </rPr>
          <t xml:space="preserve">
Growth to be "rapid" but at a lower rate then FY20</t>
        </r>
      </text>
    </comment>
    <comment ref="CZ7" authorId="0" shapeId="0" xr:uid="{A27EFC4C-ED97-4334-A010-2E0EAAB74326}">
      <text>
        <r>
          <rPr>
            <b/>
            <sz val="9"/>
            <color indexed="81"/>
            <rFont val="Tahoma"/>
            <family val="2"/>
          </rPr>
          <t>Chang, Steven:</t>
        </r>
        <r>
          <rPr>
            <sz val="9"/>
            <color indexed="81"/>
            <rFont val="Tahoma"/>
            <family val="2"/>
          </rPr>
          <t xml:space="preserve">
lower in 1Q22</t>
        </r>
      </text>
    </comment>
    <comment ref="DC7" authorId="0" shapeId="0" xr:uid="{3D87204A-9384-44A0-874D-365EA478762A}">
      <text>
        <r>
          <rPr>
            <b/>
            <sz val="9"/>
            <color indexed="81"/>
            <rFont val="Tahoma"/>
            <family val="2"/>
          </rPr>
          <t>Chang, Steven:</t>
        </r>
        <r>
          <rPr>
            <sz val="9"/>
            <color indexed="81"/>
            <rFont val="Tahoma"/>
            <family val="2"/>
          </rPr>
          <t xml:space="preserve">
highest in 4Q22</t>
        </r>
      </text>
    </comment>
    <comment ref="DD7" authorId="0" shapeId="0" xr:uid="{7C870487-0DE0-4675-9E52-27F566A28B95}">
      <text>
        <r>
          <rPr>
            <b/>
            <sz val="9"/>
            <color indexed="81"/>
            <rFont val="Tahoma"/>
            <family val="2"/>
          </rPr>
          <t>Chang, Steven:</t>
        </r>
        <r>
          <rPr>
            <sz val="9"/>
            <color indexed="81"/>
            <rFont val="Tahoma"/>
            <family val="2"/>
          </rPr>
          <t xml:space="preserve">
lower than FY21 revenue growth</t>
        </r>
      </text>
    </comment>
    <comment ref="DS7" authorId="1" shapeId="0" xr:uid="{E54D2F57-CCB5-4FA1-89A3-0B2A478886E1}">
      <text>
        <r>
          <rPr>
            <b/>
            <sz val="9"/>
            <color indexed="81"/>
            <rFont val="Tahoma"/>
            <family val="2"/>
          </rPr>
          <t>Maxwell Spaeth:</t>
        </r>
        <r>
          <rPr>
            <sz val="9"/>
            <color indexed="81"/>
            <rFont val="Tahoma"/>
            <family val="2"/>
          </rPr>
          <t xml:space="preserve">
no price increase in '25 per 4Q24 call</t>
        </r>
      </text>
    </comment>
    <comment ref="CY9" authorId="0" shapeId="0" xr:uid="{1668CCF6-4E81-4134-BCE3-9875490F0B47}">
      <text>
        <r>
          <rPr>
            <b/>
            <sz val="9"/>
            <color indexed="81"/>
            <rFont val="Tahoma"/>
            <family val="2"/>
          </rPr>
          <t>Chang, Steven:</t>
        </r>
        <r>
          <rPr>
            <sz val="9"/>
            <color indexed="81"/>
            <rFont val="Tahoma"/>
            <family val="2"/>
          </rPr>
          <t xml:space="preserve">
Growth to be "rapid" but at a lower rate then FY20</t>
        </r>
      </text>
    </comment>
    <comment ref="CZ9" authorId="0" shapeId="0" xr:uid="{EA21ED15-8211-4389-A7CD-D4F846E5B32F}">
      <text>
        <r>
          <rPr>
            <b/>
            <sz val="9"/>
            <color indexed="81"/>
            <rFont val="Tahoma"/>
            <family val="2"/>
          </rPr>
          <t>Chang, Steven:</t>
        </r>
        <r>
          <rPr>
            <sz val="9"/>
            <color indexed="81"/>
            <rFont val="Tahoma"/>
            <family val="2"/>
          </rPr>
          <t xml:space="preserve">
lower in 1Q22</t>
        </r>
      </text>
    </comment>
    <comment ref="DC9" authorId="0" shapeId="0" xr:uid="{FD8EDDB2-C0C5-4B6A-A643-E05E4836DDE7}">
      <text>
        <r>
          <rPr>
            <b/>
            <sz val="9"/>
            <color indexed="81"/>
            <rFont val="Tahoma"/>
            <family val="2"/>
          </rPr>
          <t>Chang, Steven:</t>
        </r>
        <r>
          <rPr>
            <sz val="9"/>
            <color indexed="81"/>
            <rFont val="Tahoma"/>
            <family val="2"/>
          </rPr>
          <t xml:space="preserve">
highest in 4Q22</t>
        </r>
      </text>
    </comment>
    <comment ref="DD9" authorId="0" shapeId="0" xr:uid="{C6A562A3-E4D0-45B1-B246-3AFEDE82A93E}">
      <text>
        <r>
          <rPr>
            <b/>
            <sz val="9"/>
            <color indexed="81"/>
            <rFont val="Tahoma"/>
            <family val="2"/>
          </rPr>
          <t>Chang, Steven:</t>
        </r>
        <r>
          <rPr>
            <sz val="9"/>
            <color indexed="81"/>
            <rFont val="Tahoma"/>
            <family val="2"/>
          </rPr>
          <t xml:space="preserve">
lower than FY21 revenue growth</t>
        </r>
      </text>
    </comment>
    <comment ref="CX10" authorId="0" shapeId="0" xr:uid="{68278BD3-C3D8-48EF-B1BA-445BBF3B3609}">
      <text>
        <r>
          <rPr>
            <b/>
            <sz val="9"/>
            <color indexed="81"/>
            <rFont val="Tahoma"/>
            <family val="2"/>
          </rPr>
          <t>Chang, Steven:</t>
        </r>
        <r>
          <rPr>
            <sz val="9"/>
            <color indexed="81"/>
            <rFont val="Tahoma"/>
            <family val="2"/>
          </rPr>
          <t xml:space="preserve">
Still largest share of FY revenue; with spead more evenly distributed</t>
        </r>
      </text>
    </comment>
    <comment ref="CY11" authorId="0" shapeId="0" xr:uid="{77E90A80-F3C2-4277-A689-14F0C1878443}">
      <text>
        <r>
          <rPr>
            <b/>
            <sz val="9"/>
            <color indexed="81"/>
            <rFont val="Tahoma"/>
            <family val="2"/>
          </rPr>
          <t>Chang, Steven:</t>
        </r>
        <r>
          <rPr>
            <sz val="9"/>
            <color indexed="81"/>
            <rFont val="Tahoma"/>
            <family val="2"/>
          </rPr>
          <t xml:space="preserve">
Growth to be "rapid" but at a lower rate then FY20</t>
        </r>
      </text>
    </comment>
    <comment ref="CZ11" authorId="0" shapeId="0" xr:uid="{753C8B01-22F0-4071-9974-A5D1F896C764}">
      <text>
        <r>
          <rPr>
            <b/>
            <sz val="9"/>
            <color indexed="81"/>
            <rFont val="Tahoma"/>
            <family val="2"/>
          </rPr>
          <t>Chang, Steven:</t>
        </r>
        <r>
          <rPr>
            <sz val="9"/>
            <color indexed="81"/>
            <rFont val="Tahoma"/>
            <family val="2"/>
          </rPr>
          <t xml:space="preserve">
lower in 1Q22</t>
        </r>
      </text>
    </comment>
    <comment ref="DC11" authorId="0" shapeId="0" xr:uid="{1E48FEA5-11E9-44EA-9B9D-FD2AB2C6345E}">
      <text>
        <r>
          <rPr>
            <b/>
            <sz val="9"/>
            <color indexed="81"/>
            <rFont val="Tahoma"/>
            <family val="2"/>
          </rPr>
          <t>Chang, Steven:</t>
        </r>
        <r>
          <rPr>
            <sz val="9"/>
            <color indexed="81"/>
            <rFont val="Tahoma"/>
            <family val="2"/>
          </rPr>
          <t xml:space="preserve">
highest in 4Q22</t>
        </r>
      </text>
    </comment>
    <comment ref="DD11" authorId="0" shapeId="0" xr:uid="{2E660DD8-F025-4E6F-BB95-389AB63A7024}">
      <text>
        <r>
          <rPr>
            <b/>
            <sz val="9"/>
            <color indexed="81"/>
            <rFont val="Tahoma"/>
            <family val="2"/>
          </rPr>
          <t>Chang, Steven:</t>
        </r>
        <r>
          <rPr>
            <sz val="9"/>
            <color indexed="81"/>
            <rFont val="Tahoma"/>
            <family val="2"/>
          </rPr>
          <t xml:space="preserve">
lower than FY21 revenue growth</t>
        </r>
      </text>
    </comment>
    <comment ref="DM11" authorId="1" shapeId="0" xr:uid="{EBA06B03-E7E2-4676-AF3B-084464C1E03D}">
      <text>
        <r>
          <rPr>
            <b/>
            <sz val="9"/>
            <color indexed="81"/>
            <rFont val="Tahoma"/>
            <family val="2"/>
          </rPr>
          <t>Maxwell Spaeth:</t>
        </r>
        <r>
          <rPr>
            <sz val="9"/>
            <color indexed="81"/>
            <rFont val="Tahoma"/>
            <family val="2"/>
          </rPr>
          <t xml:space="preserve">
mid to high twenties
</t>
        </r>
      </text>
    </comment>
    <comment ref="DJ25" authorId="1" shapeId="0" xr:uid="{7451B810-7E55-4CDD-9BE5-2F7BFFB3795B}">
      <text>
        <r>
          <rPr>
            <b/>
            <sz val="9"/>
            <color indexed="81"/>
            <rFont val="Tahoma"/>
            <family val="2"/>
          </rPr>
          <t>Maxwell Spaeth:</t>
        </r>
        <r>
          <rPr>
            <sz val="9"/>
            <color indexed="81"/>
            <rFont val="Tahoma"/>
            <family val="2"/>
          </rPr>
          <t xml:space="preserve">
</t>
        </r>
        <r>
          <rPr>
            <b/>
            <sz val="9"/>
            <color indexed="81"/>
            <rFont val="Tahoma"/>
            <family val="2"/>
          </rPr>
          <t>4Q23 guide</t>
        </r>
        <r>
          <rPr>
            <sz val="9"/>
            <color indexed="81"/>
            <rFont val="Tahoma"/>
            <family val="2"/>
          </rPr>
          <t>: +150 bps from 4Q23</t>
        </r>
      </text>
    </comment>
    <comment ref="CY27" authorId="0" shapeId="0" xr:uid="{605168DE-73F5-4046-B016-32F13624CB0C}">
      <text>
        <r>
          <rPr>
            <b/>
            <sz val="9"/>
            <color indexed="81"/>
            <rFont val="Tahoma"/>
            <family val="2"/>
          </rPr>
          <t>Chang, Steven:</t>
        </r>
        <r>
          <rPr>
            <sz val="9"/>
            <color indexed="81"/>
            <rFont val="Tahoma"/>
            <family val="2"/>
          </rPr>
          <t xml:space="preserve">
Growth to be "rapid" but at a lower rate then FY20</t>
        </r>
      </text>
    </comment>
    <comment ref="CZ27" authorId="0" shapeId="0" xr:uid="{CD4627F6-9D3F-451F-A855-8393C4603361}">
      <text>
        <r>
          <rPr>
            <b/>
            <sz val="9"/>
            <color indexed="81"/>
            <rFont val="Tahoma"/>
            <family val="2"/>
          </rPr>
          <t>Chang, Steven:</t>
        </r>
        <r>
          <rPr>
            <sz val="9"/>
            <color indexed="81"/>
            <rFont val="Tahoma"/>
            <family val="2"/>
          </rPr>
          <t xml:space="preserve">
lower in 1Q22</t>
        </r>
      </text>
    </comment>
    <comment ref="DC27" authorId="0" shapeId="0" xr:uid="{D5719920-CCC4-4C8B-82A3-9EF07BA4845A}">
      <text>
        <r>
          <rPr>
            <b/>
            <sz val="9"/>
            <color indexed="81"/>
            <rFont val="Tahoma"/>
            <family val="2"/>
          </rPr>
          <t>Chang, Steven:</t>
        </r>
        <r>
          <rPr>
            <sz val="9"/>
            <color indexed="81"/>
            <rFont val="Tahoma"/>
            <family val="2"/>
          </rPr>
          <t xml:space="preserve">
highest in 4Q22</t>
        </r>
      </text>
    </comment>
    <comment ref="DD27" authorId="0" shapeId="0" xr:uid="{7C26547D-7DB9-4B9D-AD1C-94A3241E0ED3}">
      <text>
        <r>
          <rPr>
            <b/>
            <sz val="9"/>
            <color indexed="81"/>
            <rFont val="Tahoma"/>
            <family val="2"/>
          </rPr>
          <t>Chang, Steven:</t>
        </r>
        <r>
          <rPr>
            <sz val="9"/>
            <color indexed="81"/>
            <rFont val="Tahoma"/>
            <family val="2"/>
          </rPr>
          <t xml:space="preserve">
lower than FY21 revenue growth</t>
        </r>
      </text>
    </comment>
    <comment ref="DM27" authorId="1" shapeId="0" xr:uid="{CD0946BA-12AA-46BA-9692-F2A2A51C1DEC}">
      <text>
        <r>
          <rPr>
            <b/>
            <sz val="9"/>
            <color indexed="81"/>
            <rFont val="Tahoma"/>
            <family val="2"/>
          </rPr>
          <t>Maxwell Spaeth:</t>
        </r>
        <r>
          <rPr>
            <sz val="9"/>
            <color indexed="81"/>
            <rFont val="Tahoma"/>
            <family val="2"/>
          </rPr>
          <t xml:space="preserve">
similar to 3Q24</t>
        </r>
      </text>
    </comment>
    <comment ref="C28" authorId="1" shapeId="0" xr:uid="{D9E75AAF-32C3-439D-98CC-5421EBEB8F3A}">
      <text>
        <r>
          <rPr>
            <b/>
            <sz val="9"/>
            <color indexed="81"/>
            <rFont val="Tahoma"/>
            <family val="2"/>
          </rPr>
          <t>Maxwell Spaeth:</t>
        </r>
        <r>
          <rPr>
            <sz val="9"/>
            <color indexed="81"/>
            <rFont val="Tahoma"/>
            <family val="2"/>
          </rPr>
          <t xml:space="preserve">
10-Q "Effect of Foreign Exchange Rates"</t>
        </r>
      </text>
    </comment>
    <comment ref="DD31" authorId="0" shapeId="0" xr:uid="{7C7E0AD7-0EDA-4E68-AA44-5F0F04943C88}">
      <text>
        <r>
          <rPr>
            <b/>
            <sz val="9"/>
            <color indexed="81"/>
            <rFont val="Tahoma"/>
            <family val="2"/>
          </rPr>
          <t>Chang, Steven:</t>
        </r>
        <r>
          <rPr>
            <sz val="9"/>
            <color indexed="81"/>
            <rFont val="Tahoma"/>
            <family val="2"/>
          </rPr>
          <t xml:space="preserve">
4Q21: accelerating hiring in sales + new offline performance marketing program and stepping up marketing efforts internationally</t>
        </r>
      </text>
    </comment>
    <comment ref="DD33" authorId="0" shapeId="0" xr:uid="{629811DB-DD27-4C93-B6B4-F4499458BAEF}">
      <text>
        <r>
          <rPr>
            <b/>
            <sz val="9"/>
            <color indexed="81"/>
            <rFont val="Tahoma"/>
            <family val="2"/>
          </rPr>
          <t>Chang, Steven:</t>
        </r>
        <r>
          <rPr>
            <sz val="9"/>
            <color indexed="81"/>
            <rFont val="Tahoma"/>
            <family val="2"/>
          </rPr>
          <t xml:space="preserve">
expect to hire more engineers than in 2021, despite competitive market for talent</t>
        </r>
      </text>
    </comment>
    <comment ref="C37" authorId="0" shapeId="0" xr:uid="{822BE2B9-3931-479F-B11C-E9087AA5BDB5}">
      <text>
        <r>
          <rPr>
            <b/>
            <sz val="9"/>
            <color indexed="81"/>
            <rFont val="Tahoma"/>
            <family val="2"/>
          </rPr>
          <t>Chang, Steven:</t>
        </r>
        <r>
          <rPr>
            <sz val="9"/>
            <color indexed="81"/>
            <rFont val="Tahoma"/>
            <family val="2"/>
          </rPr>
          <t xml:space="preserve">
actual losses related to Shop Pay, Installments, Balance, Capital
uncovered merchant transactions from returns and disputes
- expect to increase in absolute dollars over time</t>
        </r>
      </text>
    </comment>
    <comment ref="DF39" authorId="2" shapeId="0" xr:uid="{55C755FA-7875-4D5B-A644-3178BA7F122C}">
      <text>
        <r>
          <rPr>
            <b/>
            <sz val="9"/>
            <color indexed="81"/>
            <rFont val="Tahoma"/>
            <family val="2"/>
          </rPr>
          <t>Dan Salmon:</t>
        </r>
        <r>
          <rPr>
            <sz val="9"/>
            <color indexed="81"/>
            <rFont val="Tahoma"/>
            <family val="2"/>
          </rPr>
          <t xml:space="preserve">
Impairment on sales of Shopify's logistics businesses</t>
        </r>
      </text>
    </comment>
    <comment ref="DD41" authorId="0" shapeId="0" xr:uid="{45FC9F13-E4B5-4810-BF27-C57EFF1872CE}">
      <text>
        <r>
          <rPr>
            <b/>
            <sz val="9"/>
            <color indexed="81"/>
            <rFont val="Tahoma"/>
            <family val="2"/>
          </rPr>
          <t>Chang, Steven:</t>
        </r>
        <r>
          <rPr>
            <sz val="9"/>
            <color indexed="81"/>
            <rFont val="Tahoma"/>
            <family val="2"/>
          </rPr>
          <t xml:space="preserve">
4Q21: "Deploying all of our gross profit dollars back into the business"</t>
        </r>
      </text>
    </comment>
    <comment ref="DJ41" authorId="1" shapeId="0" xr:uid="{BBCD12D0-1252-45DA-B5D9-61853A799C5B}">
      <text>
        <r>
          <rPr>
            <b/>
            <sz val="9"/>
            <color indexed="81"/>
            <rFont val="Tahoma"/>
            <family val="2"/>
          </rPr>
          <t>Maxwell Spaeth:</t>
        </r>
        <r>
          <rPr>
            <sz val="9"/>
            <color indexed="81"/>
            <rFont val="Tahoma"/>
            <family val="2"/>
          </rPr>
          <t xml:space="preserve">
</t>
        </r>
        <r>
          <rPr>
            <b/>
            <sz val="9"/>
            <color indexed="81"/>
            <rFont val="Tahoma"/>
            <family val="2"/>
          </rPr>
          <t>4Q23 Guide</t>
        </r>
        <r>
          <rPr>
            <sz val="9"/>
            <color indexed="81"/>
            <rFont val="Tahoma"/>
            <family val="2"/>
          </rPr>
          <t>: up a low-teens percentage rate vs 4Q23</t>
        </r>
      </text>
    </comment>
    <comment ref="DM42" authorId="1" shapeId="0" xr:uid="{0616B3D7-6D35-4334-A8D9-527C6B498963}">
      <text>
        <r>
          <rPr>
            <b/>
            <sz val="9"/>
            <color indexed="81"/>
            <rFont val="Tahoma"/>
            <family val="2"/>
          </rPr>
          <t>Maxwell Spaeth:</t>
        </r>
        <r>
          <rPr>
            <sz val="9"/>
            <color indexed="81"/>
            <rFont val="Tahoma"/>
            <family val="2"/>
          </rPr>
          <t xml:space="preserve">
32%-33%</t>
        </r>
      </text>
    </comment>
    <comment ref="CX43" authorId="0" shapeId="0" xr:uid="{6DCD25EE-B76F-49B5-BB88-12B360AEA6B2}">
      <text>
        <r>
          <rPr>
            <b/>
            <sz val="9"/>
            <color indexed="81"/>
            <rFont val="Tahoma"/>
            <family val="2"/>
          </rPr>
          <t>Chang, Steven:</t>
        </r>
        <r>
          <rPr>
            <sz val="9"/>
            <color indexed="81"/>
            <rFont val="Tahoma"/>
            <family val="2"/>
          </rPr>
          <t xml:space="preserve">
accelerating slightly vs. 3Q ex-$30.1M impairment charge (64%)</t>
        </r>
      </text>
    </comment>
    <comment ref="CY44" authorId="0" shapeId="0" xr:uid="{231D06BE-5676-416F-B306-CA0405950040}">
      <text>
        <r>
          <rPr>
            <b/>
            <sz val="9"/>
            <color indexed="81"/>
            <rFont val="Tahoma"/>
            <family val="2"/>
          </rPr>
          <t>Chang, Steven:</t>
        </r>
        <r>
          <rPr>
            <sz val="9"/>
            <color indexed="81"/>
            <rFont val="Tahoma"/>
            <family val="2"/>
          </rPr>
          <t xml:space="preserve">
FY21 to be above FY20</t>
        </r>
      </text>
    </comment>
    <comment ref="CY45" authorId="0" shapeId="0" xr:uid="{C8EBC77A-60F4-48DA-99C8-25B007B20D86}">
      <text>
        <r>
          <rPr>
            <b/>
            <sz val="9"/>
            <color indexed="81"/>
            <rFont val="Tahoma"/>
            <family val="2"/>
          </rPr>
          <t>Chang, Steven:</t>
        </r>
        <r>
          <rPr>
            <sz val="9"/>
            <color indexed="81"/>
            <rFont val="Tahoma"/>
            <family val="2"/>
          </rPr>
          <t xml:space="preserve">
Growth to be "rapid" but at a lower rate then FY20</t>
        </r>
      </text>
    </comment>
    <comment ref="CZ45" authorId="0" shapeId="0" xr:uid="{A2D5F9F1-ED7A-45C4-B712-89D61B452F04}">
      <text>
        <r>
          <rPr>
            <b/>
            <sz val="9"/>
            <color indexed="81"/>
            <rFont val="Tahoma"/>
            <family val="2"/>
          </rPr>
          <t>Chang, Steven:</t>
        </r>
        <r>
          <rPr>
            <sz val="9"/>
            <color indexed="81"/>
            <rFont val="Tahoma"/>
            <family val="2"/>
          </rPr>
          <t xml:space="preserve">
lower in 1Q22</t>
        </r>
      </text>
    </comment>
    <comment ref="DC45" authorId="0" shapeId="0" xr:uid="{E29E9F6F-F1CC-4789-B06D-387064B1369C}">
      <text>
        <r>
          <rPr>
            <b/>
            <sz val="9"/>
            <color indexed="81"/>
            <rFont val="Tahoma"/>
            <family val="2"/>
          </rPr>
          <t>Chang, Steven:</t>
        </r>
        <r>
          <rPr>
            <sz val="9"/>
            <color indexed="81"/>
            <rFont val="Tahoma"/>
            <family val="2"/>
          </rPr>
          <t xml:space="preserve">
highest in 4Q22</t>
        </r>
      </text>
    </comment>
    <comment ref="DD45" authorId="0" shapeId="0" xr:uid="{1AAC3118-8A2F-4881-ABB4-A395F411B9E4}">
      <text>
        <r>
          <rPr>
            <b/>
            <sz val="9"/>
            <color indexed="81"/>
            <rFont val="Tahoma"/>
            <family val="2"/>
          </rPr>
          <t>Chang, Steven:</t>
        </r>
        <r>
          <rPr>
            <sz val="9"/>
            <color indexed="81"/>
            <rFont val="Tahoma"/>
            <family val="2"/>
          </rPr>
          <t xml:space="preserve">
lower than FY21 revenue growth</t>
        </r>
      </text>
    </comment>
    <comment ref="C47" authorId="1" shapeId="0" xr:uid="{83A02F7A-CD23-4DA1-8C2C-F41C90CC0853}">
      <text>
        <r>
          <rPr>
            <b/>
            <sz val="9"/>
            <color indexed="81"/>
            <rFont val="Tahoma"/>
            <family val="2"/>
          </rPr>
          <t>Maxwell Spaeth:</t>
        </r>
        <r>
          <rPr>
            <sz val="9"/>
            <color indexed="81"/>
            <rFont val="Tahoma"/>
            <family val="2"/>
          </rPr>
          <t xml:space="preserve">
10-Q "Effect of Foreign Exchange Rates"</t>
        </r>
      </text>
    </comment>
    <comment ref="CU53" authorId="3" shapeId="0" xr:uid="{A944443D-45DE-4287-AE10-86309B9EF61F}">
      <text>
        <r>
          <rPr>
            <b/>
            <sz val="9"/>
            <color indexed="81"/>
            <rFont val="Tahoma"/>
            <family val="2"/>
          </rPr>
          <t>Steven:</t>
        </r>
        <r>
          <rPr>
            <sz val="9"/>
            <color indexed="81"/>
            <rFont val="Tahoma"/>
            <family val="2"/>
          </rPr>
          <t xml:space="preserve">
$1.28B unrealized gain from Affirm
$(26.7M) unrealized loss from private company</t>
        </r>
      </text>
    </comment>
    <comment ref="CV53" authorId="3" shapeId="0" xr:uid="{A8A3D22A-75F8-4A79-9220-B67F87CD76E8}">
      <text>
        <r>
          <rPr>
            <b/>
            <sz val="9"/>
            <color indexed="81"/>
            <rFont val="Tahoma"/>
            <family val="2"/>
          </rPr>
          <t>Steven:</t>
        </r>
        <r>
          <rPr>
            <sz val="9"/>
            <color indexed="81"/>
            <rFont val="Tahoma"/>
            <family val="2"/>
          </rPr>
          <t xml:space="preserve">
$814M unrealized gain from Global-E
$(68M) unrealized loss from Affirm</t>
        </r>
      </text>
    </comment>
    <comment ref="CW53" authorId="3" shapeId="0" xr:uid="{E02A214D-9830-4E1B-A6EE-9470262FB97F}">
      <text>
        <r>
          <rPr>
            <b/>
            <sz val="9"/>
            <color indexed="81"/>
            <rFont val="Tahoma"/>
            <family val="2"/>
          </rPr>
          <t>Steven:</t>
        </r>
        <r>
          <rPr>
            <sz val="9"/>
            <color indexed="81"/>
            <rFont val="Tahoma"/>
            <family val="2"/>
          </rPr>
          <t xml:space="preserve">
$286M from Global-E
$1.1B from Affirm</t>
        </r>
      </text>
    </comment>
    <comment ref="CZ53" authorId="0" shapeId="0" xr:uid="{869BE89A-C16E-46E8-A970-1EB72EE39321}">
      <text>
        <r>
          <rPr>
            <b/>
            <sz val="9"/>
            <color indexed="81"/>
            <rFont val="Tahoma"/>
            <family val="2"/>
          </rPr>
          <t>Chang, Steven:</t>
        </r>
        <r>
          <rPr>
            <sz val="9"/>
            <color indexed="81"/>
            <rFont val="Tahoma"/>
            <family val="2"/>
          </rPr>
          <t xml:space="preserve">
incl. 122M of realized gain</t>
        </r>
      </text>
    </comment>
    <comment ref="C65" authorId="1" shapeId="0" xr:uid="{B9B11166-E8EB-4EFE-AB29-AC72BBECF4CA}">
      <text>
        <r>
          <rPr>
            <b/>
            <sz val="9"/>
            <color indexed="81"/>
            <rFont val="Tahoma"/>
            <family val="2"/>
          </rPr>
          <t>Maxwell Spaeth:</t>
        </r>
        <r>
          <rPr>
            <sz val="9"/>
            <color indexed="81"/>
            <rFont val="Tahoma"/>
            <family val="2"/>
          </rPr>
          <t xml:space="preserve">
press release, face of income statement</t>
        </r>
      </text>
    </comment>
    <comment ref="DA69" authorId="1" shapeId="0" xr:uid="{70000CBD-063A-4A1C-B62A-ED38824C3380}">
      <text>
        <r>
          <rPr>
            <b/>
            <sz val="9"/>
            <color indexed="81"/>
            <rFont val="Tahoma"/>
            <family val="2"/>
          </rPr>
          <t>Maxwell Spaeth:</t>
        </r>
        <r>
          <rPr>
            <sz val="9"/>
            <color indexed="81"/>
            <rFont val="Tahoma"/>
            <family val="2"/>
          </rPr>
          <t xml:space="preserve">
stock split 10:1 on June 29th, 2022</t>
        </r>
      </text>
    </comment>
    <comment ref="C86" authorId="1" shapeId="0" xr:uid="{948B711B-107C-486C-821D-0729E2FECAEA}">
      <text>
        <r>
          <rPr>
            <b/>
            <sz val="9"/>
            <color indexed="81"/>
            <rFont val="Tahoma"/>
            <family val="2"/>
          </rPr>
          <t>Maxwell Spaeth:</t>
        </r>
        <r>
          <rPr>
            <sz val="9"/>
            <color indexed="81"/>
            <rFont val="Tahoma"/>
            <family val="2"/>
          </rPr>
          <t xml:space="preserve">
10-Q, Note 10 Shareholders' Equity</t>
        </r>
      </text>
    </comment>
    <comment ref="CY86" authorId="0" shapeId="0" xr:uid="{8213015C-DFE2-4024-8BFE-3E041F66EECD}">
      <text>
        <r>
          <rPr>
            <b/>
            <sz val="9"/>
            <color indexed="81"/>
            <rFont val="Tahoma"/>
            <family val="2"/>
          </rPr>
          <t>Chang, Steven:</t>
        </r>
        <r>
          <rPr>
            <sz val="9"/>
            <color indexed="81"/>
            <rFont val="Tahoma"/>
            <family val="2"/>
          </rPr>
          <t xml:space="preserve">
$400M for FY21</t>
        </r>
      </text>
    </comment>
    <comment ref="DD86" authorId="0" shapeId="0" xr:uid="{27166B39-5497-4540-BBA0-74B8CA45A500}">
      <text>
        <r>
          <rPr>
            <b/>
            <sz val="9"/>
            <color indexed="81"/>
            <rFont val="Tahoma"/>
            <family val="2"/>
          </rPr>
          <t>Chang, Steven:</t>
        </r>
        <r>
          <rPr>
            <sz val="9"/>
            <color indexed="81"/>
            <rFont val="Tahoma"/>
            <family val="2"/>
          </rPr>
          <t xml:space="preserve">
SBC and Related Payroll Taxes of $800M</t>
        </r>
      </text>
    </comment>
    <comment ref="DE86" authorId="2" shapeId="0" xr:uid="{C179097C-2DA1-4026-A438-6F86D0413A9B}">
      <text>
        <r>
          <rPr>
            <b/>
            <sz val="9"/>
            <color indexed="81"/>
            <rFont val="Tahoma"/>
            <family val="2"/>
          </rPr>
          <t>Dan Salmon:</t>
        </r>
        <r>
          <rPr>
            <sz val="9"/>
            <color indexed="81"/>
            <rFont val="Tahoma"/>
            <family val="2"/>
          </rPr>
          <t xml:space="preserve">
includes payroll taxes for the first time</t>
        </r>
      </text>
    </comment>
    <comment ref="DJ86" authorId="1" shapeId="0" xr:uid="{DC8ED6A6-95A2-4466-BB8A-9DA0C36B958F}">
      <text>
        <r>
          <rPr>
            <b/>
            <sz val="9"/>
            <color indexed="81"/>
            <rFont val="Tahoma"/>
            <family val="2"/>
          </rPr>
          <t>Maxwell Spaeth:</t>
        </r>
        <r>
          <rPr>
            <sz val="9"/>
            <color indexed="81"/>
            <rFont val="Tahoma"/>
            <family val="2"/>
          </rPr>
          <t xml:space="preserve">
4Q23 Guide: ~$105M</t>
        </r>
      </text>
    </comment>
    <comment ref="DM86" authorId="1" shapeId="0" xr:uid="{D776DAA7-199E-4034-B558-893D10D69FB3}">
      <text>
        <r>
          <rPr>
            <b/>
            <sz val="9"/>
            <color indexed="81"/>
            <rFont val="Tahoma"/>
            <family val="2"/>
          </rPr>
          <t>Maxwell Spaeth:</t>
        </r>
        <r>
          <rPr>
            <sz val="9"/>
            <color indexed="81"/>
            <rFont val="Tahoma"/>
            <family val="2"/>
          </rPr>
          <t xml:space="preserve">
</t>
        </r>
        <r>
          <rPr>
            <b/>
            <sz val="9"/>
            <color indexed="81"/>
            <rFont val="Tahoma"/>
            <family val="2"/>
          </rPr>
          <t>outlook</t>
        </r>
        <r>
          <rPr>
            <sz val="9"/>
            <color indexed="81"/>
            <rFont val="Tahoma"/>
            <family val="2"/>
          </rPr>
          <t>: $120M</t>
        </r>
      </text>
    </comment>
    <comment ref="CY93" authorId="0" shapeId="0" xr:uid="{59F38DA2-7C5C-4321-8FEF-B50C430E347C}">
      <text>
        <r>
          <rPr>
            <b/>
            <sz val="9"/>
            <color indexed="81"/>
            <rFont val="Tahoma"/>
            <family val="2"/>
          </rPr>
          <t>Chang, Steven:</t>
        </r>
        <r>
          <rPr>
            <sz val="9"/>
            <color indexed="81"/>
            <rFont val="Tahoma"/>
            <family val="2"/>
          </rPr>
          <t xml:space="preserve">
SBC + Payroll Taxes = ~$400M</t>
        </r>
      </text>
    </comment>
    <comment ref="DG93" authorId="1" shapeId="0" xr:uid="{C5A29CF2-0509-431E-A582-4191765B330F}">
      <text>
        <r>
          <rPr>
            <b/>
            <sz val="9"/>
            <color indexed="81"/>
            <rFont val="Tahoma"/>
            <family val="2"/>
          </rPr>
          <t>Maxwell Spaeth:</t>
        </r>
        <r>
          <rPr>
            <sz val="9"/>
            <color indexed="81"/>
            <rFont val="Tahoma"/>
            <family val="2"/>
          </rPr>
          <t xml:space="preserve">
folded into "stock based compensation and related payroll taxes"</t>
        </r>
      </text>
    </comment>
    <comment ref="C100" authorId="1" shapeId="0" xr:uid="{76E08FD1-600C-41ED-900B-001B4846E6F0}">
      <text>
        <r>
          <rPr>
            <b/>
            <sz val="9"/>
            <color indexed="81"/>
            <rFont val="Tahoma"/>
            <family val="2"/>
          </rPr>
          <t>Maxwell Spaeth:</t>
        </r>
        <r>
          <rPr>
            <sz val="9"/>
            <color indexed="81"/>
            <rFont val="Tahoma"/>
            <family val="2"/>
          </rPr>
          <t xml:space="preserve">
financial supplement</t>
        </r>
      </text>
    </comment>
    <comment ref="DQ100" authorId="1" shapeId="0" xr:uid="{A81A3AED-0CAA-4873-90AF-30C36045B09D}">
      <text>
        <r>
          <rPr>
            <b/>
            <sz val="9"/>
            <color indexed="81"/>
            <rFont val="Tahoma"/>
            <family val="2"/>
          </rPr>
          <t>Maxwell Spaeth:</t>
        </r>
        <r>
          <rPr>
            <sz val="9"/>
            <color indexed="81"/>
            <rFont val="Tahoma"/>
            <family val="2"/>
          </rPr>
          <t xml:space="preserve">
$130M</t>
        </r>
      </text>
    </comment>
    <comment ref="CY108" authorId="0" shapeId="0" xr:uid="{95757E70-0E24-4706-ADE6-DF923DAEE5A2}">
      <text>
        <r>
          <rPr>
            <b/>
            <sz val="9"/>
            <color indexed="81"/>
            <rFont val="Tahoma"/>
            <family val="2"/>
          </rPr>
          <t>Chang, Steven:</t>
        </r>
        <r>
          <rPr>
            <sz val="9"/>
            <color indexed="81"/>
            <rFont val="Tahoma"/>
            <family val="2"/>
          </rPr>
          <t xml:space="preserve">
$22M for FY21</t>
        </r>
      </text>
    </comment>
    <comment ref="BQ110" authorId="0" shapeId="0" xr:uid="{ED5A44DF-2FF0-4B53-BDBB-0DB05D80F20B}">
      <text>
        <r>
          <rPr>
            <b/>
            <sz val="9"/>
            <color indexed="81"/>
            <rFont val="Tahoma"/>
            <family val="2"/>
          </rPr>
          <t>Chang, Steven:</t>
        </r>
        <r>
          <rPr>
            <sz val="9"/>
            <color indexed="81"/>
            <rFont val="Tahoma"/>
            <family val="2"/>
          </rPr>
          <t xml:space="preserve">
sales and use tax
</t>
        </r>
      </text>
    </comment>
    <comment ref="CQ110" authorId="0" shapeId="0" xr:uid="{D9277AB7-BE7D-4B7F-A259-7544063705B9}">
      <text>
        <r>
          <rPr>
            <b/>
            <sz val="9"/>
            <color indexed="81"/>
            <rFont val="Tahoma"/>
            <family val="2"/>
          </rPr>
          <t>Chang, Steven:</t>
        </r>
        <r>
          <rPr>
            <sz val="9"/>
            <color indexed="81"/>
            <rFont val="Tahoma"/>
            <family val="2"/>
          </rPr>
          <t xml:space="preserve">
impairment of right-of-use assets and leasehold improvements</t>
        </r>
      </text>
    </comment>
    <comment ref="CW110" authorId="0" shapeId="0" xr:uid="{30C7C7D7-A95E-4FF4-87E5-9AE6A17C4CFD}">
      <text>
        <r>
          <rPr>
            <b/>
            <sz val="9"/>
            <color indexed="81"/>
            <rFont val="Tahoma"/>
            <family val="2"/>
          </rPr>
          <t>Chang, Steven:</t>
        </r>
        <r>
          <rPr>
            <sz val="9"/>
            <color indexed="81"/>
            <rFont val="Tahoma"/>
            <family val="2"/>
          </rPr>
          <t xml:space="preserve">
impairment of right-of-use assets and leasehold improvements</t>
        </r>
      </text>
    </comment>
    <comment ref="DB110" authorId="1" shapeId="0" xr:uid="{81E73F24-1B3B-4828-B1C6-44908F6F0881}">
      <text>
        <r>
          <rPr>
            <b/>
            <sz val="9"/>
            <color indexed="81"/>
            <rFont val="Tahoma"/>
            <family val="2"/>
          </rPr>
          <t xml:space="preserve">Maxwell Spaeth:
</t>
        </r>
        <r>
          <rPr>
            <sz val="9"/>
            <color indexed="81"/>
            <rFont val="Tahoma"/>
            <family val="2"/>
          </rPr>
          <t>Severance: 30.481
Legal contingencies: 97.000</t>
        </r>
      </text>
    </comment>
    <comment ref="DC110" authorId="1" shapeId="0" xr:uid="{E8E25425-2B7F-4EBF-9D85-F9F88546E958}">
      <text>
        <r>
          <rPr>
            <b/>
            <sz val="9"/>
            <color indexed="81"/>
            <rFont val="Tahoma"/>
            <family val="2"/>
          </rPr>
          <t>Maxwell Spaeth:</t>
        </r>
        <r>
          <rPr>
            <sz val="9"/>
            <color indexed="81"/>
            <rFont val="Tahoma"/>
            <family val="2"/>
          </rPr>
          <t xml:space="preserve">
Impairment of right-of-use assets and leasehold improvements 84.314</t>
        </r>
      </text>
    </comment>
    <comment ref="DF110" authorId="1" shapeId="0" xr:uid="{CAF17DA7-7908-4D29-8FDF-B25FBD606D6B}">
      <text>
        <r>
          <rPr>
            <b/>
            <sz val="9"/>
            <color indexed="81"/>
            <rFont val="Tahoma"/>
            <family val="2"/>
          </rPr>
          <t>Maxwell Spaeth:</t>
        </r>
        <r>
          <rPr>
            <sz val="9"/>
            <color indexed="81"/>
            <rFont val="Tahoma"/>
            <family val="2"/>
          </rPr>
          <t xml:space="preserve">
R&amp;D acclerated SBC: 164
R&amp;D severance: 102
G&amp;A severance: 18
</t>
        </r>
      </text>
    </comment>
    <comment ref="DK110" authorId="1" shapeId="0" xr:uid="{26BD3100-DB32-4686-9009-55CB8AA784AD}">
      <text>
        <r>
          <rPr>
            <b/>
            <sz val="9"/>
            <color indexed="81"/>
            <rFont val="Tahoma"/>
            <family val="2"/>
          </rPr>
          <t>Maxwell Spaeth:</t>
        </r>
        <r>
          <rPr>
            <sz val="9"/>
            <color indexed="81"/>
            <rFont val="Tahoma"/>
            <family val="2"/>
          </rPr>
          <t xml:space="preserve">
benefit related to legal contingencies</t>
        </r>
      </text>
    </comment>
    <comment ref="DG122" authorId="1" shapeId="0" xr:uid="{C301B49C-C5B7-4D92-8146-80BA8686F8F4}">
      <text>
        <r>
          <rPr>
            <b/>
            <sz val="9"/>
            <color indexed="81"/>
            <rFont val="Tahoma"/>
            <family val="2"/>
          </rPr>
          <t>Maxwell Spaeth:</t>
        </r>
        <r>
          <rPr>
            <sz val="9"/>
            <color indexed="81"/>
            <rFont val="Tahoma"/>
            <family val="2"/>
          </rPr>
          <t xml:space="preserve">
includes 38 of accelerated sbc</t>
        </r>
      </text>
    </comment>
    <comment ref="CR126" authorId="0" shapeId="0" xr:uid="{83E09B3C-B320-41F9-8759-93AF1F12F059}">
      <text>
        <r>
          <rPr>
            <b/>
            <sz val="9"/>
            <color indexed="81"/>
            <rFont val="Tahoma"/>
            <family val="2"/>
          </rPr>
          <t>Chang, Steven:</t>
        </r>
        <r>
          <rPr>
            <sz val="9"/>
            <color indexed="81"/>
            <rFont val="Tahoma"/>
            <family val="2"/>
          </rPr>
          <t xml:space="preserve">
amotization of debt discount</t>
        </r>
      </text>
    </comment>
    <comment ref="CS126" authorId="0" shapeId="0" xr:uid="{4770F2C4-3854-4FF5-98CC-718C8E4E6B62}">
      <text>
        <r>
          <rPr>
            <b/>
            <sz val="9"/>
            <color indexed="81"/>
            <rFont val="Tahoma"/>
            <family val="2"/>
          </rPr>
          <t>Chang, Steven:</t>
        </r>
        <r>
          <rPr>
            <sz val="9"/>
            <color indexed="81"/>
            <rFont val="Tahoma"/>
            <family val="2"/>
          </rPr>
          <t xml:space="preserve">
amortization of debt discount of $7.116M</t>
        </r>
      </text>
    </comment>
    <comment ref="DG126" authorId="1" shapeId="0" xr:uid="{E0D5C047-1078-4916-88FD-C0B61E7A1B99}">
      <text>
        <r>
          <rPr>
            <b/>
            <sz val="9"/>
            <color indexed="81"/>
            <rFont val="Tahoma"/>
            <family val="2"/>
          </rPr>
          <t>Maxwell Spaeth:</t>
        </r>
        <r>
          <rPr>
            <sz val="9"/>
            <color indexed="81"/>
            <rFont val="Tahoma"/>
            <family val="2"/>
          </rPr>
          <t xml:space="preserve">
accelerated amortization already included in amortization of acquired intangibles line</t>
        </r>
      </text>
    </comment>
    <comment ref="DO132" authorId="1" shapeId="0" xr:uid="{23D3D1A9-1905-4F09-AD0D-8EAB6AF39B7C}">
      <text>
        <r>
          <rPr>
            <b/>
            <sz val="9"/>
            <color indexed="81"/>
            <rFont val="Tahoma"/>
            <family val="2"/>
          </rPr>
          <t>Maxwell Spaeth:</t>
        </r>
        <r>
          <rPr>
            <sz val="9"/>
            <color indexed="81"/>
            <rFont val="Tahoma"/>
            <family val="2"/>
          </rPr>
          <t xml:space="preserve">
rounding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Chang, Steven</author>
    <author>Maxwell Spaeth</author>
    <author>Steven</author>
  </authors>
  <commentList>
    <comment ref="DD8" authorId="0" shapeId="0" xr:uid="{53994EA0-9D9F-4947-BE99-33915BBE26BF}">
      <text>
        <r>
          <rPr>
            <b/>
            <sz val="9"/>
            <color indexed="81"/>
            <rFont val="Tahoma"/>
            <family val="2"/>
          </rPr>
          <t>Chang, Steven:</t>
        </r>
        <r>
          <rPr>
            <sz val="9"/>
            <color indexed="81"/>
            <rFont val="Tahoma"/>
            <family val="2"/>
          </rPr>
          <t xml:space="preserve">
lower than 57$ revenue growth in 2021</t>
        </r>
      </text>
    </comment>
    <comment ref="DM8" authorId="1" shapeId="0" xr:uid="{B353A1C2-DD41-41BD-B1AB-82262DF45722}">
      <text>
        <r>
          <rPr>
            <b/>
            <sz val="9"/>
            <color indexed="81"/>
            <rFont val="Tahoma"/>
            <family val="2"/>
          </rPr>
          <t>Maxwell Spaeth:</t>
        </r>
        <r>
          <rPr>
            <sz val="9"/>
            <color indexed="81"/>
            <rFont val="Tahoma"/>
            <family val="2"/>
          </rPr>
          <t xml:space="preserve">
</t>
        </r>
        <r>
          <rPr>
            <b/>
            <sz val="9"/>
            <color indexed="81"/>
            <rFont val="Tahoma"/>
            <family val="2"/>
          </rPr>
          <t>outlook</t>
        </r>
        <r>
          <rPr>
            <sz val="9"/>
            <color indexed="81"/>
            <rFont val="Tahoma"/>
            <family val="2"/>
          </rPr>
          <t>: "mid to high twenties"</t>
        </r>
      </text>
    </comment>
    <comment ref="DU14" authorId="1" shapeId="0" xr:uid="{B7C24E50-1A2E-47FD-991D-77AE76ED18DB}">
      <text>
        <r>
          <rPr>
            <b/>
            <sz val="9"/>
            <color indexed="81"/>
            <rFont val="Tahoma"/>
            <family val="2"/>
          </rPr>
          <t>Maxwell Spaeth:</t>
        </r>
        <r>
          <rPr>
            <sz val="9"/>
            <color indexed="81"/>
            <rFont val="Tahoma"/>
            <family val="2"/>
          </rPr>
          <t xml:space="preserve">
expecting about half a point tailwind from FX in 2q vs ~2.5 pt tailwind in 1q</t>
        </r>
      </text>
    </comment>
    <comment ref="C16" authorId="0" shapeId="0" xr:uid="{18664803-DD46-4906-B276-7D3CC12C7B93}">
      <text>
        <r>
          <rPr>
            <b/>
            <sz val="9"/>
            <color indexed="81"/>
            <rFont val="Tahoma"/>
            <family val="2"/>
          </rPr>
          <t>Chang, Steven:</t>
        </r>
        <r>
          <rPr>
            <sz val="9"/>
            <color indexed="81"/>
            <rFont val="Tahoma"/>
            <family val="2"/>
          </rPr>
          <t xml:space="preserve">
Quarterly figures are our estimates
Search "Our Merchants " in 40F</t>
        </r>
      </text>
    </comment>
    <comment ref="CS16" authorId="0" shapeId="0" xr:uid="{AB00A9AC-AEB2-43A2-81E5-74C2D5AB5E3C}">
      <text>
        <r>
          <rPr>
            <b/>
            <sz val="9"/>
            <color indexed="81"/>
            <rFont val="Tahoma"/>
            <family val="2"/>
          </rPr>
          <t>Chang, Steven:</t>
        </r>
        <r>
          <rPr>
            <sz val="9"/>
            <color indexed="81"/>
            <rFont val="Tahoma"/>
            <family val="2"/>
          </rPr>
          <t xml:space="preserve">
given in 10K (40F)</t>
        </r>
      </text>
    </comment>
    <comment ref="CX16" authorId="1" shapeId="0" xr:uid="{BB344069-44CB-4C48-AE6F-F6863F9BB858}">
      <text>
        <r>
          <rPr>
            <b/>
            <sz val="9"/>
            <color indexed="81"/>
            <rFont val="Tahoma"/>
            <family val="2"/>
          </rPr>
          <t>Maxwell Spaeth:</t>
        </r>
        <r>
          <rPr>
            <sz val="9"/>
            <color indexed="81"/>
            <rFont val="Tahoma"/>
            <family val="2"/>
          </rPr>
          <t xml:space="preserve">
As of December 31, 2021, we had approximately 2,063,000 merchants from approximately 175 countries using our platform</t>
        </r>
      </text>
    </comment>
    <comment ref="CY16" authorId="0" shapeId="0" xr:uid="{0D460526-0776-4502-A3F7-B9092ABDB85D}">
      <text>
        <r>
          <rPr>
            <b/>
            <sz val="9"/>
            <color indexed="81"/>
            <rFont val="Tahoma"/>
            <family val="2"/>
          </rPr>
          <t>Chang, Steven:</t>
        </r>
        <r>
          <rPr>
            <sz val="9"/>
            <color indexed="81"/>
            <rFont val="Tahoma"/>
            <family val="2"/>
          </rPr>
          <t xml:space="preserve">
FY adds at a number lower than record 2020; but higher than any one year pre-2020</t>
        </r>
      </text>
    </comment>
    <comment ref="DD17" authorId="0" shapeId="0" xr:uid="{7FA2091D-86DB-4C40-A241-A5302F4CDC19}">
      <text>
        <r>
          <rPr>
            <b/>
            <sz val="9"/>
            <color indexed="81"/>
            <rFont val="Tahoma"/>
            <family val="2"/>
          </rPr>
          <t>Chang, Steven:</t>
        </r>
        <r>
          <rPr>
            <sz val="9"/>
            <color indexed="81"/>
            <rFont val="Tahoma"/>
            <family val="2"/>
          </rPr>
          <t xml:space="preserve">
subscription revenue driven by more merchants joining in 2022 vs. 2021</t>
        </r>
      </text>
    </comment>
    <comment ref="C20" authorId="0" shapeId="0" xr:uid="{34A6D22A-41C6-43AA-B279-963FB4639827}">
      <text>
        <r>
          <rPr>
            <b/>
            <sz val="9"/>
            <color indexed="81"/>
            <rFont val="Tahoma"/>
            <family val="2"/>
          </rPr>
          <t>Chang, Steven:</t>
        </r>
        <r>
          <rPr>
            <sz val="9"/>
            <color indexed="81"/>
            <rFont val="Tahoma"/>
            <family val="2"/>
          </rPr>
          <t xml:space="preserve">
Quarterly figures are our estimates</t>
        </r>
      </text>
    </comment>
    <comment ref="C21" authorId="1" shapeId="0" xr:uid="{5639EE3D-6938-4A62-846A-E705F627B8C0}">
      <text>
        <r>
          <rPr>
            <b/>
            <sz val="9"/>
            <color indexed="81"/>
            <rFont val="Tahoma"/>
            <family val="2"/>
          </rPr>
          <t>Maxwell Spaeth:</t>
        </r>
        <r>
          <rPr>
            <sz val="9"/>
            <color indexed="81"/>
            <rFont val="Tahoma"/>
            <family val="2"/>
          </rPr>
          <t xml:space="preserve">
This includes variable platform fee revenue from Plus merchants, based on % of GMV</t>
        </r>
      </text>
    </comment>
    <comment ref="DA22" authorId="0" shapeId="0" xr:uid="{6DEC298C-5DC8-438A-845C-C509EE341045}">
      <text>
        <r>
          <rPr>
            <b/>
            <sz val="9"/>
            <color indexed="81"/>
            <rFont val="Tahoma"/>
            <family val="2"/>
          </rPr>
          <t>Chang, Steven:</t>
        </r>
        <r>
          <rPr>
            <sz val="9"/>
            <color indexed="81"/>
            <rFont val="Tahoma"/>
            <family val="2"/>
          </rPr>
          <t xml:space="preserve">
lower due to implementation of apps/theme developer "subsidy"</t>
        </r>
      </text>
    </comment>
    <comment ref="C23" authorId="0" shapeId="0" xr:uid="{3D9644FF-5F0E-4EDB-AD02-2B0907FC924E}">
      <text>
        <r>
          <rPr>
            <b/>
            <sz val="9"/>
            <color indexed="81"/>
            <rFont val="Tahoma"/>
            <family val="2"/>
          </rPr>
          <t>Chang, Steven:</t>
        </r>
        <r>
          <rPr>
            <sz val="9"/>
            <color indexed="81"/>
            <rFont val="Tahoma"/>
            <family val="2"/>
          </rPr>
          <t xml:space="preserve">
"Most of merchants are on subscription plans that cost less than $50/month"
</t>
        </r>
      </text>
    </comment>
    <comment ref="DM24" authorId="1" shapeId="0" xr:uid="{91DD950D-58AD-4854-9844-71EE47D59270}">
      <text>
        <r>
          <rPr>
            <b/>
            <sz val="9"/>
            <color indexed="81"/>
            <rFont val="Tahoma"/>
            <family val="2"/>
          </rPr>
          <t>Maxwell Spaeth:</t>
        </r>
        <r>
          <rPr>
            <sz val="9"/>
            <color indexed="81"/>
            <rFont val="Tahoma"/>
            <family val="2"/>
          </rPr>
          <t xml:space="preserve">
lapping</t>
        </r>
      </text>
    </comment>
    <comment ref="C25" authorId="0" shapeId="0" xr:uid="{75E0C3AF-3DDC-44C1-AE3B-A6728928B511}">
      <text>
        <r>
          <rPr>
            <b/>
            <sz val="9"/>
            <color indexed="81"/>
            <rFont val="Tahoma"/>
            <family val="2"/>
          </rPr>
          <t>Chang, Steven:</t>
        </r>
        <r>
          <rPr>
            <sz val="9"/>
            <color indexed="81"/>
            <rFont val="Tahoma"/>
            <family val="2"/>
          </rPr>
          <t xml:space="preserve">
</t>
        </r>
        <r>
          <rPr>
            <b/>
            <sz val="9"/>
            <color indexed="81"/>
            <rFont val="Tahoma"/>
            <family val="2"/>
          </rPr>
          <t>Found in 10Q
Function of Merchants on platform * Average monthyl subscription Plan Fee</t>
        </r>
      </text>
    </comment>
    <comment ref="CR25" authorId="0" shapeId="0" xr:uid="{FC526678-C74F-4E54-8785-2D4DD3A8242E}">
      <text>
        <r>
          <rPr>
            <b/>
            <sz val="9"/>
            <color indexed="81"/>
            <rFont val="Tahoma"/>
            <family val="2"/>
          </rPr>
          <t>Chang, Steven:</t>
        </r>
        <r>
          <rPr>
            <sz val="9"/>
            <color indexed="81"/>
            <rFont val="Tahoma"/>
            <family val="2"/>
          </rPr>
          <t xml:space="preserve">
increase due to newly created shopsduring extended free trial period</t>
        </r>
      </text>
    </comment>
    <comment ref="DE25" authorId="1" shapeId="0" xr:uid="{1C075253-CBC3-4C5F-8C1C-2569A9093360}">
      <text>
        <r>
          <rPr>
            <b/>
            <sz val="9"/>
            <color indexed="81"/>
            <rFont val="Tahoma"/>
            <family val="2"/>
          </rPr>
          <t>Maxwell Spaeth:</t>
        </r>
        <r>
          <rPr>
            <sz val="9"/>
            <color indexed="81"/>
            <rFont val="Tahoma"/>
            <family val="2"/>
          </rPr>
          <t xml:space="preserve">
originally reported $116M, revised in 1Q24</t>
        </r>
      </text>
    </comment>
    <comment ref="DF25" authorId="1" shapeId="0" xr:uid="{A75FBD0F-6BD9-4068-995E-E946AAB687C8}">
      <text>
        <r>
          <rPr>
            <b/>
            <sz val="9"/>
            <color indexed="81"/>
            <rFont val="Tahoma"/>
            <family val="2"/>
          </rPr>
          <t>Maxwell Spaeth:</t>
        </r>
        <r>
          <rPr>
            <sz val="9"/>
            <color indexed="81"/>
            <rFont val="Tahoma"/>
            <family val="2"/>
          </rPr>
          <t xml:space="preserve">
originally reported $139M, revised 1Q24</t>
        </r>
      </text>
    </comment>
    <comment ref="DG25" authorId="1" shapeId="0" xr:uid="{56ECC503-F81A-4259-8BD7-32206B9B0AE5}">
      <text>
        <r>
          <rPr>
            <b/>
            <sz val="9"/>
            <color indexed="81"/>
            <rFont val="Tahoma"/>
            <family val="2"/>
          </rPr>
          <t>Maxwell Spaeth:</t>
        </r>
        <r>
          <rPr>
            <sz val="9"/>
            <color indexed="81"/>
            <rFont val="Tahoma"/>
            <family val="2"/>
          </rPr>
          <t xml:space="preserve">
originally reported $141M, revised 1Q24</t>
        </r>
      </text>
    </comment>
    <comment ref="DH25" authorId="1" shapeId="0" xr:uid="{AAD072E5-2F46-4FFA-AC2E-CDF9D5C51BD5}">
      <text>
        <r>
          <rPr>
            <b/>
            <sz val="9"/>
            <color indexed="81"/>
            <rFont val="Tahoma"/>
            <family val="2"/>
          </rPr>
          <t>Maxwell Spaeth:</t>
        </r>
        <r>
          <rPr>
            <sz val="9"/>
            <color indexed="81"/>
            <rFont val="Tahoma"/>
            <family val="2"/>
          </rPr>
          <t xml:space="preserve">
originally reported $149M, revised 1Q241</t>
        </r>
      </text>
    </comment>
    <comment ref="DJ25" authorId="1" shapeId="0" xr:uid="{40BD929B-C48C-48A3-9903-689BA72EF953}">
      <text>
        <r>
          <rPr>
            <b/>
            <sz val="9"/>
            <color indexed="81"/>
            <rFont val="Tahoma"/>
            <family val="2"/>
          </rPr>
          <t>Maxwell Spaeth:</t>
        </r>
        <r>
          <rPr>
            <sz val="9"/>
            <color indexed="81"/>
            <rFont val="Tahoma"/>
            <family val="2"/>
          </rPr>
          <t xml:space="preserve">
</t>
        </r>
        <r>
          <rPr>
            <b/>
            <sz val="9"/>
            <color indexed="81"/>
            <rFont val="Tahoma"/>
            <family val="2"/>
          </rPr>
          <t xml:space="preserve">1Q24 release note:
</t>
        </r>
        <r>
          <rPr>
            <sz val="9"/>
            <color indexed="81"/>
            <rFont val="Tahoma"/>
            <family val="2"/>
          </rPr>
          <t>In the three months ended March 31, 2024, the Company revised the inclusion of paid trials in the calculation of MRR. Revised MRR for the 
three months ended March 31, 2023, June 30, 2023, September 30, 2023 and December 31, 2023 were $114 million, $135 million, $137 million, 
$144 million, respectively</t>
        </r>
      </text>
    </comment>
    <comment ref="C29" authorId="0" shapeId="0" xr:uid="{F14AEC68-68BD-4AAE-B99B-4435A6233C9A}">
      <text>
        <r>
          <rPr>
            <b/>
            <sz val="9"/>
            <color indexed="81"/>
            <rFont val="Tahoma"/>
            <family val="2"/>
          </rPr>
          <t>Chang, Steven:</t>
        </r>
        <r>
          <rPr>
            <sz val="9"/>
            <color indexed="81"/>
            <rFont val="Tahoma"/>
            <family val="2"/>
          </rPr>
          <t xml:space="preserve">
from Slides on earnings report </t>
        </r>
      </text>
    </comment>
    <comment ref="CZ30" authorId="0" shapeId="0" xr:uid="{8F2ED11D-D807-4F2B-8452-ACA16EC377CC}">
      <text>
        <r>
          <rPr>
            <b/>
            <sz val="9"/>
            <color indexed="81"/>
            <rFont val="Tahoma"/>
            <family val="2"/>
          </rPr>
          <t>Chang, Steven:</t>
        </r>
        <r>
          <rPr>
            <sz val="9"/>
            <color indexed="81"/>
            <rFont val="Tahoma"/>
            <family val="2"/>
          </rPr>
          <t xml:space="preserve">
no longer reported as of 1Q22</t>
        </r>
      </text>
    </comment>
    <comment ref="C31" authorId="1" shapeId="0" xr:uid="{0F5E7DD4-A451-4220-88B6-AC32EE25F15E}">
      <text>
        <r>
          <rPr>
            <b/>
            <sz val="9"/>
            <color indexed="81"/>
            <rFont val="Tahoma"/>
            <family val="2"/>
          </rPr>
          <t>Maxwell Spaeth:</t>
        </r>
        <r>
          <rPr>
            <sz val="9"/>
            <color indexed="81"/>
            <rFont val="Tahoma"/>
            <family val="2"/>
          </rPr>
          <t xml:space="preserve">
MRR does not include VPF from Plus merchants</t>
        </r>
      </text>
    </comment>
    <comment ref="CV31" authorId="1" shapeId="0" xr:uid="{44BABA85-C055-4D31-A9CB-99B407B003D7}">
      <text>
        <r>
          <rPr>
            <b/>
            <sz val="9"/>
            <color indexed="81"/>
            <rFont val="Tahoma"/>
            <family val="2"/>
          </rPr>
          <t>Maxwell Spaeth:</t>
        </r>
        <r>
          <rPr>
            <sz val="9"/>
            <color indexed="81"/>
            <rFont val="Tahoma"/>
            <family val="2"/>
          </rPr>
          <t xml:space="preserve">
26% reported 2Q22 PR</t>
        </r>
      </text>
    </comment>
    <comment ref="CZ31" authorId="0" shapeId="0" xr:uid="{D7A063A4-041C-4D8B-B936-990D0B4025DB}">
      <text>
        <r>
          <rPr>
            <b/>
            <sz val="9"/>
            <color indexed="81"/>
            <rFont val="Tahoma"/>
            <family val="2"/>
          </rPr>
          <t>Chang, Steven:</t>
        </r>
        <r>
          <rPr>
            <sz val="9"/>
            <color indexed="81"/>
            <rFont val="Tahoma"/>
            <family val="2"/>
          </rPr>
          <t xml:space="preserve">
from 1Q22 preselease</t>
        </r>
      </text>
    </comment>
    <comment ref="DA32" authorId="0" shapeId="0" xr:uid="{2E025316-A3FD-43F6-8A23-5170B859C14D}">
      <text>
        <r>
          <rPr>
            <b/>
            <sz val="9"/>
            <color indexed="81"/>
            <rFont val="Tahoma"/>
            <family val="2"/>
          </rPr>
          <t>Chang, Steven:</t>
        </r>
        <r>
          <rPr>
            <sz val="9"/>
            <color indexed="81"/>
            <rFont val="Tahoma"/>
            <family val="2"/>
          </rPr>
          <t xml:space="preserve">
</t>
        </r>
      </text>
    </comment>
    <comment ref="CX39" authorId="0" shapeId="0" xr:uid="{B8ADC216-4537-44B3-9DE9-9A97229B762E}">
      <text>
        <r>
          <rPr>
            <b/>
            <sz val="9"/>
            <color indexed="81"/>
            <rFont val="Tahoma"/>
            <family val="2"/>
          </rPr>
          <t>Chang, Steven:</t>
        </r>
        <r>
          <rPr>
            <sz val="9"/>
            <color indexed="81"/>
            <rFont val="Tahoma"/>
            <family val="2"/>
          </rPr>
          <t xml:space="preserve">
Subscription solutions reduced by $21M in 4Q21, due to new app/theme revenue models</t>
        </r>
      </text>
    </comment>
    <comment ref="DA39" authorId="0" shapeId="0" xr:uid="{C701D5A2-A4F2-4C59-A7A5-84E2C782584D}">
      <text>
        <r>
          <rPr>
            <b/>
            <sz val="9"/>
            <color indexed="81"/>
            <rFont val="Tahoma"/>
            <family val="2"/>
          </rPr>
          <t>Chang, Steven:</t>
        </r>
        <r>
          <rPr>
            <sz val="9"/>
            <color indexed="81"/>
            <rFont val="Tahoma"/>
            <family val="2"/>
          </rPr>
          <t xml:space="preserve">
headwind to subscription revenue in 1H22</t>
        </r>
      </text>
    </comment>
    <comment ref="C63" authorId="0" shapeId="0" xr:uid="{D9E77CCB-DA72-4E7A-89FB-0BDCF541859F}">
      <text>
        <r>
          <rPr>
            <b/>
            <sz val="9"/>
            <color indexed="81"/>
            <rFont val="Tahoma"/>
            <family val="2"/>
          </rPr>
          <t>Chang, Steven:</t>
        </r>
        <r>
          <rPr>
            <sz val="9"/>
            <color indexed="81"/>
            <rFont val="Tahoma"/>
            <family val="2"/>
          </rPr>
          <t xml:space="preserve">
</t>
        </r>
        <r>
          <rPr>
            <b/>
            <sz val="9"/>
            <color indexed="81"/>
            <rFont val="Tahoma"/>
            <family val="2"/>
          </rPr>
          <t>Actual number found in 10Q
- Total Dollar Vlaue of orders faciliated through platform incl. apps and channels w/ revenue-sharing arrangement (net of refunds + inclusive of shipping and handling + duty and VAT)</t>
        </r>
      </text>
    </comment>
    <comment ref="DN63" authorId="1" shapeId="0" xr:uid="{6A72BE6B-45D5-49C2-98AD-8776C3F5E9BA}">
      <text>
        <r>
          <rPr>
            <b/>
            <sz val="9"/>
            <color indexed="81"/>
            <rFont val="Tahoma"/>
            <family val="2"/>
          </rPr>
          <t>Maxwell Spaeth:</t>
        </r>
        <r>
          <rPr>
            <sz val="9"/>
            <color indexed="81"/>
            <rFont val="Tahoma"/>
            <family val="2"/>
          </rPr>
          <t xml:space="preserve">
$292.3BN
+24% y/y
2024 10-k</t>
        </r>
      </text>
    </comment>
    <comment ref="CX65" authorId="0" shapeId="0" xr:uid="{379BE2CF-BA51-4C3E-A8B1-D5B47DBE72AD}">
      <text>
        <r>
          <rPr>
            <b/>
            <sz val="9"/>
            <color indexed="81"/>
            <rFont val="Tahoma"/>
            <family val="2"/>
          </rPr>
          <t>Chang, Steven:</t>
        </r>
        <r>
          <rPr>
            <sz val="9"/>
            <color indexed="81"/>
            <rFont val="Tahoma"/>
            <family val="2"/>
          </rPr>
          <t xml:space="preserve">
grow substantialy faster than the broader commerce market</t>
        </r>
      </text>
    </comment>
    <comment ref="C70" authorId="0" shapeId="0" xr:uid="{E6554845-238A-4EBF-BFC9-8923C7082B0F}">
      <text>
        <r>
          <rPr>
            <b/>
            <sz val="9"/>
            <color indexed="81"/>
            <rFont val="Tahoma"/>
            <family val="2"/>
          </rPr>
          <t>Chang, Steven:</t>
        </r>
        <r>
          <rPr>
            <sz val="9"/>
            <color indexed="81"/>
            <rFont val="Tahoma"/>
            <family val="2"/>
          </rPr>
          <t xml:space="preserve">
calculating revenues from all payments
</t>
        </r>
      </text>
    </comment>
    <comment ref="C73" authorId="0" shapeId="0" xr:uid="{CB0677C9-9553-4799-910A-04A7633FCBF1}">
      <text>
        <r>
          <rPr>
            <b/>
            <sz val="9"/>
            <color indexed="81"/>
            <rFont val="Tahoma"/>
            <family val="2"/>
          </rPr>
          <t xml:space="preserve">Chang, Steven:
</t>
        </r>
        <r>
          <rPr>
            <sz val="9"/>
            <color indexed="81"/>
            <rFont val="Tahoma"/>
            <family val="2"/>
          </rPr>
          <t>Princpally generate revneues from payment processing fees from Shopify payments</t>
        </r>
      </text>
    </comment>
    <comment ref="DD74" authorId="0" shapeId="0" xr:uid="{E3CABD70-73B8-446E-B88A-7B0724491085}">
      <text>
        <r>
          <rPr>
            <b/>
            <sz val="9"/>
            <color indexed="81"/>
            <rFont val="Tahoma"/>
            <family val="2"/>
          </rPr>
          <t>Chang, Steven:</t>
        </r>
        <r>
          <rPr>
            <sz val="9"/>
            <color indexed="81"/>
            <rFont val="Tahoma"/>
            <family val="2"/>
          </rPr>
          <t xml:space="preserve">
From 4Q21: more than twice the rate of subscription solutiosn revenue growth</t>
        </r>
      </text>
    </comment>
    <comment ref="C79" authorId="0" shapeId="0" xr:uid="{E2805552-5145-4DB7-8C95-A23E88CA8B40}">
      <text>
        <r>
          <rPr>
            <b/>
            <sz val="9"/>
            <color indexed="81"/>
            <rFont val="Tahoma"/>
            <family val="2"/>
          </rPr>
          <t>Chang, Steven:</t>
        </r>
        <r>
          <rPr>
            <sz val="9"/>
            <color indexed="81"/>
            <rFont val="Tahoma"/>
            <family val="2"/>
          </rPr>
          <t xml:space="preserve">
Amount of GMV processed through Shopify Payments</t>
        </r>
      </text>
    </comment>
    <comment ref="DM79" authorId="1" shapeId="0" xr:uid="{F42EE35A-BBC2-4D80-883B-C1A6BBE0FE56}">
      <text>
        <r>
          <rPr>
            <b/>
            <sz val="9"/>
            <color indexed="81"/>
            <rFont val="Tahoma"/>
            <family val="2"/>
          </rPr>
          <t>Maxwell Spaeth:</t>
        </r>
        <r>
          <rPr>
            <sz val="9"/>
            <color indexed="81"/>
            <rFont val="Tahoma"/>
            <family val="2"/>
          </rPr>
          <t xml:space="preserve">
"61BN"
+32% y/y
64% of GMV</t>
        </r>
      </text>
    </comment>
    <comment ref="DN79" authorId="1" shapeId="0" xr:uid="{CC79C487-A2D5-49B4-B1CB-3AF315AD8352}">
      <text>
        <r>
          <rPr>
            <b/>
            <sz val="9"/>
            <color indexed="81"/>
            <rFont val="Tahoma"/>
            <family val="2"/>
          </rPr>
          <t>Maxwell Spaeth:</t>
        </r>
        <r>
          <rPr>
            <sz val="9"/>
            <color indexed="81"/>
            <rFont val="Tahoma"/>
            <family val="2"/>
          </rPr>
          <t xml:space="preserve">
$181.0 billion facilitated using Shopifiy Payments 
- 10-k</t>
        </r>
      </text>
    </comment>
    <comment ref="DO79" authorId="1" shapeId="0" xr:uid="{016E25A4-13AD-4359-BD7E-33AFE5BECD52}">
      <text>
        <r>
          <rPr>
            <b/>
            <sz val="9"/>
            <color indexed="81"/>
            <rFont val="Tahoma"/>
            <family val="2"/>
          </rPr>
          <t>Maxwell Spaeth:</t>
        </r>
        <r>
          <rPr>
            <sz val="9"/>
            <color indexed="81"/>
            <rFont val="Tahoma"/>
            <family val="2"/>
          </rPr>
          <t xml:space="preserve">
"$11.3 billion of additional GMV facilitated using Shopify payments in the three months ended March 31, 2025 compared to the same period in 2024, representing growth of 31%"
"$47.5B"</t>
        </r>
      </text>
    </comment>
    <comment ref="DP79" authorId="1" shapeId="0" xr:uid="{EC94A050-5D91-4B70-BE0A-70B827DD1A42}">
      <text>
        <r>
          <rPr>
            <b/>
            <sz val="9"/>
            <color indexed="81"/>
            <rFont val="Tahoma"/>
            <family val="2"/>
          </rPr>
          <t>Maxwell Spaeth:</t>
        </r>
        <r>
          <rPr>
            <sz val="9"/>
            <color indexed="81"/>
            <rFont val="Tahoma"/>
            <family val="2"/>
          </rPr>
          <t xml:space="preserve">
57B - investor deck slides</t>
        </r>
      </text>
    </comment>
    <comment ref="DQ79" authorId="1" shapeId="0" xr:uid="{37DD2655-71C9-44B7-B3F4-8744BC44C8DD}">
      <text>
        <r>
          <rPr>
            <b/>
            <sz val="9"/>
            <color indexed="81"/>
            <rFont val="Tahoma"/>
            <family val="2"/>
          </rPr>
          <t>Maxwell Spaeth:</t>
        </r>
        <r>
          <rPr>
            <sz val="9"/>
            <color indexed="81"/>
            <rFont val="Tahoma"/>
            <family val="2"/>
          </rPr>
          <t xml:space="preserve">
$60B investor deck slides</t>
        </r>
      </text>
    </comment>
    <comment ref="DS79" authorId="1" shapeId="0" xr:uid="{873A5621-8224-4DF7-8C3C-B2AD45E5920C}">
      <text>
        <r>
          <rPr>
            <b/>
            <sz val="9"/>
            <color indexed="81"/>
            <rFont val="Tahoma"/>
            <family val="2"/>
          </rPr>
          <t>Maxwell Spaeth:</t>
        </r>
        <r>
          <rPr>
            <sz val="9"/>
            <color indexed="81"/>
            <rFont val="Tahoma"/>
            <family val="2"/>
          </rPr>
          <t xml:space="preserve">
investor deck $248B</t>
        </r>
      </text>
    </comment>
    <comment ref="CQ80" authorId="2" shapeId="0" xr:uid="{9A4E8F3C-DAC9-4F59-ADDB-C765C4895C33}">
      <text>
        <r>
          <rPr>
            <b/>
            <sz val="9"/>
            <color indexed="81"/>
            <rFont val="Tahoma"/>
            <family val="2"/>
          </rPr>
          <t>Steven:</t>
        </r>
        <r>
          <rPr>
            <sz val="9"/>
            <color indexed="81"/>
            <rFont val="Tahoma"/>
            <family val="2"/>
          </rPr>
          <t xml:space="preserve">
from transcript
</t>
        </r>
      </text>
    </comment>
    <comment ref="CR80" authorId="2" shapeId="0" xr:uid="{D7731A6A-A997-424C-9249-7CF6E61A455B}">
      <text>
        <r>
          <rPr>
            <b/>
            <sz val="9"/>
            <color indexed="81"/>
            <rFont val="Tahoma"/>
            <family val="2"/>
          </rPr>
          <t>Steven:</t>
        </r>
        <r>
          <rPr>
            <sz val="9"/>
            <color indexed="81"/>
            <rFont val="Tahoma"/>
            <family val="2"/>
          </rPr>
          <t xml:space="preserve">
from transcript</t>
        </r>
      </text>
    </comment>
    <comment ref="DM80" authorId="1" shapeId="0" xr:uid="{AE432DA4-9340-4F70-88EC-2896D13051B5}">
      <text>
        <r>
          <rPr>
            <b/>
            <sz val="9"/>
            <color indexed="81"/>
            <rFont val="Tahoma"/>
            <family val="2"/>
          </rPr>
          <t>Maxwell Spaeth:</t>
        </r>
        <r>
          <rPr>
            <sz val="9"/>
            <color indexed="81"/>
            <rFont val="Tahoma"/>
            <family val="2"/>
          </rPr>
          <t xml:space="preserve">
35% higher than last year</t>
        </r>
      </text>
    </comment>
    <comment ref="DO80" authorId="1" shapeId="0" xr:uid="{4EC30760-4D43-4F87-A8C3-4E811F72EEEC}">
      <text>
        <r>
          <rPr>
            <b/>
            <sz val="9"/>
            <color indexed="81"/>
            <rFont val="Tahoma"/>
            <family val="2"/>
          </rPr>
          <t>Maxwell Spaeth:</t>
        </r>
        <r>
          <rPr>
            <sz val="9"/>
            <color indexed="81"/>
            <rFont val="Tahoma"/>
            <family val="2"/>
          </rPr>
          <t xml:space="preserve">
+31% y/y</t>
        </r>
      </text>
    </comment>
    <comment ref="DM81" authorId="1" shapeId="0" xr:uid="{5D898D82-69E3-4E07-8D07-B8DC0D8522DE}">
      <text>
        <r>
          <rPr>
            <b/>
            <sz val="9"/>
            <color indexed="81"/>
            <rFont val="Tahoma"/>
            <family val="2"/>
          </rPr>
          <t>Maxwell Spaeth:</t>
        </r>
        <r>
          <rPr>
            <sz val="9"/>
            <color indexed="81"/>
            <rFont val="Tahoma"/>
            <family val="2"/>
          </rPr>
          <t xml:space="preserve">
64% of GMV</t>
        </r>
      </text>
    </comment>
    <comment ref="DN81" authorId="1" shapeId="0" xr:uid="{B2FEF561-3AA5-4EAE-AAF1-9081F11674C3}">
      <text>
        <r>
          <rPr>
            <b/>
            <sz val="9"/>
            <color indexed="81"/>
            <rFont val="Tahoma"/>
            <family val="2"/>
          </rPr>
          <t>Maxwell Spaeth:</t>
        </r>
        <r>
          <rPr>
            <sz val="9"/>
            <color indexed="81"/>
            <rFont val="Tahoma"/>
            <family val="2"/>
          </rPr>
          <t xml:space="preserve">
62%</t>
        </r>
      </text>
    </comment>
    <comment ref="DO81" authorId="1" shapeId="0" xr:uid="{C4C04CD7-B29A-4DC7-98F6-E8DAD5397C40}">
      <text>
        <r>
          <rPr>
            <b/>
            <sz val="9"/>
            <color indexed="81"/>
            <rFont val="Tahoma"/>
            <family val="2"/>
          </rPr>
          <t>Maxwell Spaeth:</t>
        </r>
        <r>
          <rPr>
            <sz val="9"/>
            <color indexed="81"/>
            <rFont val="Tahoma"/>
            <family val="2"/>
          </rPr>
          <t xml:space="preserve">
64%</t>
        </r>
      </text>
    </comment>
    <comment ref="DP81" authorId="1" shapeId="0" xr:uid="{9076886A-5910-49EC-B10D-DACD07337732}">
      <text>
        <r>
          <rPr>
            <b/>
            <sz val="9"/>
            <color indexed="81"/>
            <rFont val="Tahoma"/>
            <family val="2"/>
          </rPr>
          <t>Maxwell Spaeth:</t>
        </r>
        <r>
          <rPr>
            <sz val="9"/>
            <color indexed="81"/>
            <rFont val="Tahoma"/>
            <family val="2"/>
          </rPr>
          <t xml:space="preserve">
global payments penetration of 64% in q2, up from 61% last year</t>
        </r>
      </text>
    </comment>
    <comment ref="DQ81" authorId="1" shapeId="0" xr:uid="{DD351DCF-D0FC-4681-9556-2817CE33FC31}">
      <text>
        <r>
          <rPr>
            <b/>
            <sz val="9"/>
            <color indexed="81"/>
            <rFont val="Tahoma"/>
            <family val="2"/>
          </rPr>
          <t>Maxwell Spaeth:</t>
        </r>
        <r>
          <rPr>
            <sz val="9"/>
            <color indexed="81"/>
            <rFont val="Tahoma"/>
            <family val="2"/>
          </rPr>
          <t xml:space="preserve">
65% investor deck slides</t>
        </r>
      </text>
    </comment>
    <comment ref="DS81" authorId="1" shapeId="0" xr:uid="{139C4F10-A142-4E09-BDC5-D2FBEBD32965}">
      <text>
        <r>
          <rPr>
            <b/>
            <sz val="9"/>
            <color indexed="81"/>
            <rFont val="Tahoma"/>
            <family val="2"/>
          </rPr>
          <t>Maxwell Spaeth:</t>
        </r>
        <r>
          <rPr>
            <sz val="9"/>
            <color indexed="81"/>
            <rFont val="Tahoma"/>
            <family val="2"/>
          </rPr>
          <t xml:space="preserve">
65.6% figure given in 10-k, page 54</t>
        </r>
      </text>
    </comment>
    <comment ref="CO101" authorId="1" shapeId="0" xr:uid="{80959B55-3D44-487F-9B3A-E8E37D0DFCF3}">
      <text>
        <r>
          <rPr>
            <b/>
            <sz val="9"/>
            <color indexed="81"/>
            <rFont val="Tahoma"/>
            <family val="2"/>
          </rPr>
          <t>Maxwell Spaeth:</t>
        </r>
        <r>
          <rPr>
            <sz val="9"/>
            <color indexed="81"/>
            <rFont val="Tahoma"/>
            <family val="2"/>
          </rPr>
          <t xml:space="preserve">
2023E total revenue 60% CAGR 2019-2023 - 2023 investor day</t>
        </r>
      </text>
    </comment>
    <comment ref="DI105" authorId="1" shapeId="0" xr:uid="{48A19FD7-262C-4177-9EEB-FEC19AD44CAF}">
      <text>
        <r>
          <rPr>
            <b/>
            <sz val="9"/>
            <color indexed="81"/>
            <rFont val="Tahoma"/>
            <family val="2"/>
          </rPr>
          <t>Maxwell Spaeth:</t>
        </r>
        <r>
          <rPr>
            <sz val="9"/>
            <color indexed="81"/>
            <rFont val="Tahoma"/>
            <family val="2"/>
          </rPr>
          <t xml:space="preserve">
decline y/y subs. svcs. price increase
60% of total revenue - 2023 investor day</t>
        </r>
      </text>
    </comment>
    <comment ref="CO106" authorId="1" shapeId="0" xr:uid="{BF58D9E4-B89B-460E-BA77-8335E013B32B}">
      <text>
        <r>
          <rPr>
            <b/>
            <sz val="9"/>
            <color indexed="81"/>
            <rFont val="Tahoma"/>
            <family val="2"/>
          </rPr>
          <t>Maxwell Spaeth:</t>
        </r>
        <r>
          <rPr>
            <sz val="9"/>
            <color indexed="81"/>
            <rFont val="Tahoma"/>
            <family val="2"/>
          </rPr>
          <t xml:space="preserve">
"scaled products" CAGR 2019-2023E: 66% (10% of 2023E revenue)
"emerging products" CAGR 2019-2023E: 71% (&lt;5% 2023E revenue)
</t>
        </r>
      </text>
    </comment>
    <comment ref="DI110" authorId="1" shapeId="0" xr:uid="{D3D6D174-5335-4011-8C3F-328E1B4C8195}">
      <text>
        <r>
          <rPr>
            <b/>
            <sz val="9"/>
            <color indexed="81"/>
            <rFont val="Tahoma"/>
            <family val="2"/>
          </rPr>
          <t>Maxwell Spaeth:</t>
        </r>
        <r>
          <rPr>
            <sz val="9"/>
            <color indexed="81"/>
            <rFont val="Tahoma"/>
            <family val="2"/>
          </rPr>
          <t xml:space="preserve">
15% of total revenue - 2023 investor day</t>
        </r>
      </text>
    </comment>
    <comment ref="CW113" authorId="1" shapeId="0" xr:uid="{FE025DF5-A0AD-41EA-9002-0FCE629A2426}">
      <text>
        <r>
          <rPr>
            <b/>
            <sz val="9"/>
            <color indexed="81"/>
            <rFont val="Tahoma"/>
            <family val="2"/>
          </rPr>
          <t>Maxwell Spaeth:</t>
        </r>
        <r>
          <rPr>
            <sz val="9"/>
            <color indexed="81"/>
            <rFont val="Tahoma"/>
            <family val="2"/>
          </rPr>
          <t xml:space="preserve">
"offline GMV has more than doublei in the past 3 years" - 3Q24 call</t>
        </r>
      </text>
    </comment>
    <comment ref="DF113" authorId="1" shapeId="0" xr:uid="{F5327FC7-7D7F-47EE-8D8B-4797425CDE73}">
      <text>
        <r>
          <rPr>
            <b/>
            <sz val="9"/>
            <color indexed="81"/>
            <rFont val="Tahoma"/>
            <family val="2"/>
          </rPr>
          <t>Maxwell Spaeth:</t>
        </r>
        <r>
          <rPr>
            <sz val="9"/>
            <color indexed="81"/>
            <rFont val="Tahoma"/>
            <family val="2"/>
          </rPr>
          <t xml:space="preserve">
"nearly 1/3 from Plus merchants"
</t>
        </r>
      </text>
    </comment>
    <comment ref="DK113" authorId="1" shapeId="0" xr:uid="{1E722A7E-AC7C-445A-9A25-CEF5D3BBE288}">
      <text>
        <r>
          <rPr>
            <b/>
            <sz val="9"/>
            <color indexed="81"/>
            <rFont val="Tahoma"/>
            <family val="2"/>
          </rPr>
          <t>Maxwell Spaeth:</t>
        </r>
        <r>
          <rPr>
            <sz val="9"/>
            <color indexed="81"/>
            <rFont val="Tahoma"/>
            <family val="2"/>
          </rPr>
          <t xml:space="preserve">
"offline business surpassed $100BN in cumulative GMV" - 2Q24 call</t>
        </r>
      </text>
    </comment>
    <comment ref="DK115" authorId="1" shapeId="0" xr:uid="{28F58332-B36A-438B-A12D-DF3900E3E6B4}">
      <text>
        <r>
          <rPr>
            <b/>
            <sz val="9"/>
            <color indexed="81"/>
            <rFont val="Tahoma"/>
            <family val="2"/>
          </rPr>
          <t>Maxwell Spaeth:</t>
        </r>
        <r>
          <rPr>
            <sz val="9"/>
            <color indexed="81"/>
            <rFont val="Tahoma"/>
            <family val="2"/>
          </rPr>
          <t xml:space="preserve">
"...EverEve and MAJOURI both of whom are launching online and offline with Shopify  ...combined &gt;130 locations across 4 regions" - 2Q24 call</t>
        </r>
      </text>
    </comment>
    <comment ref="DL115" authorId="1" shapeId="0" xr:uid="{3D96F103-852A-460E-A99C-5BBEF24351D6}">
      <text>
        <r>
          <rPr>
            <b/>
            <sz val="9"/>
            <color indexed="81"/>
            <rFont val="Tahoma"/>
            <family val="2"/>
          </rPr>
          <t>Maxwell Spaeth:</t>
        </r>
        <r>
          <rPr>
            <sz val="9"/>
            <color indexed="81"/>
            <rFont val="Tahoma"/>
            <family val="2"/>
          </rPr>
          <t xml:space="preserve">
"legendary women's fashion retailer, Laura, migrated their point-of-sale systems to Shopify, bringing over 130 stores in one of our largest point-of-sale migrations yet."</t>
        </r>
      </text>
    </comment>
    <comment ref="DK117" authorId="1" shapeId="0" xr:uid="{8327836F-3940-4C33-A41D-FC2E48F4F83C}">
      <text>
        <r>
          <rPr>
            <b/>
            <sz val="9"/>
            <color indexed="81"/>
            <rFont val="Tahoma"/>
            <family val="2"/>
          </rPr>
          <t>Maxwell Spaeth:</t>
        </r>
        <r>
          <rPr>
            <sz val="9"/>
            <color indexed="81"/>
            <rFont val="Tahoma"/>
            <family val="2"/>
          </rPr>
          <t xml:space="preserve">
highest ever quarter</t>
        </r>
      </text>
    </comment>
    <comment ref="DG118" authorId="1" shapeId="0" xr:uid="{F72B47B9-6216-4DF8-BB59-6A22BF25307D}">
      <text>
        <r>
          <rPr>
            <b/>
            <sz val="9"/>
            <color indexed="81"/>
            <rFont val="Tahoma"/>
            <family val="2"/>
          </rPr>
          <t>Maxwell Spaeth:</t>
        </r>
        <r>
          <rPr>
            <sz val="9"/>
            <color indexed="81"/>
            <rFont val="Tahoma"/>
            <family val="2"/>
          </rPr>
          <t xml:space="preserve">
"nearly doubled"</t>
        </r>
      </text>
    </comment>
    <comment ref="DK118" authorId="1" shapeId="0" xr:uid="{6ABCA244-F3B6-4D19-A6E0-D15DE90CDB1F}">
      <text>
        <r>
          <rPr>
            <b/>
            <sz val="9"/>
            <color indexed="81"/>
            <rFont val="Tahoma"/>
            <family val="2"/>
          </rPr>
          <t>Maxwell Spaeth:</t>
        </r>
        <r>
          <rPr>
            <sz val="9"/>
            <color indexed="81"/>
            <rFont val="Tahoma"/>
            <family val="2"/>
          </rPr>
          <t xml:space="preserve">
"6x increase in online orders"</t>
        </r>
      </text>
    </comment>
    <comment ref="DL118" authorId="1" shapeId="0" xr:uid="{F06ECC84-FE9A-452B-B4E0-1E8DE87203E8}">
      <text>
        <r>
          <rPr>
            <b/>
            <sz val="9"/>
            <color indexed="81"/>
            <rFont val="Tahoma"/>
            <family val="2"/>
          </rPr>
          <t>Maxwell Spaeth:</t>
        </r>
        <r>
          <rPr>
            <sz val="9"/>
            <color indexed="81"/>
            <rFont val="Tahoma"/>
            <family val="2"/>
          </rPr>
          <t xml:space="preserve">
"Q3 B2B GMV grew over 145% year-over-year and has now had five consecutive quarters of triple-digit growth"</t>
        </r>
      </text>
    </comment>
    <comment ref="DM118" authorId="1" shapeId="0" xr:uid="{8ABB1590-1100-4991-A0F4-1D3F266F6564}">
      <text>
        <r>
          <rPr>
            <b/>
            <sz val="9"/>
            <color indexed="81"/>
            <rFont val="Tahoma"/>
            <family val="2"/>
          </rPr>
          <t>Maxwell Spaeth:</t>
        </r>
        <r>
          <rPr>
            <sz val="9"/>
            <color indexed="81"/>
            <rFont val="Tahoma"/>
            <family val="2"/>
          </rPr>
          <t xml:space="preserve">
&gt;140%</t>
        </r>
      </text>
    </comment>
    <comment ref="DR121" authorId="1" shapeId="0" xr:uid="{7E5A1F7E-D4C4-41E0-BA59-D506E7D562DA}">
      <text>
        <r>
          <rPr>
            <b/>
            <sz val="9"/>
            <color indexed="81"/>
            <rFont val="Tahoma"/>
            <family val="2"/>
          </rPr>
          <t>Maxwell Spaeth:</t>
        </r>
        <r>
          <rPr>
            <sz val="9"/>
            <color indexed="81"/>
            <rFont val="Tahoma"/>
            <family val="2"/>
          </rPr>
          <t xml:space="preserve">
not reported</t>
        </r>
      </text>
    </comment>
    <comment ref="DF122" authorId="1" shapeId="0" xr:uid="{6A811566-C179-469A-A616-2552026541EE}">
      <text>
        <r>
          <rPr>
            <b/>
            <sz val="9"/>
            <color indexed="81"/>
            <rFont val="Tahoma"/>
            <family val="2"/>
          </rPr>
          <t>Maxwell Spaeth:</t>
        </r>
        <r>
          <rPr>
            <sz val="9"/>
            <color indexed="81"/>
            <rFont val="Tahoma"/>
            <family val="2"/>
          </rPr>
          <t xml:space="preserve">
"we have now surpassed $100BN in cumulative GMV since its launch in 2017"</t>
        </r>
      </text>
    </comment>
    <comment ref="DO122" authorId="1" shapeId="0" xr:uid="{F9667457-6F44-4027-9C95-57124DAEB9AC}">
      <text>
        <r>
          <rPr>
            <b/>
            <sz val="9"/>
            <color indexed="81"/>
            <rFont val="Tahoma"/>
            <family val="2"/>
          </rPr>
          <t>Maxwell Spaeth:</t>
        </r>
        <r>
          <rPr>
            <sz val="9"/>
            <color indexed="81"/>
            <rFont val="Tahoma"/>
            <family val="2"/>
          </rPr>
          <t xml:space="preserve">
over 22B</t>
        </r>
      </text>
    </comment>
    <comment ref="DO123" authorId="1" shapeId="0" xr:uid="{021CC073-8E9E-4922-8636-D7B5B997AD80}">
      <text>
        <r>
          <rPr>
            <b/>
            <sz val="9"/>
            <color indexed="81"/>
            <rFont val="Tahoma"/>
            <family val="2"/>
          </rPr>
          <t>Maxwell Spaeth:</t>
        </r>
        <r>
          <rPr>
            <sz val="9"/>
            <color indexed="81"/>
            <rFont val="Tahoma"/>
            <family val="2"/>
          </rPr>
          <t xml:space="preserve">
57%</t>
        </r>
      </text>
    </comment>
    <comment ref="BU128" authorId="1" shapeId="0" xr:uid="{7B307D81-0A43-49DF-94A4-31A256F2DF37}">
      <text>
        <r>
          <rPr>
            <b/>
            <sz val="9"/>
            <color indexed="81"/>
            <rFont val="Tahoma"/>
            <family val="2"/>
          </rPr>
          <t xml:space="preserve">Maxwell Spaeth:
</t>
        </r>
        <r>
          <rPr>
            <sz val="9"/>
            <color indexed="81"/>
            <rFont val="Tahoma"/>
            <family val="2"/>
          </rPr>
          <t>75% - 25% "ROW (ex-NA) mix - 2023 Investor Day</t>
        </r>
      </text>
    </comment>
    <comment ref="DI128" authorId="1" shapeId="0" xr:uid="{61E15E40-C874-402C-80CB-331F1CBF96B5}">
      <text>
        <r>
          <rPr>
            <b/>
            <sz val="9"/>
            <color indexed="81"/>
            <rFont val="Tahoma"/>
            <family val="2"/>
          </rPr>
          <t>Maxwell Spaeth:</t>
        </r>
        <r>
          <rPr>
            <sz val="9"/>
            <color indexed="81"/>
            <rFont val="Tahoma"/>
            <family val="2"/>
          </rPr>
          <t xml:space="preserve">
64% - 36% "ROW" - 2023 I. Day</t>
        </r>
      </text>
    </comment>
    <comment ref="DL128" authorId="1" shapeId="0" xr:uid="{EAFA5F4E-AE85-4C15-8350-078881810B64}">
      <text>
        <r>
          <rPr>
            <b/>
            <sz val="9"/>
            <color indexed="81"/>
            <rFont val="Tahoma"/>
            <family val="2"/>
          </rPr>
          <t>Maxwell Spaeth:</t>
        </r>
        <r>
          <rPr>
            <sz val="9"/>
            <color indexed="81"/>
            <rFont val="Tahoma"/>
            <family val="2"/>
          </rPr>
          <t xml:space="preserve">
"ex-NA accelerated to faster than North America; 30% growth in 3Q24" - 3Q24 call</t>
        </r>
      </text>
    </comment>
    <comment ref="DN128" authorId="1" shapeId="0" xr:uid="{B7708DBF-439B-4330-A0DA-69387FE12BA5}">
      <text>
        <r>
          <rPr>
            <b/>
            <sz val="9"/>
            <color indexed="81"/>
            <rFont val="Tahoma"/>
            <family val="2"/>
          </rPr>
          <t>Maxwell Spaeth:</t>
        </r>
        <r>
          <rPr>
            <sz val="9"/>
            <color indexed="81"/>
            <rFont val="Tahoma"/>
            <family val="2"/>
          </rPr>
          <t xml:space="preserve">
64% - 36% "ROW" - 2023 I. Day</t>
        </r>
      </text>
    </comment>
    <comment ref="DS133" authorId="1" shapeId="0" xr:uid="{F9494035-48A0-462D-94B6-FFF4DCE56DC4}">
      <text>
        <r>
          <rPr>
            <b/>
            <sz val="9"/>
            <color indexed="81"/>
            <rFont val="Tahoma"/>
            <family val="2"/>
          </rPr>
          <t>Maxwell Spaeth:</t>
        </r>
        <r>
          <rPr>
            <sz val="9"/>
            <color indexed="81"/>
            <rFont val="Tahoma"/>
            <family val="2"/>
          </rPr>
          <t xml:space="preserve">
not disclosed</t>
        </r>
      </text>
    </comment>
    <comment ref="DL140" authorId="1" shapeId="0" xr:uid="{25C17F4E-63D5-4175-B436-119A7FBE49DD}">
      <text>
        <r>
          <rPr>
            <b/>
            <sz val="9"/>
            <color indexed="81"/>
            <rFont val="Tahoma"/>
            <family val="2"/>
          </rPr>
          <t>Maxwell Spaeth:</t>
        </r>
        <r>
          <rPr>
            <sz val="9"/>
            <color indexed="81"/>
            <rFont val="Tahoma"/>
            <family val="2"/>
          </rPr>
          <t xml:space="preserve">
"International merchants increased 36% y/y"</t>
        </r>
      </text>
    </comment>
    <comment ref="C149" authorId="1" shapeId="0" xr:uid="{AF3787DA-5BE0-42A2-B9FF-5EA62CA51945}">
      <text>
        <r>
          <rPr>
            <b/>
            <sz val="9"/>
            <color indexed="81"/>
            <rFont val="Tahoma"/>
            <family val="2"/>
          </rPr>
          <t>Maxwell Spaeth:</t>
        </r>
        <r>
          <rPr>
            <sz val="9"/>
            <color indexed="81"/>
            <rFont val="Tahoma"/>
            <family val="2"/>
          </rPr>
          <t xml:space="preserve">
slides investor deck</t>
        </r>
      </text>
    </comment>
    <comment ref="DP149" authorId="1" shapeId="0" xr:uid="{50851143-4978-47C2-8E02-D96021400232}">
      <text>
        <r>
          <rPr>
            <b/>
            <sz val="9"/>
            <color indexed="81"/>
            <rFont val="Tahoma"/>
            <family val="2"/>
          </rPr>
          <t>Maxwell Spaeth:</t>
        </r>
        <r>
          <rPr>
            <sz val="9"/>
            <color indexed="81"/>
            <rFont val="Tahoma"/>
            <family val="2"/>
          </rPr>
          <t xml:space="preserve">
in investor slides</t>
        </r>
      </text>
    </comment>
    <comment ref="DT152" authorId="1" shapeId="0" xr:uid="{E1332CB0-7CC1-4A52-A9BC-E7E267C8272E}">
      <text>
        <r>
          <rPr>
            <b/>
            <sz val="9"/>
            <color indexed="81"/>
            <rFont val="Tahoma"/>
            <family val="2"/>
          </rPr>
          <t>Maxwell Spaeth:</t>
        </r>
        <r>
          <rPr>
            <sz val="9"/>
            <color indexed="81"/>
            <rFont val="Tahoma"/>
            <family val="2"/>
          </rPr>
          <t xml:space="preserve">
resegmented geos this quarter to match how it is talked about on the quarterly call commentary, shifted middle east into ROW with Latam</t>
        </r>
      </text>
    </comment>
    <comment ref="DK161" authorId="1" shapeId="0" xr:uid="{F970FF44-8BE5-447C-834C-73E466D67082}">
      <text>
        <r>
          <rPr>
            <b/>
            <sz val="9"/>
            <color indexed="81"/>
            <rFont val="Tahoma"/>
            <family val="2"/>
          </rPr>
          <t>Maxwell Spaeth:</t>
        </r>
        <r>
          <rPr>
            <sz val="9"/>
            <color indexed="81"/>
            <rFont val="Tahoma"/>
            <family val="2"/>
          </rPr>
          <t xml:space="preserve">
"over 50% of the merchants that joined our platform in Q2 coming from outside the core English-speaking markets of the US, Canada, UK, Ireland, Australia and New Zealand"</t>
        </r>
      </text>
    </comment>
    <comment ref="DK165" authorId="1" shapeId="0" xr:uid="{0847DA2F-76CF-4372-A20F-635873FDF7E5}">
      <text>
        <r>
          <rPr>
            <b/>
            <sz val="9"/>
            <color indexed="81"/>
            <rFont val="Tahoma"/>
            <family val="2"/>
          </rPr>
          <t>Maxwell Spaeth:</t>
        </r>
        <r>
          <rPr>
            <sz val="9"/>
            <color indexed="81"/>
            <rFont val="Tahoma"/>
            <family val="2"/>
          </rPr>
          <t xml:space="preserve">
"This quarter represents the fifth straight quarter where we have delivered GMV growth in Europe exceeding 30%."</t>
        </r>
      </text>
    </comment>
    <comment ref="DN185" authorId="1" shapeId="0" xr:uid="{641A38CD-BE58-48E5-9DC5-42E672250CF2}">
      <text>
        <r>
          <rPr>
            <b/>
            <sz val="9"/>
            <color indexed="81"/>
            <rFont val="Tahoma"/>
            <family val="2"/>
          </rPr>
          <t>Maxwell Spaeth:</t>
        </r>
        <r>
          <rPr>
            <sz val="9"/>
            <color indexed="81"/>
            <rFont val="Tahoma"/>
            <family val="2"/>
          </rPr>
          <t xml:space="preserve">
"more than 16,000"
10-k</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Maxwell Spaeth</author>
    <author>Chang, Steven</author>
    <author>Steven</author>
  </authors>
  <commentList>
    <comment ref="DG8" authorId="0" shapeId="0" xr:uid="{F2CC82CC-128F-493B-8DA3-45AB87FA7024}">
      <text>
        <r>
          <rPr>
            <b/>
            <sz val="9"/>
            <color indexed="81"/>
            <rFont val="Tahoma"/>
            <family val="2"/>
          </rPr>
          <t>Maxwell Spaeth:</t>
        </r>
        <r>
          <rPr>
            <sz val="9"/>
            <color indexed="81"/>
            <rFont val="Tahoma"/>
            <family val="2"/>
          </rPr>
          <t xml:space="preserve">
rounding</t>
        </r>
      </text>
    </comment>
    <comment ref="C9" authorId="1" shapeId="0" xr:uid="{DF2A79AB-5A0F-438E-8A55-F6E07FDFD263}">
      <text>
        <r>
          <rPr>
            <b/>
            <sz val="9"/>
            <color indexed="81"/>
            <rFont val="Tahoma"/>
            <family val="2"/>
          </rPr>
          <t>Chang, Steven:</t>
        </r>
        <r>
          <rPr>
            <sz val="9"/>
            <color indexed="81"/>
            <rFont val="Tahoma"/>
            <family val="2"/>
          </rPr>
          <t xml:space="preserve">
US/Canadaian federal bonds, deposits etc.
making money off of float (included in interest income)</t>
        </r>
      </text>
    </comment>
    <comment ref="CB9" authorId="2" shapeId="0" xr:uid="{26F72B2E-B1CF-4AFA-912E-8D4EDF57F2E6}">
      <text>
        <r>
          <rPr>
            <b/>
            <sz val="9"/>
            <color indexed="81"/>
            <rFont val="Tahoma"/>
            <family val="2"/>
          </rPr>
          <t>Steven:</t>
        </r>
        <r>
          <rPr>
            <sz val="9"/>
            <color indexed="81"/>
            <rFont val="Tahoma"/>
            <family val="2"/>
          </rPr>
          <t xml:space="preserve">
majority is in Coporate bonds and dommericial paper
due to offering of additional shares in 2Q17</t>
        </r>
      </text>
    </comment>
    <comment ref="CF9" authorId="2" shapeId="0" xr:uid="{430D6CA6-0016-4BC4-80E5-1A66CB5882C3}">
      <text>
        <r>
          <rPr>
            <b/>
            <sz val="9"/>
            <color indexed="81"/>
            <rFont val="Tahoma"/>
            <family val="2"/>
          </rPr>
          <t>Steven:</t>
        </r>
        <r>
          <rPr>
            <sz val="9"/>
            <color indexed="81"/>
            <rFont val="Tahoma"/>
            <family val="2"/>
          </rPr>
          <t xml:space="preserve">
Additional offering of 4.8M shares in Feb</t>
        </r>
      </text>
    </comment>
    <comment ref="BX11" authorId="2" shapeId="0" xr:uid="{E9C51543-9E3D-43F5-AFEC-1C50DE09DAA6}">
      <text>
        <r>
          <rPr>
            <b/>
            <sz val="9"/>
            <color indexed="81"/>
            <rFont val="Tahoma"/>
            <family val="2"/>
          </rPr>
          <t>Steven:</t>
        </r>
        <r>
          <rPr>
            <sz val="9"/>
            <color indexed="81"/>
            <rFont val="Tahoma"/>
            <family val="2"/>
          </rPr>
          <t xml:space="preserve">
began offering a Merchant Cash Aadvance program to eligible merchants:
SHOP purchases merchant
s future receivable (usually at a discount)</t>
        </r>
      </text>
    </comment>
    <comment ref="CR22" authorId="2" shapeId="0" xr:uid="{536C80B9-C817-4393-9948-615823D9AFA0}">
      <text>
        <r>
          <rPr>
            <b/>
            <sz val="9"/>
            <color indexed="81"/>
            <rFont val="Tahoma"/>
            <family val="2"/>
          </rPr>
          <t>Steven:</t>
        </r>
        <r>
          <rPr>
            <sz val="9"/>
            <color indexed="81"/>
            <rFont val="Tahoma"/>
            <family val="2"/>
          </rPr>
          <t xml:space="preserve">
investment in Affirm (carrying value of $158M); stemming from stragic partnerhsip for Shop Pay Installments</t>
        </r>
      </text>
    </comment>
    <comment ref="CU22" authorId="2" shapeId="0" xr:uid="{1579300C-5C2D-46EC-95D2-01978513E0D8}">
      <text>
        <r>
          <rPr>
            <b/>
            <sz val="9"/>
            <color indexed="81"/>
            <rFont val="Tahoma"/>
            <family val="2"/>
          </rPr>
          <t>Steven:</t>
        </r>
        <r>
          <rPr>
            <sz val="9"/>
            <color indexed="81"/>
            <rFont val="Tahoma"/>
            <family val="2"/>
          </rPr>
          <t xml:space="preserve">
Affirm IPO's; unrealized gain of $1.28B
Add: $200M of invesments in a private company (a partner)
Add: $195M in private companies w/o readily determinable fair values</t>
        </r>
      </text>
    </comment>
    <comment ref="CV22" authorId="2" shapeId="0" xr:uid="{81A2EE0A-7FB2-4F50-895B-0EDADA6136C7}">
      <text>
        <r>
          <rPr>
            <b/>
            <sz val="9"/>
            <color indexed="81"/>
            <rFont val="Tahoma"/>
            <family val="2"/>
          </rPr>
          <t>Steven:</t>
        </r>
        <r>
          <rPr>
            <sz val="9"/>
            <color indexed="81"/>
            <rFont val="Tahoma"/>
            <family val="2"/>
          </rPr>
          <t xml:space="preserve">
Received investment in Global-E in April 2021; IPO's in May 2021 - Carrying value now $1.0B
+700M gain from Affirm equity</t>
        </r>
      </text>
    </comment>
    <comment ref="CW22" authorId="2" shapeId="0" xr:uid="{F1EAEBC6-E872-4EDE-B4F2-E059D5968CB9}">
      <text>
        <r>
          <rPr>
            <b/>
            <sz val="9"/>
            <color indexed="81"/>
            <rFont val="Tahoma"/>
            <family val="2"/>
          </rPr>
          <t>Steven:</t>
        </r>
        <r>
          <rPr>
            <sz val="9"/>
            <color indexed="81"/>
            <rFont val="Tahoma"/>
            <family val="2"/>
          </rPr>
          <t xml:space="preserve">
July 2021 - investment in private company thorugh purchase of convertible notes for $200M
Sep 2021 - equity invesments in private companies (partners in its ecosystem) - $40.7M
</t>
        </r>
      </text>
    </comment>
    <comment ref="CN24" authorId="2" shapeId="0" xr:uid="{8A61FCCB-1100-4936-AB87-F77489697F94}">
      <text>
        <r>
          <rPr>
            <b/>
            <sz val="9"/>
            <color indexed="81"/>
            <rFont val="Tahoma"/>
            <family val="2"/>
          </rPr>
          <t>Steven:</t>
        </r>
        <r>
          <rPr>
            <sz val="9"/>
            <color indexed="81"/>
            <rFont val="Tahoma"/>
            <family val="2"/>
          </rPr>
          <t xml:space="preserve">
acquired 6 River Systems:
Fulfillment Solutions &amp; warehouse Automation</t>
        </r>
      </text>
    </comment>
    <comment ref="BS25" authorId="1" shapeId="0" xr:uid="{3492186C-B475-4645-A5F4-663E718436E9}">
      <text>
        <r>
          <rPr>
            <b/>
            <sz val="9"/>
            <color indexed="81"/>
            <rFont val="Tahoma"/>
            <family val="2"/>
          </rPr>
          <t>Chang, Steven:</t>
        </r>
        <r>
          <rPr>
            <sz val="9"/>
            <color indexed="81"/>
            <rFont val="Tahoma"/>
            <family val="2"/>
          </rPr>
          <t xml:space="preserve">
long-term marketable securities</t>
        </r>
      </text>
    </comment>
    <comment ref="CR37" authorId="2" shapeId="0" xr:uid="{B1EDBFA9-02C8-4A6F-AC73-9F365B4988F1}">
      <text>
        <r>
          <rPr>
            <b/>
            <sz val="9"/>
            <color indexed="81"/>
            <rFont val="Tahoma"/>
            <family val="2"/>
          </rPr>
          <t>Steven:</t>
        </r>
        <r>
          <rPr>
            <sz val="9"/>
            <color indexed="81"/>
            <rFont val="Tahoma"/>
            <family val="2"/>
          </rPr>
          <t xml:space="preserve">
issued $920M of 0.125% due 2025 (proceeds of $907.9M)
750M includes unamotized discounts + offering costs</t>
        </r>
      </text>
    </comment>
    <comment ref="CU37" authorId="2" shapeId="0" xr:uid="{018B3814-18D6-4D1A-A0C6-F5361614C010}">
      <text>
        <r>
          <rPr>
            <b/>
            <sz val="9"/>
            <color indexed="81"/>
            <rFont val="Tahoma"/>
            <family val="2"/>
          </rPr>
          <t>Steven:</t>
        </r>
        <r>
          <rPr>
            <sz val="9"/>
            <color indexed="81"/>
            <rFont val="Tahoma"/>
            <family val="2"/>
          </rPr>
          <t xml:space="preserve">
increase due to adoption of ASU 2020-06 on Jan 1</t>
        </r>
      </text>
    </comment>
    <comment ref="C52" authorId="2" shapeId="0" xr:uid="{F1C13577-1FF2-4C5A-B9B7-F9251F37D804}">
      <text>
        <r>
          <rPr>
            <b/>
            <sz val="9"/>
            <color indexed="81"/>
            <rFont val="Tahoma"/>
            <family val="2"/>
          </rPr>
          <t>Steven:</t>
        </r>
        <r>
          <rPr>
            <sz val="9"/>
            <color indexed="81"/>
            <rFont val="Tahoma"/>
            <family val="2"/>
          </rPr>
          <t xml:space="preserve">
company does have a revolving credit facility with RBC for $8B CAD); currently no cash amount have been drawn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Maxwell Spaeth</author>
    <author>Chang, Steven</author>
    <author>Steven</author>
    <author>Akhavan, Rudy</author>
  </authors>
  <commentList>
    <comment ref="DF11" authorId="0" shapeId="0" xr:uid="{239A393F-DD86-440D-BB1D-4E94F0309C5B}">
      <text>
        <r>
          <rPr>
            <b/>
            <sz val="9"/>
            <color indexed="81"/>
            <rFont val="Tahoma"/>
            <family val="2"/>
          </rPr>
          <t>Maxwell Spaeth:</t>
        </r>
        <r>
          <rPr>
            <sz val="9"/>
            <color indexed="81"/>
            <rFont val="Tahoma"/>
            <family val="2"/>
          </rPr>
          <t xml:space="preserve">
hardcoded due to "accelerated sbc" related to HC reductions</t>
        </r>
      </text>
    </comment>
    <comment ref="DG11" authorId="0" shapeId="0" xr:uid="{2911A8CB-3522-4904-8987-BEE4DCCFF022}">
      <text>
        <r>
          <rPr>
            <b/>
            <sz val="9"/>
            <color indexed="81"/>
            <rFont val="Tahoma"/>
            <family val="2"/>
          </rPr>
          <t>Maxwell Spaeth:</t>
        </r>
        <r>
          <rPr>
            <sz val="9"/>
            <color indexed="81"/>
            <rFont val="Tahoma"/>
            <family val="2"/>
          </rPr>
          <t xml:space="preserve">
rounding</t>
        </r>
      </text>
    </comment>
    <comment ref="CQ17" authorId="1" shapeId="0" xr:uid="{0141D62C-3912-4825-80D6-59C5C456DDFC}">
      <text>
        <r>
          <rPr>
            <b/>
            <sz val="9"/>
            <color indexed="81"/>
            <rFont val="Tahoma"/>
            <family val="2"/>
          </rPr>
          <t>Chang, Steven:</t>
        </r>
        <r>
          <rPr>
            <sz val="9"/>
            <color indexed="81"/>
            <rFont val="Tahoma"/>
            <family val="2"/>
          </rPr>
          <t xml:space="preserve">
31M of impairment of right-of-use assets and leasehold improvements</t>
        </r>
      </text>
    </comment>
    <comment ref="CU17" authorId="1" shapeId="0" xr:uid="{164CF6AF-4670-430E-9A20-08BA0F6BFDC5}">
      <text>
        <r>
          <rPr>
            <b/>
            <sz val="9"/>
            <color indexed="81"/>
            <rFont val="Tahoma"/>
            <family val="2"/>
          </rPr>
          <t>Chang, Steven:</t>
        </r>
        <r>
          <rPr>
            <sz val="9"/>
            <color indexed="81"/>
            <rFont val="Tahoma"/>
            <family val="2"/>
          </rPr>
          <t xml:space="preserve">
provision for transaction and loan losses; unrealized foreign exchange loss (gain)</t>
        </r>
      </text>
    </comment>
    <comment ref="DF17" authorId="0" shapeId="0" xr:uid="{464B7765-88D3-49E3-A7AB-60601E398F9F}">
      <text>
        <r>
          <rPr>
            <b/>
            <sz val="9"/>
            <color indexed="81"/>
            <rFont val="Tahoma"/>
            <family val="2"/>
          </rPr>
          <t>Maxwell Spaeth:</t>
        </r>
        <r>
          <rPr>
            <sz val="9"/>
            <color indexed="81"/>
            <rFont val="Tahoma"/>
            <family val="2"/>
          </rPr>
          <t xml:space="preserve">
Impairment on sale of Shopify's logistics business: $1,340</t>
        </r>
      </text>
    </comment>
    <comment ref="DL17" authorId="0" shapeId="0" xr:uid="{AF6262F3-7752-4FF9-8656-4579E2F3AA5C}">
      <text>
        <r>
          <rPr>
            <b/>
            <sz val="9"/>
            <color indexed="81"/>
            <rFont val="Tahoma"/>
            <family val="2"/>
          </rPr>
          <t>Maxwell Spaeth:</t>
        </r>
        <r>
          <rPr>
            <sz val="9"/>
            <color indexed="81"/>
            <rFont val="Tahoma"/>
            <family val="2"/>
          </rPr>
          <t xml:space="preserve">
impairment of right-of-use assets and leasehold improvements</t>
        </r>
      </text>
    </comment>
    <comment ref="DJ28" authorId="0" shapeId="0" xr:uid="{A0AB7110-CEBC-440F-9B53-B0438B1EDD18}">
      <text>
        <r>
          <rPr>
            <b/>
            <sz val="9"/>
            <color indexed="81"/>
            <rFont val="Tahoma"/>
            <family val="2"/>
          </rPr>
          <t>Maxwell Spaeth:</t>
        </r>
        <r>
          <rPr>
            <sz val="9"/>
            <color indexed="81"/>
            <rFont val="Tahoma"/>
            <family val="2"/>
          </rPr>
          <t xml:space="preserve">
4Q23 guide: ~$10M</t>
        </r>
      </text>
    </comment>
    <comment ref="CQ29" authorId="2" shapeId="0" xr:uid="{48BA856E-44F6-40FA-8993-A54A14D087F3}">
      <text>
        <r>
          <rPr>
            <b/>
            <sz val="9"/>
            <color indexed="81"/>
            <rFont val="Tahoma"/>
            <family val="2"/>
          </rPr>
          <t>Steven:</t>
        </r>
        <r>
          <rPr>
            <sz val="9"/>
            <color indexed="81"/>
            <rFont val="Tahoma"/>
            <family val="2"/>
          </rPr>
          <t xml:space="preserve">
</t>
        </r>
      </text>
    </comment>
    <comment ref="CP30" authorId="2" shapeId="0" xr:uid="{40ABAE60-6D39-41FE-95E1-A87D671C333D}">
      <text>
        <r>
          <rPr>
            <b/>
            <sz val="9"/>
            <color indexed="81"/>
            <rFont val="Tahoma"/>
            <family val="2"/>
          </rPr>
          <t>Steven:</t>
        </r>
        <r>
          <rPr>
            <sz val="9"/>
            <color indexed="81"/>
            <rFont val="Tahoma"/>
            <family val="2"/>
          </rPr>
          <t xml:space="preserve">
net sales of $417M in marketable securities</t>
        </r>
      </text>
    </comment>
    <comment ref="CB35" authorId="2" shapeId="0" xr:uid="{1F765B1F-64AF-4CA3-8913-8622674CC26D}">
      <text>
        <r>
          <rPr>
            <b/>
            <sz val="9"/>
            <color indexed="81"/>
            <rFont val="Tahoma"/>
            <family val="2"/>
          </rPr>
          <t>Steven:</t>
        </r>
        <r>
          <rPr>
            <sz val="9"/>
            <color indexed="81"/>
            <rFont val="Tahoma"/>
            <family val="2"/>
          </rPr>
          <t xml:space="preserve">
purchase of Orbelo UAB -&gt; product sourcing and drop shipping (100% of outstanding shares)</t>
        </r>
      </text>
    </comment>
    <comment ref="CI35" authorId="2" shapeId="0" xr:uid="{A6C689A6-520A-4EE1-82C7-AC32F75C1762}">
      <text>
        <r>
          <rPr>
            <b/>
            <sz val="9"/>
            <color indexed="81"/>
            <rFont val="Tahoma"/>
            <family val="2"/>
          </rPr>
          <t>Steven:</t>
        </r>
        <r>
          <rPr>
            <sz val="9"/>
            <color indexed="81"/>
            <rFont val="Tahoma"/>
            <family val="2"/>
          </rPr>
          <t xml:space="preserve">
Acquisition of Tictail, inc. - e-comm platform in Sweden for $17M</t>
        </r>
      </text>
    </comment>
    <comment ref="CN35" authorId="2" shapeId="0" xr:uid="{8FCEE282-AA49-473A-8937-387FFF3587CB}">
      <text>
        <r>
          <rPr>
            <b/>
            <sz val="9"/>
            <color indexed="81"/>
            <rFont val="Tahoma"/>
            <family val="2"/>
          </rPr>
          <t>Steven:</t>
        </r>
        <r>
          <rPr>
            <sz val="9"/>
            <color indexed="81"/>
            <rFont val="Tahoma"/>
            <family val="2"/>
          </rPr>
          <t xml:space="preserve">
Acquisition of 6RS</t>
        </r>
      </text>
    </comment>
    <comment ref="CW35" authorId="2" shapeId="0" xr:uid="{B868F378-0297-453C-A370-D238D20273C6}">
      <text>
        <r>
          <rPr>
            <b/>
            <sz val="9"/>
            <color indexed="81"/>
            <rFont val="Tahoma"/>
            <family val="2"/>
          </rPr>
          <t>Steven:</t>
        </r>
        <r>
          <rPr>
            <sz val="9"/>
            <color indexed="81"/>
            <rFont val="Tahoma"/>
            <family val="2"/>
          </rPr>
          <t xml:space="preserve">
Acquisition of Donde Fashion Inc, Engineering talent to expand R&amp;D - for $50.7M</t>
        </r>
      </text>
    </comment>
    <comment ref="CU36" authorId="1" shapeId="0" xr:uid="{1C86B5F4-E5C9-49B3-AEC0-6A55A03257C1}">
      <text>
        <r>
          <rPr>
            <b/>
            <sz val="9"/>
            <color indexed="81"/>
            <rFont val="Tahoma"/>
            <family val="2"/>
          </rPr>
          <t>Chang, Steven:</t>
        </r>
        <r>
          <rPr>
            <sz val="9"/>
            <color indexed="81"/>
            <rFont val="Tahoma"/>
            <family val="2"/>
          </rPr>
          <t xml:space="preserve">
includes -2444M of purchase of marketable securities + 1038M of maturity</t>
        </r>
      </text>
    </comment>
    <comment ref="DH36" authorId="0" shapeId="0" xr:uid="{FBB969CF-0002-4652-B797-6268C52A4A35}">
      <text>
        <r>
          <rPr>
            <b/>
            <sz val="9"/>
            <color indexed="81"/>
            <rFont val="Tahoma"/>
            <family val="2"/>
          </rPr>
          <t>Maxwell Spaeth:</t>
        </r>
        <r>
          <rPr>
            <sz val="9"/>
            <color indexed="81"/>
            <rFont val="Tahoma"/>
            <family val="2"/>
          </rPr>
          <t xml:space="preserve">
includes -527 loan origination and 514 repayments of loans</t>
        </r>
      </text>
    </comment>
    <comment ref="CR39" authorId="2" shapeId="0" xr:uid="{4A27B88A-ECBD-4E86-BE38-C4A4C8EF7A77}">
      <text>
        <r>
          <rPr>
            <b/>
            <sz val="9"/>
            <color indexed="81"/>
            <rFont val="Tahoma"/>
            <family val="2"/>
          </rPr>
          <t>Steven:</t>
        </r>
        <r>
          <rPr>
            <sz val="9"/>
            <color indexed="81"/>
            <rFont val="Tahoma"/>
            <family val="2"/>
          </rPr>
          <t xml:space="preserve">
Issued $920M of 0.12% convertible senior notes due 2025</t>
        </r>
      </text>
    </comment>
    <comment ref="DQ39" authorId="0" shapeId="0" xr:uid="{821C74F1-5B73-4237-A518-B4AE18590794}">
      <text>
        <r>
          <rPr>
            <b/>
            <sz val="9"/>
            <color indexed="81"/>
            <rFont val="Tahoma"/>
            <family val="2"/>
          </rPr>
          <t>Maxwell Spaeth:</t>
        </r>
        <r>
          <rPr>
            <sz val="9"/>
            <color indexed="81"/>
            <rFont val="Tahoma"/>
            <family val="2"/>
          </rPr>
          <t xml:space="preserve">
converts mature in 2025</t>
        </r>
      </text>
    </comment>
    <comment ref="DR39" authorId="0" shapeId="0" xr:uid="{E0BCD55D-9EAC-4DF9-8A8B-DE1812E440FA}">
      <text>
        <r>
          <rPr>
            <b/>
            <sz val="9"/>
            <color indexed="81"/>
            <rFont val="Tahoma"/>
            <family val="2"/>
          </rPr>
          <t>Maxwell Spaeth:</t>
        </r>
        <r>
          <rPr>
            <sz val="9"/>
            <color indexed="81"/>
            <rFont val="Tahoma"/>
            <family val="2"/>
          </rPr>
          <t xml:space="preserve">
maturity of convertible senior notes</t>
        </r>
      </text>
    </comment>
    <comment ref="BR40" authorId="1" shapeId="0" xr:uid="{F07C9B18-C061-442A-ACC9-3C8BD085203B}">
      <text>
        <r>
          <rPr>
            <b/>
            <sz val="9"/>
            <color indexed="81"/>
            <rFont val="Tahoma"/>
            <family val="2"/>
          </rPr>
          <t>Chang, Steven:</t>
        </r>
        <r>
          <rPr>
            <sz val="9"/>
            <color indexed="81"/>
            <rFont val="Tahoma"/>
            <family val="2"/>
          </rPr>
          <t xml:space="preserve">
IPO
</t>
        </r>
      </text>
    </comment>
    <comment ref="BX40" authorId="2" shapeId="0" xr:uid="{2B753091-17BE-4B73-8CA1-C6CBF4BB894B}">
      <text>
        <r>
          <rPr>
            <b/>
            <sz val="9"/>
            <color indexed="81"/>
            <rFont val="Tahoma"/>
            <family val="2"/>
          </rPr>
          <t>Steven:</t>
        </r>
        <r>
          <rPr>
            <sz val="9"/>
            <color indexed="81"/>
            <rFont val="Tahoma"/>
            <family val="2"/>
          </rPr>
          <t xml:space="preserve">
follow-on public offering;  8.62M Class A Sub Voting Shares @ $38.25/shr</t>
        </r>
      </text>
    </comment>
    <comment ref="CB40" authorId="2" shapeId="0" xr:uid="{45A2A1CD-29B8-41A9-B07F-996D4AF9B4DB}">
      <text>
        <r>
          <rPr>
            <b/>
            <sz val="9"/>
            <color indexed="81"/>
            <rFont val="Tahoma"/>
            <family val="2"/>
          </rPr>
          <t>Steven:</t>
        </r>
        <r>
          <rPr>
            <sz val="9"/>
            <color indexed="81"/>
            <rFont val="Tahoma"/>
            <family val="2"/>
          </rPr>
          <t xml:space="preserve">
Issued 825K subordinate voting shares</t>
        </r>
      </text>
    </comment>
    <comment ref="CF40" authorId="2" shapeId="0" xr:uid="{B1D8CCF8-85EA-4A59-BAB4-1785F9009F99}">
      <text>
        <r>
          <rPr>
            <b/>
            <sz val="9"/>
            <color indexed="81"/>
            <rFont val="Tahoma"/>
            <family val="2"/>
          </rPr>
          <t>Steven:</t>
        </r>
        <r>
          <rPr>
            <sz val="9"/>
            <color indexed="81"/>
            <rFont val="Tahoma"/>
            <family val="2"/>
          </rPr>
          <t xml:space="preserve">
Issued 4.8M (Feb 2018) @ $137/sh</t>
        </r>
      </text>
    </comment>
    <comment ref="CI40" authorId="2" shapeId="0" xr:uid="{77D8A484-98C3-4FA8-BC4D-4C256725F0A3}">
      <text>
        <r>
          <rPr>
            <b/>
            <sz val="9"/>
            <color indexed="81"/>
            <rFont val="Tahoma"/>
            <family val="2"/>
          </rPr>
          <t xml:space="preserve">Steven:
</t>
        </r>
        <r>
          <rPr>
            <sz val="9"/>
            <color indexed="81"/>
            <rFont val="Tahoma"/>
            <family val="2"/>
          </rPr>
          <t>Offering of 2.6M shares (Dec 2018) @ $154/sh</t>
        </r>
      </text>
    </comment>
    <comment ref="CM40" authorId="1" shapeId="0" xr:uid="{B4D82D8B-D64A-4ABD-8AAF-6E889ABE7B25}">
      <text>
        <r>
          <rPr>
            <b/>
            <sz val="9"/>
            <color indexed="81"/>
            <rFont val="Tahoma"/>
            <family val="2"/>
          </rPr>
          <t>Chang, Steven:</t>
        </r>
        <r>
          <rPr>
            <sz val="9"/>
            <color indexed="81"/>
            <rFont val="Tahoma"/>
            <family val="2"/>
          </rPr>
          <t xml:space="preserve">
offering of Class A subordinate voting shares in Sep 2019</t>
        </r>
      </text>
    </comment>
    <comment ref="CQ40" authorId="2" shapeId="0" xr:uid="{1A1514A6-F707-4453-9585-249FFD63C7EE}">
      <text>
        <r>
          <rPr>
            <b/>
            <sz val="9"/>
            <color indexed="81"/>
            <rFont val="Tahoma"/>
            <family val="2"/>
          </rPr>
          <t>Steven:</t>
        </r>
        <r>
          <rPr>
            <sz val="9"/>
            <color indexed="81"/>
            <rFont val="Tahoma"/>
            <family val="2"/>
          </rPr>
          <t xml:space="preserve">
Public offering (May 2020) of 2.1M shares @ $600/sh</t>
        </r>
      </text>
    </comment>
    <comment ref="CR40" authorId="2" shapeId="0" xr:uid="{CECEBB01-7A7D-4D5B-B14F-B9339780E2FF}">
      <text>
        <r>
          <rPr>
            <b/>
            <sz val="9"/>
            <color indexed="81"/>
            <rFont val="Tahoma"/>
            <family val="2"/>
          </rPr>
          <t>Steven:</t>
        </r>
        <r>
          <rPr>
            <sz val="9"/>
            <color indexed="81"/>
            <rFont val="Tahoma"/>
            <family val="2"/>
          </rPr>
          <t xml:space="preserve">
public offering (sep 2020) of 1.26M shares for $900/sh</t>
        </r>
      </text>
    </comment>
    <comment ref="CU40" authorId="2" shapeId="0" xr:uid="{A76C2082-0F1E-4242-A6D3-2C3DC321B093}">
      <text>
        <r>
          <rPr>
            <b/>
            <sz val="9"/>
            <color indexed="81"/>
            <rFont val="Tahoma"/>
            <family val="2"/>
          </rPr>
          <t>Steven:</t>
        </r>
        <r>
          <rPr>
            <sz val="9"/>
            <color indexed="81"/>
            <rFont val="Tahoma"/>
            <family val="2"/>
          </rPr>
          <t xml:space="preserve">
public offering (Feb 2021) of 1.18M shares @ $1315/sh</t>
        </r>
      </text>
    </comment>
    <comment ref="DT42" authorId="0" shapeId="0" xr:uid="{C96414C1-98B1-4CCC-A113-E9F2645760A0}">
      <text>
        <r>
          <rPr>
            <b/>
            <sz val="9"/>
            <color indexed="81"/>
            <rFont val="Tahoma"/>
            <family val="2"/>
          </rPr>
          <t>Maxwell Spaeth:</t>
        </r>
        <r>
          <rPr>
            <sz val="9"/>
            <color indexed="81"/>
            <rFont val="Tahoma"/>
            <family val="2"/>
          </rPr>
          <t xml:space="preserve">
share repurchase</t>
        </r>
      </text>
    </comment>
    <comment ref="DG48" authorId="0" shapeId="0" xr:uid="{BB69E886-EB2B-4B9E-84EB-10425A8E39DD}">
      <text>
        <r>
          <rPr>
            <b/>
            <sz val="9"/>
            <color indexed="81"/>
            <rFont val="Tahoma"/>
            <family val="2"/>
          </rPr>
          <t>Maxwell Spaeth:</t>
        </r>
        <r>
          <rPr>
            <sz val="9"/>
            <color indexed="81"/>
            <rFont val="Tahoma"/>
            <family val="2"/>
          </rPr>
          <t xml:space="preserve">
rounding</t>
        </r>
      </text>
    </comment>
    <comment ref="C53" authorId="3" shapeId="0" xr:uid="{3EFB2E2A-2CDF-4AB2-9A5A-EF9DF707EB3F}">
      <text>
        <r>
          <rPr>
            <b/>
            <sz val="9"/>
            <color indexed="81"/>
            <rFont val="Tahoma"/>
            <family val="2"/>
          </rPr>
          <t>Akhavan, Rudy:</t>
        </r>
        <r>
          <rPr>
            <sz val="9"/>
            <color indexed="81"/>
            <rFont val="Tahoma"/>
            <family val="2"/>
          </rPr>
          <t xml:space="preserve">
S1 - Bumble definition of FCF is CFO less Capex</t>
        </r>
      </text>
    </comment>
    <comment ref="DM57" authorId="0" shapeId="0" xr:uid="{2C17053C-B6BF-49B4-A2EA-76CFC83B51FB}">
      <text>
        <r>
          <rPr>
            <b/>
            <sz val="9"/>
            <color indexed="81"/>
            <rFont val="Tahoma"/>
            <family val="2"/>
          </rPr>
          <t>Maxwell Spaeth:</t>
        </r>
        <r>
          <rPr>
            <sz val="9"/>
            <color indexed="81"/>
            <rFont val="Tahoma"/>
            <family val="2"/>
          </rPr>
          <t xml:space="preserve">
</t>
        </r>
        <r>
          <rPr>
            <b/>
            <sz val="9"/>
            <color indexed="81"/>
            <rFont val="Tahoma"/>
            <family val="2"/>
          </rPr>
          <t>Outlook:</t>
        </r>
        <r>
          <rPr>
            <sz val="9"/>
            <color indexed="81"/>
            <rFont val="Tahoma"/>
            <family val="2"/>
          </rPr>
          <t xml:space="preserve"> similar to 3Q24</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Maxwell Spaeth</author>
  </authors>
  <commentList>
    <comment ref="AK37" authorId="0" shapeId="0" xr:uid="{A28E2253-9173-4E84-9E54-6A5A1FD9A01A}">
      <text>
        <r>
          <rPr>
            <b/>
            <sz val="9"/>
            <color indexed="81"/>
            <rFont val="Tahoma"/>
            <family val="2"/>
          </rPr>
          <t>Maxwell Spaeth:</t>
        </r>
        <r>
          <rPr>
            <sz val="9"/>
            <color indexed="81"/>
            <rFont val="Tahoma"/>
            <family val="2"/>
          </rPr>
          <t xml:space="preserve">
one-timer equity</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Chang, Steven</author>
    <author>Maxwell Spaeth</author>
  </authors>
  <commentList>
    <comment ref="E147" authorId="0" shapeId="0" xr:uid="{7A737837-4BBB-4D9D-B96F-D7314AEF603D}">
      <text>
        <r>
          <rPr>
            <b/>
            <sz val="9"/>
            <color indexed="81"/>
            <rFont val="Tahoma"/>
            <family val="2"/>
          </rPr>
          <t xml:space="preserve">Chang, Steven:
</t>
        </r>
        <r>
          <rPr>
            <sz val="9"/>
            <color indexed="81"/>
            <rFont val="Tahoma"/>
            <family val="2"/>
          </rPr>
          <t>Princpally generate revneues from payment processing fees from Shopify payments</t>
        </r>
      </text>
    </comment>
    <comment ref="E226" authorId="1" shapeId="0" xr:uid="{05316415-A4DF-41D1-9B58-7F3940067EF0}">
      <text>
        <r>
          <rPr>
            <b/>
            <sz val="9"/>
            <color indexed="81"/>
            <rFont val="Tahoma"/>
            <family val="2"/>
          </rPr>
          <t>Maxwell Spaeth:</t>
        </r>
        <r>
          <rPr>
            <sz val="9"/>
            <color indexed="81"/>
            <rFont val="Tahoma"/>
            <family val="2"/>
          </rPr>
          <t xml:space="preserve">
MRR does not include VPF from Plus merchants</t>
        </r>
      </text>
    </comment>
    <comment ref="Q226" authorId="1" shapeId="0" xr:uid="{2F9B7112-6A5E-4E2D-9ABA-0083B41AADAB}">
      <text>
        <r>
          <rPr>
            <b/>
            <sz val="9"/>
            <color indexed="81"/>
            <rFont val="Tahoma"/>
            <family val="2"/>
          </rPr>
          <t>Maxwell Spaeth:</t>
        </r>
        <r>
          <rPr>
            <sz val="9"/>
            <color indexed="81"/>
            <rFont val="Tahoma"/>
            <family val="2"/>
          </rPr>
          <t xml:space="preserve">
26% reported 2Q22 PR</t>
        </r>
      </text>
    </comment>
    <comment ref="T226" authorId="0" shapeId="0" xr:uid="{58D3176D-821D-4CC5-B41D-F2920E29889E}">
      <text>
        <r>
          <rPr>
            <b/>
            <sz val="9"/>
            <color indexed="81"/>
            <rFont val="Tahoma"/>
            <family val="2"/>
          </rPr>
          <t>Chang, Steven:</t>
        </r>
        <r>
          <rPr>
            <sz val="9"/>
            <color indexed="81"/>
            <rFont val="Tahoma"/>
            <family val="2"/>
          </rPr>
          <t xml:space="preserve">
from 1Q22 preselease</t>
        </r>
      </text>
    </comment>
    <comment ref="AD226" authorId="1" shapeId="0" xr:uid="{4D6B74BD-D4B8-4F2E-96FE-98D54AEBB0A9}">
      <text>
        <r>
          <rPr>
            <b/>
            <sz val="9"/>
            <color indexed="81"/>
            <rFont val="Tahoma"/>
            <family val="2"/>
          </rPr>
          <t>Maxwell Spaeth:</t>
        </r>
        <r>
          <rPr>
            <sz val="9"/>
            <color indexed="81"/>
            <rFont val="Tahoma"/>
            <family val="2"/>
          </rPr>
          <t xml:space="preserve">
Plus represented 31% of MRR for the quarter, consistent with 2Q</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<sst xmlns="http://schemas.openxmlformats.org/spreadsheetml/2006/main" count="1889" uniqueCount="836">
  <si>
    <t>Estimates</t>
  </si>
  <si>
    <t>% growth</t>
  </si>
  <si>
    <t>EBITDA</t>
  </si>
  <si>
    <t>Revenue</t>
  </si>
  <si>
    <t>Operating expenses</t>
  </si>
  <si>
    <t>Assets</t>
  </si>
  <si>
    <t>Current assets</t>
  </si>
  <si>
    <t>Liabilities</t>
  </si>
  <si>
    <t>Current liabilities</t>
  </si>
  <si>
    <t>Cash from operations</t>
  </si>
  <si>
    <t>Cash from financing</t>
  </si>
  <si>
    <t>Financing cash flow</t>
  </si>
  <si>
    <t>Net cash (debt)</t>
  </si>
  <si>
    <t>1998A</t>
  </si>
  <si>
    <t>% potential appreciation</t>
  </si>
  <si>
    <t>2000A</t>
  </si>
  <si>
    <t>1999A</t>
  </si>
  <si>
    <t>2001A</t>
  </si>
  <si>
    <t>2002A</t>
  </si>
  <si>
    <t>Net cash (debt), projected</t>
  </si>
  <si>
    <t>Enterprise value</t>
  </si>
  <si>
    <t>Free cash flow per share</t>
  </si>
  <si>
    <t>Cash</t>
  </si>
  <si>
    <t>Market capitalization</t>
  </si>
  <si>
    <t>EV/Revenue</t>
  </si>
  <si>
    <t>Margins</t>
  </si>
  <si>
    <t>Net revenue</t>
  </si>
  <si>
    <t>Stock-based compensation</t>
  </si>
  <si>
    <t>Depreciation &amp; amortization</t>
  </si>
  <si>
    <t>Other one-time, after-tax expense</t>
  </si>
  <si>
    <t>Reported GAAP net income</t>
  </si>
  <si>
    <t>Reported taxes</t>
  </si>
  <si>
    <t>Value</t>
  </si>
  <si>
    <t>Total Equity Value</t>
  </si>
  <si>
    <t>Sensitivity Analysis</t>
  </si>
  <si>
    <t>Free Cash Flow</t>
  </si>
  <si>
    <t>Beta</t>
  </si>
  <si>
    <t>WACC</t>
  </si>
  <si>
    <t>FCF Multiple</t>
  </si>
  <si>
    <t>- Capital expenditures</t>
  </si>
  <si>
    <t>Cash from operating activities</t>
  </si>
  <si>
    <t>Cash from investments</t>
  </si>
  <si>
    <t>Currency effect</t>
  </si>
  <si>
    <t>Cash flow from discontinued operations</t>
  </si>
  <si>
    <t>Receivables</t>
  </si>
  <si>
    <t>Capital expenditures</t>
  </si>
  <si>
    <t>Debt</t>
  </si>
  <si>
    <t>Net cash (debt) calculation</t>
  </si>
  <si>
    <t>Other current assets</t>
  </si>
  <si>
    <t>Plant &amp; equipment, net</t>
  </si>
  <si>
    <t>Retained earnings (deficit)</t>
  </si>
  <si>
    <t>Tax effect of one-time items</t>
  </si>
  <si>
    <t>Discounted Cash Flow</t>
  </si>
  <si>
    <t>FCF/diluted share</t>
  </si>
  <si>
    <t>Gross margin</t>
  </si>
  <si>
    <t>FCF/diluted share growth</t>
  </si>
  <si>
    <t>Equity value</t>
  </si>
  <si>
    <t>Price target</t>
  </si>
  <si>
    <t>% margin</t>
  </si>
  <si>
    <t>Basic shares outstanding</t>
  </si>
  <si>
    <t>Free Cash Flow Estimates</t>
  </si>
  <si>
    <t>FCF in Terminal Year</t>
  </si>
  <si>
    <t>Discount Rate</t>
  </si>
  <si>
    <t>Leverage (Net debt/EBITDA)</t>
  </si>
  <si>
    <t>Interest coverage (EBITDA/Interest expense)</t>
  </si>
  <si>
    <t>$ in millions, except per share figures</t>
  </si>
  <si>
    <t>PV of Terminal Value</t>
  </si>
  <si>
    <t>Net acquisitions/other investing</t>
  </si>
  <si>
    <t>Other</t>
  </si>
  <si>
    <t>Low</t>
  </si>
  <si>
    <t>High</t>
  </si>
  <si>
    <t>Non-GAAP EPS</t>
  </si>
  <si>
    <t>New</t>
  </si>
  <si>
    <t>Old</t>
  </si>
  <si>
    <t>Cons.</t>
  </si>
  <si>
    <t>Quarterly Summary Box</t>
  </si>
  <si>
    <t>Dividend</t>
  </si>
  <si>
    <t>Liabilities &amp; Equity</t>
  </si>
  <si>
    <t>Treasury stock, at cost</t>
  </si>
  <si>
    <t>Cash from Operations</t>
  </si>
  <si>
    <t>EPS</t>
  </si>
  <si>
    <t>Leverage and Return Analysis</t>
  </si>
  <si>
    <t>Return on Invested Capital</t>
  </si>
  <si>
    <t xml:space="preserve">Return on Assets </t>
  </si>
  <si>
    <t xml:space="preserve">Return on Equity </t>
  </si>
  <si>
    <t>Mean</t>
  </si>
  <si>
    <t>DCF Summary</t>
  </si>
  <si>
    <t>Triangulated</t>
  </si>
  <si>
    <t>Adjusted EBITDA</t>
  </si>
  <si>
    <t>Implied Tgt. Multiples</t>
  </si>
  <si>
    <t>Target Multiple</t>
  </si>
  <si>
    <t>Terminal Mult.</t>
  </si>
  <si>
    <t>Enterprise Value</t>
  </si>
  <si>
    <t>Current Trading Multiples</t>
  </si>
  <si>
    <t>Scenario Analysis</t>
  </si>
  <si>
    <t>Fundamental Drivers</t>
  </si>
  <si>
    <t>Base Case</t>
  </si>
  <si>
    <t>Target EBITDA multiple</t>
  </si>
  <si>
    <t>Total revenue</t>
  </si>
  <si>
    <t>Total revenue growth</t>
  </si>
  <si>
    <t>Shares outstanding, projected</t>
  </si>
  <si>
    <t>Scenario likelihood</t>
  </si>
  <si>
    <t>EBITDA margin delta</t>
  </si>
  <si>
    <t>Target multiple delta</t>
  </si>
  <si>
    <t>% upside/downside</t>
  </si>
  <si>
    <t>Target price</t>
  </si>
  <si>
    <t>Check</t>
  </si>
  <si>
    <t>Terminal Value Calculation</t>
  </si>
  <si>
    <t>WACC Calculation</t>
  </si>
  <si>
    <t>Total capital</t>
  </si>
  <si>
    <t>Terminal Value</t>
  </si>
  <si>
    <t>10-year rate</t>
  </si>
  <si>
    <t>Equity Value Calculation</t>
  </si>
  <si>
    <t>Per Sh.</t>
  </si>
  <si>
    <t>Equity premium</t>
  </si>
  <si>
    <t>Cost of equity</t>
  </si>
  <si>
    <t>Cost of debt</t>
  </si>
  <si>
    <t>Tax rate</t>
  </si>
  <si>
    <t>Trough multiple</t>
  </si>
  <si>
    <t>Current multiple</t>
  </si>
  <si>
    <t>Current target multiple</t>
  </si>
  <si>
    <t>Strong multiple expansion</t>
  </si>
  <si>
    <t>except per share data</t>
  </si>
  <si>
    <t xml:space="preserve">Consensus </t>
  </si>
  <si>
    <t>Consensus</t>
  </si>
  <si>
    <t xml:space="preserve">Gross </t>
  </si>
  <si>
    <t>EBIT</t>
  </si>
  <si>
    <t>Market Capitalization</t>
  </si>
  <si>
    <t>FCF Yield</t>
  </si>
  <si>
    <t>% yoy growth</t>
  </si>
  <si>
    <t>% sequential growth</t>
  </si>
  <si>
    <t>Strong Bear Case</t>
  </si>
  <si>
    <t>Weak Bear Case</t>
  </si>
  <si>
    <t>Weak Bull Case</t>
  </si>
  <si>
    <t>Strong Bull Case</t>
  </si>
  <si>
    <t xml:space="preserve">$ in millions, </t>
  </si>
  <si>
    <t xml:space="preserve">Terminal Multiple of FCF </t>
  </si>
  <si>
    <t>Cash paid for taxes</t>
  </si>
  <si>
    <t>Growth rates</t>
  </si>
  <si>
    <t>Other income (expense)</t>
  </si>
  <si>
    <t>North America</t>
  </si>
  <si>
    <t>Selling and marketing expense</t>
  </si>
  <si>
    <t>General and administrative expense</t>
  </si>
  <si>
    <t>Cost of revenue</t>
  </si>
  <si>
    <t>Other adjustments, net</t>
  </si>
  <si>
    <t>Deferred revenue/other working capital</t>
  </si>
  <si>
    <t>Income taxes payable</t>
  </si>
  <si>
    <t>Payables and accrued expenses</t>
  </si>
  <si>
    <t>check</t>
  </si>
  <si>
    <t>Shares outstanding</t>
  </si>
  <si>
    <t>Actual</t>
  </si>
  <si>
    <t>Non-GAAP tax rate</t>
  </si>
  <si>
    <t>Add-back: stock-based compensation</t>
  </si>
  <si>
    <t>GAAP net income</t>
  </si>
  <si>
    <t>Mild multiple expansion</t>
  </si>
  <si>
    <t>Adjusted EBITDA margin</t>
  </si>
  <si>
    <t xml:space="preserve"> </t>
  </si>
  <si>
    <t>Total operating costs</t>
  </si>
  <si>
    <t>A</t>
  </si>
  <si>
    <t>E</t>
  </si>
  <si>
    <t>Net Income</t>
  </si>
  <si>
    <t>Adj. EBITDA</t>
  </si>
  <si>
    <t>Total liabilities</t>
  </si>
  <si>
    <t>Capex</t>
  </si>
  <si>
    <t>CAPEX</t>
  </si>
  <si>
    <t>Adjusted EPS</t>
  </si>
  <si>
    <t>Adjusted Net Income</t>
  </si>
  <si>
    <t>DCF</t>
  </si>
  <si>
    <t>FCF</t>
  </si>
  <si>
    <t>Canada</t>
  </si>
  <si>
    <t>Latin America</t>
  </si>
  <si>
    <t>2016A</t>
  </si>
  <si>
    <t xml:space="preserve">Selling and Marketing </t>
  </si>
  <si>
    <t>Cash paid for interest</t>
  </si>
  <si>
    <t>Recurring taxes</t>
  </si>
  <si>
    <t>2017A</t>
  </si>
  <si>
    <t>Subscribers in thousands, $ in millions</t>
  </si>
  <si>
    <t>EV/Adj. EBITDA</t>
  </si>
  <si>
    <t>Total Revenue</t>
  </si>
  <si>
    <t>Net change in cash, cash equivalents, and restricted cash</t>
  </si>
  <si>
    <t>Cash, cash equivalents, and restricted cash, beginning of period</t>
  </si>
  <si>
    <t>Cash, cash equivalents, and restricted cash, end of period</t>
  </si>
  <si>
    <t>Reconciliation of cash, cash equivalents, and restricted cash</t>
  </si>
  <si>
    <t>Total cash, cash equivalents, and restricted cash</t>
  </si>
  <si>
    <t>Less restricted cash, included in prepaid expenses and other current assets</t>
  </si>
  <si>
    <t>Cash and cash equivalents, end of period</t>
  </si>
  <si>
    <t>Other assets/deferred income taxes</t>
  </si>
  <si>
    <t>2018A</t>
  </si>
  <si>
    <t xml:space="preserve">  </t>
  </si>
  <si>
    <t>% of revenue</t>
  </si>
  <si>
    <t>Cash Flow</t>
  </si>
  <si>
    <t>2019A</t>
  </si>
  <si>
    <t>FCF conversion ratio</t>
  </si>
  <si>
    <t>as % of revenue</t>
  </si>
  <si>
    <t xml:space="preserve">Equity </t>
  </si>
  <si>
    <t>Implied Terminal Year GR</t>
  </si>
  <si>
    <t>Common &amp; paid-in capital &amp; Other</t>
  </si>
  <si>
    <t>Common equity and other</t>
  </si>
  <si>
    <t>Balance Sheet Drivers</t>
  </si>
  <si>
    <t>Accounts Receivable Days</t>
  </si>
  <si>
    <t>Accounts Payable Days</t>
  </si>
  <si>
    <t>Other Current Assets as % of revenue</t>
  </si>
  <si>
    <t>Accrued and Other as % of revenue</t>
  </si>
  <si>
    <t>Net Debt to Equity</t>
  </si>
  <si>
    <t>Diluted shares</t>
  </si>
  <si>
    <t>2020A</t>
  </si>
  <si>
    <t>Factset consensus total revenue</t>
  </si>
  <si>
    <t>Total Gross Profit</t>
  </si>
  <si>
    <t>Subscription Solutions CoR</t>
  </si>
  <si>
    <t>Merchant Solutions CoR</t>
  </si>
  <si>
    <t>Subscription Solutions Gross margin</t>
  </si>
  <si>
    <t>Merchant Solutions Gross margin</t>
  </si>
  <si>
    <t>Subscription Solution Gross Profit</t>
  </si>
  <si>
    <t>Merchant Solutions Gross Profit</t>
  </si>
  <si>
    <t>Research and Development</t>
  </si>
  <si>
    <t>General and Administrative</t>
  </si>
  <si>
    <t>Transaction and loan losses</t>
  </si>
  <si>
    <t>Pre-tax Income</t>
  </si>
  <si>
    <t>Effective tax rate</t>
  </si>
  <si>
    <t>GAAP Net Income</t>
  </si>
  <si>
    <t>GAAP Diluted EPS</t>
  </si>
  <si>
    <t>Operating income (EBIT)</t>
  </si>
  <si>
    <t>Research and Development expense</t>
  </si>
  <si>
    <t>Amortization of Acquired Intangibles</t>
  </si>
  <si>
    <t>Total amortization of acquired intangibles</t>
  </si>
  <si>
    <t>Payroll Taxes related to SBC</t>
  </si>
  <si>
    <t>Total Gross margin</t>
  </si>
  <si>
    <t>Total Payroll Taxes related to SBC</t>
  </si>
  <si>
    <t>Deferred income taxes (benefit)</t>
  </si>
  <si>
    <t>Unrealized gain on equity and other investments</t>
  </si>
  <si>
    <t>Proceeds from public equity offerings, net of issuance</t>
  </si>
  <si>
    <t>Proceeds from exercise of stock options</t>
  </si>
  <si>
    <t>Income tax assets and liabilities</t>
  </si>
  <si>
    <t>Acquisition of Intangible assets</t>
  </si>
  <si>
    <t>Acquisition of Business, net of cash acquired</t>
  </si>
  <si>
    <t>Purchase of marketable securities</t>
  </si>
  <si>
    <t>Maturity of marketable securities</t>
  </si>
  <si>
    <t>Shopify</t>
  </si>
  <si>
    <t>% of subscription revenue</t>
  </si>
  <si>
    <t>% of merchant revenue</t>
  </si>
  <si>
    <t>Marketable Securities</t>
  </si>
  <si>
    <t>Income Taxes Receivable</t>
  </si>
  <si>
    <t>Intangible Assets, net</t>
  </si>
  <si>
    <t>Right-of-use assets, net</t>
  </si>
  <si>
    <t>Deferred tax assets</t>
  </si>
  <si>
    <t>Equity and other investments</t>
  </si>
  <si>
    <t>Goodwill</t>
  </si>
  <si>
    <t>Merchant cash advances, loans and related receivables, net</t>
  </si>
  <si>
    <t>Accounts payable and accrued liabilities</t>
  </si>
  <si>
    <t>Convertible senior notes</t>
  </si>
  <si>
    <t>Deferred tax liabilities</t>
  </si>
  <si>
    <t>Total Cost of Revenue</t>
  </si>
  <si>
    <t>ST Deferred revenue</t>
  </si>
  <si>
    <t>LT Deferred revenue</t>
  </si>
  <si>
    <t>Cash, Cash Equivalents, and Marketable Securities</t>
  </si>
  <si>
    <t>Foreign Exchange Gain</t>
  </si>
  <si>
    <t>Interest Expense</t>
  </si>
  <si>
    <t>Interest Income</t>
  </si>
  <si>
    <t>Interest Income (Expense), net</t>
  </si>
  <si>
    <t>Merchant cash advances, loans and related receivables</t>
  </si>
  <si>
    <t>Monthly Recurring Revenue (MRR) in $Mns</t>
  </si>
  <si>
    <t>Monthly Billings Retention Rate (MBRR)</t>
  </si>
  <si>
    <t>100%+</t>
  </si>
  <si>
    <t>Add-back: payroll taxes related to stock-based 
compensation</t>
  </si>
  <si>
    <t>Add-back: amortization of acquired intangibles</t>
  </si>
  <si>
    <t>Add: income tax effects related to non-GAAP adjustments</t>
  </si>
  <si>
    <t>Less: net unrealized gain on equity and other investments</t>
  </si>
  <si>
    <t>Lease liabilities, current</t>
  </si>
  <si>
    <t>Lease liabilities, non-current</t>
  </si>
  <si>
    <t>Net Adds</t>
  </si>
  <si>
    <t>Basic Annual Recurring Revenue (ARR)</t>
  </si>
  <si>
    <t>Subscription Revenue</t>
  </si>
  <si>
    <t>Basic Qtrly Recurring Revenue (QRR)</t>
  </si>
  <si>
    <t>+/- bps yoy</t>
  </si>
  <si>
    <t>+/- bps qoq</t>
  </si>
  <si>
    <t>Cost of revenue as % of revenue</t>
  </si>
  <si>
    <t>Selling and marketing expense as % of revenue</t>
  </si>
  <si>
    <t>Research and Development expense as % of revenue</t>
  </si>
  <si>
    <t>General and administrative expense as % of revenue</t>
  </si>
  <si>
    <t>2024E</t>
  </si>
  <si>
    <t>Marketable Securities as a % of revenue</t>
  </si>
  <si>
    <t>Merchant cash advances, loans and related receivables, net as a % of rev</t>
  </si>
  <si>
    <t>Income taxes payable as a % of expenses</t>
  </si>
  <si>
    <t>ST Deferred Revenue as % of revenue</t>
  </si>
  <si>
    <t>LT Deferred Revenue as % of revenue</t>
  </si>
  <si>
    <t>Subscription Solution Revenue</t>
  </si>
  <si>
    <t>Merchant Solution Revenue</t>
  </si>
  <si>
    <t>Gross Merchandise Value (GMV)</t>
  </si>
  <si>
    <t>Gross Merchandise Value (GMV) in $mns</t>
  </si>
  <si>
    <t>Subscription Solution Revenues Breakdown</t>
  </si>
  <si>
    <t>MRR - Core as %</t>
  </si>
  <si>
    <t>MRR - Shopify Plus as %</t>
  </si>
  <si>
    <t>Apps, Themes, Domains, Shopify Plus Platform Fee Revenue as %</t>
  </si>
  <si>
    <t>Shopify GMV</t>
  </si>
  <si>
    <t>Shopify Total Merchants</t>
  </si>
  <si>
    <t>Shopify Avg. Sub per Merchant</t>
  </si>
  <si>
    <t>Shopify Take Rate</t>
  </si>
  <si>
    <t>Shopify Total Merchants (in 000s)</t>
  </si>
  <si>
    <t>Shopify Avg. Sub Rev Per Merchant</t>
  </si>
  <si>
    <t>Shopify Avg. Sub Rev per Merchant</t>
  </si>
  <si>
    <t>Shopify GMV in $mns</t>
  </si>
  <si>
    <t>Shopify GMV ($mns)</t>
  </si>
  <si>
    <t>Drivers</t>
  </si>
  <si>
    <t>Merchant Breakdown by Geo</t>
  </si>
  <si>
    <t>US</t>
  </si>
  <si>
    <t>EMEA</t>
  </si>
  <si>
    <t>UK</t>
  </si>
  <si>
    <t>APAC</t>
  </si>
  <si>
    <t>Australia</t>
  </si>
  <si>
    <t>Average GMV per Merchant</t>
  </si>
  <si>
    <t>% of total revenue</t>
  </si>
  <si>
    <t>2021A</t>
  </si>
  <si>
    <t>Payments Revenue</t>
  </si>
  <si>
    <t>% qoq growth</t>
  </si>
  <si>
    <t>% of merchant Solutions rev</t>
  </si>
  <si>
    <t>3P Pay Take Rate</t>
  </si>
  <si>
    <t>Total Payments Revenue</t>
  </si>
  <si>
    <t>% of Total GMV</t>
  </si>
  <si>
    <t>Operating Expenses</t>
  </si>
  <si>
    <t>as % of Adj. EBITDA</t>
  </si>
  <si>
    <t>FCF Margin</t>
  </si>
  <si>
    <t>Merchant Solution Revenues</t>
  </si>
  <si>
    <t>Non-Payments Merchant Solution Revenue</t>
  </si>
  <si>
    <t>Subscription Solution Revenues</t>
  </si>
  <si>
    <t>FIX OFFSET FORMULA to pull from year as well (not just qtr)</t>
  </si>
  <si>
    <t>Unrealized loss (gain) on equity and other investments</t>
  </si>
  <si>
    <t>2025E</t>
  </si>
  <si>
    <t>Equity method investment</t>
  </si>
  <si>
    <t>Total changes in working capital</t>
  </si>
  <si>
    <t>Non-working capittal OCF</t>
  </si>
  <si>
    <t>Gross profit</t>
  </si>
  <si>
    <t>Subscription Solutions revenue</t>
  </si>
  <si>
    <t>Merchant Solutions revenue</t>
  </si>
  <si>
    <t>Net Cash (Debt)</t>
  </si>
  <si>
    <t>Charts and Exhibits</t>
  </si>
  <si>
    <t>Factset codes</t>
  </si>
  <si>
    <t>SHOP-US</t>
  </si>
  <si>
    <t>GMV</t>
  </si>
  <si>
    <t>SPEC_GROSS_1</t>
  </si>
  <si>
    <t>SALES</t>
  </si>
  <si>
    <t>PRODLINE_SALES_1</t>
  </si>
  <si>
    <t>PRODLINE_SALES_2</t>
  </si>
  <si>
    <t>EBITDA_ADJ</t>
  </si>
  <si>
    <t>NETBG</t>
  </si>
  <si>
    <t>Custom_EPS</t>
  </si>
  <si>
    <t>BFNG</t>
  </si>
  <si>
    <t>EAG</t>
  </si>
  <si>
    <t>Year</t>
  </si>
  <si>
    <t>Quarter</t>
  </si>
  <si>
    <t>2022A</t>
  </si>
  <si>
    <t>Prior Cons.</t>
  </si>
  <si>
    <t>Chg.</t>
  </si>
  <si>
    <t>New Cons. Vs Prior Cons.</t>
  </si>
  <si>
    <t>New Cons.</t>
  </si>
  <si>
    <t>New Val vs Prior Cons.</t>
  </si>
  <si>
    <t>New Val vs New Cons.</t>
  </si>
  <si>
    <t>2026E</t>
  </si>
  <si>
    <t>2027E</t>
  </si>
  <si>
    <t>Total stock-based compensation and related payroll taxes</t>
  </si>
  <si>
    <t>Long-term Liabilities</t>
  </si>
  <si>
    <t>Total Equity</t>
  </si>
  <si>
    <t>NSR vs consensus</t>
  </si>
  <si>
    <t>Source: Company reports, New Street Research estimates</t>
  </si>
  <si>
    <t>Large Cap Comp Group Historical Multiples ('17-present)</t>
  </si>
  <si>
    <t>Historical Valuation Data</t>
  </si>
  <si>
    <t>Large Cap EV/EBITDA</t>
  </si>
  <si>
    <t>Large Cap P/E</t>
  </si>
  <si>
    <t>Large Cap EV/revenue</t>
  </si>
  <si>
    <t>SHOP Mean</t>
  </si>
  <si>
    <t>SHOP P/E</t>
  </si>
  <si>
    <t>SHOP EV/revenue</t>
  </si>
  <si>
    <t>Target stress test (EV/Adj. EBITDA)</t>
  </si>
  <si>
    <t>2023A</t>
  </si>
  <si>
    <t>Provision for transaction and loan losses</t>
  </si>
  <si>
    <t>Revenue related to non-cash consideration</t>
  </si>
  <si>
    <t>Unrealized foreign exchange (gain) loss</t>
  </si>
  <si>
    <t>Purchases and originations of loans</t>
  </si>
  <si>
    <t>Repayments and sales of loans</t>
  </si>
  <si>
    <t>Purchase of equity and other investments</t>
  </si>
  <si>
    <t xml:space="preserve">Monthly Recurring Revenue (MRR) </t>
  </si>
  <si>
    <t>Total Merchants on Platform (in 000s)</t>
  </si>
  <si>
    <t>Average Subscription Revenue Per Merchant (ARPM)</t>
  </si>
  <si>
    <t>Other and one-time expenses</t>
  </si>
  <si>
    <t>Source: Company reports and New Street Research</t>
  </si>
  <si>
    <t>- Capex</t>
  </si>
  <si>
    <t>Current stock price</t>
  </si>
  <si>
    <t>CAGR '24-'27E</t>
  </si>
  <si>
    <t>Live</t>
  </si>
  <si>
    <t>Previous</t>
  </si>
  <si>
    <t>$ in M except EPS</t>
  </si>
  <si>
    <t>% ▲</t>
  </si>
  <si>
    <t>vs Cons.</t>
  </si>
  <si>
    <t>Prior</t>
  </si>
  <si>
    <t>TOTALSALES</t>
  </si>
  <si>
    <t>TOTALSALESYY</t>
  </si>
  <si>
    <t>y/y growth %</t>
  </si>
  <si>
    <t>GP</t>
  </si>
  <si>
    <t>GPMARGIN</t>
  </si>
  <si>
    <t>Gross margin %</t>
  </si>
  <si>
    <t>Total operating profit</t>
  </si>
  <si>
    <t>EBITMARGIN</t>
  </si>
  <si>
    <t>Operating margin %</t>
  </si>
  <si>
    <t>Margin %</t>
  </si>
  <si>
    <t>ADJEBITDA</t>
  </si>
  <si>
    <t>ADJEBITDAMARGIN</t>
  </si>
  <si>
    <t>NETINCOME</t>
  </si>
  <si>
    <t>NETINCOMEYY</t>
  </si>
  <si>
    <t>CFO</t>
  </si>
  <si>
    <t>CFOYY</t>
  </si>
  <si>
    <t>CapEx</t>
  </si>
  <si>
    <t>CAPEXYY</t>
  </si>
  <si>
    <t>CAPEXMARGIN</t>
  </si>
  <si>
    <t>% of sales</t>
  </si>
  <si>
    <t>FCFYY</t>
  </si>
  <si>
    <t>FCFMARGIN</t>
  </si>
  <si>
    <t>$ in millions</t>
  </si>
  <si>
    <t>Current quarter end date</t>
  </si>
  <si>
    <t>Estimate Changes</t>
  </si>
  <si>
    <t>Income</t>
  </si>
  <si>
    <t>ChangeLog</t>
  </si>
  <si>
    <t>Summary</t>
  </si>
  <si>
    <t>Scenario</t>
  </si>
  <si>
    <t>Balance Sheet</t>
  </si>
  <si>
    <t>Revenue Build</t>
  </si>
  <si>
    <t>Changes to Estimates</t>
  </si>
  <si>
    <t>Charts</t>
  </si>
  <si>
    <t>2020/1F</t>
  </si>
  <si>
    <t>2020/2F</t>
  </si>
  <si>
    <t>2020/3F</t>
  </si>
  <si>
    <t>2020/4F</t>
  </si>
  <si>
    <t>2021/1F</t>
  </si>
  <si>
    <t>2021/2F</t>
  </si>
  <si>
    <t>2021/3F</t>
  </si>
  <si>
    <t>2021/4F</t>
  </si>
  <si>
    <t>2022/1F</t>
  </si>
  <si>
    <t>2022/2F</t>
  </si>
  <si>
    <t>2022/3F</t>
  </si>
  <si>
    <t>2022/4F</t>
  </si>
  <si>
    <t>2023/1F</t>
  </si>
  <si>
    <t>2023/2F</t>
  </si>
  <si>
    <t>2023/3F</t>
  </si>
  <si>
    <t>2023/4F</t>
  </si>
  <si>
    <t>2024/1F</t>
  </si>
  <si>
    <t>2024/2F</t>
  </si>
  <si>
    <t>2024/3F</t>
  </si>
  <si>
    <t>2024/4F</t>
  </si>
  <si>
    <t>2025/1F</t>
  </si>
  <si>
    <t>2025/2F</t>
  </si>
  <si>
    <t>2025/3F</t>
  </si>
  <si>
    <t>2025/4F</t>
  </si>
  <si>
    <t>TOTALSALESQQ</t>
  </si>
  <si>
    <t>GPYY</t>
  </si>
  <si>
    <t>GPQQ</t>
  </si>
  <si>
    <t>EBITYY</t>
  </si>
  <si>
    <t>EBITQQ</t>
  </si>
  <si>
    <t>ADJEBIT</t>
  </si>
  <si>
    <t>ADJEBITYY</t>
  </si>
  <si>
    <t>ADJEBITQQ</t>
  </si>
  <si>
    <t>ADJEBITMARGIN</t>
  </si>
  <si>
    <t>EBITDAYY</t>
  </si>
  <si>
    <t>EBITDAQQ</t>
  </si>
  <si>
    <t>EBITDAMARGIN</t>
  </si>
  <si>
    <t>ADJEBITDAYY</t>
  </si>
  <si>
    <t>ADJEBITDAQQ</t>
  </si>
  <si>
    <t>NETINCOMEQQ</t>
  </si>
  <si>
    <t>EPSYY</t>
  </si>
  <si>
    <t>EPSQQ</t>
  </si>
  <si>
    <t>CFOQQ</t>
  </si>
  <si>
    <t>CFOMARGIN</t>
  </si>
  <si>
    <t>CAPEXQQ</t>
  </si>
  <si>
    <t>FCFQQ</t>
  </si>
  <si>
    <t>D&amp;A</t>
  </si>
  <si>
    <t>Sales</t>
  </si>
  <si>
    <t>Total sales</t>
  </si>
  <si>
    <t>Y/Y % growth</t>
  </si>
  <si>
    <t>Q/Q % growth</t>
  </si>
  <si>
    <t>Gross Profit</t>
  </si>
  <si>
    <t>GAAP operating income</t>
  </si>
  <si>
    <t>Non-GAAP operating income</t>
  </si>
  <si>
    <t>GAAP EBITDA</t>
  </si>
  <si>
    <t>Non-GAAP EBITDA</t>
  </si>
  <si>
    <t>Net income</t>
  </si>
  <si>
    <t>Cash flow</t>
  </si>
  <si>
    <t>Prodline_sales_1</t>
  </si>
  <si>
    <t>Prodline_sales_2</t>
  </si>
  <si>
    <t>Merchant Solutions Revenue</t>
  </si>
  <si>
    <t>Subscription Solutions Revenue</t>
  </si>
  <si>
    <t>GROSSINCOME</t>
  </si>
  <si>
    <t>EBITR</t>
  </si>
  <si>
    <t>EBIT_ADJ</t>
  </si>
  <si>
    <t>EBITDA_REP</t>
  </si>
  <si>
    <t>NETPROFIT</t>
  </si>
  <si>
    <t>DEPR_AMORT</t>
  </si>
  <si>
    <t>NETMARGIN</t>
  </si>
  <si>
    <t>SUBSALES</t>
  </si>
  <si>
    <t>SUBSALESYY</t>
  </si>
  <si>
    <t>SUBSALESQQ</t>
  </si>
  <si>
    <t>MERCHSALES</t>
  </si>
  <si>
    <t>MERCHSALESYY</t>
  </si>
  <si>
    <t>MERCHSALESQQ</t>
  </si>
  <si>
    <t>SBC</t>
  </si>
  <si>
    <t>$ in mn except EPS</t>
  </si>
  <si>
    <t>NSR live</t>
  </si>
  <si>
    <t>NSR est.</t>
  </si>
  <si>
    <t>▲ Cons</t>
  </si>
  <si>
    <t>Diluted EPS</t>
  </si>
  <si>
    <t>Merchant solutions revenue</t>
  </si>
  <si>
    <t>Current period end date</t>
  </si>
  <si>
    <t>Prior period end date</t>
  </si>
  <si>
    <t>Next period end date</t>
  </si>
  <si>
    <t>Current year</t>
  </si>
  <si>
    <t>Prior year</t>
  </si>
  <si>
    <t>Next year</t>
  </si>
  <si>
    <t>CY + 2</t>
  </si>
  <si>
    <t>prior year quarter</t>
  </si>
  <si>
    <t>Operating cash flow</t>
  </si>
  <si>
    <t>Actuals</t>
  </si>
  <si>
    <t>1Q24A</t>
  </si>
  <si>
    <t>y/y growth</t>
  </si>
  <si>
    <t>2Q24A</t>
  </si>
  <si>
    <t>4Q24E</t>
  </si>
  <si>
    <t>1Q25E</t>
  </si>
  <si>
    <t>2Q25E</t>
  </si>
  <si>
    <t>3Q25E</t>
  </si>
  <si>
    <t>4Q25E</t>
  </si>
  <si>
    <t>1Q26E</t>
  </si>
  <si>
    <t>2Q26E</t>
  </si>
  <si>
    <t>3Q26E</t>
  </si>
  <si>
    <t>4Q26E</t>
  </si>
  <si>
    <t>1Q27E</t>
  </si>
  <si>
    <t>2Q27E</t>
  </si>
  <si>
    <t>3Q27E</t>
  </si>
  <si>
    <t>1Q19A</t>
  </si>
  <si>
    <t>2Q19A</t>
  </si>
  <si>
    <t>3Q19A</t>
  </si>
  <si>
    <t>4Q19A</t>
  </si>
  <si>
    <t>1Q20A</t>
  </si>
  <si>
    <t>2Q20A</t>
  </si>
  <si>
    <t>3Q20A</t>
  </si>
  <si>
    <t>4Q20A</t>
  </si>
  <si>
    <t>1Q21A</t>
  </si>
  <si>
    <t>2Q21A</t>
  </si>
  <si>
    <t>3Q21A</t>
  </si>
  <si>
    <t>4Q21A</t>
  </si>
  <si>
    <t>1Q22A</t>
  </si>
  <si>
    <t>2Q22A</t>
  </si>
  <si>
    <t>3Q22A</t>
  </si>
  <si>
    <t>4Q22A</t>
  </si>
  <si>
    <t>1Q23A</t>
  </si>
  <si>
    <t>2Q23A</t>
  </si>
  <si>
    <t>3Q23A</t>
  </si>
  <si>
    <t>4Q23A</t>
  </si>
  <si>
    <t>1Q16A</t>
  </si>
  <si>
    <t>2Q16A</t>
  </si>
  <si>
    <t>3Q16A</t>
  </si>
  <si>
    <t>4Q16A</t>
  </si>
  <si>
    <t>1Q17A</t>
  </si>
  <si>
    <t>2Q17A</t>
  </si>
  <si>
    <t>3Q17A</t>
  </si>
  <si>
    <t>4Q17A</t>
  </si>
  <si>
    <t>1Q18A</t>
  </si>
  <si>
    <t>2Q18A</t>
  </si>
  <si>
    <t>3Q18A</t>
  </si>
  <si>
    <t>4Q18A</t>
  </si>
  <si>
    <t>Total Gross Margin</t>
  </si>
  <si>
    <t>Equity Value</t>
  </si>
  <si>
    <t>GAAP EPS</t>
  </si>
  <si>
    <t>Income Statement</t>
  </si>
  <si>
    <t>Cash Flow Statement</t>
  </si>
  <si>
    <t>Bottom Up Revenue Build</t>
  </si>
  <si>
    <t>CAGR '24-27E</t>
  </si>
  <si>
    <t>EV/GMV</t>
  </si>
  <si>
    <t>nm</t>
  </si>
  <si>
    <t>GMVYY</t>
  </si>
  <si>
    <t>GMVQQ</t>
  </si>
  <si>
    <t>GPV</t>
  </si>
  <si>
    <t>Shopify Payments Revenue</t>
  </si>
  <si>
    <t>% of total GMV</t>
  </si>
  <si>
    <t>Guide</t>
  </si>
  <si>
    <t>margin %</t>
  </si>
  <si>
    <t>y/y bps +/(-)</t>
  </si>
  <si>
    <t>GAAP Opex</t>
  </si>
  <si>
    <t>GAAPOPEX</t>
  </si>
  <si>
    <t>GAAPOPEXMARGIN</t>
  </si>
  <si>
    <t>GAAPOPEXYY</t>
  </si>
  <si>
    <t>Gross Payment Volume (GPV) - Shopify Payments</t>
  </si>
  <si>
    <t>Other Merchants Solutions Revenue</t>
  </si>
  <si>
    <t>Cash Flow from operations</t>
  </si>
  <si>
    <t>Shopify Payments Gross Take Rate</t>
  </si>
  <si>
    <t xml:space="preserve">Non-Shopify Payments GMV </t>
  </si>
  <si>
    <t>3P Transaction Fee Revenue</t>
  </si>
  <si>
    <t>GPVYY</t>
  </si>
  <si>
    <t>Market cap</t>
  </si>
  <si>
    <t>ADJ_EPS</t>
  </si>
  <si>
    <t>ADJ_EPSYY</t>
  </si>
  <si>
    <t>ADJ_EPSQQ</t>
  </si>
  <si>
    <t>Average Monthly Subscripton Plan Fee</t>
  </si>
  <si>
    <t>Merchants by Geo</t>
  </si>
  <si>
    <t>United Kingdom</t>
  </si>
  <si>
    <t>ROW</t>
  </si>
  <si>
    <t>Total</t>
  </si>
  <si>
    <t>Subscription Solutions Gross Profit</t>
  </si>
  <si>
    <t>GPV % GMV</t>
  </si>
  <si>
    <t>SP rev % MS revenue</t>
  </si>
  <si>
    <t>3P rev % MS rev</t>
  </si>
  <si>
    <t>Total payments rev % MS rev</t>
  </si>
  <si>
    <t>Non-payments % MS rev</t>
  </si>
  <si>
    <t>Shopify Total Revenue</t>
  </si>
  <si>
    <t>Shopify total attach rate</t>
  </si>
  <si>
    <t>4Q27E</t>
  </si>
  <si>
    <t>Merchant Count Ex-North America</t>
  </si>
  <si>
    <t>Revenue Ex-North America</t>
  </si>
  <si>
    <t>GMV split</t>
  </si>
  <si>
    <t>% total</t>
  </si>
  <si>
    <t>Merchant services revenue spill</t>
  </si>
  <si>
    <t>likely decline over time due to greater mix of international and large merchants</t>
  </si>
  <si>
    <t>Larger merchants migrating to Payments, mix to smaller merchants</t>
  </si>
  <si>
    <t>GMV per Merchant ($, 000s)</t>
  </si>
  <si>
    <t>Historical EV/Revenue Chart</t>
  </si>
  <si>
    <t>Large Cap Mean</t>
  </si>
  <si>
    <t>Merchant Solutions Attach Rate (Take Rate)</t>
  </si>
  <si>
    <t>Total attach rate</t>
  </si>
  <si>
    <t>SHOP EV/EBITDA</t>
  </si>
  <si>
    <t>Small sample</t>
  </si>
  <si>
    <t>Offline GMV</t>
  </si>
  <si>
    <t>y/y % Growth</t>
  </si>
  <si>
    <t>Offline locations</t>
  </si>
  <si>
    <t>B2B GMV</t>
  </si>
  <si>
    <t>Cross-border GMV</t>
  </si>
  <si>
    <t>Shop Pay GMV</t>
  </si>
  <si>
    <t>Offline revenue</t>
  </si>
  <si>
    <t>"more than 70% of GMV through Shopify Payments"</t>
  </si>
  <si>
    <t>nearly 1/3 from Plus merchants</t>
  </si>
  <si>
    <t>FCF yield</t>
  </si>
  <si>
    <t>BZ</t>
  </si>
  <si>
    <t>CE</t>
  </si>
  <si>
    <t>CJ</t>
  </si>
  <si>
    <t>CO</t>
  </si>
  <si>
    <t>CT</t>
  </si>
  <si>
    <t>CY</t>
  </si>
  <si>
    <t>DD</t>
  </si>
  <si>
    <t>DI</t>
  </si>
  <si>
    <t>DN</t>
  </si>
  <si>
    <t>DS</t>
  </si>
  <si>
    <t>DX</t>
  </si>
  <si>
    <t>EC</t>
  </si>
  <si>
    <t>Opex % revenue</t>
  </si>
  <si>
    <t>Do not delete - column names on other sheets</t>
  </si>
  <si>
    <t>More charts below</t>
  </si>
  <si>
    <t>Adobe Digital Experience segment y/y growth</t>
  </si>
  <si>
    <t>BigCommerce sales growth y/y</t>
  </si>
  <si>
    <t>SHOP revenue growth</t>
  </si>
  <si>
    <t>GDDY revenue growth</t>
  </si>
  <si>
    <t>WIX revenue growth</t>
  </si>
  <si>
    <t>GMV per merchant</t>
  </si>
  <si>
    <t>y/y % growth</t>
  </si>
  <si>
    <t>Offline GMV growth</t>
  </si>
  <si>
    <t>Overall GMV growth</t>
  </si>
  <si>
    <t>3Q24A</t>
  </si>
  <si>
    <t>Subscription solutions revenue components</t>
  </si>
  <si>
    <t>Standard revenue</t>
  </si>
  <si>
    <t>Plus revenue</t>
  </si>
  <si>
    <t>Apps, Themes, Domains, and Plus Platform Fees</t>
  </si>
  <si>
    <t>Subscription solutions revenue growth y/y</t>
  </si>
  <si>
    <t xml:space="preserve">Merchant solutions revenue growth y/y </t>
  </si>
  <si>
    <t>Total revenue growth y/y</t>
  </si>
  <si>
    <t>"double"</t>
  </si>
  <si>
    <t>B2B GMV growth</t>
  </si>
  <si>
    <t>Overal GMV growth</t>
  </si>
  <si>
    <t>Standard revenue % subscription solutions revenue</t>
  </si>
  <si>
    <t>Plus revenue % subscription solutions revenue</t>
  </si>
  <si>
    <t>Subscription solutions revenue</t>
  </si>
  <si>
    <t>3P Transaction Fee y/y revenue growth</t>
  </si>
  <si>
    <t>Merchant solutions y/y revenue growth</t>
  </si>
  <si>
    <t>3P transaction fee y/y revenue growth</t>
  </si>
  <si>
    <t>GMV y/y growth</t>
  </si>
  <si>
    <t>Number of App Store partners</t>
  </si>
  <si>
    <t>App Store partners (40-F)</t>
  </si>
  <si>
    <t>% GPV</t>
  </si>
  <si>
    <t>% GMV</t>
  </si>
  <si>
    <t>bps y/y</t>
  </si>
  <si>
    <t>% Total GMV</t>
  </si>
  <si>
    <t>NSR</t>
  </si>
  <si>
    <t>bps ch. y/y</t>
  </si>
  <si>
    <t>CAGR</t>
  </si>
  <si>
    <t>2025-2027</t>
  </si>
  <si>
    <t>Apps, Themes, Domains, Plus Platform Fees % SS revenue</t>
  </si>
  <si>
    <t>Salesforce Marketing and Commerce segment y/y growth</t>
  </si>
  <si>
    <t>Shopify Merchant Solutions Attach Rate (Take Rate)</t>
  </si>
  <si>
    <t>Shopify Merchant Solutions Attach Rate</t>
  </si>
  <si>
    <t>Total Merchant Solution Revenues</t>
  </si>
  <si>
    <t>Total Subscription Solution Revenues</t>
  </si>
  <si>
    <t>eCom software mean</t>
  </si>
  <si>
    <t>eCom Software mean</t>
  </si>
  <si>
    <t>eCom Software EV/Rev</t>
  </si>
  <si>
    <t>eCom software EV/EBITDA</t>
  </si>
  <si>
    <t>ARPM (quarterly average for the year)</t>
  </si>
  <si>
    <t>hbn</t>
  </si>
  <si>
    <t>GAAP Operating expenses</t>
  </si>
  <si>
    <t>GAAPOPEXQQ</t>
  </si>
  <si>
    <t>ST portion of LT debt</t>
  </si>
  <si>
    <t>spill</t>
  </si>
  <si>
    <t>Apps on App store</t>
  </si>
  <si>
    <t>Live Cons.</t>
  </si>
  <si>
    <t>Subscription revenue</t>
  </si>
  <si>
    <t>2024A</t>
  </si>
  <si>
    <t>SHOP Trough EV/EBITDA</t>
  </si>
  <si>
    <t>Potential 2025 Financials</t>
  </si>
  <si>
    <t>Downside Scenario</t>
  </si>
  <si>
    <t>Current Price</t>
  </si>
  <si>
    <t>Current Target</t>
  </si>
  <si>
    <t>Adj. EBITDA multiple</t>
  </si>
  <si>
    <t>Stock price</t>
  </si>
  <si>
    <t>Stock-based compenstion</t>
  </si>
  <si>
    <t>SBCYY</t>
  </si>
  <si>
    <t>SBC y/y growth</t>
  </si>
  <si>
    <t>Capex margin</t>
  </si>
  <si>
    <t>na</t>
  </si>
  <si>
    <t>SBCQQ</t>
  </si>
  <si>
    <t>SBCMARGIN</t>
  </si>
  <si>
    <t>1Q25A</t>
  </si>
  <si>
    <t>NSR Est.</t>
  </si>
  <si>
    <t>Live est.</t>
  </si>
  <si>
    <t>Hardcode</t>
  </si>
  <si>
    <t>Consensus GMV growth</t>
  </si>
  <si>
    <t>NSR GMV Growth</t>
  </si>
  <si>
    <t>2026/1F</t>
  </si>
  <si>
    <t>2026/2F</t>
  </si>
  <si>
    <t>2026/3F</t>
  </si>
  <si>
    <t>2026/4F</t>
  </si>
  <si>
    <t>NSR Revenue growth</t>
  </si>
  <si>
    <t>Consensus revenue growth</t>
  </si>
  <si>
    <t>NSR Gross Margin</t>
  </si>
  <si>
    <t>Consensus Gross Margin</t>
  </si>
  <si>
    <t>NSR FCF Margin</t>
  </si>
  <si>
    <t>Consensus FCF Margin</t>
  </si>
  <si>
    <t>PV of FCF '27-35</t>
  </si>
  <si>
    <t>reference</t>
  </si>
  <si>
    <t>fix negatives for opex alignment</t>
  </si>
  <si>
    <t xml:space="preserve">Stock-based compensation </t>
  </si>
  <si>
    <t>Stock-based compensation and related payroll taxes</t>
  </si>
  <si>
    <t>GAAPSBC</t>
  </si>
  <si>
    <t>Non-GAAP Operating Income</t>
  </si>
  <si>
    <t>Depreciation &amp; non-acquired amortization</t>
  </si>
  <si>
    <t>Total Stock-based compensation</t>
  </si>
  <si>
    <t>Stock-based compensation and related taxes model</t>
  </si>
  <si>
    <t>Non-GAAP reconciliatnitton</t>
  </si>
  <si>
    <t xml:space="preserve">check </t>
  </si>
  <si>
    <t>Cash flow from operations y/y growth</t>
  </si>
  <si>
    <t>Additional paid-in capital</t>
  </si>
  <si>
    <t>Accumulated other comprehensive income (loss)</t>
  </si>
  <si>
    <t>Net Income ex impact of equity investment reconciliation</t>
  </si>
  <si>
    <t>Equity investments, marked to market, net of taxes</t>
  </si>
  <si>
    <t>Holdings in Affirm, Klayvio, Global-E Online</t>
  </si>
  <si>
    <t>Non-GAAP Net Income</t>
  </si>
  <si>
    <t>Subscription gross profit</t>
  </si>
  <si>
    <t>Merchant Solutions gross profit</t>
  </si>
  <si>
    <t>Diluted shares outstanding</t>
  </si>
  <si>
    <t>Includes some basic merchant soluations fees</t>
  </si>
  <si>
    <t>Assumption on future subscription price increases</t>
  </si>
  <si>
    <t>Assumption on non-subscription plan revenues</t>
  </si>
  <si>
    <t>Revenue % breakdown by Geo</t>
  </si>
  <si>
    <t>GMV fx Impact</t>
  </si>
  <si>
    <t>GMV constant currency</t>
  </si>
  <si>
    <t>GMV constant currency growth</t>
  </si>
  <si>
    <t>Revenue fx Impact</t>
  </si>
  <si>
    <t>Revenue constant currency</t>
  </si>
  <si>
    <t>Revenue constant currency growth</t>
  </si>
  <si>
    <t>Subscription solutions revenue fx Impact</t>
  </si>
  <si>
    <t>Subscription solutions constant currency</t>
  </si>
  <si>
    <t>Subscription solutions constant currency growth</t>
  </si>
  <si>
    <t>Merchant solutions revenue fx Impact</t>
  </si>
  <si>
    <t>Merchant solutions constant currency</t>
  </si>
  <si>
    <t>Merchant solutions constant currency growth</t>
  </si>
  <si>
    <t>Gross profit revenue fx Impact</t>
  </si>
  <si>
    <t>Gross profit constant currency</t>
  </si>
  <si>
    <t>Gross profit constant currency growth</t>
  </si>
  <si>
    <t>EBIT revenue fx Impact</t>
  </si>
  <si>
    <t>EBIT constant currency</t>
  </si>
  <si>
    <t>EBIT constant currency growth</t>
  </si>
  <si>
    <t>Revenue breakdown by Geo</t>
  </si>
  <si>
    <t>Revenue by geo % Growth y/y</t>
  </si>
  <si>
    <t>SUBGP</t>
  </si>
  <si>
    <t>MSGP</t>
  </si>
  <si>
    <t>MSGPYY</t>
  </si>
  <si>
    <t>MSGPMARGIN</t>
  </si>
  <si>
    <t>SUBGPYY</t>
  </si>
  <si>
    <t>SUBGPMARGIN</t>
  </si>
  <si>
    <t>Stock -based comp</t>
  </si>
  <si>
    <t>NSR Est</t>
  </si>
  <si>
    <t>3Q25A</t>
  </si>
  <si>
    <t>GAAP P/E</t>
  </si>
  <si>
    <t>Non-GAAP P/E</t>
  </si>
  <si>
    <t>Non-GAAP PEG</t>
  </si>
  <si>
    <t>FCF margin</t>
  </si>
  <si>
    <t>Headcount</t>
  </si>
  <si>
    <t>Long-term assets</t>
  </si>
  <si>
    <t>Long-term investments</t>
  </si>
  <si>
    <t>Other long-term assets</t>
  </si>
  <si>
    <t>2028E</t>
  </si>
  <si>
    <t>2029E</t>
  </si>
  <si>
    <t>2030E</t>
  </si>
  <si>
    <t>1Q28E</t>
  </si>
  <si>
    <t>2Q28E</t>
  </si>
  <si>
    <t>3Q28E</t>
  </si>
  <si>
    <t>4Q28E</t>
  </si>
  <si>
    <t>1Q29E</t>
  </si>
  <si>
    <t>2Q29E</t>
  </si>
  <si>
    <t>3Q29E</t>
  </si>
  <si>
    <t>4Q29E</t>
  </si>
  <si>
    <t>1Q30E</t>
  </si>
  <si>
    <t>2Q30E</t>
  </si>
  <si>
    <t>3Q30E</t>
  </si>
  <si>
    <t>4Q30E</t>
  </si>
  <si>
    <t>EH</t>
  </si>
  <si>
    <t>EM</t>
  </si>
  <si>
    <t>ER</t>
  </si>
  <si>
    <t>Visible alpha revenue consensus as of 2/13/26</t>
  </si>
  <si>
    <t>Visible alpha GMV consensus 2/13/26</t>
  </si>
  <si>
    <t>Supplemental/Occasional Disclosures</t>
  </si>
  <si>
    <t>Notes</t>
  </si>
  <si>
    <t>"mid-twenties"</t>
  </si>
  <si>
    <t>"high-twenties"</t>
  </si>
  <si>
    <t>"35%-36%"</t>
  </si>
  <si>
    <t>$145M</t>
  </si>
  <si>
    <t>"mid-teens"</t>
  </si>
  <si>
    <t>x</t>
  </si>
  <si>
    <t>Europe</t>
  </si>
  <si>
    <t>&lt;--- 2027 Adj. EBITDA growth</t>
  </si>
  <si>
    <t>"low-thirties"</t>
  </si>
  <si>
    <t>"mid-to-high twenties"</t>
  </si>
  <si>
    <t>33%-34%</t>
  </si>
  <si>
    <t>$150M</t>
  </si>
  <si>
    <t>"high-teens to low twenties"</t>
  </si>
  <si>
    <t>Valuation on 2027E</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</si>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</sst>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2">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_);\(#,##0.0\)"/>
    <numFmt numFmtId="165" formatCode="0.0%;\(0.0%\)"/>
    <numFmt numFmtId="166" formatCode="0.0\x"/>
    <numFmt numFmtId="167" formatCode="#,##0.000_);\(#,##0.000\)"/>
    <numFmt numFmtId="168" formatCode="_(* #,##0_);_(* \(#,##0\);_(* &quot;-&quot;??_);_(@_)"/>
    <numFmt numFmtId="169" formatCode="0.0%"/>
    <numFmt numFmtId="170" formatCode="0.00_);\(0.00\);0.00_)"/>
    <numFmt numFmtId="171" formatCode="0.00\%;\-0.00\%;0.00\%"/>
    <numFmt numFmtId="172" formatCode="0.00_);\(0.00\);0.00"/>
    <numFmt numFmtId="173" formatCode="0.00\x;\-0.00\x;0.00\x"/>
    <numFmt numFmtId="174" formatCode="0.00_)"/>
    <numFmt numFmtId="175" formatCode="#,##0\ ;\(#,##0.0\)"/>
    <numFmt numFmtId="176" formatCode="&quot;$&quot;#,##0.0_);[Red]\(&quot;$&quot;#,##0.0\)"/>
    <numFmt numFmtId="177" formatCode="General_)"/>
    <numFmt numFmtId="178" formatCode="#,##0.0000"/>
    <numFmt numFmtId="179" formatCode="#,##0.00000000_);[Red]\(#,##0.00000000\)"/>
    <numFmt numFmtId="180" formatCode="_(* #,##0.0_);_(* \(#,##0.0\);_(* &quot;-&quot;_);_(@_)"/>
    <numFmt numFmtId="181" formatCode="&quot;$&quot;#,##0.0_);\(&quot;$&quot;#,##0.0\)&quot;MM&quot;"/>
    <numFmt numFmtId="182" formatCode="_([$€-2]* #,##0.00_);_([$€-2]* \(#,##0.00\);_([$€-2]* &quot;-&quot;??_)"/>
    <numFmt numFmtId="183" formatCode="0.0"/>
    <numFmt numFmtId="184" formatCode="&quot;$&quot;#,##0.00"/>
    <numFmt numFmtId="185" formatCode="0_);\(0\)"/>
    <numFmt numFmtId="186" formatCode="#,##0.0000_);\(#,##0.0000\)"/>
    <numFmt numFmtId="187" formatCode="#,##0.0"/>
    <numFmt numFmtId="188" formatCode="_(* #,##0.0_);_(* \(#,##0.0\);_(* &quot;-&quot;??_);_(@_)"/>
    <numFmt numFmtId="189" formatCode="m/d/yy;@"/>
    <numFmt numFmtId="190" formatCode="#,##0&quot;A&quot;_ ;\(#,##0\)"/>
    <numFmt numFmtId="191" formatCode="0.0%_);\(0.0%\);0.0%_);@_)"/>
    <numFmt numFmtId="192" formatCode="#,##0.0_);\(#,##0.0\);#,##0.0_);@_)"/>
    <numFmt numFmtId="193" formatCode="&quot;$&quot;#,##0.0_);\(&quot;$&quot;#,##0.0\);&quot;$&quot;#,##0.0_);@_)"/>
    <numFmt numFmtId="194" formatCode="&quot;$&quot;#,##0.00_);\(&quot;$&quot;#,##0.00\);&quot;$&quot;#,##0.00_);@_)"/>
    <numFmt numFmtId="195" formatCode="&quot;$&quot;#,##0_);\(&quot;$&quot;#,##0\);&quot;$&quot;#,##0_);@_)"/>
    <numFmt numFmtId="196" formatCode="#,##0_);\(#,##0\);#,##0_);@_)"/>
    <numFmt numFmtId="197" formatCode="0.0\x_);\(0.0\x\)"/>
    <numFmt numFmtId="198" formatCode="&quot;$&quot;#,##0"/>
    <numFmt numFmtId="199" formatCode="0.0;\(0.0\);&quot;-&quot;"/>
    <numFmt numFmtId="200" formatCode="#,#00\ &quot;bps&quot;;\(#,#00\)\ &quot;bps&quot;;\ \-"/>
    <numFmt numFmtId="201" formatCode="#,##0.00_);\(#,##0.00\);#,##0.00_);@_)"/>
    <numFmt numFmtId="202" formatCode="0%_);\(0%\);0%_);@_)"/>
    <numFmt numFmtId="203" formatCode="&quot;$&quot;#,##0.0,&quot;B&quot;_);\(&quot;$&quot;#,##0.0&quot;B&quot;\);&quot;$&quot;#,##0.00_);@_)"/>
    <numFmt numFmtId="204" formatCode="0.00%_);\(0.00%\);0.00%_);@_)"/>
    <numFmt numFmtId="205" formatCode="0.000%_);\(0.000%\);0.000%_);@_)"/>
    <numFmt numFmtId="206" formatCode="0.0%_);\(0.0%\);0%_);@_)"/>
    <numFmt numFmtId="207" formatCode="#,##0&quot; bps&quot;_);\(#,##0&quot; bps&quot;\)"/>
  </numFmts>
  <fonts count="159">
    <font>
      <sz val="10"/>
      <name val="Arial"/>
    </font>
    <font>
      <sz val="8"/>
      <color theme="1"/>
      <name val="Roboto"/>
      <family val="2"/>
      <scheme val="minor"/>
    </font>
    <font>
      <sz val="10"/>
      <color theme="1"/>
      <name val="Arial"/>
      <family val="2"/>
    </font>
    <font>
      <sz val="8"/>
      <color theme="1"/>
      <name val="Roboto"/>
      <family val="2"/>
      <scheme val="minor"/>
    </font>
    <font>
      <sz val="10"/>
      <color theme="1"/>
      <name val="Arial"/>
      <family val="2"/>
    </font>
    <font>
      <sz val="11"/>
      <color theme="1"/>
      <name val="Roboto"/>
      <family val="2"/>
      <scheme val="minor"/>
    </font>
    <font>
      <sz val="11"/>
      <color theme="1"/>
      <name val="Roboto"/>
      <family val="2"/>
      <scheme val="minor"/>
    </font>
    <font>
      <sz val="11"/>
      <color theme="1"/>
      <name val="Roboto"/>
      <family val="2"/>
      <scheme val="minor"/>
    </font>
    <font>
      <sz val="11"/>
      <color theme="1"/>
      <name val="Roboto"/>
      <family val="2"/>
      <scheme val="minor"/>
    </font>
    <font>
      <sz val="11"/>
      <color theme="1"/>
      <name val="Roboto"/>
      <family val="2"/>
      <scheme val="minor"/>
    </font>
    <font>
      <sz val="11"/>
      <color theme="1"/>
      <name val="Roboto"/>
      <family val="2"/>
      <scheme val="minor"/>
    </font>
    <font>
      <b/>
      <sz val="10"/>
      <name val="Arial"/>
      <family val="2"/>
    </font>
    <font>
      <sz val="10"/>
      <name val="Arial"/>
      <family val="2"/>
    </font>
    <font>
      <sz val="10"/>
      <name val="MS Sans Serif"/>
      <family val="2"/>
    </font>
    <font>
      <sz val="24"/>
      <name val="MS Sans Serif"/>
      <family val="2"/>
    </font>
    <font>
      <b/>
      <sz val="12"/>
      <name val="MS Sans Serif"/>
      <family val="2"/>
    </font>
    <font>
      <sz val="8"/>
      <name val="Arial"/>
      <family val="2"/>
    </font>
    <font>
      <sz val="10"/>
      <color indexed="8"/>
      <name val="MS Sans Serif"/>
      <family val="2"/>
    </font>
    <font>
      <i/>
      <sz val="11"/>
      <name val="Helvetica-Black"/>
      <family val="2"/>
    </font>
    <font>
      <sz val="10"/>
      <name val="Geneva"/>
    </font>
    <font>
      <sz val="10"/>
      <name val="Times New Roman"/>
      <family val="1"/>
    </font>
    <font>
      <b/>
      <sz val="9"/>
      <name val="Helvetica 65"/>
      <family val="2"/>
    </font>
    <font>
      <sz val="8"/>
      <color indexed="12"/>
      <name val="Tms Rmn"/>
      <family val="1"/>
    </font>
    <font>
      <b/>
      <sz val="12"/>
      <name val="Times New Roman"/>
      <family val="1"/>
    </font>
    <font>
      <sz val="10"/>
      <color indexed="18"/>
      <name val="Times New Roman"/>
      <family val="1"/>
    </font>
    <font>
      <sz val="10"/>
      <name val="Helv"/>
    </font>
    <font>
      <b/>
      <sz val="12"/>
      <name val="Times New Roman"/>
      <family val="1"/>
    </font>
    <font>
      <sz val="8"/>
      <name val="Times New Roman"/>
      <family val="1"/>
    </font>
    <font>
      <b/>
      <sz val="14"/>
      <name val="Tms Rmn"/>
    </font>
    <font>
      <sz val="9"/>
      <name val="Helvetica 45"/>
    </font>
    <font>
      <sz val="10"/>
      <name val="Times New Roman"/>
      <family val="1"/>
    </font>
    <font>
      <i/>
      <sz val="8"/>
      <name val="Times New Roman"/>
      <family val="1"/>
    </font>
    <font>
      <b/>
      <i/>
      <sz val="16"/>
      <name val="Helv"/>
    </font>
    <font>
      <sz val="12"/>
      <name val="SWISS"/>
    </font>
    <font>
      <u/>
      <sz val="8"/>
      <name val="Times New Roman"/>
      <family val="1"/>
    </font>
    <font>
      <sz val="9"/>
      <color indexed="81"/>
      <name val="Tahoma"/>
      <family val="2"/>
    </font>
    <font>
      <b/>
      <sz val="9"/>
      <color indexed="81"/>
      <name val="Tahoma"/>
      <family val="2"/>
    </font>
    <font>
      <sz val="11"/>
      <color theme="1"/>
      <name val="Roboto"/>
      <family val="2"/>
      <scheme val="minor"/>
    </font>
    <font>
      <sz val="10"/>
      <color rgb="FF000000"/>
      <name val="Arial"/>
      <family val="2"/>
    </font>
    <font>
      <sz val="8"/>
      <color theme="1"/>
      <name val="Roboto"/>
    </font>
    <font>
      <b/>
      <sz val="8"/>
      <name val="Roboto"/>
    </font>
    <font>
      <sz val="8"/>
      <name val="Roboto"/>
    </font>
    <font>
      <i/>
      <sz val="8"/>
      <color indexed="8"/>
      <name val="Roboto"/>
    </font>
    <font>
      <i/>
      <sz val="8"/>
      <name val="Roboto"/>
    </font>
    <font>
      <sz val="8"/>
      <color indexed="8"/>
      <name val="Roboto"/>
    </font>
    <font>
      <b/>
      <i/>
      <sz val="8"/>
      <name val="Roboto"/>
    </font>
    <font>
      <b/>
      <sz val="8"/>
      <color indexed="8"/>
      <name val="Roboto"/>
    </font>
    <font>
      <sz val="8"/>
      <color rgb="FF000000"/>
      <name val="Roboto"/>
    </font>
    <font>
      <sz val="8"/>
      <name val="Roboto"/>
      <scheme val="minor"/>
    </font>
    <font>
      <sz val="8"/>
      <color indexed="12"/>
      <name val="Roboto"/>
      <scheme val="minor"/>
    </font>
    <font>
      <b/>
      <sz val="8"/>
      <name val="Roboto"/>
      <scheme val="minor"/>
    </font>
    <font>
      <b/>
      <i/>
      <sz val="8"/>
      <name val="Roboto"/>
      <scheme val="minor"/>
    </font>
    <font>
      <sz val="8"/>
      <color rgb="FF0000FF"/>
      <name val="Roboto"/>
      <scheme val="minor"/>
    </font>
    <font>
      <b/>
      <i/>
      <sz val="8"/>
      <color rgb="FF000000"/>
      <name val="Roboto"/>
      <scheme val="minor"/>
    </font>
    <font>
      <b/>
      <sz val="8"/>
      <color rgb="FF000000"/>
      <name val="Roboto"/>
      <scheme val="minor"/>
    </font>
    <font>
      <sz val="8"/>
      <color rgb="FF000000"/>
      <name val="Roboto"/>
      <scheme val="minor"/>
    </font>
    <font>
      <sz val="8"/>
      <color rgb="FF008000"/>
      <name val="Roboto"/>
      <scheme val="minor"/>
    </font>
    <font>
      <i/>
      <sz val="8"/>
      <color rgb="FF000000"/>
      <name val="Roboto"/>
      <scheme val="minor"/>
    </font>
    <font>
      <i/>
      <sz val="8"/>
      <color rgb="FF0000FF"/>
      <name val="Roboto"/>
      <scheme val="minor"/>
    </font>
    <font>
      <i/>
      <sz val="8"/>
      <name val="Roboto"/>
      <scheme val="minor"/>
    </font>
    <font>
      <sz val="8"/>
      <color indexed="17"/>
      <name val="Roboto"/>
      <scheme val="minor"/>
    </font>
    <font>
      <b/>
      <u/>
      <sz val="8"/>
      <color rgb="FF000000"/>
      <name val="Roboto"/>
      <scheme val="minor"/>
    </font>
    <font>
      <u/>
      <sz val="8"/>
      <name val="Roboto"/>
      <scheme val="minor"/>
    </font>
    <font>
      <i/>
      <u/>
      <sz val="8"/>
      <name val="Roboto"/>
      <scheme val="minor"/>
    </font>
    <font>
      <sz val="8"/>
      <color theme="0"/>
      <name val="Roboto"/>
      <scheme val="minor"/>
    </font>
    <font>
      <b/>
      <sz val="8"/>
      <color rgb="FFFF0000"/>
      <name val="Roboto"/>
      <scheme val="minor"/>
    </font>
    <font>
      <sz val="8"/>
      <color rgb="FFFF0000"/>
      <name val="Roboto"/>
      <scheme val="minor"/>
    </font>
    <font>
      <b/>
      <sz val="8"/>
      <color indexed="14"/>
      <name val="Roboto"/>
      <scheme val="minor"/>
    </font>
    <font>
      <b/>
      <u/>
      <sz val="8"/>
      <name val="Roboto"/>
      <scheme val="minor"/>
    </font>
    <font>
      <sz val="8"/>
      <color indexed="14"/>
      <name val="Roboto"/>
      <scheme val="minor"/>
    </font>
    <font>
      <sz val="8"/>
      <color rgb="FF7030A0"/>
      <name val="Roboto"/>
      <scheme val="minor"/>
    </font>
    <font>
      <u/>
      <sz val="8"/>
      <color indexed="12"/>
      <name val="Roboto"/>
      <scheme val="minor"/>
    </font>
    <font>
      <i/>
      <sz val="8"/>
      <color rgb="FF00B050"/>
      <name val="Roboto"/>
      <scheme val="minor"/>
    </font>
    <font>
      <i/>
      <sz val="8"/>
      <color indexed="12"/>
      <name val="Roboto"/>
      <scheme val="minor"/>
    </font>
    <font>
      <sz val="10"/>
      <name val="Roboto"/>
      <scheme val="minor"/>
    </font>
    <font>
      <u/>
      <sz val="8"/>
      <color rgb="FF000000"/>
      <name val="Roboto"/>
      <scheme val="minor"/>
    </font>
    <font>
      <u/>
      <sz val="8"/>
      <color rgb="FF800000"/>
      <name val="Roboto"/>
      <scheme val="minor"/>
    </font>
    <font>
      <i/>
      <sz val="8"/>
      <color theme="0"/>
      <name val="Roboto"/>
      <scheme val="minor"/>
    </font>
    <font>
      <sz val="8"/>
      <color indexed="8"/>
      <name val="Roboto"/>
      <scheme val="minor"/>
    </font>
    <font>
      <i/>
      <sz val="8"/>
      <color indexed="8"/>
      <name val="Roboto"/>
      <scheme val="minor"/>
    </font>
    <font>
      <b/>
      <sz val="8"/>
      <color indexed="8"/>
      <name val="Roboto"/>
      <scheme val="minor"/>
    </font>
    <font>
      <b/>
      <i/>
      <sz val="8"/>
      <color indexed="8"/>
      <name val="Roboto"/>
      <scheme val="minor"/>
    </font>
    <font>
      <b/>
      <i/>
      <sz val="8"/>
      <color rgb="FF0000FF"/>
      <name val="Roboto"/>
      <scheme val="minor"/>
    </font>
    <font>
      <b/>
      <i/>
      <u/>
      <sz val="8"/>
      <name val="Roboto"/>
      <scheme val="minor"/>
    </font>
    <font>
      <i/>
      <u/>
      <sz val="8"/>
      <color rgb="FF0033CC"/>
      <name val="Roboto"/>
      <scheme val="minor"/>
    </font>
    <font>
      <i/>
      <sz val="8"/>
      <color rgb="FFFF0000"/>
      <name val="Roboto"/>
      <scheme val="minor"/>
    </font>
    <font>
      <b/>
      <sz val="8"/>
      <color rgb="FF0000FF"/>
      <name val="Roboto"/>
      <scheme val="minor"/>
    </font>
    <font>
      <b/>
      <sz val="8"/>
      <color rgb="FF7030A0"/>
      <name val="Roboto"/>
      <scheme val="minor"/>
    </font>
    <font>
      <i/>
      <sz val="8"/>
      <color indexed="10"/>
      <name val="Roboto"/>
      <scheme val="minor"/>
    </font>
    <font>
      <b/>
      <i/>
      <sz val="8"/>
      <color indexed="10"/>
      <name val="Roboto"/>
      <scheme val="minor"/>
    </font>
    <font>
      <i/>
      <u/>
      <sz val="8"/>
      <color rgb="FF000000"/>
      <name val="Roboto"/>
      <scheme val="minor"/>
    </font>
    <font>
      <u/>
      <sz val="8"/>
      <color indexed="17"/>
      <name val="Roboto"/>
      <scheme val="minor"/>
    </font>
    <font>
      <i/>
      <sz val="8"/>
      <color rgb="FF800000"/>
      <name val="Roboto"/>
      <scheme val="minor"/>
    </font>
    <font>
      <b/>
      <u/>
      <sz val="8"/>
      <color indexed="17"/>
      <name val="Roboto"/>
      <scheme val="minor"/>
    </font>
    <font>
      <b/>
      <sz val="10"/>
      <name val="Roboto"/>
      <scheme val="minor"/>
    </font>
    <font>
      <i/>
      <sz val="10"/>
      <name val="Roboto"/>
      <scheme val="minor"/>
    </font>
    <font>
      <sz val="8"/>
      <color rgb="FF800000"/>
      <name val="Roboto"/>
      <scheme val="minor"/>
    </font>
    <font>
      <sz val="8"/>
      <color rgb="FF0070C0"/>
      <name val="Roboto"/>
      <scheme val="minor"/>
    </font>
    <font>
      <u/>
      <sz val="8"/>
      <color rgb="FF0070C0"/>
      <name val="Roboto"/>
      <scheme val="minor"/>
    </font>
    <font>
      <u/>
      <sz val="8"/>
      <color rgb="FF008000"/>
      <name val="Roboto"/>
      <scheme val="minor"/>
    </font>
    <font>
      <i/>
      <sz val="8"/>
      <color indexed="17"/>
      <name val="Roboto"/>
      <scheme val="minor"/>
    </font>
    <font>
      <i/>
      <sz val="8"/>
      <color theme="3"/>
      <name val="Roboto"/>
      <scheme val="minor"/>
    </font>
    <font>
      <b/>
      <sz val="8"/>
      <color indexed="17"/>
      <name val="Roboto"/>
      <scheme val="minor"/>
    </font>
    <font>
      <sz val="8"/>
      <color theme="9" tint="-0.499984740745262"/>
      <name val="Roboto"/>
      <scheme val="minor"/>
    </font>
    <font>
      <b/>
      <sz val="8"/>
      <color rgb="FF008000"/>
      <name val="Roboto"/>
      <scheme val="minor"/>
    </font>
    <font>
      <sz val="8"/>
      <color rgb="FFFFFFFF"/>
      <name val="Roboto"/>
      <scheme val="minor"/>
    </font>
    <font>
      <i/>
      <sz val="10"/>
      <color rgb="FF0000FF"/>
      <name val="Roboto"/>
      <scheme val="minor"/>
    </font>
    <font>
      <i/>
      <sz val="8"/>
      <color rgb="FF008000"/>
      <name val="Roboto"/>
      <scheme val="minor"/>
    </font>
    <font>
      <b/>
      <i/>
      <sz val="8"/>
      <color indexed="17"/>
      <name val="Roboto"/>
      <scheme val="minor"/>
    </font>
    <font>
      <b/>
      <sz val="8"/>
      <color rgb="FF800000"/>
      <name val="Roboto"/>
      <scheme val="minor"/>
    </font>
    <font>
      <sz val="8"/>
      <color indexed="16"/>
      <name val="Roboto"/>
      <scheme val="minor"/>
    </font>
    <font>
      <sz val="8"/>
      <color theme="0" tint="-0.249977111117893"/>
      <name val="Roboto"/>
      <scheme val="minor"/>
    </font>
    <font>
      <i/>
      <sz val="8"/>
      <color rgb="FF0070C0"/>
      <name val="Roboto"/>
      <scheme val="minor"/>
    </font>
    <font>
      <b/>
      <sz val="8"/>
      <color indexed="12"/>
      <name val="Roboto"/>
      <scheme val="minor"/>
    </font>
    <font>
      <b/>
      <sz val="8"/>
      <color indexed="16"/>
      <name val="Roboto"/>
      <scheme val="minor"/>
    </font>
    <font>
      <b/>
      <sz val="9"/>
      <name val="Roboto"/>
    </font>
    <font>
      <sz val="8"/>
      <color theme="1"/>
      <name val="Roboto"/>
      <scheme val="minor"/>
    </font>
    <font>
      <sz val="10"/>
      <color theme="1"/>
      <name val="Roboto"/>
    </font>
    <font>
      <sz val="14"/>
      <color rgb="FFFF0000"/>
      <name val="Roboto"/>
      <scheme val="minor"/>
    </font>
    <font>
      <sz val="14"/>
      <name val="Roboto"/>
      <scheme val="minor"/>
    </font>
    <font>
      <sz val="8"/>
      <color theme="0"/>
      <name val="Roboto"/>
      <family val="2"/>
      <scheme val="minor"/>
    </font>
    <font>
      <b/>
      <sz val="8"/>
      <color theme="1"/>
      <name val="Roboto"/>
      <scheme val="minor"/>
    </font>
    <font>
      <sz val="8"/>
      <name val="Roboto"/>
      <family val="2"/>
      <scheme val="minor"/>
    </font>
    <font>
      <i/>
      <sz val="8"/>
      <color theme="1"/>
      <name val="Roboto"/>
      <scheme val="minor"/>
    </font>
    <font>
      <sz val="8"/>
      <color rgb="FF0000FF"/>
      <name val="Roboto"/>
    </font>
    <font>
      <sz val="12"/>
      <color rgb="FF000000"/>
      <name val="Times New Roman"/>
      <family val="1"/>
    </font>
    <font>
      <sz val="11"/>
      <color theme="1"/>
      <name val="Roboto"/>
      <scheme val="minor"/>
    </font>
    <font>
      <b/>
      <u val="singleAccounting"/>
      <sz val="8"/>
      <color theme="1"/>
      <name val="Roboto"/>
      <scheme val="minor"/>
    </font>
    <font>
      <sz val="8"/>
      <color theme="1"/>
      <name val="Arial"/>
      <family val="2"/>
    </font>
    <font>
      <sz val="8"/>
      <color rgb="FF7030A0"/>
      <name val="Roboto"/>
    </font>
    <font>
      <i/>
      <sz val="8"/>
      <color theme="1"/>
      <name val="Roboto"/>
    </font>
    <font>
      <b/>
      <sz val="8"/>
      <color theme="1"/>
      <name val="Roboto"/>
    </font>
    <font>
      <i/>
      <sz val="8"/>
      <color rgb="FF7030A0"/>
      <name val="Roboto"/>
    </font>
    <font>
      <i/>
      <sz val="8"/>
      <color rgb="FF7030A0"/>
      <name val="Roboto"/>
      <scheme val="minor"/>
    </font>
    <font>
      <b/>
      <sz val="9"/>
      <name val="Roboto"/>
      <scheme val="minor"/>
    </font>
    <font>
      <sz val="9"/>
      <name val="Roboto"/>
      <scheme val="minor"/>
    </font>
    <font>
      <sz val="9"/>
      <color theme="1"/>
      <name val="Roboto"/>
      <scheme val="minor"/>
    </font>
    <font>
      <i/>
      <sz val="9"/>
      <color theme="1"/>
      <name val="Roboto"/>
      <scheme val="minor"/>
    </font>
    <font>
      <i/>
      <sz val="9"/>
      <name val="Roboto"/>
      <scheme val="minor"/>
    </font>
    <font>
      <i/>
      <u/>
      <sz val="8"/>
      <color rgb="FF0000FF"/>
      <name val="Roboto"/>
      <scheme val="minor"/>
    </font>
    <font>
      <sz val="11"/>
      <color rgb="FF000000"/>
      <name val="Calibri"/>
      <family val="2"/>
    </font>
    <font>
      <sz val="8"/>
      <color rgb="FFFF0000"/>
      <name val="Roboto"/>
    </font>
    <font>
      <i/>
      <sz val="8"/>
      <color rgb="FF000000"/>
      <name val="Roboto"/>
    </font>
    <font>
      <sz val="8"/>
      <color theme="3"/>
      <name val="Roboto"/>
    </font>
    <font>
      <i/>
      <sz val="8"/>
      <color theme="3"/>
      <name val="Roboto"/>
    </font>
    <font>
      <u/>
      <sz val="8"/>
      <color rgb="FF7030A0"/>
      <name val="Roboto"/>
      <scheme val="minor"/>
    </font>
    <font>
      <i/>
      <sz val="10"/>
      <name val="Arial"/>
      <family val="2"/>
    </font>
    <font>
      <i/>
      <sz val="8"/>
      <color rgb="FF0000FF"/>
      <name val="Roboto"/>
    </font>
    <font>
      <sz val="10"/>
      <color theme="0"/>
      <name val="Roboto"/>
      <scheme val="minor"/>
    </font>
    <font>
      <i/>
      <sz val="9"/>
      <color rgb="FF0000FF"/>
      <name val="Roboto"/>
      <scheme val="minor"/>
    </font>
    <font>
      <sz val="10"/>
      <color rgb="FFFF0000"/>
      <name val="Roboto"/>
      <scheme val="minor"/>
    </font>
    <font>
      <b/>
      <u/>
      <sz val="8"/>
      <color indexed="8"/>
      <name val="Roboto"/>
      <scheme val="minor"/>
    </font>
    <font>
      <sz val="9"/>
      <color rgb="FF0000FF"/>
      <name val="Roboto"/>
      <scheme val="minor"/>
    </font>
    <font>
      <sz val="8"/>
      <color rgb="FF660066"/>
      <name val="Roboto"/>
      <scheme val="minor"/>
    </font>
    <font>
      <u/>
      <sz val="8"/>
      <color rgb="FF660066"/>
      <name val="Roboto"/>
      <scheme val="minor"/>
    </font>
    <font>
      <u/>
      <sz val="10"/>
      <color theme="10"/>
      <name val="Arial"/>
      <family val="2"/>
    </font>
    <font>
      <b/>
      <i/>
      <u/>
      <sz val="8"/>
      <color rgb="FF000000"/>
      <name val="Roboto"/>
      <scheme val="minor"/>
    </font>
    <font>
      <b/>
      <i/>
      <u/>
      <sz val="8"/>
      <color indexed="8"/>
      <name val="Roboto"/>
      <scheme val="minor"/>
    </font>
    <font>
      <i/>
      <sz val="8"/>
      <color rgb="FFC00000"/>
      <name val="Roboto"/>
    </font>
  </fonts>
  <fills count="31">
    <fill>
      <patternFill patternType="none"/>
    </fill>
    <fill>
      <patternFill patternType="gray125"/>
    </fill>
    <fill>
      <patternFill patternType="solid">
        <fgColor indexed="44"/>
      </patternFill>
    </fill>
    <fill>
      <patternFill patternType="lightGray">
        <fgColor indexed="12"/>
      </patternFill>
    </fill>
    <fill>
      <patternFill patternType="solid">
        <fgColor indexed="22"/>
        <bgColor indexed="64"/>
      </patternFill>
    </fill>
    <fill>
      <patternFill patternType="solid">
        <fgColor indexed="9"/>
        <bgColor indexed="64"/>
      </patternFill>
    </fill>
    <fill>
      <patternFill patternType="solid">
        <fgColor indexed="13"/>
        <bgColor indexed="64"/>
      </patternFill>
    </fill>
    <fill>
      <patternFill patternType="solid">
        <fgColor theme="0" tint="-0.249977111117893"/>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7"/>
        <bgColor indexed="64"/>
      </patternFill>
    </fill>
    <fill>
      <patternFill patternType="solid">
        <fgColor theme="9" tint="0.39994506668294322"/>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rgb="FFC1FFEE"/>
        <bgColor indexed="64"/>
      </patternFill>
    </fill>
    <fill>
      <patternFill patternType="solid">
        <fgColor rgb="FFFCE9E2"/>
        <bgColor indexed="64"/>
      </patternFill>
    </fill>
    <fill>
      <patternFill patternType="solid">
        <fgColor theme="3" tint="0.59999389629810485"/>
        <bgColor indexed="64"/>
      </patternFill>
    </fill>
    <fill>
      <patternFill patternType="solid">
        <fgColor rgb="FFC9D2D6"/>
        <bgColor indexed="64"/>
      </patternFill>
    </fill>
    <fill>
      <patternFill patternType="solid">
        <fgColor theme="2" tint="0.89996032593768116"/>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2" tint="0.749992370372631"/>
        <bgColor indexed="64"/>
      </patternFill>
    </fill>
    <fill>
      <patternFill patternType="solid">
        <fgColor theme="6" tint="0.79998168889431442"/>
        <bgColor indexed="64"/>
      </patternFill>
    </fill>
    <fill>
      <patternFill patternType="solid">
        <fgColor rgb="FFFFFFFF"/>
        <bgColor indexed="64"/>
      </patternFill>
    </fill>
  </fills>
  <borders count="52">
    <border>
      <left/>
      <right/>
      <top/>
      <bottom/>
      <diagonal/>
    </border>
    <border>
      <left/>
      <right/>
      <top style="medium">
        <color indexed="8"/>
      </top>
      <bottom/>
      <diagonal/>
    </border>
    <border>
      <left/>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top style="thin">
        <color auto="1"/>
      </top>
      <bottom/>
      <diagonal/>
    </border>
    <border>
      <left/>
      <right/>
      <top style="thin">
        <color auto="1"/>
      </top>
      <bottom/>
      <diagonal/>
    </border>
    <border>
      <left style="thin">
        <color indexed="64"/>
      </left>
      <right/>
      <top style="thin">
        <color auto="1"/>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bottom style="medium">
        <color indexed="64"/>
      </bottom>
      <diagonal/>
    </border>
    <border>
      <left/>
      <right/>
      <top style="thin">
        <color auto="1"/>
      </top>
      <bottom/>
      <diagonal/>
    </border>
    <border>
      <left style="medium">
        <color indexed="64"/>
      </left>
      <right style="medium">
        <color indexed="64"/>
      </right>
      <top/>
      <bottom/>
      <diagonal/>
    </border>
    <border>
      <left/>
      <right/>
      <top style="thin">
        <color auto="1"/>
      </top>
      <bottom/>
      <diagonal/>
    </border>
  </borders>
  <cellStyleXfs count="591">
    <xf numFmtId="0" fontId="0" fillId="0" borderId="0"/>
    <xf numFmtId="0" fontId="17" fillId="0" borderId="0"/>
    <xf numFmtId="0" fontId="18" fillId="0" borderId="1"/>
    <xf numFmtId="5" fontId="19" fillId="0" borderId="0" applyFont="0" applyFill="0" applyBorder="0" applyAlignment="0" applyProtection="0"/>
    <xf numFmtId="8" fontId="19" fillId="0" borderId="0" applyFont="0" applyFill="0" applyBorder="0" applyAlignment="0" applyProtection="0"/>
    <xf numFmtId="9" fontId="19" fillId="0" borderId="0" applyFont="0" applyFill="0" applyBorder="0" applyAlignment="0" applyProtection="0"/>
    <xf numFmtId="10" fontId="19" fillId="0" borderId="0" applyFont="0" applyFill="0" applyBorder="0" applyAlignment="0" applyProtection="0"/>
    <xf numFmtId="44" fontId="20" fillId="0" borderId="0" applyFont="0" applyFill="0" applyBorder="0" applyAlignment="0" applyProtection="0"/>
    <xf numFmtId="42" fontId="20" fillId="0" borderId="0" applyFont="0" applyFill="0" applyBorder="0" applyAlignment="0" applyProtection="0"/>
    <xf numFmtId="179" fontId="12" fillId="0" borderId="0" applyFont="0" applyFill="0" applyBorder="0" applyAlignment="0" applyProtection="0"/>
    <xf numFmtId="178" fontId="12" fillId="0" borderId="0" applyFont="0" applyFill="0" applyBorder="0" applyAlignment="0" applyProtection="0"/>
    <xf numFmtId="0" fontId="20" fillId="0" borderId="0"/>
    <xf numFmtId="1" fontId="21" fillId="0" borderId="0">
      <alignment horizontal="center"/>
    </xf>
    <xf numFmtId="0" fontId="22" fillId="0" borderId="0" applyNumberFormat="0" applyFill="0" applyBorder="0" applyAlignment="0" applyProtection="0"/>
    <xf numFmtId="0" fontId="23" fillId="0" borderId="2" applyNumberFormat="0" applyFill="0" applyAlignment="0" applyProtection="0"/>
    <xf numFmtId="0" fontId="19" fillId="0" borderId="2" applyNumberFormat="0" applyFont="0" applyFill="0" applyAlignment="0" applyProtection="0"/>
    <xf numFmtId="0" fontId="19" fillId="0" borderId="3" applyNumberFormat="0" applyFont="0" applyFill="0" applyAlignment="0" applyProtection="0"/>
    <xf numFmtId="0" fontId="19" fillId="0" borderId="4" applyNumberFormat="0" applyFont="0" applyFill="0" applyAlignment="0" applyProtection="0"/>
    <xf numFmtId="0" fontId="19" fillId="0" borderId="5" applyNumberFormat="0" applyFont="0" applyFill="0" applyAlignment="0" applyProtection="0"/>
    <xf numFmtId="180" fontId="12" fillId="0" borderId="0" applyFont="0" applyFill="0" applyBorder="0" applyAlignment="0" applyProtection="0"/>
    <xf numFmtId="1" fontId="24" fillId="0" borderId="0"/>
    <xf numFmtId="0" fontId="13" fillId="0" borderId="0">
      <alignment horizontal="center" wrapText="1"/>
      <protection hidden="1"/>
    </xf>
    <xf numFmtId="43" fontId="12" fillId="0" borderId="0" applyFont="0" applyFill="0" applyBorder="0" applyAlignment="0" applyProtection="0"/>
    <xf numFmtId="175" fontId="25" fillId="0" borderId="2"/>
    <xf numFmtId="0" fontId="14" fillId="3" borderId="0">
      <alignment horizontal="center" vertical="center" wrapText="1"/>
    </xf>
    <xf numFmtId="38" fontId="26" fillId="0" borderId="0" applyNumberFormat="0" applyFill="0" applyBorder="0">
      <alignment horizontal="left"/>
    </xf>
    <xf numFmtId="172" fontId="12" fillId="0" borderId="0" applyFill="0" applyBorder="0">
      <alignment horizontal="right"/>
      <protection locked="0"/>
    </xf>
    <xf numFmtId="44" fontId="12" fillId="0" borderId="0" applyFont="0" applyFill="0" applyBorder="0" applyAlignment="0" applyProtection="0"/>
    <xf numFmtId="8" fontId="27" fillId="0" borderId="0" applyFont="0" applyFill="0" applyBorder="0" applyAlignment="0" applyProtection="0">
      <alignment horizontal="left"/>
    </xf>
    <xf numFmtId="176" fontId="28" fillId="0" borderId="0" applyFont="0" applyFill="0" applyBorder="0" applyAlignment="0" applyProtection="0"/>
    <xf numFmtId="181" fontId="12" fillId="0" borderId="0" applyFont="0" applyFill="0" applyBorder="0" applyAlignment="0" applyProtection="0"/>
    <xf numFmtId="37" fontId="29" fillId="0" borderId="0"/>
    <xf numFmtId="182" fontId="12" fillId="0" borderId="0" applyFont="0" applyFill="0" applyBorder="0" applyAlignment="0" applyProtection="0"/>
    <xf numFmtId="38" fontId="16" fillId="4" borderId="0" applyNumberFormat="0" applyBorder="0" applyAlignment="0" applyProtection="0"/>
    <xf numFmtId="169" fontId="30" fillId="2" borderId="0" applyAlignment="0">
      <protection locked="0"/>
    </xf>
    <xf numFmtId="10" fontId="16" fillId="5" borderId="6" applyNumberFormat="0" applyBorder="0" applyAlignment="0" applyProtection="0"/>
    <xf numFmtId="0" fontId="12" fillId="0" borderId="0" applyFill="0" applyBorder="0">
      <alignment horizontal="right"/>
      <protection locked="0"/>
    </xf>
    <xf numFmtId="38" fontId="31" fillId="0" borderId="0" applyNumberFormat="0" applyBorder="0" applyProtection="0">
      <alignment horizontal="left"/>
    </xf>
    <xf numFmtId="170" fontId="12" fillId="0" borderId="0" applyFill="0" applyBorder="0">
      <alignment horizontal="right"/>
      <protection locked="0"/>
    </xf>
    <xf numFmtId="0" fontId="11" fillId="6" borderId="7">
      <alignment horizontal="left" vertical="center" wrapText="1"/>
    </xf>
    <xf numFmtId="14" fontId="19" fillId="0" borderId="0" applyFont="0" applyFill="0" applyBorder="0" applyAlignment="0" applyProtection="0"/>
    <xf numFmtId="174" fontId="32" fillId="0" borderId="0"/>
    <xf numFmtId="0" fontId="12" fillId="0" borderId="0"/>
    <xf numFmtId="0" fontId="37" fillId="0" borderId="0"/>
    <xf numFmtId="0" fontId="37" fillId="0" borderId="0"/>
    <xf numFmtId="0" fontId="12" fillId="0" borderId="0"/>
    <xf numFmtId="0" fontId="33" fillId="0" borderId="0"/>
    <xf numFmtId="0" fontId="12" fillId="0" borderId="0"/>
    <xf numFmtId="177" fontId="31" fillId="0" borderId="0" applyBorder="0">
      <alignment horizontal="left"/>
    </xf>
    <xf numFmtId="43" fontId="20" fillId="0" borderId="0" applyFont="0" applyFill="0" applyBorder="0" applyAlignment="0" applyProtection="0"/>
    <xf numFmtId="41" fontId="20" fillId="0" borderId="0" applyFont="0" applyFill="0" applyBorder="0" applyAlignment="0" applyProtection="0"/>
    <xf numFmtId="9" fontId="12" fillId="0" borderId="0" applyFont="0" applyFill="0" applyBorder="0" applyAlignment="0" applyProtection="0"/>
    <xf numFmtId="10" fontId="12" fillId="0" borderId="0" applyFont="0" applyFill="0" applyBorder="0" applyAlignment="0" applyProtection="0"/>
    <xf numFmtId="169" fontId="28" fillId="0" borderId="0" applyFont="0" applyFill="0" applyBorder="0" applyAlignment="0" applyProtection="0"/>
    <xf numFmtId="10" fontId="28" fillId="0" borderId="0" applyFont="0" applyFill="0" applyBorder="0" applyAlignment="0" applyProtection="0"/>
    <xf numFmtId="9" fontId="12" fillId="0" borderId="0"/>
    <xf numFmtId="171" fontId="12" fillId="0" borderId="0" applyFill="0" applyBorder="0">
      <alignment horizontal="right"/>
      <protection locked="0"/>
    </xf>
    <xf numFmtId="173" fontId="12" fillId="0" borderId="0">
      <alignment horizontal="right"/>
      <protection locked="0"/>
    </xf>
    <xf numFmtId="0" fontId="15" fillId="3" borderId="6">
      <alignment horizontal="center" vertical="center" wrapText="1"/>
      <protection hidden="1"/>
    </xf>
    <xf numFmtId="38" fontId="34" fillId="0" borderId="0" applyNumberFormat="0" applyBorder="0">
      <alignment horizontal="left"/>
    </xf>
    <xf numFmtId="0" fontId="19" fillId="0" borderId="0" applyNumberFormat="0" applyFont="0" applyFill="0" applyBorder="0" applyProtection="0">
      <alignment horizontal="left" vertical="top" wrapText="1"/>
    </xf>
    <xf numFmtId="0" fontId="13" fillId="0" borderId="0" applyBorder="0"/>
    <xf numFmtId="1" fontId="27" fillId="0" borderId="2" applyNumberFormat="0">
      <alignment horizontal="right"/>
    </xf>
    <xf numFmtId="0" fontId="12" fillId="0" borderId="0"/>
    <xf numFmtId="38" fontId="23" fillId="0" borderId="0" applyNumberFormat="0" applyFill="0" applyBorder="0">
      <alignment horizontal="left"/>
    </xf>
    <xf numFmtId="169" fontId="20" fillId="2" borderId="0" applyAlignment="0">
      <protection locked="0"/>
    </xf>
    <xf numFmtId="169" fontId="20" fillId="2" borderId="0" applyAlignment="0">
      <protection locked="0"/>
    </xf>
    <xf numFmtId="169" fontId="20" fillId="2" borderId="0" applyAlignment="0">
      <protection locked="0"/>
    </xf>
    <xf numFmtId="169" fontId="20" fillId="2" borderId="0" applyAlignment="0">
      <protection locked="0"/>
    </xf>
    <xf numFmtId="169" fontId="20" fillId="2" borderId="0" applyAlignment="0">
      <protection locked="0"/>
    </xf>
    <xf numFmtId="0" fontId="10" fillId="0" borderId="0"/>
    <xf numFmtId="0" fontId="10" fillId="0" borderId="0"/>
    <xf numFmtId="0" fontId="12" fillId="0" borderId="0"/>
    <xf numFmtId="0" fontId="12" fillId="0" borderId="0"/>
    <xf numFmtId="0" fontId="12" fillId="0" borderId="0"/>
    <xf numFmtId="0" fontId="12" fillId="0" borderId="0"/>
    <xf numFmtId="0" fontId="12" fillId="0" borderId="0"/>
    <xf numFmtId="169" fontId="20" fillId="2" borderId="0" applyAlignment="0">
      <protection locked="0"/>
    </xf>
    <xf numFmtId="169" fontId="20" fillId="2" borderId="0" applyAlignment="0">
      <protection locked="0"/>
    </xf>
    <xf numFmtId="169" fontId="20" fillId="2" borderId="0" applyAlignment="0">
      <protection locked="0"/>
    </xf>
    <xf numFmtId="169" fontId="20" fillId="2" borderId="0" applyAlignment="0">
      <protection locked="0"/>
    </xf>
    <xf numFmtId="169" fontId="20" fillId="2" borderId="0" applyAlignment="0">
      <protection locked="0"/>
    </xf>
    <xf numFmtId="169" fontId="20" fillId="2" borderId="0" applyAlignment="0">
      <protection locked="0"/>
    </xf>
    <xf numFmtId="169" fontId="20" fillId="2" borderId="0" applyAlignment="0">
      <protection locked="0"/>
    </xf>
    <xf numFmtId="0" fontId="9" fillId="0" borderId="0"/>
    <xf numFmtId="0" fontId="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9" fontId="20" fillId="2" borderId="0" applyAlignment="0">
      <protection locked="0"/>
    </xf>
    <xf numFmtId="169" fontId="20" fillId="2" borderId="0" applyAlignment="0">
      <protection locked="0"/>
    </xf>
    <xf numFmtId="169" fontId="20" fillId="2" borderId="0" applyAlignment="0">
      <protection locked="0"/>
    </xf>
    <xf numFmtId="0" fontId="8" fillId="0" borderId="0"/>
    <xf numFmtId="0" fontId="8" fillId="0" borderId="0"/>
    <xf numFmtId="0" fontId="12" fillId="0" borderId="0"/>
    <xf numFmtId="0" fontId="12" fillId="0" borderId="0"/>
    <xf numFmtId="169" fontId="20" fillId="2" borderId="0" applyAlignment="0">
      <protection locked="0"/>
    </xf>
    <xf numFmtId="169" fontId="20" fillId="2" borderId="0" applyAlignment="0">
      <protection locked="0"/>
    </xf>
    <xf numFmtId="169" fontId="20" fillId="2" borderId="0" applyAlignment="0">
      <protection locked="0"/>
    </xf>
    <xf numFmtId="0" fontId="12" fillId="0" borderId="0"/>
    <xf numFmtId="0" fontId="12" fillId="0" borderId="0"/>
    <xf numFmtId="0" fontId="12" fillId="0" borderId="0"/>
    <xf numFmtId="169" fontId="20" fillId="2" borderId="0" applyAlignment="0">
      <protection locked="0"/>
    </xf>
    <xf numFmtId="169" fontId="20" fillId="2" borderId="0" applyAlignment="0">
      <protection locked="0"/>
    </xf>
    <xf numFmtId="169" fontId="20" fillId="2" borderId="0" applyAlignment="0">
      <protection locked="0"/>
    </xf>
    <xf numFmtId="0" fontId="7" fillId="0" borderId="0"/>
    <xf numFmtId="0" fontId="7" fillId="0" borderId="0"/>
    <xf numFmtId="0" fontId="12" fillId="0" borderId="0"/>
    <xf numFmtId="0" fontId="12" fillId="0" borderId="0"/>
    <xf numFmtId="0" fontId="12" fillId="0" borderId="0"/>
    <xf numFmtId="169" fontId="20" fillId="2" borderId="0" applyAlignment="0">
      <protection locked="0"/>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12"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38" fillId="0" borderId="0"/>
    <xf numFmtId="43" fontId="38"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12" fillId="0" borderId="0"/>
    <xf numFmtId="37" fontId="39" fillId="0" borderId="0" applyProtection="0">
      <alignment horizontal="center"/>
    </xf>
    <xf numFmtId="164" fontId="117" fillId="0" borderId="0" applyNumberFormat="0" applyFont="0" applyFill="0" applyBorder="0" applyProtection="0">
      <alignment horizontal="left"/>
    </xf>
    <xf numFmtId="37" fontId="39" fillId="0" borderId="0" applyProtection="0">
      <alignment horizontal="center"/>
    </xf>
    <xf numFmtId="0" fontId="128" fillId="0" borderId="0"/>
    <xf numFmtId="9" fontId="128" fillId="0" borderId="0" applyFont="0" applyFill="0" applyBorder="0" applyAlignment="0" applyProtection="0"/>
    <xf numFmtId="43" fontId="128" fillId="0" borderId="0" applyFont="0" applyFill="0" applyBorder="0" applyAlignment="0" applyProtection="0"/>
    <xf numFmtId="0" fontId="2" fillId="0" borderId="0"/>
    <xf numFmtId="0" fontId="140" fillId="0" borderId="0"/>
    <xf numFmtId="0" fontId="155" fillId="0" borderId="0" applyNumberFormat="0" applyFill="0" applyBorder="0" applyAlignment="0" applyProtection="0"/>
  </cellStyleXfs>
  <cellXfs count="1719">
    <xf numFmtId="0" fontId="0" fillId="0" borderId="0" xfId="0"/>
    <xf numFmtId="14" fontId="39" fillId="8" borderId="2" xfId="88" applyNumberFormat="1" applyFont="1" applyFill="1" applyBorder="1"/>
    <xf numFmtId="5" fontId="40" fillId="8" borderId="0" xfId="0" applyNumberFormat="1" applyFont="1" applyFill="1" applyAlignment="1">
      <alignment vertical="center"/>
    </xf>
    <xf numFmtId="0" fontId="40" fillId="12" borderId="8" xfId="42" applyFont="1" applyFill="1" applyBorder="1" applyAlignment="1">
      <alignment horizontal="center" vertical="center"/>
    </xf>
    <xf numFmtId="0" fontId="40" fillId="12" borderId="34" xfId="42" applyFont="1" applyFill="1" applyBorder="1" applyAlignment="1">
      <alignment horizontal="center" vertical="center"/>
    </xf>
    <xf numFmtId="0" fontId="40" fillId="12" borderId="2" xfId="42" applyFont="1" applyFill="1" applyBorder="1" applyAlignment="1">
      <alignment horizontal="center" vertical="center"/>
    </xf>
    <xf numFmtId="0" fontId="41" fillId="8" borderId="0" xfId="0" applyFont="1" applyFill="1"/>
    <xf numFmtId="183" fontId="41" fillId="8" borderId="0" xfId="0" applyNumberFormat="1" applyFont="1" applyFill="1"/>
    <xf numFmtId="164" fontId="44" fillId="8" borderId="4" xfId="0" applyNumberFormat="1" applyFont="1" applyFill="1" applyBorder="1" applyAlignment="1">
      <alignment vertical="center"/>
    </xf>
    <xf numFmtId="3" fontId="43" fillId="8" borderId="0" xfId="0" applyNumberFormat="1" applyFont="1" applyFill="1" applyAlignment="1">
      <alignment vertical="center"/>
    </xf>
    <xf numFmtId="164" fontId="44" fillId="8" borderId="4" xfId="0" applyNumberFormat="1" applyFont="1" applyFill="1" applyBorder="1" applyAlignment="1">
      <alignment horizontal="left" vertical="center" indent="1"/>
    </xf>
    <xf numFmtId="3" fontId="45" fillId="8" borderId="4" xfId="0" applyNumberFormat="1" applyFont="1" applyFill="1" applyBorder="1" applyAlignment="1">
      <alignment vertical="center"/>
    </xf>
    <xf numFmtId="3" fontId="41" fillId="8" borderId="4" xfId="0" applyNumberFormat="1" applyFont="1" applyFill="1" applyBorder="1" applyAlignment="1">
      <alignment vertical="center"/>
    </xf>
    <xf numFmtId="3" fontId="41" fillId="8" borderId="0" xfId="0" applyNumberFormat="1" applyFont="1" applyFill="1" applyAlignment="1">
      <alignment vertical="center"/>
    </xf>
    <xf numFmtId="3" fontId="41" fillId="8" borderId="3" xfId="0" applyNumberFormat="1" applyFont="1" applyFill="1" applyBorder="1" applyAlignment="1">
      <alignment vertical="center"/>
    </xf>
    <xf numFmtId="184" fontId="41" fillId="8" borderId="0" xfId="0" applyNumberFormat="1" applyFont="1" applyFill="1"/>
    <xf numFmtId="0" fontId="48" fillId="0" borderId="0" xfId="0" applyFont="1" applyAlignment="1">
      <alignment vertical="center"/>
    </xf>
    <xf numFmtId="37" fontId="49" fillId="0" borderId="0" xfId="0" applyNumberFormat="1" applyFont="1" applyAlignment="1">
      <alignment vertical="center"/>
    </xf>
    <xf numFmtId="37" fontId="50" fillId="0" borderId="0" xfId="0" applyNumberFormat="1" applyFont="1" applyAlignment="1">
      <alignment vertical="center"/>
    </xf>
    <xf numFmtId="37" fontId="51" fillId="0" borderId="0" xfId="0" applyNumberFormat="1" applyFont="1" applyAlignment="1">
      <alignment vertical="center"/>
    </xf>
    <xf numFmtId="189" fontId="48" fillId="0" borderId="0" xfId="0" applyNumberFormat="1" applyFont="1" applyAlignment="1">
      <alignment vertical="center"/>
    </xf>
    <xf numFmtId="189" fontId="48" fillId="0" borderId="0" xfId="51" applyNumberFormat="1" applyFont="1" applyBorder="1" applyAlignment="1">
      <alignment vertical="center"/>
    </xf>
    <xf numFmtId="1" fontId="52" fillId="0" borderId="0" xfId="0" applyNumberFormat="1" applyFont="1" applyAlignment="1">
      <alignment vertical="center"/>
    </xf>
    <xf numFmtId="1" fontId="48" fillId="0" borderId="0" xfId="0" applyNumberFormat="1" applyFont="1" applyAlignment="1">
      <alignment vertical="center"/>
    </xf>
    <xf numFmtId="0" fontId="53" fillId="12" borderId="26" xfId="0" applyFont="1" applyFill="1" applyBorder="1" applyAlignment="1">
      <alignment vertical="center"/>
    </xf>
    <xf numFmtId="37" fontId="54" fillId="15" borderId="26" xfId="0" applyNumberFormat="1" applyFont="1" applyFill="1" applyBorder="1" applyAlignment="1">
      <alignment horizontal="centerContinuous"/>
    </xf>
    <xf numFmtId="0" fontId="55" fillId="15" borderId="5" xfId="0" applyFont="1" applyFill="1" applyBorder="1" applyAlignment="1">
      <alignment horizontal="centerContinuous"/>
    </xf>
    <xf numFmtId="37" fontId="54" fillId="12" borderId="26" xfId="0" applyNumberFormat="1" applyFont="1" applyFill="1" applyBorder="1" applyAlignment="1">
      <alignment horizontal="centerContinuous"/>
    </xf>
    <xf numFmtId="0" fontId="55" fillId="12" borderId="5" xfId="0" applyFont="1" applyFill="1" applyBorder="1" applyAlignment="1">
      <alignment horizontal="centerContinuous"/>
    </xf>
    <xf numFmtId="37" fontId="54" fillId="12" borderId="5" xfId="0" applyNumberFormat="1" applyFont="1" applyFill="1" applyBorder="1" applyAlignment="1">
      <alignment horizontal="centerContinuous"/>
    </xf>
    <xf numFmtId="37" fontId="54" fillId="12" borderId="30" xfId="0" applyNumberFormat="1" applyFont="1" applyFill="1" applyBorder="1" applyAlignment="1">
      <alignment horizontal="centerContinuous"/>
    </xf>
    <xf numFmtId="0" fontId="53" fillId="12" borderId="3" xfId="0" applyFont="1" applyFill="1" applyBorder="1" applyAlignment="1">
      <alignment vertical="center"/>
    </xf>
    <xf numFmtId="37" fontId="54" fillId="15" borderId="31" xfId="0" applyNumberFormat="1" applyFont="1" applyFill="1" applyBorder="1" applyAlignment="1">
      <alignment horizontal="center"/>
    </xf>
    <xf numFmtId="37" fontId="54" fillId="15" borderId="2" xfId="0" applyNumberFormat="1" applyFont="1" applyFill="1" applyBorder="1" applyAlignment="1">
      <alignment horizontal="center"/>
    </xf>
    <xf numFmtId="37" fontId="54" fillId="15" borderId="0" xfId="0" applyNumberFormat="1" applyFont="1" applyFill="1" applyAlignment="1">
      <alignment horizontal="center" wrapText="1"/>
    </xf>
    <xf numFmtId="37" fontId="54" fillId="15" borderId="0" xfId="0" applyNumberFormat="1" applyFont="1" applyFill="1" applyAlignment="1">
      <alignment horizontal="center"/>
    </xf>
    <xf numFmtId="37" fontId="54" fillId="12" borderId="31" xfId="0" applyNumberFormat="1" applyFont="1" applyFill="1" applyBorder="1" applyAlignment="1">
      <alignment horizontal="center"/>
    </xf>
    <xf numFmtId="37" fontId="54" fillId="12" borderId="2" xfId="0" applyNumberFormat="1" applyFont="1" applyFill="1" applyBorder="1" applyAlignment="1">
      <alignment horizontal="center"/>
    </xf>
    <xf numFmtId="37" fontId="54" fillId="12" borderId="2" xfId="0" applyNumberFormat="1" applyFont="1" applyFill="1" applyBorder="1" applyAlignment="1">
      <alignment horizontal="center" wrapText="1"/>
    </xf>
    <xf numFmtId="37" fontId="54" fillId="15" borderId="2" xfId="0" applyNumberFormat="1" applyFont="1" applyFill="1" applyBorder="1" applyAlignment="1">
      <alignment horizontal="center" wrapText="1"/>
    </xf>
    <xf numFmtId="37" fontId="54" fillId="12" borderId="0" xfId="0" applyNumberFormat="1" applyFont="1" applyFill="1" applyAlignment="1">
      <alignment horizontal="center" wrapText="1"/>
    </xf>
    <xf numFmtId="37" fontId="54" fillId="12" borderId="4" xfId="0" applyNumberFormat="1" applyFont="1" applyFill="1" applyBorder="1" applyAlignment="1">
      <alignment horizontal="center" wrapText="1"/>
    </xf>
    <xf numFmtId="183" fontId="49" fillId="0" borderId="0" xfId="0" applyNumberFormat="1" applyFont="1" applyAlignment="1">
      <alignment vertical="center"/>
    </xf>
    <xf numFmtId="0" fontId="55" fillId="8" borderId="26" xfId="0" applyFont="1" applyFill="1" applyBorder="1" applyAlignment="1">
      <alignment horizontal="left" indent="1"/>
    </xf>
    <xf numFmtId="37" fontId="52" fillId="0" borderId="26" xfId="0" applyNumberFormat="1" applyFont="1" applyBorder="1" applyAlignment="1">
      <alignment horizontal="center"/>
    </xf>
    <xf numFmtId="3" fontId="55" fillId="8" borderId="0" xfId="0" applyNumberFormat="1" applyFont="1" applyFill="1" applyAlignment="1">
      <alignment horizontal="center"/>
    </xf>
    <xf numFmtId="191" fontId="55" fillId="8" borderId="0" xfId="0" applyNumberFormat="1" applyFont="1" applyFill="1" applyAlignment="1">
      <alignment horizontal="center"/>
    </xf>
    <xf numFmtId="164" fontId="52" fillId="0" borderId="5" xfId="0" applyNumberFormat="1" applyFont="1" applyBorder="1" applyAlignment="1">
      <alignment horizontal="center"/>
    </xf>
    <xf numFmtId="164" fontId="56" fillId="0" borderId="5" xfId="0" applyNumberFormat="1" applyFont="1" applyBorder="1" applyAlignment="1">
      <alignment horizontal="center"/>
    </xf>
    <xf numFmtId="3" fontId="52" fillId="8" borderId="3" xfId="0" applyNumberFormat="1" applyFont="1" applyFill="1" applyBorder="1" applyAlignment="1">
      <alignment horizontal="center"/>
    </xf>
    <xf numFmtId="191" fontId="55" fillId="8" borderId="5" xfId="0" applyNumberFormat="1" applyFont="1" applyFill="1" applyBorder="1" applyAlignment="1">
      <alignment horizontal="center"/>
    </xf>
    <xf numFmtId="191" fontId="55" fillId="8" borderId="4" xfId="0" applyNumberFormat="1" applyFont="1" applyFill="1" applyBorder="1" applyAlignment="1">
      <alignment horizontal="center"/>
    </xf>
    <xf numFmtId="0" fontId="55" fillId="8" borderId="3" xfId="0" applyFont="1" applyFill="1" applyBorder="1" applyAlignment="1">
      <alignment horizontal="left" indent="1"/>
    </xf>
    <xf numFmtId="184" fontId="52" fillId="8" borderId="31" xfId="0" applyNumberFormat="1" applyFont="1" applyFill="1" applyBorder="1" applyAlignment="1">
      <alignment horizontal="center"/>
    </xf>
    <xf numFmtId="3" fontId="55" fillId="8" borderId="2" xfId="0" applyNumberFormat="1" applyFont="1" applyFill="1" applyBorder="1" applyAlignment="1">
      <alignment horizontal="center"/>
    </xf>
    <xf numFmtId="191" fontId="55" fillId="8" borderId="2" xfId="0" applyNumberFormat="1" applyFont="1" applyFill="1" applyBorder="1" applyAlignment="1">
      <alignment horizontal="center"/>
    </xf>
    <xf numFmtId="164" fontId="52" fillId="0" borderId="2" xfId="0" applyNumberFormat="1" applyFont="1" applyBorder="1" applyAlignment="1">
      <alignment horizontal="center"/>
    </xf>
    <xf numFmtId="164" fontId="56" fillId="0" borderId="2" xfId="0" applyNumberFormat="1" applyFont="1" applyBorder="1" applyAlignment="1">
      <alignment horizontal="center"/>
    </xf>
    <xf numFmtId="191" fontId="55" fillId="8" borderId="32" xfId="0" applyNumberFormat="1" applyFont="1" applyFill="1" applyBorder="1" applyAlignment="1">
      <alignment horizontal="center"/>
    </xf>
    <xf numFmtId="183" fontId="48" fillId="0" borderId="0" xfId="0" applyNumberFormat="1" applyFont="1" applyAlignment="1">
      <alignment vertical="center"/>
    </xf>
    <xf numFmtId="0" fontId="55" fillId="8" borderId="26" xfId="0" applyFont="1" applyFill="1" applyBorder="1" applyAlignment="1">
      <alignment horizontal="left"/>
    </xf>
    <xf numFmtId="164" fontId="52" fillId="0" borderId="3" xfId="0" applyNumberFormat="1" applyFont="1" applyBorder="1" applyAlignment="1">
      <alignment horizontal="center"/>
    </xf>
    <xf numFmtId="183" fontId="55" fillId="8" borderId="0" xfId="0" applyNumberFormat="1" applyFont="1" applyFill="1" applyAlignment="1">
      <alignment horizontal="center"/>
    </xf>
    <xf numFmtId="164" fontId="52" fillId="0" borderId="0" xfId="0" applyNumberFormat="1" applyFont="1" applyAlignment="1">
      <alignment horizontal="center"/>
    </xf>
    <xf numFmtId="164" fontId="56" fillId="0" borderId="0" xfId="0" applyNumberFormat="1" applyFont="1" applyAlignment="1">
      <alignment horizontal="center"/>
    </xf>
    <xf numFmtId="183" fontId="52" fillId="8" borderId="26" xfId="0" applyNumberFormat="1" applyFont="1" applyFill="1" applyBorder="1" applyAlignment="1">
      <alignment horizontal="center"/>
    </xf>
    <xf numFmtId="5" fontId="55" fillId="8" borderId="3" xfId="0" applyNumberFormat="1" applyFont="1" applyFill="1" applyBorder="1" applyAlignment="1">
      <alignment horizontal="left" vertical="center" indent="2"/>
    </xf>
    <xf numFmtId="183" fontId="52" fillId="8" borderId="3" xfId="0" applyNumberFormat="1" applyFont="1" applyFill="1" applyBorder="1" applyAlignment="1">
      <alignment horizontal="center"/>
    </xf>
    <xf numFmtId="164" fontId="55" fillId="8" borderId="3" xfId="0" applyNumberFormat="1" applyFont="1" applyFill="1" applyBorder="1" applyAlignment="1">
      <alignment horizontal="left" vertical="center" indent="2"/>
    </xf>
    <xf numFmtId="183" fontId="48" fillId="0" borderId="2" xfId="0" applyNumberFormat="1" applyFont="1" applyBorder="1" applyAlignment="1">
      <alignment vertical="center"/>
    </xf>
    <xf numFmtId="164" fontId="55" fillId="0" borderId="0" xfId="0" applyNumberFormat="1" applyFont="1" applyAlignment="1">
      <alignment horizontal="center"/>
    </xf>
    <xf numFmtId="0" fontId="57" fillId="8" borderId="3" xfId="0" applyFont="1" applyFill="1" applyBorder="1" applyAlignment="1">
      <alignment horizontal="left"/>
    </xf>
    <xf numFmtId="191" fontId="52" fillId="8" borderId="3" xfId="0" applyNumberFormat="1" applyFont="1" applyFill="1" applyBorder="1" applyAlignment="1">
      <alignment horizontal="center"/>
    </xf>
    <xf numFmtId="191" fontId="52" fillId="8" borderId="0" xfId="0" applyNumberFormat="1" applyFont="1" applyFill="1" applyAlignment="1">
      <alignment horizontal="center"/>
    </xf>
    <xf numFmtId="0" fontId="55" fillId="8" borderId="3" xfId="0" applyFont="1" applyFill="1" applyBorder="1" applyAlignment="1">
      <alignment horizontal="left"/>
    </xf>
    <xf numFmtId="7" fontId="52" fillId="0" borderId="0" xfId="0" applyNumberFormat="1" applyFont="1" applyAlignment="1">
      <alignment horizontal="center"/>
    </xf>
    <xf numFmtId="7" fontId="56" fillId="0" borderId="0" xfId="0" applyNumberFormat="1" applyFont="1" applyAlignment="1">
      <alignment horizontal="center"/>
    </xf>
    <xf numFmtId="7" fontId="52" fillId="0" borderId="3" xfId="0" applyNumberFormat="1" applyFont="1" applyBorder="1" applyAlignment="1">
      <alignment horizontal="center"/>
    </xf>
    <xf numFmtId="7" fontId="55" fillId="0" borderId="0" xfId="0" applyNumberFormat="1" applyFont="1" applyAlignment="1">
      <alignment horizontal="center"/>
    </xf>
    <xf numFmtId="0" fontId="55" fillId="8" borderId="31" xfId="0" applyFont="1" applyFill="1" applyBorder="1" applyAlignment="1">
      <alignment horizontal="left"/>
    </xf>
    <xf numFmtId="7" fontId="52" fillId="0" borderId="31" xfId="0" applyNumberFormat="1" applyFont="1" applyBorder="1" applyAlignment="1">
      <alignment horizontal="center"/>
    </xf>
    <xf numFmtId="164" fontId="55" fillId="0" borderId="2" xfId="0" applyNumberFormat="1" applyFont="1" applyBorder="1" applyAlignment="1">
      <alignment horizontal="center"/>
    </xf>
    <xf numFmtId="7" fontId="52" fillId="0" borderId="2" xfId="0" applyNumberFormat="1" applyFont="1" applyBorder="1" applyAlignment="1">
      <alignment horizontal="center"/>
    </xf>
    <xf numFmtId="7" fontId="56" fillId="0" borderId="2" xfId="0" applyNumberFormat="1" applyFont="1" applyBorder="1" applyAlignment="1">
      <alignment horizontal="center"/>
    </xf>
    <xf numFmtId="7" fontId="55" fillId="0" borderId="2" xfId="0" applyNumberFormat="1" applyFont="1" applyBorder="1" applyAlignment="1">
      <alignment horizontal="center"/>
    </xf>
    <xf numFmtId="0" fontId="55" fillId="8" borderId="0" xfId="0" applyFont="1" applyFill="1" applyAlignment="1">
      <alignment horizontal="left"/>
    </xf>
    <xf numFmtId="7" fontId="56" fillId="0" borderId="5" xfId="0" applyNumberFormat="1" applyFont="1" applyBorder="1" applyAlignment="1">
      <alignment horizontal="center"/>
    </xf>
    <xf numFmtId="7" fontId="60" fillId="0" borderId="0" xfId="0" applyNumberFormat="1" applyFont="1" applyAlignment="1">
      <alignment horizontal="center"/>
    </xf>
    <xf numFmtId="0" fontId="48" fillId="0" borderId="0" xfId="0" applyFont="1" applyAlignment="1">
      <alignment horizontal="center"/>
    </xf>
    <xf numFmtId="14" fontId="50" fillId="0" borderId="0" xfId="0" applyNumberFormat="1" applyFont="1" applyAlignment="1">
      <alignment vertical="center"/>
    </xf>
    <xf numFmtId="191" fontId="59" fillId="0" borderId="0" xfId="0" applyNumberFormat="1" applyFont="1" applyAlignment="1">
      <alignment horizontal="center" vertical="center"/>
    </xf>
    <xf numFmtId="191" fontId="48" fillId="0" borderId="0" xfId="0" applyNumberFormat="1" applyFont="1" applyAlignment="1">
      <alignment horizontal="center" vertical="center"/>
    </xf>
    <xf numFmtId="37" fontId="64" fillId="0" borderId="0" xfId="0" applyNumberFormat="1" applyFont="1" applyAlignment="1">
      <alignment vertical="center"/>
    </xf>
    <xf numFmtId="37" fontId="48" fillId="0" borderId="0" xfId="0" applyNumberFormat="1" applyFont="1" applyAlignment="1">
      <alignment horizontal="center" vertical="center"/>
    </xf>
    <xf numFmtId="37" fontId="48" fillId="0" borderId="0" xfId="0" applyNumberFormat="1" applyFont="1" applyAlignment="1">
      <alignment vertical="center"/>
    </xf>
    <xf numFmtId="165" fontId="48" fillId="0" borderId="0" xfId="0" applyNumberFormat="1" applyFont="1" applyAlignment="1">
      <alignment horizontal="right" vertical="center"/>
    </xf>
    <xf numFmtId="37" fontId="48" fillId="0" borderId="0" xfId="0" applyNumberFormat="1" applyFont="1" applyAlignment="1">
      <alignment horizontal="left" vertical="center"/>
    </xf>
    <xf numFmtId="37" fontId="65" fillId="0" borderId="0" xfId="0" applyNumberFormat="1" applyFont="1" applyAlignment="1">
      <alignment vertical="center"/>
    </xf>
    <xf numFmtId="14" fontId="48" fillId="0" borderId="0" xfId="0" applyNumberFormat="1" applyFont="1" applyAlignment="1">
      <alignment horizontal="center" vertical="center"/>
    </xf>
    <xf numFmtId="37" fontId="59" fillId="0" borderId="0" xfId="0" applyNumberFormat="1" applyFont="1" applyAlignment="1">
      <alignment vertical="center"/>
    </xf>
    <xf numFmtId="167" fontId="48" fillId="0" borderId="0" xfId="0" applyNumberFormat="1" applyFont="1" applyAlignment="1">
      <alignment horizontal="center" vertical="center"/>
    </xf>
    <xf numFmtId="37" fontId="67" fillId="0" borderId="0" xfId="0" applyNumberFormat="1" applyFont="1" applyAlignment="1">
      <alignment horizontal="center" vertical="center"/>
    </xf>
    <xf numFmtId="37" fontId="50" fillId="0" borderId="0" xfId="0" applyNumberFormat="1" applyFont="1" applyAlignment="1">
      <alignment horizontal="centerContinuous" vertical="center"/>
    </xf>
    <xf numFmtId="37" fontId="50" fillId="0" borderId="0" xfId="0" applyNumberFormat="1" applyFont="1" applyAlignment="1">
      <alignment horizontal="right" vertical="center"/>
    </xf>
    <xf numFmtId="37" fontId="50" fillId="12" borderId="0" xfId="0" applyNumberFormat="1" applyFont="1" applyFill="1" applyAlignment="1">
      <alignment horizontal="center" vertical="center"/>
    </xf>
    <xf numFmtId="37" fontId="68" fillId="0" borderId="0" xfId="0" applyNumberFormat="1" applyFont="1" applyAlignment="1">
      <alignment horizontal="right" vertical="center"/>
    </xf>
    <xf numFmtId="7" fontId="48" fillId="8" borderId="0" xfId="0" applyNumberFormat="1" applyFont="1" applyFill="1" applyAlignment="1">
      <alignment horizontal="center" vertical="center"/>
    </xf>
    <xf numFmtId="37" fontId="69" fillId="0" borderId="0" xfId="0" applyNumberFormat="1" applyFont="1" applyAlignment="1">
      <alignment horizontal="center" vertical="center"/>
    </xf>
    <xf numFmtId="37" fontId="50" fillId="0" borderId="0" xfId="0" applyNumberFormat="1" applyFont="1" applyAlignment="1">
      <alignment horizontal="left" vertical="center"/>
    </xf>
    <xf numFmtId="164" fontId="70" fillId="0" borderId="0" xfId="0" applyNumberFormat="1" applyFont="1" applyAlignment="1">
      <alignment horizontal="center" vertical="center"/>
    </xf>
    <xf numFmtId="37" fontId="59" fillId="0" borderId="0" xfId="0" applyNumberFormat="1" applyFont="1" applyAlignment="1">
      <alignment horizontal="left" vertical="center"/>
    </xf>
    <xf numFmtId="37" fontId="66" fillId="0" borderId="0" xfId="0" applyNumberFormat="1" applyFont="1" applyAlignment="1">
      <alignment horizontal="left" vertical="center"/>
    </xf>
    <xf numFmtId="164" fontId="50" fillId="0" borderId="5" xfId="0" applyNumberFormat="1" applyFont="1" applyBorder="1" applyAlignment="1">
      <alignment horizontal="center" vertical="center"/>
    </xf>
    <xf numFmtId="37" fontId="71" fillId="0" borderId="0" xfId="0" applyNumberFormat="1" applyFont="1" applyAlignment="1">
      <alignment vertical="center"/>
    </xf>
    <xf numFmtId="37" fontId="68" fillId="0" borderId="0" xfId="0" applyNumberFormat="1" applyFont="1" applyAlignment="1">
      <alignment horizontal="left" vertical="center"/>
    </xf>
    <xf numFmtId="37" fontId="68" fillId="0" borderId="0" xfId="0" applyNumberFormat="1" applyFont="1" applyAlignment="1">
      <alignment horizontal="centerContinuous" vertical="center"/>
    </xf>
    <xf numFmtId="37" fontId="62" fillId="0" borderId="0" xfId="0" applyNumberFormat="1" applyFont="1" applyAlignment="1">
      <alignment vertical="center"/>
    </xf>
    <xf numFmtId="37" fontId="48" fillId="0" borderId="5" xfId="0" applyNumberFormat="1" applyFont="1" applyBorder="1" applyAlignment="1">
      <alignment vertical="center"/>
    </xf>
    <xf numFmtId="37" fontId="55" fillId="0" borderId="0" xfId="0" applyNumberFormat="1" applyFont="1" applyAlignment="1">
      <alignment vertical="center"/>
    </xf>
    <xf numFmtId="193" fontId="70" fillId="0" borderId="0" xfId="0" applyNumberFormat="1" applyFont="1" applyAlignment="1">
      <alignment horizontal="center" vertical="center"/>
    </xf>
    <xf numFmtId="164" fontId="55" fillId="0" borderId="0" xfId="0" applyNumberFormat="1" applyFont="1" applyAlignment="1">
      <alignment horizontal="center" vertical="center"/>
    </xf>
    <xf numFmtId="37" fontId="72" fillId="0" borderId="0" xfId="0" applyNumberFormat="1" applyFont="1" applyAlignment="1">
      <alignment vertical="center"/>
    </xf>
    <xf numFmtId="164" fontId="72" fillId="0" borderId="0" xfId="0" applyNumberFormat="1" applyFont="1" applyAlignment="1">
      <alignment horizontal="center" vertical="center"/>
    </xf>
    <xf numFmtId="164" fontId="72" fillId="8" borderId="0" xfId="0" applyNumberFormat="1" applyFont="1" applyFill="1" applyAlignment="1">
      <alignment horizontal="center" vertical="center"/>
    </xf>
    <xf numFmtId="194" fontId="70" fillId="0" borderId="0" xfId="0" applyNumberFormat="1" applyFont="1" applyAlignment="1">
      <alignment horizontal="center" vertical="center"/>
    </xf>
    <xf numFmtId="7" fontId="72" fillId="0" borderId="0" xfId="0" applyNumberFormat="1" applyFont="1" applyAlignment="1">
      <alignment horizontal="center"/>
    </xf>
    <xf numFmtId="0" fontId="55" fillId="0" borderId="0" xfId="0" applyFont="1" applyAlignment="1">
      <alignment vertical="center"/>
    </xf>
    <xf numFmtId="37" fontId="73" fillId="0" borderId="0" xfId="0" applyNumberFormat="1" applyFont="1" applyAlignment="1">
      <alignment vertical="center"/>
    </xf>
    <xf numFmtId="191" fontId="70" fillId="0" borderId="0" xfId="51" applyNumberFormat="1" applyFont="1" applyBorder="1" applyAlignment="1">
      <alignment horizontal="center" vertical="center"/>
    </xf>
    <xf numFmtId="37" fontId="59" fillId="0" borderId="0" xfId="0" applyNumberFormat="1" applyFont="1" applyAlignment="1">
      <alignment horizontal="center" vertical="center"/>
    </xf>
    <xf numFmtId="191" fontId="55" fillId="0" borderId="0" xfId="51" applyNumberFormat="1" applyFont="1" applyBorder="1" applyAlignment="1">
      <alignment horizontal="center" vertical="center"/>
    </xf>
    <xf numFmtId="39" fontId="50" fillId="0" borderId="0" xfId="0" applyNumberFormat="1" applyFont="1" applyAlignment="1">
      <alignment horizontal="left" vertical="center"/>
    </xf>
    <xf numFmtId="37" fontId="50" fillId="0" borderId="0" xfId="0" applyNumberFormat="1" applyFont="1" applyAlignment="1">
      <alignment horizontal="center" vertical="center"/>
    </xf>
    <xf numFmtId="0" fontId="74" fillId="0" borderId="0" xfId="0" applyFont="1"/>
    <xf numFmtId="37" fontId="55" fillId="0" borderId="11" xfId="0" applyNumberFormat="1" applyFont="1" applyBorder="1" applyAlignment="1">
      <alignment vertical="center"/>
    </xf>
    <xf numFmtId="164" fontId="55" fillId="0" borderId="12" xfId="0" applyNumberFormat="1" applyFont="1" applyBorder="1" applyAlignment="1">
      <alignment horizontal="center" vertical="center"/>
    </xf>
    <xf numFmtId="37" fontId="55" fillId="0" borderId="11" xfId="0" applyNumberFormat="1" applyFont="1" applyBorder="1" applyAlignment="1">
      <alignment horizontal="right" vertical="center"/>
    </xf>
    <xf numFmtId="164" fontId="54" fillId="0" borderId="0" xfId="0" applyNumberFormat="1" applyFont="1" applyAlignment="1">
      <alignment horizontal="centerContinuous" vertical="center"/>
    </xf>
    <xf numFmtId="37" fontId="54" fillId="0" borderId="12" xfId="0" applyNumberFormat="1" applyFont="1" applyBorder="1" applyAlignment="1">
      <alignment horizontal="centerContinuous" vertical="center"/>
    </xf>
    <xf numFmtId="37" fontId="75" fillId="0" borderId="11" xfId="0" applyNumberFormat="1" applyFont="1" applyBorder="1" applyAlignment="1">
      <alignment vertical="center"/>
    </xf>
    <xf numFmtId="37" fontId="75" fillId="0" borderId="11" xfId="0" applyNumberFormat="1" applyFont="1" applyBorder="1" applyAlignment="1">
      <alignment horizontal="right" vertical="center"/>
    </xf>
    <xf numFmtId="164" fontId="55" fillId="0" borderId="11" xfId="0" applyNumberFormat="1" applyFont="1" applyBorder="1" applyAlignment="1">
      <alignment horizontal="right" vertical="center"/>
    </xf>
    <xf numFmtId="164" fontId="55" fillId="0" borderId="0" xfId="0" applyNumberFormat="1" applyFont="1" applyAlignment="1">
      <alignment horizontal="right" vertical="center"/>
    </xf>
    <xf numFmtId="37" fontId="55" fillId="0" borderId="11" xfId="0" quotePrefix="1" applyNumberFormat="1" applyFont="1" applyBorder="1" applyAlignment="1">
      <alignment horizontal="right" vertical="center"/>
    </xf>
    <xf numFmtId="164" fontId="75" fillId="0" borderId="12" xfId="0" applyNumberFormat="1" applyFont="1" applyBorder="1" applyAlignment="1">
      <alignment horizontal="center" vertical="center"/>
    </xf>
    <xf numFmtId="164" fontId="55" fillId="0" borderId="11" xfId="0" applyNumberFormat="1" applyFont="1" applyBorder="1" applyAlignment="1">
      <alignment horizontal="center" vertical="center"/>
    </xf>
    <xf numFmtId="37" fontId="54" fillId="0" borderId="11" xfId="0" applyNumberFormat="1" applyFont="1" applyBorder="1" applyAlignment="1">
      <alignment vertical="center"/>
    </xf>
    <xf numFmtId="7" fontId="55" fillId="0" borderId="11" xfId="0" applyNumberFormat="1" applyFont="1" applyBorder="1" applyAlignment="1">
      <alignment horizontal="center" vertical="center"/>
    </xf>
    <xf numFmtId="7" fontId="54" fillId="0" borderId="0" xfId="0" applyNumberFormat="1" applyFont="1" applyAlignment="1">
      <alignment horizontal="center" vertical="center"/>
    </xf>
    <xf numFmtId="15" fontId="50" fillId="0" borderId="0" xfId="0" applyNumberFormat="1" applyFont="1" applyAlignment="1">
      <alignment horizontal="left" vertical="center"/>
    </xf>
    <xf numFmtId="7" fontId="48" fillId="0" borderId="0" xfId="27" applyNumberFormat="1" applyFont="1" applyBorder="1" applyAlignment="1">
      <alignment horizontal="center" vertical="center"/>
    </xf>
    <xf numFmtId="7" fontId="48" fillId="0" borderId="0" xfId="27" applyNumberFormat="1" applyFont="1" applyBorder="1" applyAlignment="1">
      <alignment horizontal="left" vertical="center"/>
    </xf>
    <xf numFmtId="7" fontId="48" fillId="0" borderId="0" xfId="27" applyNumberFormat="1" applyFont="1" applyBorder="1" applyAlignment="1">
      <alignment horizontal="right" vertical="center"/>
    </xf>
    <xf numFmtId="37" fontId="48" fillId="14" borderId="26" xfId="0" applyNumberFormat="1" applyFont="1" applyFill="1" applyBorder="1" applyAlignment="1">
      <alignment horizontal="center" vertical="center"/>
    </xf>
    <xf numFmtId="7" fontId="50" fillId="13" borderId="29" xfId="27" applyNumberFormat="1" applyFont="1" applyFill="1" applyBorder="1" applyAlignment="1">
      <alignment horizontal="center" vertical="center"/>
    </xf>
    <xf numFmtId="37" fontId="48" fillId="14" borderId="3" xfId="0" applyNumberFormat="1" applyFont="1" applyFill="1" applyBorder="1" applyAlignment="1">
      <alignment horizontal="center" vertical="center"/>
    </xf>
    <xf numFmtId="37" fontId="48" fillId="14" borderId="31" xfId="0" applyNumberFormat="1" applyFont="1" applyFill="1" applyBorder="1" applyAlignment="1">
      <alignment horizontal="center" vertical="center"/>
    </xf>
    <xf numFmtId="39" fontId="48" fillId="0" borderId="0" xfId="0" applyNumberFormat="1" applyFont="1" applyAlignment="1">
      <alignment vertical="center"/>
    </xf>
    <xf numFmtId="39" fontId="48" fillId="0" borderId="0" xfId="0" applyNumberFormat="1" applyFont="1" applyAlignment="1">
      <alignment horizontal="center" vertical="center"/>
    </xf>
    <xf numFmtId="39" fontId="48" fillId="0" borderId="0" xfId="0" applyNumberFormat="1" applyFont="1" applyAlignment="1">
      <alignment horizontal="right" vertical="center"/>
    </xf>
    <xf numFmtId="164" fontId="48" fillId="0" borderId="0" xfId="0" applyNumberFormat="1" applyFont="1" applyAlignment="1">
      <alignment horizontal="center" vertical="center"/>
    </xf>
    <xf numFmtId="164" fontId="48" fillId="0" borderId="0" xfId="0" applyNumberFormat="1" applyFont="1" applyAlignment="1">
      <alignment horizontal="left" vertical="center"/>
    </xf>
    <xf numFmtId="37" fontId="48" fillId="8" borderId="0" xfId="0" applyNumberFormat="1" applyFont="1" applyFill="1" applyAlignment="1">
      <alignment vertical="center"/>
    </xf>
    <xf numFmtId="37" fontId="49" fillId="7" borderId="0" xfId="0" applyNumberFormat="1" applyFont="1" applyFill="1" applyAlignment="1">
      <alignment vertical="center"/>
    </xf>
    <xf numFmtId="37" fontId="50" fillId="16" borderId="0" xfId="0" applyNumberFormat="1" applyFont="1" applyFill="1" applyAlignment="1">
      <alignment horizontal="center" vertical="center" wrapText="1"/>
    </xf>
    <xf numFmtId="0" fontId="50" fillId="16" borderId="0" xfId="0" applyFont="1" applyFill="1" applyAlignment="1">
      <alignment horizontal="center" vertical="center" wrapText="1"/>
    </xf>
    <xf numFmtId="14" fontId="50" fillId="0" borderId="0" xfId="0" applyNumberFormat="1" applyFont="1" applyAlignment="1">
      <alignment horizontal="centerContinuous" vertical="center"/>
    </xf>
    <xf numFmtId="0" fontId="78" fillId="0" borderId="0" xfId="47" applyFont="1" applyAlignment="1">
      <alignment vertical="center"/>
    </xf>
    <xf numFmtId="37" fontId="54" fillId="0" borderId="0" xfId="46" applyNumberFormat="1" applyFont="1" applyAlignment="1">
      <alignment vertical="center"/>
    </xf>
    <xf numFmtId="0" fontId="53" fillId="0" borderId="0" xfId="46" applyFont="1" applyAlignment="1">
      <alignment vertical="center"/>
    </xf>
    <xf numFmtId="0" fontId="48" fillId="0" borderId="0" xfId="46" applyFont="1" applyAlignment="1">
      <alignment vertical="center"/>
    </xf>
    <xf numFmtId="0" fontId="55" fillId="0" borderId="0" xfId="46" applyFont="1" applyAlignment="1">
      <alignment vertical="center"/>
    </xf>
    <xf numFmtId="0" fontId="55" fillId="0" borderId="0" xfId="47" applyFont="1" applyAlignment="1">
      <alignment vertical="center"/>
    </xf>
    <xf numFmtId="37" fontId="57" fillId="0" borderId="0" xfId="46" applyNumberFormat="1" applyFont="1" applyAlignment="1">
      <alignment vertical="center"/>
    </xf>
    <xf numFmtId="0" fontId="57" fillId="0" borderId="0" xfId="46" applyFont="1" applyAlignment="1">
      <alignment vertical="center"/>
    </xf>
    <xf numFmtId="168" fontId="55" fillId="0" borderId="0" xfId="22" applyNumberFormat="1" applyFont="1" applyAlignment="1" applyProtection="1">
      <alignment vertical="center"/>
    </xf>
    <xf numFmtId="37" fontId="48" fillId="12" borderId="0" xfId="0" applyNumberFormat="1" applyFont="1" applyFill="1" applyAlignment="1">
      <alignment horizontal="right" vertical="center"/>
    </xf>
    <xf numFmtId="37" fontId="55" fillId="0" borderId="11" xfId="47" applyNumberFormat="1" applyFont="1" applyBorder="1" applyAlignment="1">
      <alignment vertical="center"/>
    </xf>
    <xf numFmtId="0" fontId="55" fillId="0" borderId="11" xfId="47" quotePrefix="1" applyFont="1" applyBorder="1" applyAlignment="1">
      <alignment vertical="center"/>
    </xf>
    <xf numFmtId="0" fontId="79" fillId="0" borderId="0" xfId="47" applyFont="1" applyAlignment="1">
      <alignment vertical="center"/>
    </xf>
    <xf numFmtId="0" fontId="53" fillId="0" borderId="11" xfId="46" applyFont="1" applyBorder="1" applyAlignment="1">
      <alignment vertical="center"/>
    </xf>
    <xf numFmtId="0" fontId="55" fillId="0" borderId="11" xfId="47" applyFont="1" applyBorder="1" applyAlignment="1">
      <alignment vertical="center"/>
    </xf>
    <xf numFmtId="7" fontId="58" fillId="0" borderId="26" xfId="27" applyNumberFormat="1" applyFont="1" applyBorder="1" applyAlignment="1" applyProtection="1">
      <alignment horizontal="right" vertical="center"/>
    </xf>
    <xf numFmtId="166" fontId="54" fillId="0" borderId="5" xfId="22" applyNumberFormat="1" applyFont="1" applyBorder="1" applyAlignment="1" applyProtection="1">
      <alignment horizontal="center" vertical="center"/>
    </xf>
    <xf numFmtId="166" fontId="54" fillId="0" borderId="27" xfId="22" applyNumberFormat="1" applyFont="1" applyBorder="1" applyAlignment="1" applyProtection="1">
      <alignment horizontal="center" vertical="center"/>
    </xf>
    <xf numFmtId="164" fontId="55" fillId="0" borderId="0" xfId="27" applyNumberFormat="1" applyFont="1" applyBorder="1" applyAlignment="1">
      <alignment horizontal="center" vertical="center"/>
    </xf>
    <xf numFmtId="0" fontId="75" fillId="0" borderId="11" xfId="47" applyFont="1" applyBorder="1" applyAlignment="1">
      <alignment vertical="center"/>
    </xf>
    <xf numFmtId="7" fontId="55" fillId="5" borderId="6" xfId="27" applyNumberFormat="1" applyFont="1" applyFill="1" applyBorder="1" applyAlignment="1" applyProtection="1">
      <alignment horizontal="center" vertical="center"/>
    </xf>
    <xf numFmtId="7" fontId="55" fillId="5" borderId="39" xfId="27" applyNumberFormat="1" applyFont="1" applyFill="1" applyBorder="1" applyAlignment="1" applyProtection="1">
      <alignment horizontal="center" vertical="center"/>
    </xf>
    <xf numFmtId="0" fontId="53" fillId="0" borderId="9" xfId="46" applyFont="1" applyBorder="1" applyAlignment="1">
      <alignment vertical="center"/>
    </xf>
    <xf numFmtId="0" fontId="55" fillId="0" borderId="25" xfId="47" applyFont="1" applyBorder="1" applyAlignment="1">
      <alignment vertical="center"/>
    </xf>
    <xf numFmtId="0" fontId="55" fillId="0" borderId="10" xfId="47" applyFont="1" applyBorder="1" applyAlignment="1">
      <alignment vertical="center"/>
    </xf>
    <xf numFmtId="7" fontId="55" fillId="5" borderId="35" xfId="27" applyNumberFormat="1" applyFont="1" applyFill="1" applyBorder="1" applyAlignment="1" applyProtection="1">
      <alignment horizontal="center" vertical="center"/>
    </xf>
    <xf numFmtId="7" fontId="55" fillId="5" borderId="33" xfId="27" applyNumberFormat="1" applyFont="1" applyFill="1" applyBorder="1" applyAlignment="1" applyProtection="1">
      <alignment horizontal="center" vertical="center"/>
    </xf>
    <xf numFmtId="7" fontId="55" fillId="5" borderId="34" xfId="27" applyNumberFormat="1" applyFont="1" applyFill="1" applyBorder="1" applyAlignment="1" applyProtection="1">
      <alignment horizontal="center" vertical="center"/>
    </xf>
    <xf numFmtId="0" fontId="55" fillId="0" borderId="11" xfId="46" applyFont="1" applyBorder="1" applyAlignment="1">
      <alignment vertical="center"/>
    </xf>
    <xf numFmtId="164" fontId="55" fillId="0" borderId="0" xfId="27" applyNumberFormat="1" applyFont="1" applyBorder="1" applyAlignment="1" applyProtection="1">
      <alignment horizontal="center" vertical="center"/>
    </xf>
    <xf numFmtId="7" fontId="55" fillId="5" borderId="21" xfId="27" applyNumberFormat="1" applyFont="1" applyFill="1" applyBorder="1" applyAlignment="1" applyProtection="1">
      <alignment horizontal="center" vertical="center"/>
    </xf>
    <xf numFmtId="0" fontId="75" fillId="0" borderId="11" xfId="46" applyFont="1" applyBorder="1" applyAlignment="1">
      <alignment vertical="center"/>
    </xf>
    <xf numFmtId="164" fontId="75" fillId="0" borderId="0" xfId="27" applyNumberFormat="1" applyFont="1" applyBorder="1" applyAlignment="1" applyProtection="1">
      <alignment horizontal="center" vertical="center"/>
    </xf>
    <xf numFmtId="7" fontId="55" fillId="5" borderId="23" xfId="27" applyNumberFormat="1" applyFont="1" applyFill="1" applyBorder="1" applyAlignment="1" applyProtection="1">
      <alignment horizontal="center" vertical="center"/>
    </xf>
    <xf numFmtId="7" fontId="55" fillId="5" borderId="24" xfId="27" applyNumberFormat="1" applyFont="1" applyFill="1" applyBorder="1" applyAlignment="1" applyProtection="1">
      <alignment horizontal="center" vertical="center"/>
    </xf>
    <xf numFmtId="37" fontId="80" fillId="0" borderId="0" xfId="46" applyNumberFormat="1" applyFont="1" applyAlignment="1">
      <alignment vertical="center"/>
    </xf>
    <xf numFmtId="0" fontId="48" fillId="0" borderId="0" xfId="0" applyFont="1"/>
    <xf numFmtId="0" fontId="81" fillId="0" borderId="0" xfId="46" applyFont="1" applyAlignment="1">
      <alignment vertical="center"/>
    </xf>
    <xf numFmtId="37" fontId="79" fillId="0" borderId="0" xfId="46" applyNumberFormat="1" applyFont="1" applyAlignment="1">
      <alignment vertical="center"/>
    </xf>
    <xf numFmtId="3" fontId="55" fillId="8" borderId="21" xfId="51" applyNumberFormat="1" applyFont="1" applyFill="1" applyBorder="1" applyAlignment="1">
      <alignment horizontal="center" vertical="center" wrapText="1"/>
    </xf>
    <xf numFmtId="3" fontId="55" fillId="8" borderId="40" xfId="51" applyNumberFormat="1" applyFont="1" applyFill="1" applyBorder="1" applyAlignment="1">
      <alignment horizontal="center" vertical="center" wrapText="1"/>
    </xf>
    <xf numFmtId="3" fontId="55" fillId="8" borderId="22" xfId="51" applyNumberFormat="1" applyFont="1" applyFill="1" applyBorder="1" applyAlignment="1">
      <alignment horizontal="center" vertical="center" wrapText="1"/>
    </xf>
    <xf numFmtId="0" fontId="55" fillId="0" borderId="23" xfId="0" applyFont="1" applyBorder="1" applyAlignment="1">
      <alignment horizontal="center" vertical="center" wrapText="1"/>
    </xf>
    <xf numFmtId="0" fontId="55" fillId="0" borderId="24" xfId="0" applyFont="1" applyBorder="1" applyAlignment="1">
      <alignment horizontal="center" vertical="center" wrapText="1"/>
    </xf>
    <xf numFmtId="0" fontId="48" fillId="8" borderId="0" xfId="0" applyFont="1" applyFill="1"/>
    <xf numFmtId="3" fontId="55" fillId="8" borderId="25" xfId="0" applyNumberFormat="1" applyFont="1" applyFill="1" applyBorder="1" applyAlignment="1">
      <alignment horizontal="center"/>
    </xf>
    <xf numFmtId="3" fontId="55" fillId="8" borderId="10" xfId="0" applyNumberFormat="1" applyFont="1" applyFill="1" applyBorder="1" applyAlignment="1">
      <alignment horizontal="center"/>
    </xf>
    <xf numFmtId="2" fontId="48" fillId="0" borderId="0" xfId="0" applyNumberFormat="1" applyFont="1"/>
    <xf numFmtId="164" fontId="55" fillId="0" borderId="12" xfId="0" applyNumberFormat="1" applyFont="1" applyBorder="1" applyAlignment="1">
      <alignment horizontal="center"/>
    </xf>
    <xf numFmtId="164" fontId="75" fillId="0" borderId="12" xfId="0" applyNumberFormat="1" applyFont="1" applyBorder="1" applyAlignment="1">
      <alignment horizontal="center"/>
    </xf>
    <xf numFmtId="0" fontId="55" fillId="0" borderId="12" xfId="0" applyFont="1" applyBorder="1"/>
    <xf numFmtId="0" fontId="55" fillId="0" borderId="16" xfId="0" applyFont="1" applyBorder="1"/>
    <xf numFmtId="0" fontId="55" fillId="0" borderId="17" xfId="0" applyFont="1" applyBorder="1"/>
    <xf numFmtId="0" fontId="48" fillId="0" borderId="25" xfId="0" applyFont="1" applyBorder="1"/>
    <xf numFmtId="0" fontId="88" fillId="0" borderId="0" xfId="0" applyFont="1" applyAlignment="1">
      <alignment horizontal="center"/>
    </xf>
    <xf numFmtId="0" fontId="48" fillId="0" borderId="14" xfId="0" applyFont="1" applyBorder="1" applyAlignment="1">
      <alignment horizontal="right"/>
    </xf>
    <xf numFmtId="0" fontId="66" fillId="0" borderId="16" xfId="0" applyFont="1" applyBorder="1"/>
    <xf numFmtId="184" fontId="48" fillId="0" borderId="0" xfId="0" applyNumberFormat="1" applyFont="1"/>
    <xf numFmtId="43" fontId="48" fillId="0" borderId="0" xfId="22" applyFont="1" applyBorder="1" applyAlignment="1">
      <alignment vertical="center"/>
    </xf>
    <xf numFmtId="43" fontId="48" fillId="0" borderId="0" xfId="22" applyFont="1" applyAlignment="1">
      <alignment vertical="center"/>
    </xf>
    <xf numFmtId="191" fontId="48" fillId="0" borderId="0" xfId="22" applyNumberFormat="1" applyFont="1" applyBorder="1" applyAlignment="1">
      <alignment vertical="center"/>
    </xf>
    <xf numFmtId="15" fontId="57" fillId="14" borderId="0" xfId="0" applyNumberFormat="1" applyFont="1" applyFill="1" applyAlignment="1">
      <alignment horizontal="left" vertical="center"/>
    </xf>
    <xf numFmtId="37" fontId="59" fillId="0" borderId="0" xfId="0" applyNumberFormat="1" applyFont="1" applyAlignment="1">
      <alignment horizontal="right" vertical="center"/>
    </xf>
    <xf numFmtId="37" fontId="68" fillId="0" borderId="36" xfId="0" applyNumberFormat="1" applyFont="1" applyBorder="1" applyAlignment="1">
      <alignment horizontal="center" vertical="center"/>
    </xf>
    <xf numFmtId="164" fontId="59" fillId="0" borderId="0" xfId="0" applyNumberFormat="1" applyFont="1" applyAlignment="1">
      <alignment horizontal="center" vertical="center"/>
    </xf>
    <xf numFmtId="37" fontId="57" fillId="0" borderId="0" xfId="0" applyNumberFormat="1" applyFont="1" applyAlignment="1">
      <alignment horizontal="center" vertical="center"/>
    </xf>
    <xf numFmtId="37" fontId="61" fillId="0" borderId="36" xfId="0" applyNumberFormat="1" applyFont="1" applyBorder="1" applyAlignment="1">
      <alignment horizontal="center" vertical="center"/>
    </xf>
    <xf numFmtId="37" fontId="61" fillId="0" borderId="0" xfId="0" applyNumberFormat="1" applyFont="1" applyAlignment="1">
      <alignment horizontal="center" vertical="center"/>
    </xf>
    <xf numFmtId="37" fontId="62" fillId="0" borderId="36" xfId="0" applyNumberFormat="1" applyFont="1" applyBorder="1" applyAlignment="1">
      <alignment horizontal="right" vertical="center"/>
    </xf>
    <xf numFmtId="43" fontId="59" fillId="0" borderId="0" xfId="22" applyFont="1" applyBorder="1" applyAlignment="1">
      <alignment horizontal="right" vertical="center"/>
    </xf>
    <xf numFmtId="43" fontId="62" fillId="0" borderId="0" xfId="22" applyFont="1" applyBorder="1" applyAlignment="1">
      <alignment horizontal="right" vertical="center"/>
    </xf>
    <xf numFmtId="164" fontId="55" fillId="0" borderId="36" xfId="22" applyNumberFormat="1" applyFont="1" applyFill="1" applyBorder="1" applyAlignment="1">
      <alignment horizontal="center" vertical="center"/>
    </xf>
    <xf numFmtId="164" fontId="56" fillId="0" borderId="0" xfId="0" applyNumberFormat="1" applyFont="1" applyAlignment="1">
      <alignment horizontal="center" vertical="center"/>
    </xf>
    <xf numFmtId="37" fontId="57" fillId="0" borderId="0" xfId="0" applyNumberFormat="1" applyFont="1" applyAlignment="1">
      <alignment horizontal="left" vertical="center" indent="1"/>
    </xf>
    <xf numFmtId="37" fontId="59" fillId="0" borderId="36" xfId="0" applyNumberFormat="1" applyFont="1" applyBorder="1" applyAlignment="1">
      <alignment vertical="center"/>
    </xf>
    <xf numFmtId="37" fontId="48" fillId="0" borderId="0" xfId="0" applyNumberFormat="1" applyFont="1" applyAlignment="1">
      <alignment horizontal="center"/>
    </xf>
    <xf numFmtId="191" fontId="57" fillId="0" borderId="36" xfId="51" applyNumberFormat="1" applyFont="1" applyFill="1" applyBorder="1" applyAlignment="1">
      <alignment horizontal="center" vertical="center"/>
    </xf>
    <xf numFmtId="191" fontId="57" fillId="0" borderId="0" xfId="51" applyNumberFormat="1" applyFont="1" applyFill="1" applyBorder="1" applyAlignment="1">
      <alignment horizontal="center" vertical="center"/>
    </xf>
    <xf numFmtId="191" fontId="57" fillId="0" borderId="0" xfId="51" applyNumberFormat="1" applyFont="1" applyFill="1" applyAlignment="1">
      <alignment horizontal="center" vertical="center"/>
    </xf>
    <xf numFmtId="37" fontId="48" fillId="0" borderId="0" xfId="0" applyNumberFormat="1" applyFont="1" applyAlignment="1">
      <alignment horizontal="right" vertical="center"/>
    </xf>
    <xf numFmtId="164" fontId="48" fillId="0" borderId="0" xfId="0" applyNumberFormat="1" applyFont="1" applyAlignment="1">
      <alignment horizontal="right" vertical="center"/>
    </xf>
    <xf numFmtId="164" fontId="54" fillId="14" borderId="0" xfId="0" applyNumberFormat="1" applyFont="1" applyFill="1" applyAlignment="1">
      <alignment vertical="center"/>
    </xf>
    <xf numFmtId="164" fontId="50" fillId="14" borderId="35" xfId="0" applyNumberFormat="1" applyFont="1" applyFill="1" applyBorder="1" applyAlignment="1">
      <alignment vertical="center"/>
    </xf>
    <xf numFmtId="164" fontId="50" fillId="14" borderId="5" xfId="0" applyNumberFormat="1" applyFont="1" applyFill="1" applyBorder="1" applyAlignment="1">
      <alignment vertical="center"/>
    </xf>
    <xf numFmtId="164" fontId="54" fillId="14" borderId="5" xfId="0" applyNumberFormat="1" applyFont="1" applyFill="1" applyBorder="1" applyAlignment="1">
      <alignment horizontal="center" vertical="center"/>
    </xf>
    <xf numFmtId="164" fontId="54" fillId="14" borderId="35" xfId="0" applyNumberFormat="1" applyFont="1" applyFill="1" applyBorder="1" applyAlignment="1">
      <alignment horizontal="center" vertical="center"/>
    </xf>
    <xf numFmtId="164" fontId="48" fillId="0" borderId="0" xfId="0" applyNumberFormat="1" applyFont="1" applyAlignment="1">
      <alignment vertical="center"/>
    </xf>
    <xf numFmtId="164" fontId="50" fillId="0" borderId="0" xfId="0" applyNumberFormat="1" applyFont="1" applyAlignment="1">
      <alignment vertical="center"/>
    </xf>
    <xf numFmtId="164" fontId="91" fillId="0" borderId="36" xfId="0" applyNumberFormat="1" applyFont="1" applyBorder="1" applyAlignment="1">
      <alignment vertical="center"/>
    </xf>
    <xf numFmtId="164" fontId="60" fillId="0" borderId="0" xfId="0" applyNumberFormat="1" applyFont="1" applyAlignment="1">
      <alignment vertical="center"/>
    </xf>
    <xf numFmtId="164" fontId="55" fillId="0" borderId="36" xfId="0" applyNumberFormat="1" applyFont="1" applyBorder="1" applyAlignment="1">
      <alignment horizontal="center" vertical="center"/>
    </xf>
    <xf numFmtId="164" fontId="55" fillId="8" borderId="0" xfId="0" applyNumberFormat="1" applyFont="1" applyFill="1" applyAlignment="1">
      <alignment vertical="center"/>
    </xf>
    <xf numFmtId="164" fontId="56" fillId="0" borderId="0" xfId="0" quotePrefix="1" applyNumberFormat="1" applyFont="1" applyAlignment="1">
      <alignment horizontal="center" vertical="center"/>
    </xf>
    <xf numFmtId="164" fontId="59" fillId="0" borderId="0" xfId="0" applyNumberFormat="1" applyFont="1" applyAlignment="1">
      <alignment horizontal="left" vertical="center" indent="1"/>
    </xf>
    <xf numFmtId="164" fontId="93" fillId="0" borderId="36" xfId="0" applyNumberFormat="1" applyFont="1" applyBorder="1" applyAlignment="1">
      <alignment vertical="center"/>
    </xf>
    <xf numFmtId="164" fontId="54" fillId="0" borderId="26" xfId="0" applyNumberFormat="1" applyFont="1" applyBorder="1" applyAlignment="1">
      <alignment horizontal="center" vertical="center"/>
    </xf>
    <xf numFmtId="164" fontId="54" fillId="0" borderId="5" xfId="0" applyNumberFormat="1" applyFont="1" applyBorder="1" applyAlignment="1">
      <alignment horizontal="center" vertical="center"/>
    </xf>
    <xf numFmtId="164" fontId="54" fillId="0" borderId="35" xfId="0" applyNumberFormat="1" applyFont="1" applyBorder="1" applyAlignment="1">
      <alignment horizontal="center" vertical="center"/>
    </xf>
    <xf numFmtId="164" fontId="55" fillId="0" borderId="0" xfId="0" applyNumberFormat="1" applyFont="1" applyAlignment="1">
      <alignment vertical="center"/>
    </xf>
    <xf numFmtId="164" fontId="91" fillId="14" borderId="35" xfId="0" applyNumberFormat="1" applyFont="1" applyFill="1" applyBorder="1" applyAlignment="1">
      <alignment vertical="center"/>
    </xf>
    <xf numFmtId="0" fontId="94" fillId="0" borderId="0" xfId="0" applyFont="1"/>
    <xf numFmtId="164" fontId="48" fillId="0" borderId="30" xfId="0" applyNumberFormat="1" applyFont="1" applyBorder="1" applyAlignment="1">
      <alignment vertical="center"/>
    </xf>
    <xf numFmtId="164" fontId="48" fillId="0" borderId="35" xfId="0" applyNumberFormat="1" applyFont="1" applyBorder="1" applyAlignment="1">
      <alignment vertical="center"/>
    </xf>
    <xf numFmtId="164" fontId="48" fillId="0" borderId="5" xfId="0" applyNumberFormat="1" applyFont="1" applyBorder="1" applyAlignment="1">
      <alignment vertical="center"/>
    </xf>
    <xf numFmtId="164" fontId="55" fillId="0" borderId="5" xfId="0" applyNumberFormat="1" applyFont="1" applyBorder="1" applyAlignment="1">
      <alignment horizontal="center" vertical="center"/>
    </xf>
    <xf numFmtId="164" fontId="55" fillId="0" borderId="35" xfId="0" applyNumberFormat="1" applyFont="1" applyBorder="1" applyAlignment="1">
      <alignment horizontal="center" vertical="center"/>
    </xf>
    <xf numFmtId="37" fontId="57" fillId="8" borderId="0" xfId="0" applyNumberFormat="1" applyFont="1" applyFill="1" applyAlignment="1">
      <alignment horizontal="left" vertical="center" indent="1"/>
    </xf>
    <xf numFmtId="164" fontId="59" fillId="0" borderId="36" xfId="0" applyNumberFormat="1" applyFont="1" applyBorder="1" applyAlignment="1">
      <alignment vertical="center"/>
    </xf>
    <xf numFmtId="164" fontId="59" fillId="0" borderId="0" xfId="0" applyNumberFormat="1" applyFont="1" applyAlignment="1">
      <alignment vertical="center"/>
    </xf>
    <xf numFmtId="0" fontId="95" fillId="0" borderId="0" xfId="0" applyFont="1"/>
    <xf numFmtId="37" fontId="48" fillId="0" borderId="36" xfId="0" applyNumberFormat="1" applyFont="1" applyBorder="1" applyAlignment="1">
      <alignment vertical="center"/>
    </xf>
    <xf numFmtId="37" fontId="55" fillId="0" borderId="36" xfId="0" applyNumberFormat="1" applyFont="1" applyBorder="1" applyAlignment="1">
      <alignment horizontal="center" vertical="center"/>
    </xf>
    <xf numFmtId="37" fontId="55" fillId="0" borderId="0" xfId="0" applyNumberFormat="1" applyFont="1" applyAlignment="1">
      <alignment horizontal="left" vertical="center" indent="1"/>
    </xf>
    <xf numFmtId="43" fontId="60" fillId="0" borderId="0" xfId="22" applyFont="1" applyBorder="1" applyAlignment="1">
      <alignment vertical="center"/>
    </xf>
    <xf numFmtId="164" fontId="96" fillId="0" borderId="0" xfId="0" applyNumberFormat="1" applyFont="1" applyAlignment="1">
      <alignment horizontal="center" vertical="center"/>
    </xf>
    <xf numFmtId="37" fontId="48" fillId="0" borderId="35" xfId="0" applyNumberFormat="1" applyFont="1" applyBorder="1" applyAlignment="1">
      <alignment vertical="center"/>
    </xf>
    <xf numFmtId="43" fontId="48" fillId="0" borderId="5" xfId="22" applyFont="1" applyBorder="1" applyAlignment="1">
      <alignment vertical="center"/>
    </xf>
    <xf numFmtId="164" fontId="48" fillId="0" borderId="5" xfId="0" applyNumberFormat="1" applyFont="1" applyBorder="1" applyAlignment="1">
      <alignment horizontal="center" vertical="center"/>
    </xf>
    <xf numFmtId="164" fontId="48" fillId="0" borderId="36" xfId="0" applyNumberFormat="1" applyFont="1" applyBorder="1" applyAlignment="1">
      <alignment vertical="center"/>
    </xf>
    <xf numFmtId="192" fontId="55" fillId="0" borderId="36" xfId="0" applyNumberFormat="1" applyFont="1" applyBorder="1" applyAlignment="1">
      <alignment horizontal="center" vertical="center"/>
    </xf>
    <xf numFmtId="192" fontId="48" fillId="0" borderId="0" xfId="0" applyNumberFormat="1" applyFont="1" applyAlignment="1">
      <alignment horizontal="center" vertical="center"/>
    </xf>
    <xf numFmtId="192" fontId="48" fillId="0" borderId="36" xfId="0" applyNumberFormat="1" applyFont="1" applyBorder="1" applyAlignment="1">
      <alignment horizontal="center" vertical="center"/>
    </xf>
    <xf numFmtId="192" fontId="48" fillId="0" borderId="36" xfId="22" applyNumberFormat="1" applyFont="1" applyFill="1" applyBorder="1" applyAlignment="1">
      <alignment horizontal="center" vertical="center"/>
    </xf>
    <xf numFmtId="192" fontId="48" fillId="0" borderId="2" xfId="0" applyNumberFormat="1" applyFont="1" applyBorder="1" applyAlignment="1">
      <alignment horizontal="center" vertical="center"/>
    </xf>
    <xf numFmtId="164" fontId="62" fillId="0" borderId="0" xfId="0" applyNumberFormat="1" applyFont="1" applyAlignment="1">
      <alignment vertical="center"/>
    </xf>
    <xf numFmtId="164" fontId="50" fillId="14" borderId="36" xfId="0" applyNumberFormat="1" applyFont="1" applyFill="1" applyBorder="1" applyAlignment="1">
      <alignment vertical="center"/>
    </xf>
    <xf numFmtId="164" fontId="50" fillId="14" borderId="0" xfId="0" applyNumberFormat="1" applyFont="1" applyFill="1" applyAlignment="1">
      <alignment vertical="center"/>
    </xf>
    <xf numFmtId="164" fontId="54" fillId="14" borderId="26" xfId="0" applyNumberFormat="1" applyFont="1" applyFill="1" applyBorder="1" applyAlignment="1">
      <alignment horizontal="center" vertical="center"/>
    </xf>
    <xf numFmtId="164" fontId="54" fillId="14" borderId="0" xfId="0" applyNumberFormat="1" applyFont="1" applyFill="1" applyAlignment="1">
      <alignment horizontal="center" vertical="center"/>
    </xf>
    <xf numFmtId="164" fontId="60" fillId="0" borderId="36" xfId="0" applyNumberFormat="1" applyFont="1" applyBorder="1" applyAlignment="1">
      <alignment vertical="center"/>
    </xf>
    <xf numFmtId="164" fontId="55" fillId="8" borderId="0" xfId="0" applyNumberFormat="1" applyFont="1" applyFill="1" applyAlignment="1">
      <alignment horizontal="center" vertical="center"/>
    </xf>
    <xf numFmtId="164" fontId="60" fillId="0" borderId="5" xfId="0" applyNumberFormat="1" applyFont="1" applyBorder="1" applyAlignment="1">
      <alignment vertical="center"/>
    </xf>
    <xf numFmtId="192" fontId="56" fillId="0" borderId="5" xfId="22" applyNumberFormat="1" applyFont="1" applyBorder="1" applyAlignment="1">
      <alignment horizontal="center" vertical="center"/>
    </xf>
    <xf numFmtId="192" fontId="56" fillId="0" borderId="5" xfId="22" quotePrefix="1" applyNumberFormat="1" applyFont="1" applyBorder="1" applyAlignment="1">
      <alignment horizontal="center" vertical="center"/>
    </xf>
    <xf numFmtId="188" fontId="55" fillId="0" borderId="0" xfId="22" applyNumberFormat="1" applyFont="1" applyBorder="1" applyAlignment="1">
      <alignment vertical="center"/>
    </xf>
    <xf numFmtId="188" fontId="91" fillId="0" borderId="36" xfId="22" applyNumberFormat="1" applyFont="1" applyFill="1" applyBorder="1" applyAlignment="1">
      <alignment vertical="center"/>
    </xf>
    <xf numFmtId="188" fontId="91" fillId="0" borderId="0" xfId="22" applyNumberFormat="1" applyFont="1" applyBorder="1" applyAlignment="1">
      <alignment vertical="center"/>
    </xf>
    <xf numFmtId="192" fontId="55" fillId="0" borderId="36" xfId="22" applyNumberFormat="1" applyFont="1" applyFill="1" applyBorder="1" applyAlignment="1">
      <alignment horizontal="center" vertical="center"/>
    </xf>
    <xf numFmtId="188" fontId="74" fillId="0" borderId="0" xfId="22" applyNumberFormat="1" applyFont="1"/>
    <xf numFmtId="188" fontId="48" fillId="0" borderId="0" xfId="22" applyNumberFormat="1" applyFont="1" applyFill="1" applyBorder="1" applyAlignment="1">
      <alignment vertical="center"/>
    </xf>
    <xf numFmtId="164" fontId="55" fillId="8" borderId="5" xfId="0" applyNumberFormat="1" applyFont="1" applyFill="1" applyBorder="1" applyAlignment="1">
      <alignment horizontal="center" vertical="center"/>
    </xf>
    <xf numFmtId="169" fontId="59" fillId="0" borderId="0" xfId="0" applyNumberFormat="1" applyFont="1" applyAlignment="1">
      <alignment vertical="center"/>
    </xf>
    <xf numFmtId="191" fontId="57" fillId="0" borderId="36" xfId="0" applyNumberFormat="1" applyFont="1" applyBorder="1" applyAlignment="1">
      <alignment horizontal="center" vertical="center"/>
    </xf>
    <xf numFmtId="191" fontId="57" fillId="8" borderId="0" xfId="0" applyNumberFormat="1" applyFont="1" applyFill="1" applyAlignment="1">
      <alignment horizontal="center" vertical="center"/>
    </xf>
    <xf numFmtId="191" fontId="92" fillId="8" borderId="0" xfId="51" applyNumberFormat="1" applyFont="1" applyFill="1" applyBorder="1" applyAlignment="1">
      <alignment horizontal="center" vertical="center"/>
    </xf>
    <xf numFmtId="164" fontId="60" fillId="8" borderId="0" xfId="0" applyNumberFormat="1" applyFont="1" applyFill="1" applyAlignment="1">
      <alignment vertical="center"/>
    </xf>
    <xf numFmtId="43" fontId="55" fillId="0" borderId="36" xfId="22" applyFont="1" applyFill="1" applyBorder="1" applyAlignment="1">
      <alignment horizontal="center" vertical="center"/>
    </xf>
    <xf numFmtId="37" fontId="51" fillId="0" borderId="36" xfId="0" applyNumberFormat="1" applyFont="1" applyBorder="1" applyAlignment="1">
      <alignment vertical="center"/>
    </xf>
    <xf numFmtId="164" fontId="60" fillId="0" borderId="36" xfId="0" applyNumberFormat="1" applyFont="1" applyBorder="1" applyAlignment="1">
      <alignment horizontal="center" vertical="center"/>
    </xf>
    <xf numFmtId="164" fontId="60" fillId="0" borderId="0" xfId="0" applyNumberFormat="1" applyFont="1" applyAlignment="1">
      <alignment horizontal="center" vertical="center"/>
    </xf>
    <xf numFmtId="164" fontId="60" fillId="8" borderId="0" xfId="0" applyNumberFormat="1" applyFont="1" applyFill="1" applyAlignment="1">
      <alignment horizontal="center" vertical="center"/>
    </xf>
    <xf numFmtId="164" fontId="56" fillId="8" borderId="0" xfId="0" applyNumberFormat="1" applyFont="1" applyFill="1" applyAlignment="1">
      <alignment horizontal="center" vertical="center"/>
    </xf>
    <xf numFmtId="164" fontId="56" fillId="0" borderId="36" xfId="0" applyNumberFormat="1" applyFont="1" applyBorder="1" applyAlignment="1">
      <alignment horizontal="center" vertical="center"/>
    </xf>
    <xf numFmtId="164" fontId="48" fillId="8" borderId="0" xfId="0" applyNumberFormat="1" applyFont="1" applyFill="1" applyAlignment="1">
      <alignment vertical="center"/>
    </xf>
    <xf numFmtId="7" fontId="50" fillId="14" borderId="36" xfId="27" applyNumberFormat="1" applyFont="1" applyFill="1" applyBorder="1" applyAlignment="1">
      <alignment vertical="center"/>
    </xf>
    <xf numFmtId="7" fontId="50" fillId="14" borderId="0" xfId="27" applyNumberFormat="1" applyFont="1" applyFill="1" applyBorder="1" applyAlignment="1">
      <alignment vertical="center"/>
    </xf>
    <xf numFmtId="7" fontId="54" fillId="14" borderId="0" xfId="27" applyNumberFormat="1" applyFont="1" applyFill="1" applyBorder="1" applyAlignment="1">
      <alignment horizontal="center" vertical="center"/>
    </xf>
    <xf numFmtId="7" fontId="54" fillId="14" borderId="36" xfId="27" applyNumberFormat="1" applyFont="1" applyFill="1" applyBorder="1" applyAlignment="1">
      <alignment horizontal="center" vertical="center"/>
    </xf>
    <xf numFmtId="7" fontId="54" fillId="14" borderId="0" xfId="27" applyNumberFormat="1" applyFont="1" applyFill="1" applyAlignment="1">
      <alignment horizontal="center" vertical="center"/>
    </xf>
    <xf numFmtId="37" fontId="55" fillId="0" borderId="0" xfId="0" applyNumberFormat="1" applyFont="1" applyAlignment="1">
      <alignment horizontal="center" vertical="center"/>
    </xf>
    <xf numFmtId="164" fontId="49" fillId="0" borderId="0" xfId="0" applyNumberFormat="1" applyFont="1" applyAlignment="1">
      <alignment vertical="center"/>
    </xf>
    <xf numFmtId="37" fontId="57" fillId="0" borderId="0" xfId="0" applyNumberFormat="1" applyFont="1" applyAlignment="1">
      <alignment vertical="center"/>
    </xf>
    <xf numFmtId="186" fontId="55" fillId="0" borderId="0" xfId="0" applyNumberFormat="1" applyFont="1" applyAlignment="1">
      <alignment horizontal="center" vertical="center"/>
    </xf>
    <xf numFmtId="183" fontId="97" fillId="8" borderId="0" xfId="22" applyNumberFormat="1" applyFont="1" applyFill="1" applyBorder="1" applyAlignment="1">
      <alignment vertical="center"/>
    </xf>
    <xf numFmtId="164" fontId="75" fillId="0" borderId="0" xfId="0" applyNumberFormat="1" applyFont="1" applyAlignment="1">
      <alignment vertical="center"/>
    </xf>
    <xf numFmtId="164" fontId="91" fillId="0" borderId="0" xfId="0" applyNumberFormat="1" applyFont="1" applyAlignment="1">
      <alignment vertical="center"/>
    </xf>
    <xf numFmtId="183" fontId="98" fillId="8" borderId="0" xfId="22" applyNumberFormat="1" applyFont="1" applyFill="1" applyBorder="1" applyAlignment="1">
      <alignment vertical="center"/>
    </xf>
    <xf numFmtId="164" fontId="99" fillId="0" borderId="0" xfId="0" applyNumberFormat="1" applyFont="1" applyAlignment="1">
      <alignment horizontal="center" vertical="center"/>
    </xf>
    <xf numFmtId="164" fontId="75" fillId="0" borderId="36" xfId="0" applyNumberFormat="1" applyFont="1" applyBorder="1" applyAlignment="1">
      <alignment horizontal="center" vertical="center"/>
    </xf>
    <xf numFmtId="164" fontId="75" fillId="0" borderId="0" xfId="0" applyNumberFormat="1" applyFont="1" applyAlignment="1">
      <alignment horizontal="center" vertical="center"/>
    </xf>
    <xf numFmtId="191" fontId="57" fillId="0" borderId="0" xfId="0" applyNumberFormat="1" applyFont="1" applyAlignment="1">
      <alignment horizontal="left" vertical="center" indent="1"/>
    </xf>
    <xf numFmtId="191" fontId="60" fillId="0" borderId="36" xfId="0" applyNumberFormat="1" applyFont="1" applyBorder="1" applyAlignment="1">
      <alignment vertical="center"/>
    </xf>
    <xf numFmtId="191" fontId="60" fillId="0" borderId="0" xfId="0" applyNumberFormat="1" applyFont="1" applyAlignment="1">
      <alignment vertical="center"/>
    </xf>
    <xf numFmtId="191" fontId="59" fillId="0" borderId="0" xfId="51" applyNumberFormat="1" applyFont="1" applyBorder="1" applyAlignment="1">
      <alignment vertical="center"/>
    </xf>
    <xf numFmtId="191" fontId="57" fillId="0" borderId="0" xfId="51" applyNumberFormat="1" applyFont="1" applyBorder="1" applyAlignment="1">
      <alignment horizontal="center" vertical="center"/>
    </xf>
    <xf numFmtId="164" fontId="99" fillId="8" borderId="0" xfId="0" applyNumberFormat="1" applyFont="1" applyFill="1" applyAlignment="1">
      <alignment horizontal="center" vertical="center"/>
    </xf>
    <xf numFmtId="164" fontId="57" fillId="0" borderId="0" xfId="0" applyNumberFormat="1" applyFont="1" applyAlignment="1">
      <alignment horizontal="left" vertical="center" indent="1"/>
    </xf>
    <xf numFmtId="191" fontId="57" fillId="8" borderId="0" xfId="51" applyNumberFormat="1" applyFont="1" applyFill="1" applyBorder="1" applyAlignment="1">
      <alignment horizontal="center" vertical="center"/>
    </xf>
    <xf numFmtId="183" fontId="56" fillId="0" borderId="0" xfId="22" applyNumberFormat="1" applyFont="1" applyBorder="1" applyAlignment="1">
      <alignment horizontal="center" vertical="center"/>
    </xf>
    <xf numFmtId="192" fontId="56" fillId="0" borderId="0" xfId="22" applyNumberFormat="1" applyFont="1" applyBorder="1" applyAlignment="1">
      <alignment horizontal="center" vertical="center"/>
    </xf>
    <xf numFmtId="183" fontId="96" fillId="0" borderId="0" xfId="22" applyNumberFormat="1" applyFont="1" applyBorder="1" applyAlignment="1">
      <alignment horizontal="center" vertical="center"/>
    </xf>
    <xf numFmtId="164" fontId="54" fillId="14" borderId="36" xfId="0" applyNumberFormat="1" applyFont="1" applyFill="1" applyBorder="1" applyAlignment="1">
      <alignment horizontal="center" vertical="center"/>
    </xf>
    <xf numFmtId="37" fontId="57" fillId="14" borderId="0" xfId="0" applyNumberFormat="1" applyFont="1" applyFill="1" applyAlignment="1">
      <alignment vertical="center"/>
    </xf>
    <xf numFmtId="37" fontId="59" fillId="14" borderId="36" xfId="0" applyNumberFormat="1" applyFont="1" applyFill="1" applyBorder="1" applyAlignment="1">
      <alignment vertical="center"/>
    </xf>
    <xf numFmtId="37" fontId="59" fillId="14" borderId="0" xfId="0" applyNumberFormat="1" applyFont="1" applyFill="1" applyAlignment="1">
      <alignment vertical="center"/>
    </xf>
    <xf numFmtId="191" fontId="57" fillId="14" borderId="36" xfId="51" applyNumberFormat="1" applyFont="1" applyFill="1" applyBorder="1" applyAlignment="1">
      <alignment horizontal="center" vertical="center"/>
    </xf>
    <xf numFmtId="191" fontId="57" fillId="14" borderId="0" xfId="51" applyNumberFormat="1" applyFont="1" applyFill="1" applyBorder="1" applyAlignment="1">
      <alignment horizontal="center" vertical="center"/>
    </xf>
    <xf numFmtId="191" fontId="57" fillId="14" borderId="0" xfId="51" applyNumberFormat="1" applyFont="1" applyFill="1" applyAlignment="1">
      <alignment horizontal="center" vertical="center"/>
    </xf>
    <xf numFmtId="37" fontId="57" fillId="8" borderId="0" xfId="0" applyNumberFormat="1" applyFont="1" applyFill="1" applyAlignment="1">
      <alignment vertical="center"/>
    </xf>
    <xf numFmtId="164" fontId="57" fillId="8" borderId="0" xfId="0" applyNumberFormat="1" applyFont="1" applyFill="1" applyAlignment="1">
      <alignment vertical="center"/>
    </xf>
    <xf numFmtId="164" fontId="100" fillId="0" borderId="36" xfId="0" applyNumberFormat="1" applyFont="1" applyBorder="1" applyAlignment="1">
      <alignment vertical="center"/>
    </xf>
    <xf numFmtId="164" fontId="100" fillId="0" borderId="0" xfId="0" applyNumberFormat="1" applyFont="1" applyAlignment="1">
      <alignment vertical="center"/>
    </xf>
    <xf numFmtId="191" fontId="59" fillId="0" borderId="0" xfId="51" applyNumberFormat="1" applyFont="1" applyFill="1" applyBorder="1" applyAlignment="1">
      <alignment horizontal="center" vertical="center"/>
    </xf>
    <xf numFmtId="191" fontId="92" fillId="0" borderId="0" xfId="51" applyNumberFormat="1" applyFont="1" applyFill="1" applyBorder="1" applyAlignment="1">
      <alignment horizontal="center" vertical="center"/>
    </xf>
    <xf numFmtId="164" fontId="75" fillId="8" borderId="0" xfId="0" applyNumberFormat="1" applyFont="1" applyFill="1" applyAlignment="1">
      <alignment vertical="center"/>
    </xf>
    <xf numFmtId="164" fontId="99" fillId="8" borderId="0" xfId="0" quotePrefix="1" applyNumberFormat="1" applyFont="1" applyFill="1" applyAlignment="1">
      <alignment horizontal="center" vertical="center"/>
    </xf>
    <xf numFmtId="164" fontId="75" fillId="8" borderId="0" xfId="0" applyNumberFormat="1" applyFont="1" applyFill="1" applyAlignment="1">
      <alignment horizontal="center" vertical="center"/>
    </xf>
    <xf numFmtId="164" fontId="102" fillId="14" borderId="36" xfId="0" applyNumberFormat="1" applyFont="1" applyFill="1" applyBorder="1" applyAlignment="1">
      <alignment vertical="center"/>
    </xf>
    <xf numFmtId="164" fontId="102" fillId="14" borderId="0" xfId="0" applyNumberFormat="1" applyFont="1" applyFill="1" applyAlignment="1">
      <alignment vertical="center"/>
    </xf>
    <xf numFmtId="37" fontId="54" fillId="14" borderId="0" xfId="0" applyNumberFormat="1" applyFont="1" applyFill="1" applyAlignment="1">
      <alignment vertical="center"/>
    </xf>
    <xf numFmtId="7" fontId="60" fillId="0" borderId="36" xfId="27" applyNumberFormat="1" applyFont="1" applyFill="1" applyBorder="1" applyAlignment="1">
      <alignment vertical="center"/>
    </xf>
    <xf numFmtId="7" fontId="60" fillId="0" borderId="0" xfId="27" applyNumberFormat="1" applyFont="1" applyBorder="1" applyAlignment="1">
      <alignment vertical="center"/>
    </xf>
    <xf numFmtId="7" fontId="55" fillId="0" borderId="0" xfId="27" applyNumberFormat="1" applyFont="1" applyBorder="1" applyAlignment="1">
      <alignment horizontal="center" vertical="center"/>
    </xf>
    <xf numFmtId="7" fontId="55" fillId="0" borderId="36" xfId="27" applyNumberFormat="1" applyFont="1" applyFill="1" applyBorder="1" applyAlignment="1">
      <alignment horizontal="center" vertical="center"/>
    </xf>
    <xf numFmtId="37" fontId="48" fillId="0" borderId="2" xfId="0" applyNumberFormat="1" applyFont="1" applyBorder="1" applyAlignment="1">
      <alignment vertical="center"/>
    </xf>
    <xf numFmtId="37" fontId="48" fillId="0" borderId="36" xfId="0" applyNumberFormat="1" applyFont="1" applyBorder="1" applyAlignment="1">
      <alignment horizontal="center" vertical="center"/>
    </xf>
    <xf numFmtId="37" fontId="48" fillId="14" borderId="0" xfId="0" applyNumberFormat="1" applyFont="1" applyFill="1" applyAlignment="1">
      <alignment horizontal="center" vertical="center"/>
    </xf>
    <xf numFmtId="37" fontId="48" fillId="14" borderId="36" xfId="0" applyNumberFormat="1" applyFont="1" applyFill="1" applyBorder="1" applyAlignment="1">
      <alignment horizontal="center" vertical="center"/>
    </xf>
    <xf numFmtId="164" fontId="55" fillId="0" borderId="3" xfId="0" applyNumberFormat="1" applyFont="1" applyBorder="1" applyAlignment="1">
      <alignment vertical="center"/>
    </xf>
    <xf numFmtId="37" fontId="49" fillId="0" borderId="0" xfId="0" applyNumberFormat="1" applyFont="1" applyAlignment="1">
      <alignment horizontal="center" vertical="center"/>
    </xf>
    <xf numFmtId="0" fontId="74" fillId="0" borderId="0" xfId="0" applyFont="1" applyAlignment="1">
      <alignment horizontal="center"/>
    </xf>
    <xf numFmtId="164" fontId="74" fillId="0" borderId="0" xfId="0" applyNumberFormat="1" applyFont="1" applyAlignment="1">
      <alignment horizontal="center"/>
    </xf>
    <xf numFmtId="164" fontId="55" fillId="0" borderId="0" xfId="0" applyNumberFormat="1" applyFont="1" applyAlignment="1">
      <alignment horizontal="left" vertical="center" indent="1"/>
    </xf>
    <xf numFmtId="164" fontId="48" fillId="0" borderId="36" xfId="0" applyNumberFormat="1" applyFont="1" applyBorder="1" applyAlignment="1">
      <alignment horizontal="center" vertical="center"/>
    </xf>
    <xf numFmtId="43" fontId="60" fillId="0" borderId="36" xfId="22" applyFont="1" applyFill="1" applyBorder="1" applyAlignment="1">
      <alignment horizontal="center" vertical="center"/>
    </xf>
    <xf numFmtId="43" fontId="48" fillId="0" borderId="36" xfId="22" applyFont="1" applyFill="1" applyBorder="1" applyAlignment="1">
      <alignment horizontal="center" vertical="center"/>
    </xf>
    <xf numFmtId="192" fontId="55" fillId="0" borderId="0" xfId="22" applyNumberFormat="1" applyFont="1" applyFill="1" applyBorder="1" applyAlignment="1">
      <alignment horizontal="center" vertical="center"/>
    </xf>
    <xf numFmtId="192" fontId="96" fillId="0" borderId="0" xfId="22" applyNumberFormat="1" applyFont="1" applyFill="1" applyBorder="1" applyAlignment="1">
      <alignment horizontal="center" vertical="center"/>
    </xf>
    <xf numFmtId="164" fontId="91" fillId="0" borderId="36" xfId="0" applyNumberFormat="1" applyFont="1" applyBorder="1" applyAlignment="1">
      <alignment horizontal="center" vertical="center"/>
    </xf>
    <xf numFmtId="164" fontId="91" fillId="0" borderId="0" xfId="0" applyNumberFormat="1" applyFont="1" applyAlignment="1">
      <alignment horizontal="center" vertical="center"/>
    </xf>
    <xf numFmtId="164" fontId="62" fillId="0" borderId="36" xfId="0" applyNumberFormat="1" applyFont="1" applyBorder="1" applyAlignment="1">
      <alignment horizontal="center" vertical="center"/>
    </xf>
    <xf numFmtId="164" fontId="53" fillId="0" borderId="0" xfId="0" applyNumberFormat="1" applyFont="1" applyAlignment="1">
      <alignment vertical="center"/>
    </xf>
    <xf numFmtId="164" fontId="59" fillId="0" borderId="36" xfId="0" applyNumberFormat="1" applyFont="1" applyBorder="1" applyAlignment="1">
      <alignment horizontal="center" vertical="center"/>
    </xf>
    <xf numFmtId="188" fontId="56" fillId="0" borderId="0" xfId="22" applyNumberFormat="1" applyFont="1" applyFill="1" applyBorder="1" applyAlignment="1">
      <alignment horizontal="center" vertical="center"/>
    </xf>
    <xf numFmtId="192" fontId="56" fillId="0" borderId="0" xfId="22" applyNumberFormat="1" applyFont="1" applyFill="1" applyBorder="1" applyAlignment="1">
      <alignment horizontal="center" vertical="center"/>
    </xf>
    <xf numFmtId="192" fontId="48" fillId="0" borderId="0" xfId="22" applyNumberFormat="1" applyFont="1" applyFill="1" applyBorder="1" applyAlignment="1">
      <alignment horizontal="center" vertical="center"/>
    </xf>
    <xf numFmtId="192" fontId="56" fillId="0" borderId="0" xfId="0" applyNumberFormat="1" applyFont="1" applyAlignment="1">
      <alignment horizontal="center" vertical="center"/>
    </xf>
    <xf numFmtId="164" fontId="54" fillId="0" borderId="0" xfId="0" applyNumberFormat="1" applyFont="1" applyAlignment="1">
      <alignment vertical="center"/>
    </xf>
    <xf numFmtId="164" fontId="50" fillId="0" borderId="36" xfId="0" applyNumberFormat="1" applyFont="1" applyBorder="1" applyAlignment="1">
      <alignment horizontal="center" vertical="center"/>
    </xf>
    <xf numFmtId="164" fontId="50" fillId="0" borderId="0" xfId="0" applyNumberFormat="1" applyFont="1" applyAlignment="1">
      <alignment horizontal="center" vertical="center"/>
    </xf>
    <xf numFmtId="164" fontId="54" fillId="0" borderId="0" xfId="0" applyNumberFormat="1" applyFont="1" applyAlignment="1">
      <alignment horizontal="center" vertical="center"/>
    </xf>
    <xf numFmtId="164" fontId="54" fillId="0" borderId="36" xfId="0" applyNumberFormat="1" applyFont="1" applyBorder="1" applyAlignment="1">
      <alignment horizontal="center" vertical="center"/>
    </xf>
    <xf numFmtId="188" fontId="78" fillId="0" borderId="36" xfId="22" applyNumberFormat="1" applyFont="1" applyFill="1" applyBorder="1" applyAlignment="1">
      <alignment horizontal="center" vertical="center"/>
    </xf>
    <xf numFmtId="164" fontId="102" fillId="0" borderId="0" xfId="0" applyNumberFormat="1" applyFont="1" applyAlignment="1">
      <alignment horizontal="center" vertical="center"/>
    </xf>
    <xf numFmtId="164" fontId="104" fillId="0" borderId="0" xfId="0" applyNumberFormat="1" applyFont="1" applyAlignment="1">
      <alignment horizontal="center" vertical="center"/>
    </xf>
    <xf numFmtId="43" fontId="56" fillId="0" borderId="0" xfId="22" applyFont="1" applyFill="1" applyBorder="1" applyAlignment="1">
      <alignment horizontal="center" vertical="center"/>
    </xf>
    <xf numFmtId="164" fontId="85" fillId="0" borderId="0" xfId="0" applyNumberFormat="1" applyFont="1" applyAlignment="1">
      <alignment vertical="center"/>
    </xf>
    <xf numFmtId="191" fontId="55" fillId="0" borderId="36" xfId="51" applyNumberFormat="1" applyFont="1" applyFill="1" applyBorder="1" applyAlignment="1">
      <alignment horizontal="center" vertical="center"/>
    </xf>
    <xf numFmtId="191" fontId="55" fillId="0" borderId="0" xfId="51" applyNumberFormat="1" applyFont="1" applyFill="1" applyBorder="1" applyAlignment="1">
      <alignment horizontal="center" vertical="center"/>
    </xf>
    <xf numFmtId="191" fontId="96" fillId="0" borderId="0" xfId="51" applyNumberFormat="1" applyFont="1" applyFill="1" applyBorder="1" applyAlignment="1">
      <alignment horizontal="center" vertical="center"/>
    </xf>
    <xf numFmtId="191" fontId="48" fillId="0" borderId="36" xfId="51" applyNumberFormat="1" applyFont="1" applyFill="1" applyBorder="1" applyAlignment="1">
      <alignment horizontal="center" vertical="center"/>
    </xf>
    <xf numFmtId="186" fontId="48" fillId="0" borderId="0" xfId="0" applyNumberFormat="1" applyFont="1" applyAlignment="1">
      <alignment vertical="center"/>
    </xf>
    <xf numFmtId="15" fontId="53" fillId="0" borderId="0" xfId="0" applyNumberFormat="1" applyFont="1" applyAlignment="1">
      <alignment horizontal="left" vertical="center"/>
    </xf>
    <xf numFmtId="37" fontId="68" fillId="0" borderId="0" xfId="0" applyNumberFormat="1" applyFont="1" applyAlignment="1">
      <alignment horizontal="center" vertical="center"/>
    </xf>
    <xf numFmtId="164" fontId="68" fillId="0" borderId="36" xfId="0" applyNumberFormat="1" applyFont="1" applyBorder="1" applyAlignment="1">
      <alignment horizontal="center" vertical="center"/>
    </xf>
    <xf numFmtId="164" fontId="68" fillId="0" borderId="0" xfId="0" applyNumberFormat="1" applyFont="1" applyAlignment="1">
      <alignment horizontal="center" vertical="center"/>
    </xf>
    <xf numFmtId="164" fontId="62" fillId="0" borderId="0" xfId="0" applyNumberFormat="1" applyFont="1" applyAlignment="1">
      <alignment horizontal="center" vertical="center"/>
    </xf>
    <xf numFmtId="164" fontId="57" fillId="0" borderId="0" xfId="0" applyNumberFormat="1" applyFont="1" applyAlignment="1">
      <alignment vertical="center"/>
    </xf>
    <xf numFmtId="164" fontId="107" fillId="0" borderId="0" xfId="0" applyNumberFormat="1" applyFont="1" applyAlignment="1">
      <alignment horizontal="center" vertical="center"/>
    </xf>
    <xf numFmtId="164" fontId="57" fillId="0" borderId="36" xfId="0" applyNumberFormat="1" applyFont="1" applyBorder="1" applyAlignment="1">
      <alignment horizontal="center" vertical="center"/>
    </xf>
    <xf numFmtId="164" fontId="57" fillId="0" borderId="0" xfId="0" applyNumberFormat="1" applyFont="1" applyAlignment="1">
      <alignment horizontal="center" vertical="center"/>
    </xf>
    <xf numFmtId="164" fontId="56" fillId="0" borderId="0" xfId="22" applyNumberFormat="1" applyFont="1" applyFill="1" applyBorder="1" applyAlignment="1">
      <alignment horizontal="center" vertical="center"/>
    </xf>
    <xf numFmtId="164" fontId="56" fillId="0" borderId="0" xfId="22" quotePrefix="1" applyNumberFormat="1" applyFont="1" applyFill="1" applyBorder="1" applyAlignment="1">
      <alignment horizontal="center" vertical="center"/>
    </xf>
    <xf numFmtId="164" fontId="55" fillId="0" borderId="0" xfId="22" applyNumberFormat="1" applyFont="1" applyFill="1" applyBorder="1" applyAlignment="1">
      <alignment horizontal="center" vertical="center"/>
    </xf>
    <xf numFmtId="164" fontId="49" fillId="0" borderId="36" xfId="0" applyNumberFormat="1" applyFont="1" applyBorder="1" applyAlignment="1">
      <alignment horizontal="center" vertical="center"/>
    </xf>
    <xf numFmtId="164" fontId="49" fillId="0" borderId="0" xfId="0" applyNumberFormat="1" applyFont="1" applyAlignment="1">
      <alignment horizontal="center" vertical="center"/>
    </xf>
    <xf numFmtId="192" fontId="60" fillId="0" borderId="0" xfId="0" applyNumberFormat="1" applyFont="1" applyAlignment="1">
      <alignment horizontal="center" vertical="center"/>
    </xf>
    <xf numFmtId="192" fontId="107" fillId="0" borderId="0" xfId="0" applyNumberFormat="1" applyFont="1" applyAlignment="1">
      <alignment horizontal="center" vertical="center"/>
    </xf>
    <xf numFmtId="192" fontId="55" fillId="0" borderId="0" xfId="0" applyNumberFormat="1" applyFont="1" applyAlignment="1">
      <alignment horizontal="center" vertical="center"/>
    </xf>
    <xf numFmtId="164" fontId="55" fillId="0" borderId="5" xfId="0" applyNumberFormat="1" applyFont="1" applyBorder="1" applyAlignment="1">
      <alignment vertical="center"/>
    </xf>
    <xf numFmtId="164" fontId="91" fillId="0" borderId="35" xfId="0" applyNumberFormat="1" applyFont="1" applyBorder="1" applyAlignment="1">
      <alignment horizontal="center" vertical="center"/>
    </xf>
    <xf numFmtId="164" fontId="91" fillId="0" borderId="5" xfId="0" applyNumberFormat="1" applyFont="1" applyBorder="1" applyAlignment="1">
      <alignment horizontal="center" vertical="center"/>
    </xf>
    <xf numFmtId="164" fontId="62" fillId="0" borderId="35" xfId="0" applyNumberFormat="1" applyFont="1" applyBorder="1" applyAlignment="1">
      <alignment horizontal="center" vertical="center"/>
    </xf>
    <xf numFmtId="37" fontId="68" fillId="0" borderId="5" xfId="0" applyNumberFormat="1" applyFont="1" applyBorder="1" applyAlignment="1">
      <alignment horizontal="center" vertical="center"/>
    </xf>
    <xf numFmtId="164" fontId="56" fillId="0" borderId="5" xfId="0" applyNumberFormat="1" applyFont="1" applyBorder="1" applyAlignment="1">
      <alignment horizontal="center" vertical="center"/>
    </xf>
    <xf numFmtId="164" fontId="56" fillId="0" borderId="5" xfId="0" quotePrefix="1" applyNumberFormat="1" applyFont="1" applyBorder="1" applyAlignment="1">
      <alignment horizontal="center" vertical="center"/>
    </xf>
    <xf numFmtId="164" fontId="54" fillId="14" borderId="5" xfId="0" applyNumberFormat="1" applyFont="1" applyFill="1" applyBorder="1" applyAlignment="1">
      <alignment vertical="center"/>
    </xf>
    <xf numFmtId="164" fontId="50" fillId="14" borderId="35" xfId="0" applyNumberFormat="1" applyFont="1" applyFill="1" applyBorder="1" applyAlignment="1">
      <alignment horizontal="center" vertical="center"/>
    </xf>
    <xf numFmtId="164" fontId="50" fillId="14" borderId="5" xfId="0" applyNumberFormat="1" applyFont="1" applyFill="1" applyBorder="1" applyAlignment="1">
      <alignment horizontal="center" vertical="center"/>
    </xf>
    <xf numFmtId="164" fontId="104" fillId="14" borderId="5" xfId="0" applyNumberFormat="1" applyFont="1" applyFill="1" applyBorder="1" applyAlignment="1">
      <alignment horizontal="center" vertical="center"/>
    </xf>
    <xf numFmtId="164" fontId="108" fillId="0" borderId="36" xfId="0" applyNumberFormat="1" applyFont="1" applyBorder="1" applyAlignment="1">
      <alignment horizontal="center" vertical="center"/>
    </xf>
    <xf numFmtId="164" fontId="108" fillId="0" borderId="0" xfId="0" applyNumberFormat="1" applyFont="1" applyAlignment="1">
      <alignment horizontal="center" vertical="center"/>
    </xf>
    <xf numFmtId="164" fontId="51" fillId="0" borderId="36" xfId="0" applyNumberFormat="1" applyFont="1" applyBorder="1" applyAlignment="1">
      <alignment horizontal="center" vertical="center"/>
    </xf>
    <xf numFmtId="37" fontId="83" fillId="0" borderId="0" xfId="0" applyNumberFormat="1" applyFont="1" applyAlignment="1">
      <alignment horizontal="center" vertical="center"/>
    </xf>
    <xf numFmtId="188" fontId="66" fillId="8" borderId="0" xfId="22" applyNumberFormat="1" applyFont="1" applyFill="1" applyBorder="1" applyAlignment="1">
      <alignment horizontal="center" vertical="center"/>
    </xf>
    <xf numFmtId="188" fontId="66" fillId="8" borderId="36" xfId="22" applyNumberFormat="1" applyFont="1" applyFill="1" applyBorder="1" applyAlignment="1">
      <alignment horizontal="center" vertical="center"/>
    </xf>
    <xf numFmtId="164" fontId="102" fillId="0" borderId="36" xfId="0" applyNumberFormat="1" applyFont="1" applyBorder="1" applyAlignment="1">
      <alignment horizontal="center" vertical="center"/>
    </xf>
    <xf numFmtId="164" fontId="65" fillId="0" borderId="0" xfId="0" quotePrefix="1" applyNumberFormat="1" applyFont="1" applyAlignment="1">
      <alignment horizontal="center" vertical="center"/>
    </xf>
    <xf numFmtId="188" fontId="109" fillId="0" borderId="0" xfId="22" applyNumberFormat="1" applyFont="1" applyFill="1" applyBorder="1" applyAlignment="1">
      <alignment horizontal="center" vertical="center"/>
    </xf>
    <xf numFmtId="192" fontId="56" fillId="0" borderId="0" xfId="0" quotePrefix="1" applyNumberFormat="1" applyFont="1" applyAlignment="1">
      <alignment horizontal="center" vertical="center"/>
    </xf>
    <xf numFmtId="37" fontId="62" fillId="0" borderId="0" xfId="0" applyNumberFormat="1" applyFont="1" applyAlignment="1">
      <alignment horizontal="center" vertical="center"/>
    </xf>
    <xf numFmtId="188" fontId="60" fillId="0" borderId="36" xfId="0" applyNumberFormat="1" applyFont="1" applyBorder="1" applyAlignment="1">
      <alignment horizontal="center" vertical="center"/>
    </xf>
    <xf numFmtId="188" fontId="60" fillId="0" borderId="0" xfId="0" applyNumberFormat="1" applyFont="1" applyAlignment="1">
      <alignment horizontal="center" vertical="center"/>
    </xf>
    <xf numFmtId="188" fontId="48" fillId="0" borderId="36" xfId="0" applyNumberFormat="1" applyFont="1" applyBorder="1" applyAlignment="1">
      <alignment horizontal="center" vertical="center"/>
    </xf>
    <xf numFmtId="188" fontId="68" fillId="0" borderId="0" xfId="0" applyNumberFormat="1" applyFont="1" applyAlignment="1">
      <alignment horizontal="center" vertical="center"/>
    </xf>
    <xf numFmtId="188" fontId="48" fillId="0" borderId="0" xfId="0" applyNumberFormat="1" applyFont="1" applyAlignment="1">
      <alignment vertical="center"/>
    </xf>
    <xf numFmtId="192" fontId="54" fillId="14" borderId="5" xfId="22" applyNumberFormat="1" applyFont="1" applyFill="1" applyBorder="1" applyAlignment="1">
      <alignment horizontal="center" vertical="center"/>
    </xf>
    <xf numFmtId="192" fontId="54" fillId="14" borderId="35" xfId="0" applyNumberFormat="1" applyFont="1" applyFill="1" applyBorder="1" applyAlignment="1">
      <alignment horizontal="center" vertical="center"/>
    </xf>
    <xf numFmtId="192" fontId="54" fillId="14" borderId="35" xfId="22" applyNumberFormat="1" applyFont="1" applyFill="1" applyBorder="1" applyAlignment="1">
      <alignment horizontal="center" vertical="center"/>
    </xf>
    <xf numFmtId="192" fontId="56" fillId="0" borderId="0" xfId="22" quotePrefix="1" applyNumberFormat="1" applyFont="1" applyFill="1" applyBorder="1" applyAlignment="1">
      <alignment horizontal="center" vertical="center"/>
    </xf>
    <xf numFmtId="188" fontId="55" fillId="0" borderId="0" xfId="0" applyNumberFormat="1" applyFont="1" applyAlignment="1">
      <alignment vertical="center"/>
    </xf>
    <xf numFmtId="188" fontId="96" fillId="0" borderId="0" xfId="22" applyNumberFormat="1" applyFont="1" applyFill="1" applyBorder="1" applyAlignment="1">
      <alignment horizontal="center" vertical="center"/>
    </xf>
    <xf numFmtId="164" fontId="48" fillId="0" borderId="35" xfId="0" applyNumberFormat="1" applyFont="1" applyBorder="1" applyAlignment="1">
      <alignment horizontal="center" vertical="center"/>
    </xf>
    <xf numFmtId="164" fontId="55" fillId="0" borderId="26" xfId="0" applyNumberFormat="1" applyFont="1" applyBorder="1" applyAlignment="1">
      <alignment horizontal="center" vertical="center"/>
    </xf>
    <xf numFmtId="37" fontId="48" fillId="0" borderId="36" xfId="0" applyNumberFormat="1" applyFont="1" applyBorder="1" applyAlignment="1">
      <alignment horizontal="center"/>
    </xf>
    <xf numFmtId="164" fontId="48" fillId="0" borderId="36" xfId="0" applyNumberFormat="1" applyFont="1" applyBorder="1" applyAlignment="1">
      <alignment horizontal="center"/>
    </xf>
    <xf numFmtId="37" fontId="55" fillId="0" borderId="36" xfId="0" applyNumberFormat="1" applyFont="1" applyBorder="1" applyAlignment="1">
      <alignment horizontal="center"/>
    </xf>
    <xf numFmtId="37" fontId="55" fillId="0" borderId="0" xfId="0" applyNumberFormat="1" applyFont="1" applyAlignment="1">
      <alignment horizontal="center"/>
    </xf>
    <xf numFmtId="37" fontId="48" fillId="0" borderId="0" xfId="0" applyNumberFormat="1" applyFont="1"/>
    <xf numFmtId="164" fontId="50" fillId="14" borderId="36" xfId="0" applyNumberFormat="1" applyFont="1" applyFill="1" applyBorder="1" applyAlignment="1">
      <alignment horizontal="center"/>
    </xf>
    <xf numFmtId="164" fontId="50" fillId="14" borderId="0" xfId="0" applyNumberFormat="1" applyFont="1" applyFill="1" applyAlignment="1">
      <alignment horizontal="center"/>
    </xf>
    <xf numFmtId="164" fontId="54" fillId="14" borderId="36" xfId="0" applyNumberFormat="1" applyFont="1" applyFill="1" applyBorder="1" applyAlignment="1">
      <alignment horizontal="center"/>
    </xf>
    <xf numFmtId="184" fontId="54" fillId="14" borderId="0" xfId="0" applyNumberFormat="1" applyFont="1" applyFill="1"/>
    <xf numFmtId="184" fontId="50" fillId="14" borderId="36" xfId="27" applyNumberFormat="1" applyFont="1" applyFill="1" applyBorder="1" applyAlignment="1">
      <alignment horizontal="center"/>
    </xf>
    <xf numFmtId="164" fontId="50" fillId="14" borderId="36" xfId="27" applyNumberFormat="1" applyFont="1" applyFill="1" applyBorder="1" applyAlignment="1">
      <alignment horizontal="center"/>
    </xf>
    <xf numFmtId="37" fontId="57" fillId="0" borderId="0" xfId="0" applyNumberFormat="1" applyFont="1"/>
    <xf numFmtId="164" fontId="59" fillId="0" borderId="36" xfId="51" applyNumberFormat="1" applyFont="1" applyFill="1" applyBorder="1" applyAlignment="1">
      <alignment horizontal="center"/>
    </xf>
    <xf numFmtId="37" fontId="55" fillId="0" borderId="0" xfId="0" applyNumberFormat="1" applyFont="1"/>
    <xf numFmtId="164" fontId="55" fillId="0" borderId="0" xfId="0" quotePrefix="1" applyNumberFormat="1" applyFont="1"/>
    <xf numFmtId="164" fontId="54" fillId="14" borderId="0" xfId="0" applyNumberFormat="1" applyFont="1" applyFill="1"/>
    <xf numFmtId="164" fontId="54" fillId="14" borderId="0" xfId="0" applyNumberFormat="1" applyFont="1" applyFill="1" applyAlignment="1">
      <alignment horizontal="center"/>
    </xf>
    <xf numFmtId="184" fontId="50" fillId="14" borderId="0" xfId="0" applyNumberFormat="1" applyFont="1" applyFill="1" applyAlignment="1">
      <alignment horizontal="center"/>
    </xf>
    <xf numFmtId="167" fontId="49" fillId="0" borderId="0" xfId="0" applyNumberFormat="1" applyFont="1" applyAlignment="1">
      <alignment vertical="center"/>
    </xf>
    <xf numFmtId="43" fontId="50" fillId="0" borderId="0" xfId="22" applyFont="1" applyBorder="1" applyAlignment="1">
      <alignment vertical="center"/>
    </xf>
    <xf numFmtId="167" fontId="48" fillId="0" borderId="0" xfId="0" applyNumberFormat="1" applyFont="1" applyAlignment="1">
      <alignment vertical="center"/>
    </xf>
    <xf numFmtId="0" fontId="63" fillId="0" borderId="0" xfId="0" applyFont="1" applyAlignment="1">
      <alignment horizontal="right" vertical="center"/>
    </xf>
    <xf numFmtId="15" fontId="57" fillId="12" borderId="0" xfId="0" applyNumberFormat="1" applyFont="1" applyFill="1" applyAlignment="1">
      <alignment horizontal="left" vertical="center"/>
    </xf>
    <xf numFmtId="14" fontId="48" fillId="0" borderId="0" xfId="0" applyNumberFormat="1" applyFont="1" applyAlignment="1">
      <alignment vertical="center"/>
    </xf>
    <xf numFmtId="14" fontId="49" fillId="0" borderId="36" xfId="0" applyNumberFormat="1" applyFont="1" applyBorder="1" applyAlignment="1">
      <alignment horizontal="center" vertical="center"/>
    </xf>
    <xf numFmtId="14" fontId="49" fillId="0" borderId="0" xfId="0" applyNumberFormat="1" applyFont="1" applyAlignment="1">
      <alignment horizontal="center" vertical="center"/>
    </xf>
    <xf numFmtId="14" fontId="78" fillId="0" borderId="36" xfId="0" applyNumberFormat="1" applyFont="1" applyBorder="1" applyAlignment="1">
      <alignment horizontal="center" vertical="center"/>
    </xf>
    <xf numFmtId="14" fontId="110" fillId="0" borderId="0" xfId="0" applyNumberFormat="1" applyFont="1" applyAlignment="1">
      <alignment horizontal="center" vertical="center"/>
    </xf>
    <xf numFmtId="14" fontId="78" fillId="0" borderId="0" xfId="0" applyNumberFormat="1" applyFont="1" applyAlignment="1">
      <alignment horizontal="center" vertical="center"/>
    </xf>
    <xf numFmtId="14" fontId="59" fillId="0" borderId="0" xfId="0" applyNumberFormat="1" applyFont="1" applyAlignment="1">
      <alignment vertical="center"/>
    </xf>
    <xf numFmtId="164" fontId="102" fillId="0" borderId="36" xfId="22" applyNumberFormat="1" applyFont="1" applyFill="1" applyBorder="1" applyAlignment="1">
      <alignment horizontal="center" vertical="center"/>
    </xf>
    <xf numFmtId="164" fontId="102" fillId="0" borderId="0" xfId="22" applyNumberFormat="1" applyFont="1" applyFill="1" applyBorder="1" applyAlignment="1">
      <alignment horizontal="center" vertical="center"/>
    </xf>
    <xf numFmtId="164" fontId="50" fillId="0" borderId="36" xfId="22" applyNumberFormat="1" applyFont="1" applyFill="1" applyBorder="1" applyAlignment="1">
      <alignment horizontal="center" vertical="center"/>
    </xf>
    <xf numFmtId="164" fontId="104" fillId="0" borderId="36" xfId="22" applyNumberFormat="1" applyFont="1" applyFill="1" applyBorder="1" applyAlignment="1">
      <alignment horizontal="center" vertical="center"/>
    </xf>
    <xf numFmtId="164" fontId="54" fillId="0" borderId="36" xfId="22" applyNumberFormat="1" applyFont="1" applyFill="1" applyBorder="1" applyAlignment="1">
      <alignment horizontal="center" vertical="center"/>
    </xf>
    <xf numFmtId="164" fontId="104" fillId="0" borderId="0" xfId="22" applyNumberFormat="1" applyFont="1" applyFill="1" applyBorder="1" applyAlignment="1">
      <alignment horizontal="center" vertical="center"/>
    </xf>
    <xf numFmtId="183" fontId="104" fillId="0" borderId="0" xfId="22" applyNumberFormat="1" applyFont="1" applyFill="1" applyBorder="1" applyAlignment="1">
      <alignment horizontal="center" vertical="center"/>
    </xf>
    <xf numFmtId="183" fontId="54" fillId="0" borderId="0" xfId="22" applyNumberFormat="1" applyFont="1" applyFill="1" applyBorder="1" applyAlignment="1">
      <alignment horizontal="center" vertical="center"/>
    </xf>
    <xf numFmtId="14" fontId="51" fillId="0" borderId="0" xfId="0" applyNumberFormat="1" applyFont="1" applyAlignment="1">
      <alignment vertical="center"/>
    </xf>
    <xf numFmtId="191" fontId="50" fillId="0" borderId="36" xfId="51" applyNumberFormat="1" applyFont="1" applyFill="1" applyBorder="1" applyAlignment="1">
      <alignment horizontal="center" vertical="center"/>
    </xf>
    <xf numFmtId="191" fontId="59" fillId="0" borderId="36" xfId="51" applyNumberFormat="1" applyFont="1" applyFill="1" applyBorder="1" applyAlignment="1">
      <alignment horizontal="center" vertical="center"/>
    </xf>
    <xf numFmtId="191" fontId="50" fillId="0" borderId="0" xfId="51" applyNumberFormat="1" applyFont="1" applyFill="1" applyBorder="1" applyAlignment="1">
      <alignment horizontal="center" vertical="center"/>
    </xf>
    <xf numFmtId="191" fontId="48" fillId="0" borderId="0" xfId="0" applyNumberFormat="1" applyFont="1" applyAlignment="1">
      <alignment horizontal="center"/>
    </xf>
    <xf numFmtId="191" fontId="55" fillId="0" borderId="36" xfId="22" applyNumberFormat="1" applyFont="1" applyFill="1" applyBorder="1" applyAlignment="1">
      <alignment horizontal="center" vertical="center"/>
    </xf>
    <xf numFmtId="37" fontId="59" fillId="0" borderId="0" xfId="0" applyNumberFormat="1" applyFont="1" applyAlignment="1">
      <alignment horizontal="center"/>
    </xf>
    <xf numFmtId="2" fontId="57" fillId="0" borderId="0" xfId="51" applyNumberFormat="1" applyFont="1" applyFill="1" applyBorder="1" applyAlignment="1">
      <alignment horizontal="center" vertical="center"/>
    </xf>
    <xf numFmtId="164" fontId="48" fillId="0" borderId="0" xfId="22" applyNumberFormat="1" applyFont="1" applyFill="1" applyBorder="1" applyAlignment="1">
      <alignment horizontal="center" vertical="center"/>
    </xf>
    <xf numFmtId="164" fontId="48" fillId="0" borderId="0" xfId="22" applyNumberFormat="1" applyFont="1" applyFill="1" applyAlignment="1">
      <alignment horizontal="center" vertical="center"/>
    </xf>
    <xf numFmtId="14" fontId="49" fillId="14" borderId="35" xfId="0" applyNumberFormat="1" applyFont="1" applyFill="1" applyBorder="1" applyAlignment="1">
      <alignment horizontal="center" vertical="center"/>
    </xf>
    <xf numFmtId="14" fontId="49" fillId="14" borderId="5" xfId="0" applyNumberFormat="1" applyFont="1" applyFill="1" applyBorder="1" applyAlignment="1">
      <alignment horizontal="center" vertical="center"/>
    </xf>
    <xf numFmtId="14" fontId="78" fillId="14" borderId="35" xfId="0" applyNumberFormat="1" applyFont="1" applyFill="1" applyBorder="1" applyAlignment="1">
      <alignment horizontal="center" vertical="center"/>
    </xf>
    <xf numFmtId="14" fontId="110" fillId="14" borderId="5" xfId="0" applyNumberFormat="1" applyFont="1" applyFill="1" applyBorder="1" applyAlignment="1">
      <alignment horizontal="center" vertical="center"/>
    </xf>
    <xf numFmtId="14" fontId="78" fillId="14" borderId="5" xfId="0" applyNumberFormat="1" applyFont="1" applyFill="1" applyBorder="1" applyAlignment="1">
      <alignment horizontal="center" vertical="center"/>
    </xf>
    <xf numFmtId="164" fontId="50" fillId="14" borderId="35" xfId="22" applyNumberFormat="1" applyFont="1" applyFill="1" applyBorder="1" applyAlignment="1">
      <alignment horizontal="center" vertical="center"/>
    </xf>
    <xf numFmtId="164" fontId="50" fillId="14" borderId="5" xfId="22" applyNumberFormat="1" applyFont="1" applyFill="1" applyBorder="1" applyAlignment="1">
      <alignment horizontal="center" vertical="center"/>
    </xf>
    <xf numFmtId="14" fontId="59" fillId="8" borderId="0" xfId="0" applyNumberFormat="1" applyFont="1" applyFill="1" applyAlignment="1">
      <alignment vertical="center"/>
    </xf>
    <xf numFmtId="14" fontId="49" fillId="14" borderId="36" xfId="0" applyNumberFormat="1" applyFont="1" applyFill="1" applyBorder="1" applyAlignment="1">
      <alignment horizontal="center" vertical="center"/>
    </xf>
    <xf numFmtId="14" fontId="49" fillId="14" borderId="0" xfId="0" applyNumberFormat="1" applyFont="1" applyFill="1" applyAlignment="1">
      <alignment horizontal="center" vertical="center"/>
    </xf>
    <xf numFmtId="14" fontId="78" fillId="14" borderId="36" xfId="0" applyNumberFormat="1" applyFont="1" applyFill="1" applyBorder="1" applyAlignment="1">
      <alignment horizontal="center" vertical="center"/>
    </xf>
    <xf numFmtId="14" fontId="110" fillId="14" borderId="0" xfId="0" applyNumberFormat="1" applyFont="1" applyFill="1" applyAlignment="1">
      <alignment horizontal="center" vertical="center"/>
    </xf>
    <xf numFmtId="14" fontId="78" fillId="14" borderId="0" xfId="0" applyNumberFormat="1" applyFont="1" applyFill="1" applyAlignment="1">
      <alignment horizontal="center" vertical="center"/>
    </xf>
    <xf numFmtId="14" fontId="111" fillId="14" borderId="36" xfId="0" applyNumberFormat="1" applyFont="1" applyFill="1" applyBorder="1" applyAlignment="1">
      <alignment horizontal="center" vertical="center"/>
    </xf>
    <xf numFmtId="14" fontId="64" fillId="14" borderId="0" xfId="0" applyNumberFormat="1" applyFont="1" applyFill="1" applyAlignment="1">
      <alignment horizontal="center" vertical="center"/>
    </xf>
    <xf numFmtId="14" fontId="111" fillId="0" borderId="36" xfId="0" applyNumberFormat="1" applyFont="1" applyBorder="1" applyAlignment="1">
      <alignment horizontal="center" vertical="center"/>
    </xf>
    <xf numFmtId="14" fontId="64" fillId="0" borderId="0" xfId="0" applyNumberFormat="1" applyFont="1" applyAlignment="1">
      <alignment horizontal="center" vertical="center"/>
    </xf>
    <xf numFmtId="14" fontId="64" fillId="0" borderId="36" xfId="0" applyNumberFormat="1" applyFont="1" applyBorder="1" applyAlignment="1">
      <alignment horizontal="center" vertical="center"/>
    </xf>
    <xf numFmtId="14" fontId="105" fillId="0" borderId="36" xfId="0" applyNumberFormat="1" applyFont="1" applyBorder="1" applyAlignment="1">
      <alignment horizontal="center" vertical="center"/>
    </xf>
    <xf numFmtId="14" fontId="105" fillId="0" borderId="0" xfId="0" applyNumberFormat="1" applyFont="1" applyAlignment="1">
      <alignment horizontal="center" vertical="center"/>
    </xf>
    <xf numFmtId="192" fontId="112" fillId="0" borderId="0" xfId="22" applyNumberFormat="1" applyFont="1" applyFill="1" applyBorder="1" applyAlignment="1">
      <alignment horizontal="center" vertical="center"/>
    </xf>
    <xf numFmtId="192" fontId="112" fillId="0" borderId="36" xfId="22" applyNumberFormat="1" applyFont="1" applyFill="1" applyBorder="1" applyAlignment="1">
      <alignment horizontal="center" vertical="center"/>
    </xf>
    <xf numFmtId="188" fontId="112" fillId="0" borderId="0" xfId="22" applyNumberFormat="1" applyFont="1" applyFill="1" applyBorder="1" applyAlignment="1">
      <alignment horizontal="center" vertical="center"/>
    </xf>
    <xf numFmtId="191" fontId="112" fillId="0" borderId="36" xfId="22" applyNumberFormat="1" applyFont="1" applyFill="1" applyBorder="1" applyAlignment="1">
      <alignment horizontal="center" vertical="center"/>
    </xf>
    <xf numFmtId="191" fontId="112" fillId="0" borderId="0" xfId="22" applyNumberFormat="1" applyFont="1" applyFill="1" applyBorder="1" applyAlignment="1">
      <alignment horizontal="center" vertical="center"/>
    </xf>
    <xf numFmtId="183" fontId="55" fillId="0" borderId="36" xfId="51" applyNumberFormat="1" applyFont="1" applyFill="1" applyBorder="1" applyAlignment="1">
      <alignment horizontal="center" vertical="center"/>
    </xf>
    <xf numFmtId="183" fontId="48" fillId="0" borderId="0" xfId="22" applyNumberFormat="1" applyFont="1" applyFill="1" applyBorder="1" applyAlignment="1">
      <alignment horizontal="center" vertical="center"/>
    </xf>
    <xf numFmtId="0" fontId="57" fillId="0" borderId="0" xfId="51" applyNumberFormat="1" applyFont="1" applyFill="1" applyBorder="1" applyAlignment="1">
      <alignment horizontal="center" vertical="center"/>
    </xf>
    <xf numFmtId="192" fontId="57" fillId="0" borderId="36" xfId="51" applyNumberFormat="1" applyFont="1" applyFill="1" applyBorder="1" applyAlignment="1">
      <alignment horizontal="center" vertical="center"/>
    </xf>
    <xf numFmtId="183" fontId="48" fillId="0" borderId="36" xfId="22" applyNumberFormat="1" applyFont="1" applyFill="1" applyBorder="1" applyAlignment="1">
      <alignment horizontal="center" vertical="center"/>
    </xf>
    <xf numFmtId="191" fontId="59" fillId="0" borderId="0" xfId="51" applyNumberFormat="1" applyFont="1" applyFill="1" applyBorder="1" applyAlignment="1">
      <alignment horizontal="center"/>
    </xf>
    <xf numFmtId="14" fontId="49" fillId="0" borderId="35" xfId="0" applyNumberFormat="1" applyFont="1" applyBorder="1" applyAlignment="1">
      <alignment horizontal="center" vertical="center"/>
    </xf>
    <xf numFmtId="14" fontId="78" fillId="0" borderId="35" xfId="0" applyNumberFormat="1" applyFont="1" applyBorder="1" applyAlignment="1">
      <alignment horizontal="center" vertical="center"/>
    </xf>
    <xf numFmtId="14" fontId="111" fillId="0" borderId="35" xfId="0" applyNumberFormat="1" applyFont="1" applyBorder="1" applyAlignment="1">
      <alignment horizontal="center" vertical="center"/>
    </xf>
    <xf numFmtId="164" fontId="54" fillId="14" borderId="35" xfId="22" applyNumberFormat="1" applyFont="1" applyFill="1" applyBorder="1" applyAlignment="1">
      <alignment horizontal="center" vertical="center"/>
    </xf>
    <xf numFmtId="164" fontId="55" fillId="14" borderId="36" xfId="22" applyNumberFormat="1" applyFont="1" applyFill="1" applyBorder="1" applyAlignment="1">
      <alignment horizontal="center" vertical="center"/>
    </xf>
    <xf numFmtId="5" fontId="54" fillId="8" borderId="0" xfId="0" applyNumberFormat="1" applyFont="1" applyFill="1" applyAlignment="1">
      <alignment vertical="center"/>
    </xf>
    <xf numFmtId="5" fontId="113" fillId="0" borderId="36" xfId="0" applyNumberFormat="1" applyFont="1" applyBorder="1" applyAlignment="1">
      <alignment horizontal="center" vertical="center"/>
    </xf>
    <xf numFmtId="5" fontId="113" fillId="0" borderId="0" xfId="0" applyNumberFormat="1" applyFont="1" applyAlignment="1">
      <alignment horizontal="center" vertical="center"/>
    </xf>
    <xf numFmtId="5" fontId="80" fillId="0" borderId="36" xfId="0" applyNumberFormat="1" applyFont="1" applyBorder="1" applyAlignment="1">
      <alignment horizontal="center" vertical="center"/>
    </xf>
    <xf numFmtId="5" fontId="114" fillId="0" borderId="0" xfId="0" applyNumberFormat="1" applyFont="1" applyAlignment="1">
      <alignment horizontal="center" vertical="center"/>
    </xf>
    <xf numFmtId="5" fontId="50" fillId="0" borderId="0" xfId="0" applyNumberFormat="1" applyFont="1" applyAlignment="1">
      <alignment horizontal="center" vertical="center"/>
    </xf>
    <xf numFmtId="5" fontId="80" fillId="0" borderId="0" xfId="0" applyNumberFormat="1" applyFont="1" applyAlignment="1">
      <alignment horizontal="center" vertical="center"/>
    </xf>
    <xf numFmtId="164" fontId="50" fillId="0" borderId="0" xfId="22" applyNumberFormat="1" applyFont="1" applyFill="1" applyBorder="1" applyAlignment="1">
      <alignment horizontal="center" vertical="center"/>
    </xf>
    <xf numFmtId="196" fontId="104" fillId="0" borderId="0" xfId="22" applyNumberFormat="1" applyFont="1" applyFill="1" applyBorder="1" applyAlignment="1">
      <alignment horizontal="center" vertical="center"/>
    </xf>
    <xf numFmtId="196" fontId="54" fillId="0" borderId="36" xfId="22" applyNumberFormat="1" applyFont="1" applyFill="1" applyBorder="1" applyAlignment="1">
      <alignment horizontal="center" vertical="center"/>
    </xf>
    <xf numFmtId="196" fontId="104" fillId="0" borderId="0" xfId="51" applyNumberFormat="1" applyFont="1" applyFill="1" applyBorder="1" applyAlignment="1">
      <alignment horizontal="center" vertical="center"/>
    </xf>
    <xf numFmtId="196" fontId="54" fillId="0" borderId="0" xfId="51" applyNumberFormat="1" applyFont="1" applyFill="1" applyBorder="1" applyAlignment="1">
      <alignment horizontal="center" vertical="center"/>
    </xf>
    <xf numFmtId="191" fontId="49" fillId="0" borderId="36" xfId="0" applyNumberFormat="1" applyFont="1" applyBorder="1" applyAlignment="1">
      <alignment horizontal="center" vertical="center"/>
    </xf>
    <xf numFmtId="191" fontId="49" fillId="0" borderId="0" xfId="0" applyNumberFormat="1" applyFont="1" applyAlignment="1">
      <alignment horizontal="center" vertical="center"/>
    </xf>
    <xf numFmtId="191" fontId="78" fillId="0" borderId="36" xfId="0" applyNumberFormat="1" applyFont="1" applyBorder="1" applyAlignment="1">
      <alignment horizontal="center" vertical="center"/>
    </xf>
    <xf numFmtId="191" fontId="60" fillId="0" borderId="0" xfId="22" applyNumberFormat="1" applyFont="1" applyFill="1" applyBorder="1" applyAlignment="1">
      <alignment horizontal="center" vertical="center"/>
    </xf>
    <xf numFmtId="191" fontId="110" fillId="0" borderId="0" xfId="0" applyNumberFormat="1" applyFont="1" applyAlignment="1">
      <alignment horizontal="center" vertical="center"/>
    </xf>
    <xf numFmtId="191" fontId="78" fillId="0" borderId="0" xfId="0" applyNumberFormat="1" applyFont="1" applyAlignment="1">
      <alignment horizontal="center" vertical="center"/>
    </xf>
    <xf numFmtId="191" fontId="48" fillId="0" borderId="36" xfId="22" applyNumberFormat="1" applyFont="1" applyFill="1" applyBorder="1" applyAlignment="1">
      <alignment horizontal="center" vertical="center"/>
    </xf>
    <xf numFmtId="191" fontId="48" fillId="0" borderId="0" xfId="22" applyNumberFormat="1" applyFont="1" applyFill="1" applyBorder="1" applyAlignment="1">
      <alignment horizontal="center" vertical="center"/>
    </xf>
    <xf numFmtId="5" fontId="49" fillId="0" borderId="36" xfId="0" applyNumberFormat="1" applyFont="1" applyBorder="1" applyAlignment="1">
      <alignment horizontal="center" vertical="center"/>
    </xf>
    <xf numFmtId="5" fontId="49" fillId="0" borderId="0" xfId="0" applyNumberFormat="1" applyFont="1" applyAlignment="1">
      <alignment horizontal="center" vertical="center"/>
    </xf>
    <xf numFmtId="5" fontId="78" fillId="0" borderId="36" xfId="0" applyNumberFormat="1" applyFont="1" applyBorder="1" applyAlignment="1">
      <alignment horizontal="center" vertical="center"/>
    </xf>
    <xf numFmtId="164" fontId="60" fillId="0" borderId="0" xfId="22" applyNumberFormat="1" applyFont="1" applyFill="1" applyBorder="1" applyAlignment="1">
      <alignment horizontal="center" vertical="center"/>
    </xf>
    <xf numFmtId="5" fontId="110" fillId="0" borderId="0" xfId="0" applyNumberFormat="1" applyFont="1" applyAlignment="1">
      <alignment horizontal="center" vertical="center"/>
    </xf>
    <xf numFmtId="5" fontId="48" fillId="0" borderId="0" xfId="0" applyNumberFormat="1" applyFont="1" applyAlignment="1">
      <alignment horizontal="center" vertical="center"/>
    </xf>
    <xf numFmtId="5" fontId="78" fillId="0" borderId="0" xfId="0" applyNumberFormat="1" applyFont="1" applyAlignment="1">
      <alignment horizontal="center" vertical="center"/>
    </xf>
    <xf numFmtId="183" fontId="59" fillId="0" borderId="0" xfId="51" applyNumberFormat="1" applyFont="1" applyFill="1" applyBorder="1" applyAlignment="1">
      <alignment horizontal="center" vertical="center"/>
    </xf>
    <xf numFmtId="183" fontId="59" fillId="0" borderId="36" xfId="51" applyNumberFormat="1" applyFont="1" applyFill="1" applyBorder="1" applyAlignment="1">
      <alignment horizontal="center" vertical="center"/>
    </xf>
    <xf numFmtId="183" fontId="57" fillId="0" borderId="36" xfId="51" applyNumberFormat="1" applyFont="1" applyFill="1" applyBorder="1" applyAlignment="1">
      <alignment horizontal="center" vertical="center"/>
    </xf>
    <xf numFmtId="183" fontId="92" fillId="0" borderId="0" xfId="51" applyNumberFormat="1" applyFont="1" applyFill="1" applyBorder="1" applyAlignment="1">
      <alignment horizontal="center" vertical="center"/>
    </xf>
    <xf numFmtId="196" fontId="87" fillId="14" borderId="0" xfId="22" applyNumberFormat="1" applyFont="1" applyFill="1" applyBorder="1" applyAlignment="1">
      <alignment horizontal="center" vertical="center"/>
    </xf>
    <xf numFmtId="196" fontId="54" fillId="14" borderId="36" xfId="22" applyNumberFormat="1" applyFont="1" applyFill="1" applyBorder="1" applyAlignment="1">
      <alignment horizontal="center" vertical="center"/>
    </xf>
    <xf numFmtId="196" fontId="50" fillId="14" borderId="0" xfId="22" applyNumberFormat="1" applyFont="1" applyFill="1" applyBorder="1" applyAlignment="1">
      <alignment horizontal="center" vertical="center"/>
    </xf>
    <xf numFmtId="37" fontId="48" fillId="14" borderId="0" xfId="0" applyNumberFormat="1" applyFont="1" applyFill="1" applyAlignment="1">
      <alignment horizontal="center"/>
    </xf>
    <xf numFmtId="191" fontId="107" fillId="0" borderId="0" xfId="51" applyNumberFormat="1" applyFont="1" applyFill="1" applyBorder="1" applyAlignment="1">
      <alignment horizontal="center" vertical="center"/>
    </xf>
    <xf numFmtId="183" fontId="51" fillId="0" borderId="0" xfId="51" applyNumberFormat="1" applyFont="1" applyFill="1" applyBorder="1" applyAlignment="1">
      <alignment horizontal="center" vertical="center"/>
    </xf>
    <xf numFmtId="183" fontId="51" fillId="0" borderId="36" xfId="51" applyNumberFormat="1" applyFont="1" applyFill="1" applyBorder="1" applyAlignment="1">
      <alignment horizontal="center" vertical="center"/>
    </xf>
    <xf numFmtId="183" fontId="53" fillId="0" borderId="36" xfId="51" applyNumberFormat="1" applyFont="1" applyFill="1" applyBorder="1" applyAlignment="1">
      <alignment horizontal="center" vertical="center"/>
    </xf>
    <xf numFmtId="183" fontId="50" fillId="0" borderId="0" xfId="51" applyNumberFormat="1" applyFont="1" applyFill="1" applyBorder="1" applyAlignment="1">
      <alignment horizontal="center" vertical="center"/>
    </xf>
    <xf numFmtId="192" fontId="50" fillId="0" borderId="0" xfId="51" applyNumberFormat="1" applyFont="1" applyFill="1" applyBorder="1" applyAlignment="1">
      <alignment horizontal="center" vertical="center"/>
    </xf>
    <xf numFmtId="191" fontId="58" fillId="0" borderId="0" xfId="51" applyNumberFormat="1" applyFont="1" applyFill="1" applyBorder="1" applyAlignment="1">
      <alignment horizontal="center" vertical="center"/>
    </xf>
    <xf numFmtId="183" fontId="59" fillId="14" borderId="0" xfId="51" applyNumberFormat="1" applyFont="1" applyFill="1" applyBorder="1" applyAlignment="1">
      <alignment horizontal="center" vertical="center"/>
    </xf>
    <xf numFmtId="183" fontId="59" fillId="14" borderId="36" xfId="51" applyNumberFormat="1" applyFont="1" applyFill="1" applyBorder="1" applyAlignment="1">
      <alignment horizontal="center" vertical="center"/>
    </xf>
    <xf numFmtId="183" fontId="57" fillId="14" borderId="36" xfId="51" applyNumberFormat="1" applyFont="1" applyFill="1" applyBorder="1" applyAlignment="1">
      <alignment horizontal="center" vertical="center"/>
    </xf>
    <xf numFmtId="191" fontId="59" fillId="14" borderId="0" xfId="51" applyNumberFormat="1" applyFont="1" applyFill="1" applyBorder="1" applyAlignment="1">
      <alignment horizontal="center" vertical="center"/>
    </xf>
    <xf numFmtId="191" fontId="59" fillId="14" borderId="36" xfId="51" applyNumberFormat="1" applyFont="1" applyFill="1" applyBorder="1" applyAlignment="1">
      <alignment horizontal="center" vertical="center"/>
    </xf>
    <xf numFmtId="37" fontId="78" fillId="0" borderId="0" xfId="0" applyNumberFormat="1" applyFont="1" applyAlignment="1">
      <alignment vertical="center"/>
    </xf>
    <xf numFmtId="164" fontId="55" fillId="0" borderId="0" xfId="0" applyNumberFormat="1" applyFont="1" applyAlignment="1">
      <alignment horizontal="left" vertical="center" indent="2"/>
    </xf>
    <xf numFmtId="191" fontId="48" fillId="0" borderId="0" xfId="0" applyNumberFormat="1" applyFont="1" applyAlignment="1">
      <alignment horizontal="right" vertical="center"/>
    </xf>
    <xf numFmtId="191" fontId="69" fillId="0" borderId="0" xfId="0" applyNumberFormat="1" applyFont="1" applyAlignment="1">
      <alignment horizontal="left" vertical="center"/>
    </xf>
    <xf numFmtId="191" fontId="48" fillId="0" borderId="0" xfId="51" applyNumberFormat="1" applyFont="1" applyBorder="1" applyAlignment="1">
      <alignment horizontal="left" vertical="center"/>
    </xf>
    <xf numFmtId="191" fontId="59" fillId="0" borderId="0" xfId="0" applyNumberFormat="1" applyFont="1" applyAlignment="1">
      <alignment horizontal="left" vertical="center"/>
    </xf>
    <xf numFmtId="191" fontId="70" fillId="0" borderId="12" xfId="51" applyNumberFormat="1" applyFont="1" applyFill="1" applyBorder="1" applyAlignment="1">
      <alignment horizontal="center" vertical="center"/>
    </xf>
    <xf numFmtId="191" fontId="55" fillId="0" borderId="12" xfId="51" applyNumberFormat="1" applyFont="1" applyBorder="1" applyAlignment="1">
      <alignment horizontal="center" vertical="center"/>
    </xf>
    <xf numFmtId="191" fontId="57" fillId="0" borderId="0" xfId="51" applyNumberFormat="1" applyFont="1" applyFill="1" applyBorder="1" applyAlignment="1">
      <alignment vertical="center"/>
    </xf>
    <xf numFmtId="191" fontId="54" fillId="0" borderId="3" xfId="46" applyNumberFormat="1" applyFont="1" applyBorder="1" applyAlignment="1">
      <alignment horizontal="center" vertical="center"/>
    </xf>
    <xf numFmtId="191" fontId="54" fillId="0" borderId="28" xfId="46" applyNumberFormat="1" applyFont="1" applyBorder="1" applyAlignment="1">
      <alignment horizontal="center" vertical="center"/>
    </xf>
    <xf numFmtId="191" fontId="54" fillId="10" borderId="20" xfId="51" applyNumberFormat="1" applyFont="1" applyFill="1" applyBorder="1" applyAlignment="1" applyProtection="1">
      <alignment horizontal="center" vertical="center"/>
    </xf>
    <xf numFmtId="191" fontId="78" fillId="0" borderId="0" xfId="47" applyNumberFormat="1" applyFont="1" applyAlignment="1">
      <alignment vertical="center"/>
    </xf>
    <xf numFmtId="191" fontId="55" fillId="8" borderId="21" xfId="51" applyNumberFormat="1" applyFont="1" applyFill="1" applyBorder="1" applyAlignment="1">
      <alignment horizontal="center" vertical="center" wrapText="1"/>
    </xf>
    <xf numFmtId="191" fontId="55" fillId="8" borderId="22" xfId="51" applyNumberFormat="1" applyFont="1" applyFill="1" applyBorder="1" applyAlignment="1">
      <alignment horizontal="center" vertical="center" wrapText="1"/>
    </xf>
    <xf numFmtId="191" fontId="55" fillId="8" borderId="0" xfId="51" applyNumberFormat="1" applyFont="1" applyFill="1" applyBorder="1" applyAlignment="1">
      <alignment horizontal="center"/>
    </xf>
    <xf numFmtId="191" fontId="55" fillId="8" borderId="12" xfId="51" applyNumberFormat="1" applyFont="1" applyFill="1" applyBorder="1" applyAlignment="1">
      <alignment horizontal="center"/>
    </xf>
    <xf numFmtId="191" fontId="57" fillId="0" borderId="12" xfId="0" applyNumberFormat="1" applyFont="1" applyBorder="1" applyAlignment="1">
      <alignment horizontal="center"/>
    </xf>
    <xf numFmtId="191" fontId="86" fillId="0" borderId="0" xfId="51" applyNumberFormat="1" applyFont="1" applyBorder="1" applyAlignment="1">
      <alignment horizontal="center"/>
    </xf>
    <xf numFmtId="191" fontId="86" fillId="0" borderId="12" xfId="51" applyNumberFormat="1" applyFont="1" applyBorder="1" applyAlignment="1">
      <alignment horizontal="center"/>
    </xf>
    <xf numFmtId="191" fontId="49" fillId="0" borderId="25" xfId="51" applyNumberFormat="1" applyFont="1" applyBorder="1" applyAlignment="1">
      <alignment horizontal="center"/>
    </xf>
    <xf numFmtId="191" fontId="49" fillId="0" borderId="10" xfId="51" applyNumberFormat="1" applyFont="1" applyBorder="1" applyAlignment="1">
      <alignment horizontal="center"/>
    </xf>
    <xf numFmtId="191" fontId="49" fillId="0" borderId="0" xfId="51" applyNumberFormat="1" applyFont="1" applyBorder="1" applyAlignment="1">
      <alignment horizontal="center"/>
    </xf>
    <xf numFmtId="191" fontId="49" fillId="0" borderId="12" xfId="51" applyNumberFormat="1" applyFont="1" applyBorder="1" applyAlignment="1">
      <alignment horizontal="center"/>
    </xf>
    <xf numFmtId="191" fontId="89" fillId="0" borderId="0" xfId="0" applyNumberFormat="1" applyFont="1" applyAlignment="1">
      <alignment horizontal="center"/>
    </xf>
    <xf numFmtId="191" fontId="48" fillId="0" borderId="0" xfId="51" applyNumberFormat="1" applyFont="1" applyBorder="1" applyAlignment="1">
      <alignment vertical="center"/>
    </xf>
    <xf numFmtId="191" fontId="48" fillId="0" borderId="0" xfId="51" applyNumberFormat="1" applyFont="1" applyFill="1" applyBorder="1" applyAlignment="1">
      <alignment vertical="center"/>
    </xf>
    <xf numFmtId="191" fontId="48" fillId="0" borderId="0" xfId="0" applyNumberFormat="1" applyFont="1" applyAlignment="1">
      <alignment vertical="center"/>
    </xf>
    <xf numFmtId="191" fontId="59" fillId="0" borderId="0" xfId="51" applyNumberFormat="1" applyFont="1" applyBorder="1" applyAlignment="1">
      <alignment horizontal="right" vertical="center"/>
    </xf>
    <xf numFmtId="191" fontId="62" fillId="0" borderId="0" xfId="51" applyNumberFormat="1" applyFont="1" applyBorder="1" applyAlignment="1">
      <alignment horizontal="right" vertical="center"/>
    </xf>
    <xf numFmtId="191" fontId="59" fillId="0" borderId="0" xfId="51" applyNumberFormat="1" applyFont="1" applyFill="1" applyBorder="1" applyAlignment="1">
      <alignment vertical="center"/>
    </xf>
    <xf numFmtId="191" fontId="48" fillId="0" borderId="0" xfId="51" applyNumberFormat="1" applyFont="1" applyBorder="1" applyAlignment="1">
      <alignment horizontal="right" vertical="center"/>
    </xf>
    <xf numFmtId="191" fontId="59" fillId="8" borderId="0" xfId="51" applyNumberFormat="1" applyFont="1" applyFill="1" applyBorder="1" applyAlignment="1">
      <alignment horizontal="center" vertical="center"/>
    </xf>
    <xf numFmtId="191" fontId="59" fillId="8" borderId="0" xfId="51" applyNumberFormat="1" applyFont="1" applyFill="1" applyBorder="1" applyAlignment="1">
      <alignment vertical="center"/>
    </xf>
    <xf numFmtId="191" fontId="51" fillId="8" borderId="0" xfId="51" applyNumberFormat="1" applyFont="1" applyFill="1" applyBorder="1" applyAlignment="1">
      <alignment vertical="center"/>
    </xf>
    <xf numFmtId="191" fontId="59" fillId="0" borderId="0" xfId="51" applyNumberFormat="1" applyFont="1" applyFill="1" applyAlignment="1">
      <alignment horizontal="center" vertical="center"/>
    </xf>
    <xf numFmtId="191" fontId="59" fillId="0" borderId="36" xfId="51" applyNumberFormat="1" applyFont="1" applyFill="1" applyBorder="1" applyAlignment="1">
      <alignment vertical="center"/>
    </xf>
    <xf numFmtId="191" fontId="57" fillId="0" borderId="0" xfId="51" applyNumberFormat="1" applyFont="1" applyAlignment="1">
      <alignment horizontal="center" vertical="center"/>
    </xf>
    <xf numFmtId="191" fontId="57" fillId="0" borderId="0" xfId="0" applyNumberFormat="1" applyFont="1" applyAlignment="1">
      <alignment horizontal="left" vertical="center"/>
    </xf>
    <xf numFmtId="191" fontId="59" fillId="0" borderId="36" xfId="0" applyNumberFormat="1" applyFont="1" applyBorder="1" applyAlignment="1">
      <alignment vertical="center"/>
    </xf>
    <xf numFmtId="191" fontId="59" fillId="0" borderId="0" xfId="0" applyNumberFormat="1" applyFont="1" applyAlignment="1">
      <alignment vertical="center"/>
    </xf>
    <xf numFmtId="191" fontId="92" fillId="0" borderId="0" xfId="51" applyNumberFormat="1" applyFont="1" applyBorder="1" applyAlignment="1">
      <alignment horizontal="center" vertical="center"/>
    </xf>
    <xf numFmtId="191" fontId="59" fillId="14" borderId="0" xfId="51" applyNumberFormat="1" applyFont="1" applyFill="1" applyBorder="1" applyAlignment="1">
      <alignment vertical="center"/>
    </xf>
    <xf numFmtId="191" fontId="59" fillId="14" borderId="36" xfId="51" applyNumberFormat="1" applyFont="1" applyFill="1" applyBorder="1" applyAlignment="1">
      <alignment vertical="center"/>
    </xf>
    <xf numFmtId="191" fontId="52" fillId="0" borderId="36" xfId="51" applyNumberFormat="1" applyFont="1" applyFill="1" applyBorder="1" applyAlignment="1">
      <alignment horizontal="center" vertical="center"/>
    </xf>
    <xf numFmtId="191" fontId="101" fillId="0" borderId="0" xfId="51" applyNumberFormat="1" applyFont="1" applyBorder="1" applyAlignment="1">
      <alignment vertical="center"/>
    </xf>
    <xf numFmtId="191" fontId="59" fillId="0" borderId="36" xfId="51" applyNumberFormat="1" applyFont="1" applyFill="1" applyBorder="1" applyAlignment="1">
      <alignment horizontal="center"/>
    </xf>
    <xf numFmtId="191" fontId="49" fillId="0" borderId="0" xfId="51" applyNumberFormat="1" applyFont="1" applyBorder="1" applyAlignment="1">
      <alignment vertical="center"/>
    </xf>
    <xf numFmtId="191" fontId="50" fillId="0" borderId="0" xfId="51" applyNumberFormat="1" applyFont="1" applyBorder="1" applyAlignment="1">
      <alignment vertical="center"/>
    </xf>
    <xf numFmtId="191" fontId="57" fillId="8" borderId="0" xfId="51" applyNumberFormat="1" applyFont="1" applyFill="1" applyBorder="1" applyAlignment="1">
      <alignment vertical="center"/>
    </xf>
    <xf numFmtId="191" fontId="57" fillId="8" borderId="0" xfId="51" applyNumberFormat="1" applyFont="1" applyFill="1" applyBorder="1" applyAlignment="1">
      <alignment horizontal="left" vertical="center" indent="1"/>
    </xf>
    <xf numFmtId="191" fontId="51" fillId="0" borderId="36" xfId="51" applyNumberFormat="1" applyFont="1" applyFill="1" applyBorder="1" applyAlignment="1">
      <alignment horizontal="center" vertical="center"/>
    </xf>
    <xf numFmtId="191" fontId="51" fillId="0" borderId="0" xfId="51" applyNumberFormat="1" applyFont="1" applyFill="1" applyBorder="1" applyAlignment="1">
      <alignment horizontal="center" vertical="center"/>
    </xf>
    <xf numFmtId="191" fontId="55" fillId="8" borderId="0" xfId="51" applyNumberFormat="1" applyFont="1" applyFill="1" applyBorder="1" applyAlignment="1">
      <alignment vertical="center"/>
    </xf>
    <xf numFmtId="191" fontId="48" fillId="0" borderId="0" xfId="51" applyNumberFormat="1" applyFont="1" applyFill="1" applyBorder="1" applyAlignment="1">
      <alignment horizontal="center" vertical="center"/>
    </xf>
    <xf numFmtId="191" fontId="54" fillId="14" borderId="5" xfId="51" applyNumberFormat="1" applyFont="1" applyFill="1" applyBorder="1" applyAlignment="1">
      <alignment vertical="center"/>
    </xf>
    <xf numFmtId="191" fontId="57" fillId="14" borderId="0" xfId="51" applyNumberFormat="1" applyFont="1" applyFill="1" applyBorder="1" applyAlignment="1">
      <alignment vertical="center"/>
    </xf>
    <xf numFmtId="191" fontId="55" fillId="0" borderId="0" xfId="51" applyNumberFormat="1" applyFont="1" applyFill="1" applyBorder="1" applyAlignment="1">
      <alignment horizontal="left" vertical="center" indent="1"/>
    </xf>
    <xf numFmtId="191" fontId="50" fillId="14" borderId="36" xfId="51" applyNumberFormat="1" applyFont="1" applyFill="1" applyBorder="1" applyAlignment="1">
      <alignment horizontal="center" vertical="center"/>
    </xf>
    <xf numFmtId="191" fontId="50" fillId="14" borderId="0" xfId="51" applyNumberFormat="1" applyFont="1" applyFill="1" applyBorder="1" applyAlignment="1">
      <alignment horizontal="center" vertical="center"/>
    </xf>
    <xf numFmtId="191" fontId="59" fillId="14" borderId="0" xfId="51" applyNumberFormat="1" applyFont="1" applyFill="1" applyBorder="1" applyAlignment="1">
      <alignment horizontal="center"/>
    </xf>
    <xf numFmtId="191" fontId="54" fillId="8" borderId="0" xfId="51" applyNumberFormat="1" applyFont="1" applyFill="1" applyBorder="1" applyAlignment="1">
      <alignment vertical="center"/>
    </xf>
    <xf numFmtId="191" fontId="51" fillId="0" borderId="0" xfId="51" applyNumberFormat="1" applyFont="1" applyFill="1" applyBorder="1" applyAlignment="1">
      <alignment horizontal="center"/>
    </xf>
    <xf numFmtId="191" fontId="53" fillId="0" borderId="36" xfId="51" applyNumberFormat="1" applyFont="1" applyFill="1" applyBorder="1" applyAlignment="1">
      <alignment horizontal="center" vertical="center"/>
    </xf>
    <xf numFmtId="191" fontId="54" fillId="14" borderId="0" xfId="51" applyNumberFormat="1" applyFont="1" applyFill="1" applyBorder="1" applyAlignment="1">
      <alignment vertical="center"/>
    </xf>
    <xf numFmtId="191" fontId="57" fillId="8" borderId="3" xfId="51" applyNumberFormat="1" applyFont="1" applyFill="1" applyBorder="1" applyAlignment="1">
      <alignment horizontal="left" vertical="center" indent="1"/>
    </xf>
    <xf numFmtId="191" fontId="58" fillId="0" borderId="3" xfId="51" applyNumberFormat="1" applyFont="1" applyFill="1" applyBorder="1" applyAlignment="1">
      <alignment horizontal="center"/>
    </xf>
    <xf numFmtId="191" fontId="57" fillId="8" borderId="0" xfId="51" applyNumberFormat="1" applyFont="1" applyFill="1" applyBorder="1" applyAlignment="1">
      <alignment horizontal="center"/>
    </xf>
    <xf numFmtId="191" fontId="58" fillId="0" borderId="0" xfId="51" applyNumberFormat="1" applyFont="1" applyFill="1" applyBorder="1" applyAlignment="1">
      <alignment horizontal="center"/>
    </xf>
    <xf numFmtId="191" fontId="58" fillId="8" borderId="3" xfId="51" applyNumberFormat="1" applyFont="1" applyFill="1" applyBorder="1" applyAlignment="1">
      <alignment horizontal="center"/>
    </xf>
    <xf numFmtId="191" fontId="57" fillId="8" borderId="3" xfId="51" applyNumberFormat="1" applyFont="1" applyFill="1" applyBorder="1" applyAlignment="1">
      <alignment horizontal="left" vertical="center" indent="3"/>
    </xf>
    <xf numFmtId="191" fontId="57" fillId="8" borderId="31" xfId="51" applyNumberFormat="1" applyFont="1" applyFill="1" applyBorder="1" applyAlignment="1">
      <alignment horizontal="left" vertical="center" indent="3"/>
    </xf>
    <xf numFmtId="191" fontId="58" fillId="0" borderId="31" xfId="51" applyNumberFormat="1" applyFont="1" applyFill="1" applyBorder="1" applyAlignment="1">
      <alignment horizontal="center"/>
    </xf>
    <xf numFmtId="191" fontId="57" fillId="8" borderId="2" xfId="51" applyNumberFormat="1" applyFont="1" applyFill="1" applyBorder="1" applyAlignment="1">
      <alignment horizontal="center"/>
    </xf>
    <xf numFmtId="191" fontId="58" fillId="0" borderId="2" xfId="51" applyNumberFormat="1" applyFont="1" applyFill="1" applyBorder="1" applyAlignment="1">
      <alignment horizontal="center"/>
    </xf>
    <xf numFmtId="191" fontId="59" fillId="0" borderId="2" xfId="51" applyNumberFormat="1" applyFont="1" applyFill="1" applyBorder="1" applyAlignment="1">
      <alignment horizontal="center"/>
    </xf>
    <xf numFmtId="191" fontId="58" fillId="8" borderId="31" xfId="51" applyNumberFormat="1" applyFont="1" applyFill="1" applyBorder="1" applyAlignment="1">
      <alignment horizontal="center"/>
    </xf>
    <xf numFmtId="191" fontId="42" fillId="8" borderId="4" xfId="51" applyNumberFormat="1" applyFont="1" applyFill="1" applyBorder="1" applyAlignment="1">
      <alignment horizontal="left" vertical="center" indent="1"/>
    </xf>
    <xf numFmtId="191" fontId="43" fillId="8" borderId="0" xfId="51" applyNumberFormat="1" applyFont="1" applyFill="1"/>
    <xf numFmtId="191" fontId="42" fillId="8" borderId="0" xfId="51" applyNumberFormat="1" applyFont="1" applyFill="1" applyBorder="1" applyAlignment="1">
      <alignment horizontal="left" vertical="center" indent="1"/>
    </xf>
    <xf numFmtId="191" fontId="43" fillId="8" borderId="3" xfId="51" applyNumberFormat="1" applyFont="1" applyFill="1" applyBorder="1"/>
    <xf numFmtId="191" fontId="41" fillId="8" borderId="0" xfId="51" applyNumberFormat="1" applyFont="1" applyFill="1"/>
    <xf numFmtId="192" fontId="55" fillId="0" borderId="5" xfId="22" applyNumberFormat="1" applyFont="1" applyBorder="1" applyAlignment="1">
      <alignment horizontal="center" vertical="center"/>
    </xf>
    <xf numFmtId="192" fontId="55" fillId="0" borderId="35" xfId="0" applyNumberFormat="1" applyFont="1" applyBorder="1" applyAlignment="1">
      <alignment horizontal="center" vertical="center"/>
    </xf>
    <xf numFmtId="0" fontId="48" fillId="0" borderId="0" xfId="47" applyFont="1" applyAlignment="1">
      <alignment vertical="center"/>
    </xf>
    <xf numFmtId="0" fontId="59" fillId="0" borderId="0" xfId="47" applyFont="1" applyAlignment="1">
      <alignment vertical="center"/>
    </xf>
    <xf numFmtId="3" fontId="48" fillId="0" borderId="0" xfId="51" applyNumberFormat="1" applyFont="1" applyFill="1" applyBorder="1" applyAlignment="1">
      <alignment horizontal="center" vertical="center"/>
    </xf>
    <xf numFmtId="0" fontId="115" fillId="8" borderId="0" xfId="0" applyFont="1" applyFill="1"/>
    <xf numFmtId="37" fontId="54" fillId="9" borderId="0" xfId="0" applyNumberFormat="1" applyFont="1" applyFill="1" applyAlignment="1">
      <alignment horizontal="center" wrapText="1"/>
    </xf>
    <xf numFmtId="37" fontId="54" fillId="9" borderId="2" xfId="0" applyNumberFormat="1" applyFont="1" applyFill="1" applyBorder="1" applyAlignment="1">
      <alignment horizontal="center" wrapText="1"/>
    </xf>
    <xf numFmtId="0" fontId="48" fillId="14" borderId="36" xfId="0" applyFont="1" applyFill="1" applyBorder="1" applyAlignment="1">
      <alignment horizontal="center" vertical="center"/>
    </xf>
    <xf numFmtId="189" fontId="48" fillId="14" borderId="3" xfId="51" applyNumberFormat="1" applyFont="1" applyFill="1" applyBorder="1" applyAlignment="1">
      <alignment horizontal="center" vertical="center"/>
    </xf>
    <xf numFmtId="189" fontId="48" fillId="14" borderId="0" xfId="51" applyNumberFormat="1" applyFont="1" applyFill="1" applyBorder="1" applyAlignment="1">
      <alignment horizontal="center" vertical="center"/>
    </xf>
    <xf numFmtId="0" fontId="57" fillId="0" borderId="0" xfId="47" applyFont="1" applyAlignment="1">
      <alignment vertical="center"/>
    </xf>
    <xf numFmtId="191" fontId="55" fillId="0" borderId="0" xfId="47" applyNumberFormat="1" applyFont="1" applyAlignment="1">
      <alignment vertical="center"/>
    </xf>
    <xf numFmtId="164" fontId="55" fillId="0" borderId="0" xfId="47" applyNumberFormat="1" applyFont="1" applyAlignment="1">
      <alignment horizontal="center" vertical="center"/>
    </xf>
    <xf numFmtId="164" fontId="75" fillId="0" borderId="0" xfId="47" applyNumberFormat="1" applyFont="1" applyAlignment="1">
      <alignment horizontal="center" vertical="center"/>
    </xf>
    <xf numFmtId="191" fontId="52" fillId="8" borderId="0" xfId="47" applyNumberFormat="1" applyFont="1" applyFill="1" applyAlignment="1">
      <alignment horizontal="center" vertical="center"/>
    </xf>
    <xf numFmtId="166" fontId="52" fillId="8" borderId="0" xfId="47" applyNumberFormat="1" applyFont="1" applyFill="1" applyAlignment="1">
      <alignment horizontal="center" vertical="center"/>
    </xf>
    <xf numFmtId="191" fontId="75" fillId="0" borderId="0" xfId="47" applyNumberFormat="1" applyFont="1" applyAlignment="1">
      <alignment vertical="center"/>
    </xf>
    <xf numFmtId="191" fontId="55" fillId="0" borderId="0" xfId="47" applyNumberFormat="1" applyFont="1" applyAlignment="1">
      <alignment horizontal="center" vertical="center"/>
    </xf>
    <xf numFmtId="0" fontId="75" fillId="0" borderId="0" xfId="46" applyFont="1" applyAlignment="1">
      <alignment vertical="center"/>
    </xf>
    <xf numFmtId="37" fontId="39" fillId="0" borderId="0" xfId="582">
      <alignment horizontal="center"/>
    </xf>
    <xf numFmtId="37" fontId="39" fillId="0" borderId="0" xfId="582" applyAlignment="1">
      <alignment horizontal="left"/>
    </xf>
    <xf numFmtId="37" fontId="116" fillId="0" borderId="0" xfId="582" applyFont="1" applyAlignment="1">
      <alignment horizontal="left"/>
    </xf>
    <xf numFmtId="197" fontId="48" fillId="0" borderId="0" xfId="0" applyNumberFormat="1" applyFont="1" applyAlignment="1">
      <alignment horizontal="center" vertical="center"/>
    </xf>
    <xf numFmtId="197" fontId="70" fillId="0" borderId="12" xfId="0" applyNumberFormat="1" applyFont="1" applyBorder="1" applyAlignment="1">
      <alignment horizontal="center" vertical="center"/>
    </xf>
    <xf numFmtId="197" fontId="76" fillId="8" borderId="12" xfId="0" applyNumberFormat="1" applyFont="1" applyFill="1" applyBorder="1" applyAlignment="1">
      <alignment horizontal="center" vertical="center"/>
    </xf>
    <xf numFmtId="197" fontId="55" fillId="0" borderId="12" xfId="0" applyNumberFormat="1" applyFont="1" applyBorder="1" applyAlignment="1">
      <alignment horizontal="center" vertical="center"/>
    </xf>
    <xf numFmtId="197" fontId="48" fillId="0" borderId="0" xfId="0" applyNumberFormat="1" applyFont="1" applyAlignment="1">
      <alignment vertical="center"/>
    </xf>
    <xf numFmtId="197" fontId="50" fillId="14" borderId="30" xfId="0" applyNumberFormat="1" applyFont="1" applyFill="1" applyBorder="1" applyAlignment="1">
      <alignment horizontal="center" vertical="center"/>
    </xf>
    <xf numFmtId="197" fontId="50" fillId="14" borderId="4" xfId="0" applyNumberFormat="1" applyFont="1" applyFill="1" applyBorder="1" applyAlignment="1">
      <alignment horizontal="center" vertical="center"/>
    </xf>
    <xf numFmtId="197" fontId="50" fillId="14" borderId="32" xfId="0" applyNumberFormat="1" applyFont="1" applyFill="1" applyBorder="1" applyAlignment="1">
      <alignment horizontal="center" vertical="center"/>
    </xf>
    <xf numFmtId="197" fontId="48" fillId="0" borderId="0" xfId="0" applyNumberFormat="1" applyFont="1" applyAlignment="1">
      <alignment horizontal="left" vertical="center"/>
    </xf>
    <xf numFmtId="197" fontId="48" fillId="0" borderId="0" xfId="127" applyNumberFormat="1" applyFont="1" applyAlignment="1">
      <alignment horizontal="center"/>
    </xf>
    <xf numFmtId="197" fontId="50" fillId="0" borderId="0" xfId="127" applyNumberFormat="1" applyFont="1" applyAlignment="1">
      <alignment horizontal="center"/>
    </xf>
    <xf numFmtId="197" fontId="70" fillId="0" borderId="0" xfId="127" applyNumberFormat="1" applyFont="1" applyAlignment="1">
      <alignment horizontal="center"/>
    </xf>
    <xf numFmtId="197" fontId="48" fillId="0" borderId="0" xfId="22" applyNumberFormat="1" applyFont="1" applyFill="1" applyBorder="1" applyAlignment="1">
      <alignment horizontal="center" vertical="center"/>
    </xf>
    <xf numFmtId="43" fontId="60" fillId="0" borderId="0" xfId="22" applyFont="1" applyFill="1" applyBorder="1" applyAlignment="1">
      <alignment horizontal="center" vertical="center"/>
    </xf>
    <xf numFmtId="164" fontId="57" fillId="0" borderId="35" xfId="0" applyNumberFormat="1" applyFont="1" applyBorder="1" applyAlignment="1">
      <alignment horizontal="center" vertical="center"/>
    </xf>
    <xf numFmtId="164" fontId="78" fillId="0" borderId="36" xfId="0" applyNumberFormat="1" applyFont="1" applyBorder="1" applyAlignment="1">
      <alignment horizontal="center" vertical="center"/>
    </xf>
    <xf numFmtId="164" fontId="78" fillId="0" borderId="0" xfId="0" applyNumberFormat="1" applyFont="1" applyAlignment="1">
      <alignment horizontal="center" vertical="center"/>
    </xf>
    <xf numFmtId="188" fontId="78" fillId="0" borderId="0" xfId="22" applyNumberFormat="1" applyFont="1" applyFill="1" applyBorder="1" applyAlignment="1">
      <alignment horizontal="center" vertical="center"/>
    </xf>
    <xf numFmtId="164" fontId="103" fillId="0" borderId="0" xfId="0" applyNumberFormat="1" applyFont="1" applyAlignment="1">
      <alignment horizontal="center" vertical="center"/>
    </xf>
    <xf numFmtId="164" fontId="54" fillId="0" borderId="5" xfId="0" applyNumberFormat="1" applyFont="1" applyBorder="1" applyAlignment="1">
      <alignment vertical="center"/>
    </xf>
    <xf numFmtId="164" fontId="102" fillId="0" borderId="5" xfId="0" applyNumberFormat="1" applyFont="1" applyBorder="1" applyAlignment="1">
      <alignment horizontal="center" vertical="center"/>
    </xf>
    <xf numFmtId="37" fontId="50" fillId="0" borderId="5" xfId="0" applyNumberFormat="1" applyFont="1" applyBorder="1" applyAlignment="1">
      <alignment horizontal="center" vertical="center"/>
    </xf>
    <xf numFmtId="164" fontId="104" fillId="0" borderId="5" xfId="0" applyNumberFormat="1" applyFont="1" applyBorder="1" applyAlignment="1">
      <alignment horizontal="center" vertical="center"/>
    </xf>
    <xf numFmtId="164" fontId="50" fillId="0" borderId="8" xfId="0" applyNumberFormat="1" applyFont="1" applyBorder="1" applyAlignment="1">
      <alignment horizontal="center" vertical="center"/>
    </xf>
    <xf numFmtId="164" fontId="50" fillId="0" borderId="33" xfId="0" applyNumberFormat="1" applyFont="1" applyBorder="1" applyAlignment="1">
      <alignment horizontal="center" vertical="center"/>
    </xf>
    <xf numFmtId="164" fontId="53" fillId="0" borderId="35" xfId="0" applyNumberFormat="1" applyFont="1" applyBorder="1" applyAlignment="1">
      <alignment horizontal="center" vertical="center"/>
    </xf>
    <xf numFmtId="164" fontId="54" fillId="0" borderId="8" xfId="0" applyNumberFormat="1" applyFont="1" applyBorder="1" applyAlignment="1">
      <alignment horizontal="center" vertical="center"/>
    </xf>
    <xf numFmtId="164" fontId="54" fillId="0" borderId="6" xfId="0" applyNumberFormat="1" applyFont="1" applyBorder="1" applyAlignment="1">
      <alignment horizontal="center" vertical="center"/>
    </xf>
    <xf numFmtId="164" fontId="66" fillId="0" borderId="0" xfId="0" applyNumberFormat="1" applyFont="1" applyAlignment="1">
      <alignment horizontal="center" vertical="center"/>
    </xf>
    <xf numFmtId="37" fontId="54" fillId="0" borderId="0" xfId="0" applyNumberFormat="1" applyFont="1" applyAlignment="1">
      <alignment vertical="center"/>
    </xf>
    <xf numFmtId="37" fontId="96" fillId="0" borderId="36" xfId="0" applyNumberFormat="1" applyFont="1" applyBorder="1" applyAlignment="1">
      <alignment horizontal="center" vertical="center"/>
    </xf>
    <xf numFmtId="37" fontId="96" fillId="0" borderId="0" xfId="0" applyNumberFormat="1" applyFont="1" applyAlignment="1">
      <alignment horizontal="center" vertical="center"/>
    </xf>
    <xf numFmtId="191" fontId="48" fillId="0" borderId="36" xfId="0" applyNumberFormat="1" applyFont="1" applyBorder="1" applyAlignment="1">
      <alignment horizontal="center" vertical="center"/>
    </xf>
    <xf numFmtId="191" fontId="55" fillId="0" borderId="0" xfId="0" applyNumberFormat="1" applyFont="1" applyAlignment="1">
      <alignment horizontal="center" vertical="center"/>
    </xf>
    <xf numFmtId="191" fontId="55" fillId="0" borderId="36" xfId="0" applyNumberFormat="1" applyFont="1" applyBorder="1" applyAlignment="1">
      <alignment horizontal="center" vertical="center"/>
    </xf>
    <xf numFmtId="191" fontId="96" fillId="0" borderId="36" xfId="0" applyNumberFormat="1" applyFont="1" applyBorder="1" applyAlignment="1">
      <alignment horizontal="center" vertical="center"/>
    </xf>
    <xf numFmtId="191" fontId="55" fillId="0" borderId="0" xfId="0" applyNumberFormat="1" applyFont="1" applyAlignment="1">
      <alignment vertical="center"/>
    </xf>
    <xf numFmtId="197" fontId="48" fillId="0" borderId="36" xfId="0" applyNumberFormat="1" applyFont="1" applyBorder="1" applyAlignment="1">
      <alignment horizontal="center" vertical="center"/>
    </xf>
    <xf numFmtId="197" fontId="55" fillId="0" borderId="36" xfId="0" applyNumberFormat="1" applyFont="1" applyBorder="1" applyAlignment="1">
      <alignment horizontal="center" vertical="center"/>
    </xf>
    <xf numFmtId="197" fontId="55" fillId="0" borderId="0" xfId="22" applyNumberFormat="1" applyFont="1" applyFill="1" applyBorder="1" applyAlignment="1">
      <alignment horizontal="center" vertical="center"/>
    </xf>
    <xf numFmtId="197" fontId="105" fillId="0" borderId="0" xfId="22" applyNumberFormat="1" applyFont="1" applyFill="1" applyBorder="1" applyAlignment="1">
      <alignment horizontal="center" vertical="center"/>
    </xf>
    <xf numFmtId="197" fontId="64" fillId="0" borderId="0" xfId="22" applyNumberFormat="1" applyFont="1" applyFill="1" applyBorder="1" applyAlignment="1">
      <alignment horizontal="center" vertical="center"/>
    </xf>
    <xf numFmtId="191" fontId="105" fillId="0" borderId="0" xfId="51" applyNumberFormat="1" applyFont="1" applyFill="1" applyBorder="1" applyAlignment="1">
      <alignment horizontal="center" vertical="center"/>
    </xf>
    <xf numFmtId="191" fontId="64" fillId="0" borderId="0" xfId="51" applyNumberFormat="1" applyFont="1" applyFill="1" applyBorder="1" applyAlignment="1">
      <alignment horizontal="center" vertical="center"/>
    </xf>
    <xf numFmtId="169" fontId="48" fillId="0" borderId="0" xfId="0" applyNumberFormat="1" applyFont="1" applyAlignment="1">
      <alignment horizontal="center" vertical="center"/>
    </xf>
    <xf numFmtId="191" fontId="105" fillId="0" borderId="0" xfId="0" applyNumberFormat="1" applyFont="1" applyAlignment="1">
      <alignment horizontal="center" vertical="center"/>
    </xf>
    <xf numFmtId="191" fontId="64" fillId="0" borderId="0" xfId="0" applyNumberFormat="1" applyFont="1" applyAlignment="1">
      <alignment horizontal="center" vertical="center"/>
    </xf>
    <xf numFmtId="191" fontId="48" fillId="0" borderId="21" xfId="0" applyNumberFormat="1" applyFont="1" applyBorder="1" applyAlignment="1">
      <alignment horizontal="center" vertical="center"/>
    </xf>
    <xf numFmtId="191" fontId="55" fillId="0" borderId="21" xfId="0" applyNumberFormat="1" applyFont="1" applyBorder="1" applyAlignment="1">
      <alignment horizontal="center" vertical="center"/>
    </xf>
    <xf numFmtId="197" fontId="58" fillId="0" borderId="0" xfId="0" applyNumberFormat="1" applyFont="1" applyAlignment="1">
      <alignment horizontal="center" vertical="center"/>
    </xf>
    <xf numFmtId="0" fontId="106" fillId="0" borderId="0" xfId="0" applyFont="1" applyAlignment="1">
      <alignment horizontal="center"/>
    </xf>
    <xf numFmtId="0" fontId="66" fillId="9" borderId="0" xfId="0" applyFont="1" applyFill="1" applyAlignment="1">
      <alignment vertical="center"/>
    </xf>
    <xf numFmtId="164" fontId="70" fillId="0" borderId="0" xfId="22" applyNumberFormat="1" applyFont="1" applyFill="1" applyBorder="1" applyAlignment="1">
      <alignment horizontal="center" vertical="center"/>
    </xf>
    <xf numFmtId="0" fontId="83" fillId="0" borderId="0" xfId="0" applyFont="1" applyAlignment="1">
      <alignment horizontal="left"/>
    </xf>
    <xf numFmtId="0" fontId="84" fillId="0" borderId="0" xfId="0" applyFont="1" applyAlignment="1">
      <alignment horizontal="center"/>
    </xf>
    <xf numFmtId="0" fontId="48" fillId="0" borderId="0" xfId="0" applyFont="1" applyAlignment="1">
      <alignment horizontal="left"/>
    </xf>
    <xf numFmtId="3" fontId="48" fillId="0" borderId="0" xfId="51" applyNumberFormat="1" applyFont="1" applyFill="1" applyAlignment="1">
      <alignment horizontal="center"/>
    </xf>
    <xf numFmtId="191" fontId="48" fillId="0" borderId="0" xfId="51" applyNumberFormat="1" applyFont="1" applyFill="1" applyAlignment="1">
      <alignment horizontal="center"/>
    </xf>
    <xf numFmtId="187" fontId="50" fillId="0" borderId="0" xfId="0" applyNumberFormat="1" applyFont="1" applyAlignment="1">
      <alignment horizontal="center"/>
    </xf>
    <xf numFmtId="0" fontId="85" fillId="0" borderId="0" xfId="0" applyFont="1" applyAlignment="1">
      <alignment horizontal="left"/>
    </xf>
    <xf numFmtId="192" fontId="66" fillId="0" borderId="0" xfId="22" applyNumberFormat="1" applyFont="1" applyFill="1" applyAlignment="1">
      <alignment horizontal="center"/>
    </xf>
    <xf numFmtId="191" fontId="57" fillId="0" borderId="0" xfId="0" applyNumberFormat="1" applyFont="1" applyAlignment="1">
      <alignment horizontal="center" vertical="center"/>
    </xf>
    <xf numFmtId="7" fontId="55" fillId="0" borderId="12" xfId="27" applyNumberFormat="1" applyFont="1" applyFill="1" applyBorder="1" applyAlignment="1" applyProtection="1">
      <alignment horizontal="center" vertical="center"/>
    </xf>
    <xf numFmtId="37" fontId="70" fillId="0" borderId="0" xfId="47" applyNumberFormat="1" applyFont="1" applyAlignment="1">
      <alignment horizontal="center" vertical="center"/>
    </xf>
    <xf numFmtId="7" fontId="75" fillId="0" borderId="12" xfId="27" applyNumberFormat="1" applyFont="1" applyFill="1" applyBorder="1" applyAlignment="1" applyProtection="1">
      <alignment horizontal="center" vertical="center"/>
    </xf>
    <xf numFmtId="191" fontId="57" fillId="0" borderId="0" xfId="0" applyNumberFormat="1" applyFont="1" applyAlignment="1">
      <alignment horizontal="center"/>
    </xf>
    <xf numFmtId="0" fontId="55" fillId="8" borderId="11" xfId="0" applyFont="1" applyFill="1" applyBorder="1" applyAlignment="1">
      <alignment horizontal="left"/>
    </xf>
    <xf numFmtId="0" fontId="55" fillId="8" borderId="11" xfId="0" applyFont="1" applyFill="1" applyBorder="1" applyAlignment="1">
      <alignment horizontal="left" vertical="center"/>
    </xf>
    <xf numFmtId="0" fontId="55" fillId="0" borderId="11" xfId="0" applyFont="1" applyBorder="1" applyAlignment="1">
      <alignment horizontal="left" vertical="center"/>
    </xf>
    <xf numFmtId="0" fontId="55" fillId="8" borderId="9" xfId="0" applyFont="1" applyFill="1" applyBorder="1" applyAlignment="1">
      <alignment horizontal="left"/>
    </xf>
    <xf numFmtId="0" fontId="57" fillId="0" borderId="11" xfId="0" applyFont="1" applyBorder="1" applyAlignment="1">
      <alignment horizontal="left"/>
    </xf>
    <xf numFmtId="0" fontId="55" fillId="0" borderId="11" xfId="0" applyFont="1" applyBorder="1" applyAlignment="1">
      <alignment horizontal="left"/>
    </xf>
    <xf numFmtId="37" fontId="75" fillId="0" borderId="11" xfId="0" applyNumberFormat="1" applyFont="1" applyBorder="1" applyAlignment="1">
      <alignment horizontal="left" vertical="center"/>
    </xf>
    <xf numFmtId="37" fontId="55" fillId="0" borderId="11" xfId="0" applyNumberFormat="1" applyFont="1" applyBorder="1" applyAlignment="1">
      <alignment horizontal="left" vertical="center"/>
    </xf>
    <xf numFmtId="0" fontId="54" fillId="0" borderId="11" xfId="0" applyFont="1" applyBorder="1" applyAlignment="1">
      <alignment horizontal="left"/>
    </xf>
    <xf numFmtId="0" fontId="54" fillId="0" borderId="14" xfId="0" applyFont="1" applyBorder="1" applyAlignment="1">
      <alignment horizontal="left"/>
    </xf>
    <xf numFmtId="0" fontId="50" fillId="0" borderId="0" xfId="0" applyFont="1" applyAlignment="1">
      <alignment horizontal="left"/>
    </xf>
    <xf numFmtId="0" fontId="48" fillId="0" borderId="11" xfId="0" applyFont="1" applyBorder="1" applyAlignment="1">
      <alignment horizontal="left"/>
    </xf>
    <xf numFmtId="37" fontId="70" fillId="0" borderId="36" xfId="0" applyNumberFormat="1" applyFont="1" applyBorder="1" applyAlignment="1">
      <alignment horizontal="center" vertical="center"/>
    </xf>
    <xf numFmtId="37" fontId="70" fillId="0" borderId="0" xfId="0" applyNumberFormat="1" applyFont="1" applyAlignment="1">
      <alignment horizontal="center" vertical="center"/>
    </xf>
    <xf numFmtId="191" fontId="92" fillId="0" borderId="0" xfId="51" applyNumberFormat="1" applyFont="1" applyFill="1" applyBorder="1" applyAlignment="1">
      <alignment horizontal="centerContinuous" vertical="center"/>
    </xf>
    <xf numFmtId="199" fontId="85" fillId="0" borderId="0" xfId="0" applyNumberFormat="1" applyFont="1" applyAlignment="1">
      <alignment vertical="center"/>
    </xf>
    <xf numFmtId="199" fontId="66" fillId="0" borderId="36" xfId="0" applyNumberFormat="1" applyFont="1" applyBorder="1" applyAlignment="1">
      <alignment horizontal="center" vertical="center"/>
    </xf>
    <xf numFmtId="199" fontId="66" fillId="0" borderId="0" xfId="0" applyNumberFormat="1" applyFont="1" applyAlignment="1">
      <alignment horizontal="center" vertical="center"/>
    </xf>
    <xf numFmtId="199" fontId="66" fillId="0" borderId="36" xfId="22" applyNumberFormat="1" applyFont="1" applyFill="1" applyBorder="1" applyAlignment="1">
      <alignment horizontal="center" vertical="center"/>
    </xf>
    <xf numFmtId="199" fontId="66" fillId="0" borderId="0" xfId="22" applyNumberFormat="1" applyFont="1" applyFill="1" applyBorder="1" applyAlignment="1">
      <alignment horizontal="center" vertical="center"/>
    </xf>
    <xf numFmtId="0" fontId="116" fillId="0" borderId="0" xfId="0" applyFont="1"/>
    <xf numFmtId="0" fontId="116" fillId="0" borderId="0" xfId="0" applyFont="1" applyAlignment="1">
      <alignment horizontal="center"/>
    </xf>
    <xf numFmtId="14" fontId="116" fillId="0" borderId="0" xfId="0" applyNumberFormat="1" applyFont="1" applyAlignment="1">
      <alignment horizontal="center"/>
    </xf>
    <xf numFmtId="0" fontId="116" fillId="0" borderId="0" xfId="0" applyFont="1" applyAlignment="1">
      <alignment vertical="center"/>
    </xf>
    <xf numFmtId="14" fontId="116" fillId="0" borderId="0" xfId="0" applyNumberFormat="1" applyFont="1"/>
    <xf numFmtId="0" fontId="66" fillId="0" borderId="0" xfId="0" applyFont="1" applyAlignment="1">
      <alignment horizontal="center"/>
    </xf>
    <xf numFmtId="14" fontId="116" fillId="0" borderId="0" xfId="0" quotePrefix="1" applyNumberFormat="1" applyFont="1"/>
    <xf numFmtId="0" fontId="121" fillId="0" borderId="0" xfId="0" applyFont="1"/>
    <xf numFmtId="0" fontId="52" fillId="0" borderId="0" xfId="0" applyFont="1"/>
    <xf numFmtId="0" fontId="58" fillId="0" borderId="0" xfId="0" applyFont="1"/>
    <xf numFmtId="0" fontId="123" fillId="0" borderId="36" xfId="0" applyFont="1" applyBorder="1" applyAlignment="1">
      <alignment horizontal="left" vertical="center"/>
    </xf>
    <xf numFmtId="0" fontId="86" fillId="0" borderId="0" xfId="0" applyFont="1"/>
    <xf numFmtId="0" fontId="116" fillId="14" borderId="36" xfId="0" applyFont="1" applyFill="1" applyBorder="1" applyAlignment="1">
      <alignment horizontal="left" vertical="center"/>
    </xf>
    <xf numFmtId="198" fontId="116" fillId="18" borderId="0" xfId="0" applyNumberFormat="1" applyFont="1" applyFill="1" applyAlignment="1">
      <alignment horizontal="center" vertical="center"/>
    </xf>
    <xf numFmtId="0" fontId="123" fillId="0" borderId="21" xfId="0" applyFont="1" applyBorder="1" applyAlignment="1">
      <alignment horizontal="left" vertical="center"/>
    </xf>
    <xf numFmtId="14" fontId="52" fillId="0" borderId="0" xfId="0" applyNumberFormat="1" applyFont="1"/>
    <xf numFmtId="14" fontId="3" fillId="0" borderId="0" xfId="0" quotePrefix="1" applyNumberFormat="1" applyFont="1"/>
    <xf numFmtId="15" fontId="124" fillId="0" borderId="0" xfId="582" applyNumberFormat="1" applyFont="1" applyAlignment="1">
      <alignment horizontal="left"/>
    </xf>
    <xf numFmtId="0" fontId="3" fillId="14" borderId="4" xfId="0" applyFont="1" applyFill="1" applyBorder="1" applyAlignment="1">
      <alignment horizontal="center" vertical="center"/>
    </xf>
    <xf numFmtId="0" fontId="3" fillId="14" borderId="36" xfId="0" applyFont="1" applyFill="1" applyBorder="1" applyAlignment="1">
      <alignment vertical="center"/>
    </xf>
    <xf numFmtId="0" fontId="3" fillId="18" borderId="0" xfId="0" applyFont="1" applyFill="1" applyAlignment="1">
      <alignment horizontal="center" vertical="center"/>
    </xf>
    <xf numFmtId="0" fontId="3" fillId="18" borderId="4" xfId="0" applyFont="1" applyFill="1" applyBorder="1" applyAlignment="1">
      <alignment horizontal="center" vertical="center"/>
    </xf>
    <xf numFmtId="191" fontId="39" fillId="0" borderId="0" xfId="582" applyNumberFormat="1">
      <alignment horizontal="center"/>
    </xf>
    <xf numFmtId="198" fontId="116" fillId="21" borderId="0" xfId="0" applyNumberFormat="1" applyFont="1" applyFill="1" applyAlignment="1">
      <alignment horizontal="center" vertical="center"/>
    </xf>
    <xf numFmtId="0" fontId="125" fillId="0" borderId="0" xfId="0" applyFont="1"/>
    <xf numFmtId="37" fontId="41" fillId="0" borderId="0" xfId="582" applyFont="1">
      <alignment horizontal="center"/>
    </xf>
    <xf numFmtId="14" fontId="116" fillId="0" borderId="0" xfId="0" applyNumberFormat="1" applyFont="1" applyAlignment="1">
      <alignment horizontal="center" vertical="center"/>
    </xf>
    <xf numFmtId="0" fontId="116" fillId="0" borderId="0" xfId="0" applyFont="1" applyAlignment="1">
      <alignment horizontal="center" vertical="center"/>
    </xf>
    <xf numFmtId="1" fontId="116" fillId="0" borderId="0" xfId="0" applyNumberFormat="1" applyFont="1" applyAlignment="1">
      <alignment horizontal="center" vertical="center"/>
    </xf>
    <xf numFmtId="191" fontId="116" fillId="0" borderId="0" xfId="0" applyNumberFormat="1" applyFont="1" applyAlignment="1">
      <alignment horizontal="center" vertical="center"/>
    </xf>
    <xf numFmtId="192" fontId="116" fillId="0" borderId="0" xfId="0" applyNumberFormat="1" applyFont="1" applyAlignment="1">
      <alignment horizontal="center" vertical="center"/>
    </xf>
    <xf numFmtId="192" fontId="39" fillId="0" borderId="0" xfId="582" applyNumberFormat="1">
      <alignment horizontal="center"/>
    </xf>
    <xf numFmtId="39" fontId="116" fillId="0" borderId="0" xfId="0" applyNumberFormat="1" applyFont="1" applyAlignment="1">
      <alignment horizontal="center" vertical="center"/>
    </xf>
    <xf numFmtId="39" fontId="39" fillId="0" borderId="0" xfId="582" applyNumberFormat="1">
      <alignment horizontal="center"/>
    </xf>
    <xf numFmtId="164" fontId="116" fillId="0" borderId="0" xfId="0" applyNumberFormat="1" applyFont="1" applyAlignment="1">
      <alignment horizontal="center" vertical="center"/>
    </xf>
    <xf numFmtId="164" fontId="39" fillId="0" borderId="0" xfId="582" applyNumberFormat="1">
      <alignment horizontal="center"/>
    </xf>
    <xf numFmtId="14" fontId="116" fillId="11" borderId="0" xfId="0" applyNumberFormat="1" applyFont="1" applyFill="1" applyAlignment="1">
      <alignment horizontal="center" vertical="center"/>
    </xf>
    <xf numFmtId="192" fontId="116" fillId="11" borderId="0" xfId="0" applyNumberFormat="1" applyFont="1" applyFill="1" applyAlignment="1">
      <alignment horizontal="center" vertical="center"/>
    </xf>
    <xf numFmtId="191" fontId="116" fillId="11" borderId="0" xfId="0" applyNumberFormat="1" applyFont="1" applyFill="1" applyAlignment="1">
      <alignment horizontal="center" vertical="center"/>
    </xf>
    <xf numFmtId="37" fontId="39" fillId="11" borderId="0" xfId="582" applyFill="1">
      <alignment horizontal="center"/>
    </xf>
    <xf numFmtId="39" fontId="116" fillId="11" borderId="0" xfId="0" applyNumberFormat="1" applyFont="1" applyFill="1" applyAlignment="1">
      <alignment horizontal="center" vertical="center"/>
    </xf>
    <xf numFmtId="164" fontId="116" fillId="11" borderId="0" xfId="0" applyNumberFormat="1" applyFont="1" applyFill="1" applyAlignment="1">
      <alignment horizontal="center" vertical="center"/>
    </xf>
    <xf numFmtId="0" fontId="116" fillId="11" borderId="0" xfId="0" applyFont="1" applyFill="1" applyAlignment="1">
      <alignment horizontal="center" vertical="center"/>
    </xf>
    <xf numFmtId="1" fontId="116" fillId="11" borderId="0" xfId="0" applyNumberFormat="1" applyFont="1" applyFill="1" applyAlignment="1">
      <alignment horizontal="center" vertical="center"/>
    </xf>
    <xf numFmtId="191" fontId="39" fillId="11" borderId="0" xfId="582" applyNumberFormat="1" applyFill="1">
      <alignment horizontal="center"/>
    </xf>
    <xf numFmtId="193" fontId="116" fillId="21" borderId="0" xfId="0" applyNumberFormat="1" applyFont="1" applyFill="1" applyAlignment="1">
      <alignment horizontal="center" vertical="center"/>
    </xf>
    <xf numFmtId="191" fontId="123" fillId="0" borderId="36" xfId="0" applyNumberFormat="1" applyFont="1" applyBorder="1" applyAlignment="1">
      <alignment horizontal="left" vertical="center"/>
    </xf>
    <xf numFmtId="0" fontId="55" fillId="20" borderId="36" xfId="0" applyFont="1" applyFill="1" applyBorder="1" applyAlignment="1">
      <alignment horizontal="left" vertical="center"/>
    </xf>
    <xf numFmtId="198" fontId="55" fillId="19" borderId="0" xfId="0" applyNumberFormat="1" applyFont="1" applyFill="1" applyAlignment="1">
      <alignment horizontal="center" vertical="center"/>
    </xf>
    <xf numFmtId="194" fontId="55" fillId="22" borderId="0" xfId="0" applyNumberFormat="1" applyFont="1" applyFill="1" applyAlignment="1">
      <alignment horizontal="center" vertical="center"/>
    </xf>
    <xf numFmtId="195" fontId="55" fillId="22" borderId="0" xfId="0" applyNumberFormat="1" applyFont="1" applyFill="1" applyAlignment="1">
      <alignment horizontal="center" vertical="center"/>
    </xf>
    <xf numFmtId="0" fontId="64" fillId="0" borderId="0" xfId="0" applyFont="1"/>
    <xf numFmtId="0" fontId="126" fillId="0" borderId="0" xfId="0" applyFont="1"/>
    <xf numFmtId="0" fontId="123" fillId="0" borderId="0" xfId="0" applyFont="1"/>
    <xf numFmtId="164" fontId="48" fillId="0" borderId="0" xfId="0" applyNumberFormat="1" applyFont="1" applyAlignment="1">
      <alignment horizontal="center"/>
    </xf>
    <xf numFmtId="194" fontId="54" fillId="14" borderId="0" xfId="0" applyNumberFormat="1" applyFont="1" applyFill="1" applyAlignment="1">
      <alignment horizontal="center"/>
    </xf>
    <xf numFmtId="194" fontId="54" fillId="14" borderId="36" xfId="27" applyNumberFormat="1" applyFont="1" applyFill="1" applyBorder="1" applyAlignment="1">
      <alignment horizontal="center" vertical="center"/>
    </xf>
    <xf numFmtId="0" fontId="78" fillId="0" borderId="12" xfId="47" applyFont="1" applyBorder="1" applyAlignment="1">
      <alignment vertical="center"/>
    </xf>
    <xf numFmtId="0" fontId="116" fillId="10" borderId="0" xfId="0" applyFont="1" applyFill="1" applyAlignment="1">
      <alignment horizontal="left"/>
    </xf>
    <xf numFmtId="3" fontId="52" fillId="10" borderId="0" xfId="0" applyNumberFormat="1" applyFont="1" applyFill="1" applyAlignment="1">
      <alignment horizontal="left"/>
    </xf>
    <xf numFmtId="0" fontId="123" fillId="10" borderId="0" xfId="0" applyFont="1" applyFill="1"/>
    <xf numFmtId="3" fontId="48" fillId="10" borderId="0" xfId="0" applyNumberFormat="1" applyFont="1" applyFill="1" applyAlignment="1">
      <alignment horizontal="left"/>
    </xf>
    <xf numFmtId="0" fontId="48" fillId="10" borderId="0" xfId="0" applyFont="1" applyFill="1" applyAlignment="1">
      <alignment horizontal="left"/>
    </xf>
    <xf numFmtId="0" fontId="127" fillId="10" borderId="0" xfId="0" applyFont="1" applyFill="1" applyAlignment="1">
      <alignment horizontal="centerContinuous"/>
    </xf>
    <xf numFmtId="5" fontId="41" fillId="24" borderId="4" xfId="0" applyNumberFormat="1" applyFont="1" applyFill="1" applyBorder="1" applyAlignment="1">
      <alignment vertical="center"/>
    </xf>
    <xf numFmtId="164" fontId="44" fillId="24" borderId="4" xfId="0" applyNumberFormat="1" applyFont="1" applyFill="1" applyBorder="1" applyAlignment="1">
      <alignment vertical="center"/>
    </xf>
    <xf numFmtId="164" fontId="46" fillId="24" borderId="4" xfId="0" applyNumberFormat="1" applyFont="1" applyFill="1" applyBorder="1" applyAlignment="1">
      <alignment vertical="center"/>
    </xf>
    <xf numFmtId="191" fontId="116" fillId="0" borderId="0" xfId="0" applyNumberFormat="1" applyFont="1"/>
    <xf numFmtId="197" fontId="49" fillId="0" borderId="0" xfId="0" applyNumberFormat="1" applyFont="1" applyAlignment="1">
      <alignment horizontal="center" vertical="center"/>
    </xf>
    <xf numFmtId="197" fontId="49" fillId="0" borderId="12" xfId="0" applyNumberFormat="1" applyFont="1" applyBorder="1" applyAlignment="1">
      <alignment horizontal="center" vertical="center"/>
    </xf>
    <xf numFmtId="197" fontId="49" fillId="0" borderId="16" xfId="0" applyNumberFormat="1" applyFont="1" applyBorder="1" applyAlignment="1">
      <alignment horizontal="center" vertical="center"/>
    </xf>
    <xf numFmtId="197" fontId="49" fillId="0" borderId="17" xfId="0" applyNumberFormat="1" applyFont="1" applyBorder="1" applyAlignment="1">
      <alignment horizontal="center" vertical="center"/>
    </xf>
    <xf numFmtId="196" fontId="55" fillId="8" borderId="21" xfId="51" applyNumberFormat="1" applyFont="1" applyFill="1" applyBorder="1" applyAlignment="1">
      <alignment horizontal="center" vertical="center" wrapText="1"/>
    </xf>
    <xf numFmtId="196" fontId="48" fillId="0" borderId="0" xfId="51" applyNumberFormat="1" applyFont="1" applyFill="1" applyAlignment="1">
      <alignment horizontal="center"/>
    </xf>
    <xf numFmtId="196" fontId="48" fillId="0" borderId="0" xfId="0" applyNumberFormat="1" applyFont="1"/>
    <xf numFmtId="194" fontId="66" fillId="0" borderId="16" xfId="0" applyNumberFormat="1" applyFont="1" applyBorder="1" applyAlignment="1">
      <alignment horizontal="center"/>
    </xf>
    <xf numFmtId="195" fontId="55" fillId="8" borderId="12" xfId="0" applyNumberFormat="1" applyFont="1" applyFill="1" applyBorder="1" applyAlignment="1">
      <alignment horizontal="center"/>
    </xf>
    <xf numFmtId="192" fontId="48" fillId="0" borderId="0" xfId="0" applyNumberFormat="1" applyFont="1" applyAlignment="1">
      <alignment vertical="center"/>
    </xf>
    <xf numFmtId="192" fontId="57" fillId="8" borderId="0" xfId="51" quotePrefix="1" applyNumberFormat="1" applyFont="1" applyFill="1" applyBorder="1" applyAlignment="1">
      <alignment vertical="center"/>
    </xf>
    <xf numFmtId="192" fontId="50" fillId="0" borderId="36" xfId="51" applyNumberFormat="1" applyFont="1" applyFill="1" applyBorder="1" applyAlignment="1">
      <alignment horizontal="center" vertical="center"/>
    </xf>
    <xf numFmtId="192" fontId="59" fillId="0" borderId="36" xfId="51" applyNumberFormat="1" applyFont="1" applyFill="1" applyBorder="1" applyAlignment="1">
      <alignment horizontal="center" vertical="center"/>
    </xf>
    <xf numFmtId="192" fontId="59" fillId="0" borderId="0" xfId="51" applyNumberFormat="1" applyFont="1" applyFill="1" applyBorder="1" applyAlignment="1">
      <alignment horizontal="center" vertical="center"/>
    </xf>
    <xf numFmtId="192" fontId="59" fillId="0" borderId="0" xfId="51" applyNumberFormat="1" applyFont="1" applyFill="1" applyBorder="1" applyAlignment="1">
      <alignment horizontal="center"/>
    </xf>
    <xf numFmtId="192" fontId="59" fillId="0" borderId="0" xfId="0" applyNumberFormat="1" applyFont="1" applyAlignment="1">
      <alignment vertical="center"/>
    </xf>
    <xf numFmtId="192" fontId="92" fillId="0" borderId="0" xfId="51" applyNumberFormat="1" applyFont="1" applyFill="1" applyBorder="1" applyAlignment="1">
      <alignment horizontal="center" vertical="center"/>
    </xf>
    <xf numFmtId="201" fontId="59" fillId="0" borderId="0" xfId="0" applyNumberFormat="1" applyFont="1" applyAlignment="1">
      <alignment vertical="center"/>
    </xf>
    <xf numFmtId="201" fontId="59" fillId="0" borderId="36" xfId="51" applyNumberFormat="1" applyFont="1" applyFill="1" applyBorder="1" applyAlignment="1">
      <alignment horizontal="center" vertical="center"/>
    </xf>
    <xf numFmtId="201" fontId="59" fillId="0" borderId="0" xfId="51" applyNumberFormat="1" applyFont="1" applyFill="1" applyBorder="1" applyAlignment="1">
      <alignment horizontal="center" vertical="center"/>
    </xf>
    <xf numFmtId="201" fontId="59" fillId="0" borderId="0" xfId="51" applyNumberFormat="1" applyFont="1" applyFill="1" applyBorder="1" applyAlignment="1">
      <alignment horizontal="center"/>
    </xf>
    <xf numFmtId="201" fontId="57" fillId="0" borderId="36" xfId="51" applyNumberFormat="1" applyFont="1" applyFill="1" applyBorder="1" applyAlignment="1">
      <alignment horizontal="center" vertical="center"/>
    </xf>
    <xf numFmtId="201" fontId="58" fillId="0" borderId="0" xfId="51" applyNumberFormat="1" applyFont="1" applyFill="1" applyBorder="1" applyAlignment="1">
      <alignment horizontal="center" vertical="center"/>
    </xf>
    <xf numFmtId="201" fontId="92" fillId="0" borderId="36" xfId="51" applyNumberFormat="1" applyFont="1" applyFill="1" applyBorder="1" applyAlignment="1">
      <alignment horizontal="center" vertical="center"/>
    </xf>
    <xf numFmtId="201" fontId="92" fillId="0" borderId="0" xfId="51" applyNumberFormat="1" applyFont="1" applyFill="1" applyBorder="1" applyAlignment="1">
      <alignment horizontal="center" vertical="center"/>
    </xf>
    <xf numFmtId="192" fontId="133" fillId="0" borderId="0" xfId="22" applyNumberFormat="1" applyFont="1" applyFill="1" applyBorder="1" applyAlignment="1">
      <alignment horizontal="center" vertical="center"/>
    </xf>
    <xf numFmtId="192" fontId="133" fillId="0" borderId="36" xfId="22" applyNumberFormat="1" applyFont="1" applyFill="1" applyBorder="1" applyAlignment="1">
      <alignment horizontal="center" vertical="center"/>
    </xf>
    <xf numFmtId="191" fontId="133" fillId="0" borderId="0" xfId="22" applyNumberFormat="1" applyFont="1" applyFill="1" applyBorder="1" applyAlignment="1">
      <alignment horizontal="center" vertical="center"/>
    </xf>
    <xf numFmtId="191" fontId="133" fillId="0" borderId="36" xfId="22" applyNumberFormat="1" applyFont="1" applyFill="1" applyBorder="1" applyAlignment="1">
      <alignment horizontal="center" vertical="center"/>
    </xf>
    <xf numFmtId="14" fontId="133" fillId="0" borderId="0" xfId="0" applyNumberFormat="1" applyFont="1" applyAlignment="1">
      <alignment vertical="center"/>
    </xf>
    <xf numFmtId="0" fontId="82" fillId="0" borderId="0" xfId="0" applyFont="1"/>
    <xf numFmtId="164" fontId="57" fillId="0" borderId="0" xfId="0" applyNumberFormat="1" applyFont="1" applyAlignment="1">
      <alignment horizontal="left" indent="1"/>
    </xf>
    <xf numFmtId="164" fontId="51" fillId="0" borderId="36" xfId="0" applyNumberFormat="1" applyFont="1" applyBorder="1" applyAlignment="1">
      <alignment horizontal="center"/>
    </xf>
    <xf numFmtId="164" fontId="51" fillId="0" borderId="0" xfId="0" applyNumberFormat="1" applyFont="1" applyAlignment="1">
      <alignment horizontal="center"/>
    </xf>
    <xf numFmtId="164" fontId="53" fillId="0" borderId="0" xfId="0" applyNumberFormat="1" applyFont="1" applyAlignment="1">
      <alignment horizontal="center"/>
    </xf>
    <xf numFmtId="164" fontId="53" fillId="0" borderId="36" xfId="0" applyNumberFormat="1" applyFont="1" applyBorder="1" applyAlignment="1">
      <alignment horizontal="center"/>
    </xf>
    <xf numFmtId="191" fontId="57" fillId="0" borderId="36" xfId="0" applyNumberFormat="1" applyFont="1" applyBorder="1" applyAlignment="1">
      <alignment horizontal="center"/>
    </xf>
    <xf numFmtId="37" fontId="59" fillId="0" borderId="0" xfId="0" applyNumberFormat="1" applyFont="1"/>
    <xf numFmtId="0" fontId="41" fillId="0" borderId="0" xfId="0" applyFont="1"/>
    <xf numFmtId="193" fontId="55" fillId="19" borderId="0" xfId="0" applyNumberFormat="1" applyFont="1" applyFill="1" applyAlignment="1">
      <alignment horizontal="center" vertical="center"/>
    </xf>
    <xf numFmtId="192" fontId="56" fillId="0" borderId="0" xfId="22" quotePrefix="1" applyNumberFormat="1" applyFont="1" applyBorder="1" applyAlignment="1">
      <alignment horizontal="center" vertical="center"/>
    </xf>
    <xf numFmtId="37" fontId="57" fillId="0" borderId="14" xfId="0" applyNumberFormat="1" applyFont="1" applyBorder="1" applyAlignment="1">
      <alignment vertical="center"/>
    </xf>
    <xf numFmtId="191" fontId="57" fillId="0" borderId="14" xfId="0" applyNumberFormat="1" applyFont="1" applyBorder="1" applyAlignment="1">
      <alignment horizontal="center" vertical="center"/>
    </xf>
    <xf numFmtId="191" fontId="57" fillId="0" borderId="16" xfId="0" applyNumberFormat="1" applyFont="1" applyBorder="1" applyAlignment="1">
      <alignment horizontal="center" vertical="center"/>
    </xf>
    <xf numFmtId="37" fontId="48" fillId="0" borderId="11" xfId="0" applyNumberFormat="1" applyFont="1" applyBorder="1" applyAlignment="1">
      <alignment horizontal="center" vertical="center"/>
    </xf>
    <xf numFmtId="37" fontId="48" fillId="0" borderId="12" xfId="0" applyNumberFormat="1" applyFont="1" applyBorder="1" applyAlignment="1">
      <alignment vertical="center"/>
    </xf>
    <xf numFmtId="37" fontId="70" fillId="0" borderId="12" xfId="51" applyNumberFormat="1" applyFont="1" applyFill="1" applyBorder="1" applyAlignment="1">
      <alignment horizontal="center" vertical="center"/>
    </xf>
    <xf numFmtId="37" fontId="54" fillId="0" borderId="0" xfId="0" applyNumberFormat="1" applyFont="1" applyAlignment="1">
      <alignment horizontal="left" vertical="center"/>
    </xf>
    <xf numFmtId="37" fontId="131" fillId="0" borderId="0" xfId="583" applyNumberFormat="1" applyFont="1">
      <alignment horizontal="left"/>
    </xf>
    <xf numFmtId="0" fontId="136" fillId="23" borderId="0" xfId="0" applyFont="1" applyFill="1" applyAlignment="1">
      <alignment horizontal="center" vertical="center"/>
    </xf>
    <xf numFmtId="191" fontId="137" fillId="0" borderId="0" xfId="0" applyNumberFormat="1" applyFont="1" applyAlignment="1">
      <alignment horizontal="center" vertical="center"/>
    </xf>
    <xf numFmtId="14" fontId="39" fillId="0" borderId="0" xfId="88" applyNumberFormat="1" applyFont="1"/>
    <xf numFmtId="0" fontId="40" fillId="0" borderId="0" xfId="42" applyFont="1" applyAlignment="1">
      <alignment horizontal="center" vertical="center"/>
    </xf>
    <xf numFmtId="191" fontId="41" fillId="0" borderId="0" xfId="0" applyNumberFormat="1" applyFont="1"/>
    <xf numFmtId="191" fontId="43" fillId="0" borderId="0" xfId="51" applyNumberFormat="1" applyFont="1" applyFill="1" applyBorder="1"/>
    <xf numFmtId="1" fontId="41" fillId="0" borderId="0" xfId="0" applyNumberFormat="1" applyFont="1"/>
    <xf numFmtId="183" fontId="41" fillId="0" borderId="0" xfId="0" applyNumberFormat="1" applyFont="1"/>
    <xf numFmtId="0" fontId="40" fillId="0" borderId="0" xfId="0" applyFont="1"/>
    <xf numFmtId="0" fontId="59" fillId="14" borderId="36" xfId="0" applyFont="1" applyFill="1" applyBorder="1" applyAlignment="1">
      <alignment horizontal="center" vertical="center"/>
    </xf>
    <xf numFmtId="191" fontId="57" fillId="0" borderId="0" xfId="22" applyNumberFormat="1" applyFont="1" applyFill="1" applyBorder="1" applyAlignment="1">
      <alignment horizontal="center" vertical="center"/>
    </xf>
    <xf numFmtId="164" fontId="53" fillId="0" borderId="0" xfId="0" applyNumberFormat="1" applyFont="1" applyAlignment="1">
      <alignment horizontal="center" vertical="center"/>
    </xf>
    <xf numFmtId="191" fontId="85" fillId="0" borderId="0" xfId="51" applyNumberFormat="1" applyFont="1" applyFill="1" applyBorder="1" applyAlignment="1">
      <alignment horizontal="center" vertical="center"/>
    </xf>
    <xf numFmtId="192" fontId="59" fillId="0" borderId="0" xfId="22" applyNumberFormat="1" applyFont="1" applyFill="1" applyBorder="1" applyAlignment="1">
      <alignment horizontal="center" vertical="center"/>
    </xf>
    <xf numFmtId="192" fontId="57" fillId="0" borderId="0" xfId="0" applyNumberFormat="1" applyFont="1" applyAlignment="1">
      <alignment horizontal="center" vertical="center"/>
    </xf>
    <xf numFmtId="192" fontId="57" fillId="0" borderId="0" xfId="22" applyNumberFormat="1" applyFont="1" applyFill="1" applyBorder="1" applyAlignment="1">
      <alignment horizontal="center" vertical="center"/>
    </xf>
    <xf numFmtId="43" fontId="57" fillId="0" borderId="0" xfId="22" applyFont="1" applyFill="1" applyBorder="1" applyAlignment="1">
      <alignment horizontal="center" vertical="center"/>
    </xf>
    <xf numFmtId="7" fontId="53" fillId="0" borderId="0" xfId="27" applyNumberFormat="1" applyFont="1" applyFill="1" applyBorder="1" applyAlignment="1">
      <alignment horizontal="center" vertical="center"/>
    </xf>
    <xf numFmtId="164" fontId="90" fillId="0" borderId="0" xfId="0" applyNumberFormat="1" applyFont="1" applyAlignment="1">
      <alignment horizontal="center" vertical="center"/>
    </xf>
    <xf numFmtId="7" fontId="57" fillId="0" borderId="0" xfId="27" applyNumberFormat="1" applyFont="1" applyFill="1" applyBorder="1" applyAlignment="1">
      <alignment horizontal="center" vertical="center"/>
    </xf>
    <xf numFmtId="37" fontId="53" fillId="14" borderId="0" xfId="0" applyNumberFormat="1" applyFont="1" applyFill="1" applyAlignment="1">
      <alignment vertical="center"/>
    </xf>
    <xf numFmtId="164" fontId="55" fillId="14" borderId="0" xfId="0" applyNumberFormat="1" applyFont="1" applyFill="1" applyAlignment="1">
      <alignment horizontal="center" vertical="center"/>
    </xf>
    <xf numFmtId="164" fontId="55" fillId="14" borderId="36" xfId="0" applyNumberFormat="1" applyFont="1" applyFill="1" applyBorder="1" applyAlignment="1">
      <alignment horizontal="center" vertical="center"/>
    </xf>
    <xf numFmtId="191" fontId="48" fillId="14" borderId="0" xfId="51" applyNumberFormat="1" applyFont="1" applyFill="1" applyBorder="1" applyAlignment="1">
      <alignment horizontal="center" vertical="center"/>
    </xf>
    <xf numFmtId="37" fontId="59" fillId="14" borderId="0" xfId="0" applyNumberFormat="1" applyFont="1" applyFill="1" applyAlignment="1">
      <alignment horizontal="center" vertical="center"/>
    </xf>
    <xf numFmtId="37" fontId="55" fillId="14" borderId="36" xfId="0" applyNumberFormat="1" applyFont="1" applyFill="1" applyBorder="1" applyAlignment="1">
      <alignment horizontal="center" vertical="center"/>
    </xf>
    <xf numFmtId="37" fontId="85" fillId="14" borderId="0" xfId="0" applyNumberFormat="1" applyFont="1" applyFill="1" applyAlignment="1">
      <alignment horizontal="center" vertical="center"/>
    </xf>
    <xf numFmtId="37" fontId="55" fillId="14" borderId="0" xfId="0" applyNumberFormat="1" applyFont="1" applyFill="1" applyAlignment="1">
      <alignment horizontal="center" vertical="center"/>
    </xf>
    <xf numFmtId="191" fontId="52" fillId="0" borderId="0" xfId="51" applyNumberFormat="1" applyFont="1" applyBorder="1" applyAlignment="1">
      <alignment horizontal="center" vertical="center"/>
    </xf>
    <xf numFmtId="37" fontId="52" fillId="0" borderId="0" xfId="0" applyNumberFormat="1" applyFont="1" applyAlignment="1">
      <alignment vertical="center"/>
    </xf>
    <xf numFmtId="0" fontId="139" fillId="0" borderId="0" xfId="0" applyFont="1" applyAlignment="1">
      <alignment horizontal="right" vertical="center"/>
    </xf>
    <xf numFmtId="14" fontId="52" fillId="0" borderId="0" xfId="0" applyNumberFormat="1" applyFont="1" applyAlignment="1">
      <alignment vertical="center"/>
    </xf>
    <xf numFmtId="14" fontId="86" fillId="0" borderId="0" xfId="0" applyNumberFormat="1" applyFont="1" applyAlignment="1">
      <alignment vertical="center"/>
    </xf>
    <xf numFmtId="192" fontId="52" fillId="0" borderId="0" xfId="0" applyNumberFormat="1" applyFont="1" applyAlignment="1">
      <alignment vertical="center"/>
    </xf>
    <xf numFmtId="191" fontId="52" fillId="0" borderId="0" xfId="0" applyNumberFormat="1" applyFont="1" applyAlignment="1">
      <alignment vertical="center"/>
    </xf>
    <xf numFmtId="201" fontId="58" fillId="0" borderId="0" xfId="0" applyNumberFormat="1" applyFont="1" applyAlignment="1">
      <alignment vertical="center"/>
    </xf>
    <xf numFmtId="14" fontId="82" fillId="0" borderId="0" xfId="0" applyNumberFormat="1" applyFont="1" applyAlignment="1">
      <alignment vertical="center"/>
    </xf>
    <xf numFmtId="191" fontId="52" fillId="0" borderId="0" xfId="51" applyNumberFormat="1" applyFont="1" applyFill="1" applyBorder="1" applyAlignment="1">
      <alignment vertical="center"/>
    </xf>
    <xf numFmtId="191" fontId="57" fillId="0" borderId="0" xfId="51" applyNumberFormat="1" applyFont="1" applyFill="1" applyBorder="1" applyAlignment="1">
      <alignment horizontal="left" vertical="center" indent="2"/>
    </xf>
    <xf numFmtId="201" fontId="57" fillId="8" borderId="0" xfId="51" quotePrefix="1" applyNumberFormat="1" applyFont="1" applyFill="1" applyBorder="1" applyAlignment="1">
      <alignment horizontal="left" vertical="center" indent="2"/>
    </xf>
    <xf numFmtId="191" fontId="57" fillId="14" borderId="0" xfId="51" applyNumberFormat="1" applyFont="1" applyFill="1" applyBorder="1" applyAlignment="1">
      <alignment horizontal="left" vertical="center" indent="1"/>
    </xf>
    <xf numFmtId="14" fontId="83" fillId="8" borderId="0" xfId="0" applyNumberFormat="1" applyFont="1" applyFill="1" applyAlignment="1">
      <alignment vertical="center"/>
    </xf>
    <xf numFmtId="37" fontId="57" fillId="0" borderId="0" xfId="0" applyNumberFormat="1" applyFont="1" applyAlignment="1">
      <alignment horizontal="left" vertical="center" indent="2"/>
    </xf>
    <xf numFmtId="196" fontId="57" fillId="0" borderId="0" xfId="51" applyNumberFormat="1" applyFont="1" applyFill="1" applyBorder="1" applyAlignment="1">
      <alignment horizontal="center" vertical="center"/>
    </xf>
    <xf numFmtId="196" fontId="57" fillId="0" borderId="36" xfId="51" applyNumberFormat="1" applyFont="1" applyFill="1" applyBorder="1" applyAlignment="1">
      <alignment horizontal="center" vertical="center"/>
    </xf>
    <xf numFmtId="196" fontId="92" fillId="0" borderId="0" xfId="51" applyNumberFormat="1" applyFont="1" applyFill="1" applyBorder="1" applyAlignment="1">
      <alignment horizontal="center" vertical="center"/>
    </xf>
    <xf numFmtId="194" fontId="52" fillId="10" borderId="0" xfId="0" applyNumberFormat="1" applyFont="1" applyFill="1" applyAlignment="1">
      <alignment horizontal="left"/>
    </xf>
    <xf numFmtId="195" fontId="116" fillId="18" borderId="0" xfId="0" applyNumberFormat="1" applyFont="1" applyFill="1" applyAlignment="1">
      <alignment horizontal="center" vertical="center"/>
    </xf>
    <xf numFmtId="164" fontId="118" fillId="0" borderId="0" xfId="0" applyNumberFormat="1" applyFont="1" applyAlignment="1">
      <alignment horizontal="centerContinuous" vertical="center"/>
    </xf>
    <xf numFmtId="39" fontId="119" fillId="0" borderId="0" xfId="0" applyNumberFormat="1" applyFont="1" applyAlignment="1">
      <alignment horizontal="centerContinuous" vertical="center"/>
    </xf>
    <xf numFmtId="0" fontId="119" fillId="0" borderId="0" xfId="0" applyFont="1" applyAlignment="1">
      <alignment horizontal="centerContinuous" vertical="center"/>
    </xf>
    <xf numFmtId="195" fontId="70" fillId="0" borderId="0" xfId="0" applyNumberFormat="1" applyFont="1" applyAlignment="1">
      <alignment horizontal="center" vertical="center"/>
    </xf>
    <xf numFmtId="195" fontId="72" fillId="0" borderId="0" xfId="0" applyNumberFormat="1" applyFont="1" applyAlignment="1">
      <alignment horizontal="center"/>
    </xf>
    <xf numFmtId="197" fontId="76" fillId="0" borderId="12" xfId="0" applyNumberFormat="1" applyFont="1" applyBorder="1" applyAlignment="1">
      <alignment horizontal="center" vertical="center"/>
    </xf>
    <xf numFmtId="191" fontId="107" fillId="0" borderId="36" xfId="51" quotePrefix="1" applyNumberFormat="1" applyFont="1" applyFill="1" applyBorder="1" applyAlignment="1">
      <alignment horizontal="center" vertical="center"/>
    </xf>
    <xf numFmtId="3" fontId="54" fillId="0" borderId="36" xfId="51" applyNumberFormat="1" applyFont="1" applyFill="1" applyBorder="1" applyAlignment="1">
      <alignment horizontal="center" vertical="center"/>
    </xf>
    <xf numFmtId="191" fontId="57" fillId="0" borderId="0" xfId="51" applyNumberFormat="1" applyFont="1" applyFill="1" applyBorder="1" applyAlignment="1">
      <alignment horizontal="left" vertical="center" indent="1"/>
    </xf>
    <xf numFmtId="191" fontId="54" fillId="14" borderId="0" xfId="51" applyNumberFormat="1" applyFont="1" applyFill="1" applyAlignment="1">
      <alignment vertical="center"/>
    </xf>
    <xf numFmtId="191" fontId="54" fillId="0" borderId="0" xfId="51" quotePrefix="1" applyNumberFormat="1" applyFont="1" applyFill="1" applyBorder="1" applyAlignment="1">
      <alignment vertical="center"/>
    </xf>
    <xf numFmtId="191" fontId="58" fillId="0" borderId="0" xfId="51" applyNumberFormat="1" applyFont="1" applyAlignment="1">
      <alignment horizontal="center" vertical="center"/>
    </xf>
    <xf numFmtId="196" fontId="50" fillId="0" borderId="0" xfId="22" applyNumberFormat="1" applyFont="1" applyAlignment="1">
      <alignment horizontal="center" vertical="center"/>
    </xf>
    <xf numFmtId="196" fontId="50" fillId="0" borderId="36" xfId="22" applyNumberFormat="1" applyFont="1" applyBorder="1" applyAlignment="1">
      <alignment horizontal="center" vertical="center"/>
    </xf>
    <xf numFmtId="191" fontId="59" fillId="0" borderId="36" xfId="51" applyNumberFormat="1" applyFont="1" applyBorder="1" applyAlignment="1">
      <alignment horizontal="center" vertical="center"/>
    </xf>
    <xf numFmtId="191" fontId="59" fillId="0" borderId="0" xfId="51" applyNumberFormat="1" applyFont="1" applyAlignment="1">
      <alignment horizontal="center" vertical="center"/>
    </xf>
    <xf numFmtId="201" fontId="59" fillId="0" borderId="36" xfId="51" applyNumberFormat="1" applyFont="1" applyBorder="1" applyAlignment="1">
      <alignment horizontal="center" vertical="center"/>
    </xf>
    <xf numFmtId="201" fontId="59" fillId="0" borderId="0" xfId="51" applyNumberFormat="1" applyFont="1" applyAlignment="1">
      <alignment horizontal="center" vertical="center"/>
    </xf>
    <xf numFmtId="201" fontId="59" fillId="0" borderId="0" xfId="51" applyNumberFormat="1" applyFont="1" applyAlignment="1">
      <alignment horizontal="center"/>
    </xf>
    <xf numFmtId="201" fontId="57" fillId="0" borderId="36" xfId="51" applyNumberFormat="1" applyFont="1" applyBorder="1" applyAlignment="1">
      <alignment horizontal="center" vertical="center"/>
    </xf>
    <xf numFmtId="201" fontId="58" fillId="0" borderId="0" xfId="51" applyNumberFormat="1" applyFont="1" applyAlignment="1">
      <alignment horizontal="center" vertical="center"/>
    </xf>
    <xf numFmtId="201" fontId="57" fillId="0" borderId="0" xfId="51" quotePrefix="1" applyNumberFormat="1" applyFont="1" applyAlignment="1">
      <alignment horizontal="left" vertical="center" indent="2"/>
    </xf>
    <xf numFmtId="191" fontId="57" fillId="8" borderId="0" xfId="51" applyNumberFormat="1" applyFont="1" applyFill="1" applyAlignment="1">
      <alignment horizontal="left" vertical="center" indent="1"/>
    </xf>
    <xf numFmtId="191" fontId="50" fillId="0" borderId="36" xfId="51" applyNumberFormat="1" applyFont="1" applyBorder="1" applyAlignment="1">
      <alignment horizontal="center" vertical="center"/>
    </xf>
    <xf numFmtId="191" fontId="50" fillId="0" borderId="0" xfId="51" applyNumberFormat="1" applyFont="1" applyAlignment="1">
      <alignment horizontal="center" vertical="center"/>
    </xf>
    <xf numFmtId="191" fontId="59" fillId="0" borderId="0" xfId="51" applyNumberFormat="1" applyFont="1" applyAlignment="1">
      <alignment horizontal="center"/>
    </xf>
    <xf numFmtId="183" fontId="59" fillId="0" borderId="0" xfId="51" applyNumberFormat="1" applyFont="1" applyAlignment="1">
      <alignment horizontal="center" vertical="center"/>
    </xf>
    <xf numFmtId="183" fontId="59" fillId="0" borderId="36" xfId="51" applyNumberFormat="1" applyFont="1" applyBorder="1" applyAlignment="1">
      <alignment horizontal="center" vertical="center"/>
    </xf>
    <xf numFmtId="183" fontId="57" fillId="0" borderId="36" xfId="51" applyNumberFormat="1" applyFont="1" applyBorder="1" applyAlignment="1">
      <alignment horizontal="center" vertical="center"/>
    </xf>
    <xf numFmtId="191" fontId="57" fillId="0" borderId="36" xfId="51" applyNumberFormat="1" applyFont="1" applyBorder="1" applyAlignment="1">
      <alignment horizontal="center" vertical="center"/>
    </xf>
    <xf numFmtId="196" fontId="59" fillId="0" borderId="0" xfId="51" applyNumberFormat="1" applyFont="1" applyAlignment="1">
      <alignment horizontal="center" vertical="center"/>
    </xf>
    <xf numFmtId="196" fontId="59" fillId="0" borderId="36" xfId="51" applyNumberFormat="1" applyFont="1" applyBorder="1" applyAlignment="1">
      <alignment horizontal="center" vertical="center"/>
    </xf>
    <xf numFmtId="191" fontId="57" fillId="14" borderId="0" xfId="51" applyNumberFormat="1" applyFont="1" applyFill="1" applyAlignment="1">
      <alignment horizontal="left" vertical="center" indent="1"/>
    </xf>
    <xf numFmtId="191" fontId="50" fillId="14" borderId="0" xfId="51" applyNumberFormat="1" applyFont="1" applyFill="1" applyAlignment="1">
      <alignment horizontal="center" vertical="center"/>
    </xf>
    <xf numFmtId="191" fontId="59" fillId="14" borderId="0" xfId="51" applyNumberFormat="1" applyFont="1" applyFill="1" applyAlignment="1">
      <alignment horizontal="center" vertical="center"/>
    </xf>
    <xf numFmtId="191" fontId="59" fillId="14" borderId="0" xfId="51" applyNumberFormat="1" applyFont="1" applyFill="1" applyAlignment="1">
      <alignment horizontal="center"/>
    </xf>
    <xf numFmtId="183" fontId="59" fillId="14" borderId="0" xfId="51" applyNumberFormat="1" applyFont="1" applyFill="1" applyAlignment="1">
      <alignment horizontal="center" vertical="center"/>
    </xf>
    <xf numFmtId="183" fontId="54" fillId="0" borderId="36" xfId="51" applyNumberFormat="1" applyFont="1" applyFill="1" applyBorder="1" applyAlignment="1">
      <alignment horizontal="center" vertical="center"/>
    </xf>
    <xf numFmtId="183" fontId="86" fillId="0" borderId="0" xfId="51" applyNumberFormat="1" applyFont="1" applyFill="1" applyBorder="1" applyAlignment="1">
      <alignment horizontal="center" vertical="center"/>
    </xf>
    <xf numFmtId="7" fontId="54" fillId="25" borderId="29" xfId="27" applyNumberFormat="1" applyFont="1" applyFill="1" applyBorder="1" applyAlignment="1" applyProtection="1">
      <alignment horizontal="center" vertical="center"/>
    </xf>
    <xf numFmtId="195" fontId="70" fillId="0" borderId="0" xfId="47" applyNumberFormat="1" applyFont="1" applyAlignment="1">
      <alignment horizontal="center" vertical="center"/>
    </xf>
    <xf numFmtId="5" fontId="78" fillId="0" borderId="0" xfId="47" applyNumberFormat="1" applyFont="1" applyAlignment="1">
      <alignment vertical="center"/>
    </xf>
    <xf numFmtId="191" fontId="78" fillId="0" borderId="0" xfId="51" applyNumberFormat="1" applyFont="1" applyFill="1" applyBorder="1" applyAlignment="1">
      <alignment vertical="center"/>
    </xf>
    <xf numFmtId="168" fontId="78" fillId="0" borderId="0" xfId="22" applyNumberFormat="1" applyFont="1" applyFill="1" applyBorder="1" applyAlignment="1">
      <alignment vertical="center"/>
    </xf>
    <xf numFmtId="191" fontId="48" fillId="0" borderId="0" xfId="0" applyNumberFormat="1" applyFont="1" applyAlignment="1">
      <alignment horizontal="left" vertical="center"/>
    </xf>
    <xf numFmtId="0" fontId="48" fillId="0" borderId="0" xfId="0" applyFont="1" applyAlignment="1">
      <alignment horizontal="left" vertical="center"/>
    </xf>
    <xf numFmtId="0" fontId="50" fillId="0" borderId="0" xfId="0" applyFont="1" applyAlignment="1">
      <alignment horizontal="center" vertical="center"/>
    </xf>
    <xf numFmtId="7" fontId="48" fillId="0" borderId="0" xfId="0" applyNumberFormat="1" applyFont="1" applyAlignment="1">
      <alignment horizontal="center" vertical="center"/>
    </xf>
    <xf numFmtId="5" fontId="55" fillId="0" borderId="0" xfId="0" applyNumberFormat="1" applyFont="1" applyAlignment="1">
      <alignment horizontal="left" vertical="center"/>
    </xf>
    <xf numFmtId="0" fontId="55" fillId="0" borderId="0" xfId="0" applyFont="1" applyAlignment="1">
      <alignment horizontal="left" vertical="center"/>
    </xf>
    <xf numFmtId="4" fontId="87" fillId="0" borderId="0" xfId="0" applyNumberFormat="1" applyFont="1" applyAlignment="1">
      <alignment vertical="center"/>
    </xf>
    <xf numFmtId="4" fontId="70" fillId="0" borderId="36" xfId="0" applyNumberFormat="1" applyFont="1" applyBorder="1" applyAlignment="1">
      <alignment horizontal="center" vertical="center"/>
    </xf>
    <xf numFmtId="4" fontId="70" fillId="0" borderId="0" xfId="0" applyNumberFormat="1" applyFont="1" applyAlignment="1">
      <alignment horizontal="center" vertical="center"/>
    </xf>
    <xf numFmtId="4" fontId="70" fillId="0" borderId="0" xfId="51" applyNumberFormat="1" applyFont="1" applyFill="1" applyBorder="1" applyAlignment="1">
      <alignment horizontal="center" vertical="center"/>
    </xf>
    <xf numFmtId="192" fontId="70" fillId="0" borderId="36" xfId="0" applyNumberFormat="1" applyFont="1" applyBorder="1" applyAlignment="1">
      <alignment horizontal="center" vertical="center"/>
    </xf>
    <xf numFmtId="192" fontId="70" fillId="0" borderId="0" xfId="51" applyNumberFormat="1" applyFont="1" applyFill="1" applyBorder="1" applyAlignment="1">
      <alignment horizontal="center" vertical="center"/>
    </xf>
    <xf numFmtId="37" fontId="56" fillId="0" borderId="0" xfId="0" applyNumberFormat="1" applyFont="1" applyAlignment="1">
      <alignment horizontal="center" vertical="center"/>
    </xf>
    <xf numFmtId="0" fontId="41" fillId="8" borderId="42" xfId="0" applyFont="1" applyFill="1" applyBorder="1"/>
    <xf numFmtId="0" fontId="41" fillId="8" borderId="0" xfId="0" applyFont="1" applyFill="1" applyAlignment="1">
      <alignment horizontal="center"/>
    </xf>
    <xf numFmtId="191" fontId="41" fillId="8" borderId="0" xfId="0" applyNumberFormat="1" applyFont="1" applyFill="1" applyAlignment="1">
      <alignment horizontal="center"/>
    </xf>
    <xf numFmtId="191" fontId="43" fillId="8" borderId="0" xfId="51" applyNumberFormat="1" applyFont="1" applyFill="1" applyAlignment="1">
      <alignment horizontal="center"/>
    </xf>
    <xf numFmtId="1" fontId="41" fillId="8" borderId="0" xfId="0" applyNumberFormat="1" applyFont="1" applyFill="1" applyAlignment="1">
      <alignment horizontal="center"/>
    </xf>
    <xf numFmtId="183" fontId="41" fillId="8" borderId="0" xfId="0" applyNumberFormat="1" applyFont="1" applyFill="1" applyAlignment="1">
      <alignment horizontal="center"/>
    </xf>
    <xf numFmtId="195" fontId="41" fillId="8" borderId="0" xfId="0" applyNumberFormat="1" applyFont="1" applyFill="1" applyAlignment="1">
      <alignment horizontal="center"/>
    </xf>
    <xf numFmtId="203" fontId="41" fillId="8" borderId="0" xfId="0" applyNumberFormat="1" applyFont="1" applyFill="1" applyAlignment="1">
      <alignment horizontal="center"/>
    </xf>
    <xf numFmtId="203" fontId="41" fillId="8" borderId="42" xfId="0" applyNumberFormat="1" applyFont="1" applyFill="1" applyBorder="1" applyAlignment="1">
      <alignment horizontal="center"/>
    </xf>
    <xf numFmtId="14" fontId="39" fillId="8" borderId="2" xfId="88" applyNumberFormat="1" applyFont="1" applyFill="1" applyBorder="1" applyAlignment="1">
      <alignment horizontal="center"/>
    </xf>
    <xf numFmtId="183" fontId="40" fillId="8" borderId="0" xfId="0" applyNumberFormat="1" applyFont="1" applyFill="1" applyAlignment="1">
      <alignment horizontal="center"/>
    </xf>
    <xf numFmtId="196" fontId="41" fillId="8" borderId="0" xfId="0" applyNumberFormat="1" applyFont="1" applyFill="1" applyAlignment="1">
      <alignment horizontal="center"/>
    </xf>
    <xf numFmtId="196" fontId="41" fillId="8" borderId="42" xfId="0" applyNumberFormat="1" applyFont="1" applyFill="1" applyBorder="1" applyAlignment="1">
      <alignment horizontal="center"/>
    </xf>
    <xf numFmtId="183" fontId="41" fillId="8" borderId="3" xfId="0" applyNumberFormat="1" applyFont="1" applyFill="1" applyBorder="1" applyAlignment="1">
      <alignment horizontal="center"/>
    </xf>
    <xf numFmtId="191" fontId="43" fillId="8" borderId="3" xfId="51" applyNumberFormat="1" applyFont="1" applyFill="1" applyBorder="1" applyAlignment="1">
      <alignment horizontal="center"/>
    </xf>
    <xf numFmtId="1" fontId="129" fillId="8" borderId="0" xfId="0" applyNumberFormat="1" applyFont="1" applyFill="1" applyAlignment="1">
      <alignment horizontal="center"/>
    </xf>
    <xf numFmtId="191" fontId="132" fillId="8" borderId="4" xfId="51" applyNumberFormat="1" applyFont="1" applyFill="1" applyBorder="1" applyAlignment="1">
      <alignment horizontal="left" vertical="center" indent="1"/>
    </xf>
    <xf numFmtId="192" fontId="132" fillId="8" borderId="0" xfId="51" applyNumberFormat="1" applyFont="1" applyFill="1" applyAlignment="1">
      <alignment horizontal="center"/>
    </xf>
    <xf numFmtId="3" fontId="43" fillId="8" borderId="42" xfId="0" applyNumberFormat="1" applyFont="1" applyFill="1" applyBorder="1" applyAlignment="1">
      <alignment vertical="center"/>
    </xf>
    <xf numFmtId="183" fontId="41" fillId="8" borderId="42" xfId="0" applyNumberFormat="1" applyFont="1" applyFill="1" applyBorder="1" applyAlignment="1">
      <alignment horizontal="center"/>
    </xf>
    <xf numFmtId="164" fontId="44" fillId="8" borderId="30" xfId="0" applyNumberFormat="1" applyFont="1" applyFill="1" applyBorder="1" applyAlignment="1">
      <alignment vertical="center"/>
    </xf>
    <xf numFmtId="191" fontId="43" fillId="8" borderId="0" xfId="0" applyNumberFormat="1" applyFont="1" applyFill="1" applyAlignment="1">
      <alignment horizontal="center"/>
    </xf>
    <xf numFmtId="164" fontId="41" fillId="0" borderId="0" xfId="0" applyNumberFormat="1" applyFont="1"/>
    <xf numFmtId="3" fontId="41" fillId="0" borderId="0" xfId="0" applyNumberFormat="1" applyFont="1"/>
    <xf numFmtId="203" fontId="41" fillId="8" borderId="3" xfId="0" applyNumberFormat="1" applyFont="1" applyFill="1" applyBorder="1" applyAlignment="1">
      <alignment horizontal="center"/>
    </xf>
    <xf numFmtId="37" fontId="78" fillId="0" borderId="0" xfId="0" applyNumberFormat="1" applyFont="1" applyAlignment="1">
      <alignment horizontal="left" vertical="center" indent="1"/>
    </xf>
    <xf numFmtId="37" fontId="78" fillId="0" borderId="0" xfId="0" applyNumberFormat="1" applyFont="1" applyAlignment="1">
      <alignment horizontal="left" vertical="center"/>
    </xf>
    <xf numFmtId="37" fontId="48" fillId="0" borderId="42" xfId="0" applyNumberFormat="1" applyFont="1" applyBorder="1" applyAlignment="1">
      <alignment vertical="center"/>
    </xf>
    <xf numFmtId="191" fontId="48" fillId="0" borderId="42" xfId="0" applyNumberFormat="1" applyFont="1" applyBorder="1" applyAlignment="1">
      <alignment horizontal="center" vertical="center"/>
    </xf>
    <xf numFmtId="37" fontId="96" fillId="0" borderId="0" xfId="0" applyNumberFormat="1" applyFont="1" applyAlignment="1">
      <alignment vertical="center"/>
    </xf>
    <xf numFmtId="37" fontId="78" fillId="0" borderId="42" xfId="0" applyNumberFormat="1" applyFont="1" applyBorder="1" applyAlignment="1">
      <alignment vertical="center"/>
    </xf>
    <xf numFmtId="192" fontId="48" fillId="0" borderId="42" xfId="0" applyNumberFormat="1" applyFont="1" applyBorder="1" applyAlignment="1">
      <alignment horizontal="center" vertical="center"/>
    </xf>
    <xf numFmtId="196" fontId="54" fillId="0" borderId="36" xfId="51" applyNumberFormat="1" applyFont="1" applyFill="1" applyBorder="1" applyAlignment="1">
      <alignment horizontal="center" vertical="center"/>
    </xf>
    <xf numFmtId="196" fontId="86" fillId="0" borderId="0" xfId="51" applyNumberFormat="1" applyFont="1" applyFill="1" applyBorder="1" applyAlignment="1">
      <alignment horizontal="center" vertical="center"/>
    </xf>
    <xf numFmtId="196" fontId="50" fillId="0" borderId="0" xfId="51" applyNumberFormat="1" applyFont="1" applyFill="1" applyBorder="1" applyAlignment="1">
      <alignment horizontal="center" vertical="center"/>
    </xf>
    <xf numFmtId="196" fontId="92" fillId="0" borderId="0" xfId="51" applyNumberFormat="1" applyFont="1" applyAlignment="1">
      <alignment horizontal="center" vertical="center"/>
    </xf>
    <xf numFmtId="191" fontId="54" fillId="8" borderId="0" xfId="51" quotePrefix="1" applyNumberFormat="1" applyFont="1" applyFill="1" applyBorder="1" applyAlignment="1">
      <alignment vertical="center"/>
    </xf>
    <xf numFmtId="183" fontId="50" fillId="0" borderId="0" xfId="22" applyNumberFormat="1" applyFont="1" applyFill="1" applyBorder="1" applyAlignment="1">
      <alignment horizontal="center" vertical="center"/>
    </xf>
    <xf numFmtId="3" fontId="50" fillId="0" borderId="0" xfId="22" applyNumberFormat="1" applyFont="1" applyFill="1" applyBorder="1" applyAlignment="1">
      <alignment horizontal="center" vertical="center"/>
    </xf>
    <xf numFmtId="196" fontId="50" fillId="0" borderId="0" xfId="51" applyNumberFormat="1" applyFont="1" applyAlignment="1">
      <alignment horizontal="center" vertical="center"/>
    </xf>
    <xf numFmtId="196" fontId="54" fillId="0" borderId="36" xfId="51" applyNumberFormat="1" applyFont="1" applyBorder="1" applyAlignment="1">
      <alignment horizontal="center" vertical="center"/>
    </xf>
    <xf numFmtId="192" fontId="50" fillId="14" borderId="0" xfId="51" applyNumberFormat="1" applyFont="1" applyFill="1" applyBorder="1" applyAlignment="1">
      <alignment horizontal="center" vertical="center"/>
    </xf>
    <xf numFmtId="192" fontId="50" fillId="14" borderId="36" xfId="51" applyNumberFormat="1" applyFont="1" applyFill="1" applyBorder="1" applyAlignment="1">
      <alignment horizontal="center" vertical="center"/>
    </xf>
    <xf numFmtId="192" fontId="50" fillId="14" borderId="0" xfId="51" applyNumberFormat="1" applyFont="1" applyFill="1" applyAlignment="1">
      <alignment horizontal="center" vertical="center"/>
    </xf>
    <xf numFmtId="204" fontId="52" fillId="0" borderId="0" xfId="0" applyNumberFormat="1" applyFont="1" applyAlignment="1">
      <alignment vertical="center"/>
    </xf>
    <xf numFmtId="204" fontId="48" fillId="0" borderId="0" xfId="0" applyNumberFormat="1" applyFont="1" applyAlignment="1">
      <alignment vertical="center"/>
    </xf>
    <xf numFmtId="204" fontId="57" fillId="0" borderId="0" xfId="51" applyNumberFormat="1" applyFont="1" applyFill="1" applyBorder="1" applyAlignment="1">
      <alignment horizontal="left" vertical="center" indent="1"/>
    </xf>
    <xf numFmtId="204" fontId="50" fillId="0" borderId="36" xfId="51" applyNumberFormat="1" applyFont="1" applyFill="1" applyBorder="1" applyAlignment="1">
      <alignment horizontal="center" vertical="center"/>
    </xf>
    <xf numFmtId="204" fontId="59" fillId="0" borderId="36" xfId="51" applyNumberFormat="1" applyFont="1" applyFill="1" applyBorder="1" applyAlignment="1">
      <alignment horizontal="center" vertical="center"/>
    </xf>
    <xf numFmtId="204" fontId="50" fillId="0" borderId="0" xfId="51" applyNumberFormat="1" applyFont="1" applyFill="1" applyBorder="1" applyAlignment="1">
      <alignment horizontal="center" vertical="center"/>
    </xf>
    <xf numFmtId="204" fontId="59" fillId="0" borderId="0" xfId="51" applyNumberFormat="1" applyFont="1" applyFill="1" applyBorder="1" applyAlignment="1">
      <alignment horizontal="center" vertical="center"/>
    </xf>
    <xf numFmtId="204" fontId="59" fillId="0" borderId="0" xfId="51" applyNumberFormat="1" applyFont="1" applyFill="1" applyBorder="1" applyAlignment="1">
      <alignment horizontal="center"/>
    </xf>
    <xf numFmtId="204" fontId="57" fillId="0" borderId="36" xfId="51" applyNumberFormat="1" applyFont="1" applyFill="1" applyBorder="1" applyAlignment="1">
      <alignment horizontal="center" vertical="center"/>
    </xf>
    <xf numFmtId="204" fontId="59" fillId="0" borderId="0" xfId="51" applyNumberFormat="1" applyFont="1" applyAlignment="1">
      <alignment horizontal="center" vertical="center"/>
    </xf>
    <xf numFmtId="204" fontId="57" fillId="0" borderId="36" xfId="51" applyNumberFormat="1" applyFont="1" applyBorder="1" applyAlignment="1">
      <alignment horizontal="center" vertical="center"/>
    </xf>
    <xf numFmtId="204" fontId="59" fillId="0" borderId="0" xfId="51" applyNumberFormat="1" applyFont="1" applyFill="1" applyAlignment="1">
      <alignment horizontal="center" vertical="center"/>
    </xf>
    <xf numFmtId="37" fontId="92" fillId="0" borderId="0" xfId="0" applyNumberFormat="1" applyFont="1" applyAlignment="1">
      <alignment vertical="center"/>
    </xf>
    <xf numFmtId="37" fontId="49" fillId="0" borderId="42" xfId="0" applyNumberFormat="1" applyFont="1" applyBorder="1" applyAlignment="1">
      <alignment vertical="center"/>
    </xf>
    <xf numFmtId="37" fontId="59" fillId="0" borderId="42" xfId="0" applyNumberFormat="1" applyFont="1" applyBorder="1" applyAlignment="1">
      <alignment vertical="center"/>
    </xf>
    <xf numFmtId="192" fontId="48" fillId="0" borderId="6" xfId="0" applyNumberFormat="1" applyFont="1" applyBorder="1" applyAlignment="1">
      <alignment horizontal="center" vertical="center"/>
    </xf>
    <xf numFmtId="37" fontId="56" fillId="0" borderId="36" xfId="0" applyNumberFormat="1" applyFont="1" applyBorder="1" applyAlignment="1">
      <alignment horizontal="center" vertical="center"/>
    </xf>
    <xf numFmtId="193" fontId="57" fillId="0" borderId="36" xfId="51" applyNumberFormat="1" applyFont="1" applyFill="1" applyBorder="1" applyAlignment="1">
      <alignment horizontal="center" vertical="center"/>
    </xf>
    <xf numFmtId="192" fontId="57" fillId="14" borderId="36" xfId="51" applyNumberFormat="1" applyFont="1" applyFill="1" applyBorder="1" applyAlignment="1">
      <alignment horizontal="center" vertical="center"/>
    </xf>
    <xf numFmtId="0" fontId="50" fillId="0" borderId="0" xfId="0" applyFont="1"/>
    <xf numFmtId="192" fontId="48" fillId="0" borderId="0" xfId="0" applyNumberFormat="1" applyFont="1"/>
    <xf numFmtId="201" fontId="48" fillId="0" borderId="0" xfId="0" applyNumberFormat="1" applyFont="1"/>
    <xf numFmtId="204" fontId="48" fillId="0" borderId="0" xfId="0" applyNumberFormat="1" applyFont="1"/>
    <xf numFmtId="0" fontId="48" fillId="0" borderId="42" xfId="0" applyFont="1" applyBorder="1"/>
    <xf numFmtId="0" fontId="48" fillId="0" borderId="36" xfId="0" applyFont="1" applyBorder="1"/>
    <xf numFmtId="191" fontId="48" fillId="0" borderId="36" xfId="0" applyNumberFormat="1" applyFont="1" applyBorder="1" applyAlignment="1">
      <alignment horizontal="center"/>
    </xf>
    <xf numFmtId="192" fontId="48" fillId="0" borderId="42" xfId="0" applyNumberFormat="1" applyFont="1" applyBorder="1" applyAlignment="1">
      <alignment horizontal="center"/>
    </xf>
    <xf numFmtId="192" fontId="48" fillId="0" borderId="35" xfId="0" applyNumberFormat="1" applyFont="1" applyBorder="1" applyAlignment="1">
      <alignment horizontal="center"/>
    </xf>
    <xf numFmtId="192" fontId="48" fillId="0" borderId="0" xfId="0" applyNumberFormat="1" applyFont="1" applyAlignment="1">
      <alignment horizontal="center"/>
    </xf>
    <xf numFmtId="192" fontId="48" fillId="0" borderId="36" xfId="0" applyNumberFormat="1" applyFont="1" applyBorder="1" applyAlignment="1">
      <alignment horizontal="center"/>
    </xf>
    <xf numFmtId="191" fontId="70" fillId="0" borderId="0" xfId="47" applyNumberFormat="1" applyFont="1" applyAlignment="1">
      <alignment horizontal="center" vertical="center"/>
    </xf>
    <xf numFmtId="193" fontId="57" fillId="0" borderId="0" xfId="51" applyNumberFormat="1" applyFont="1" applyFill="1" applyBorder="1" applyAlignment="1">
      <alignment horizontal="center" vertical="center"/>
    </xf>
    <xf numFmtId="166" fontId="52" fillId="0" borderId="0" xfId="47" applyNumberFormat="1" applyFont="1" applyAlignment="1">
      <alignment horizontal="center" vertical="center"/>
    </xf>
    <xf numFmtId="0" fontId="41" fillId="8" borderId="0" xfId="0" applyFont="1" applyFill="1" applyAlignment="1">
      <alignment horizontal="left" indent="1"/>
    </xf>
    <xf numFmtId="37" fontId="141" fillId="0" borderId="0" xfId="582" applyFont="1">
      <alignment horizontal="center"/>
    </xf>
    <xf numFmtId="205" fontId="39" fillId="0" borderId="0" xfId="582" applyNumberFormat="1">
      <alignment horizontal="center"/>
    </xf>
    <xf numFmtId="191" fontId="56" fillId="0" borderId="0" xfId="0" quotePrefix="1" applyNumberFormat="1" applyFont="1" applyAlignment="1">
      <alignment horizontal="center"/>
    </xf>
    <xf numFmtId="9" fontId="56" fillId="0" borderId="0" xfId="0" applyNumberFormat="1" applyFont="1" applyAlignment="1">
      <alignment horizontal="center"/>
    </xf>
    <xf numFmtId="0" fontId="48" fillId="0" borderId="0" xfId="0" applyFont="1" applyAlignment="1">
      <alignment horizontal="left" indent="1"/>
    </xf>
    <xf numFmtId="195" fontId="48" fillId="0" borderId="0" xfId="0" applyNumberFormat="1" applyFont="1" applyAlignment="1">
      <alignment horizontal="center"/>
    </xf>
    <xf numFmtId="195" fontId="56" fillId="0" borderId="0" xfId="0" applyNumberFormat="1" applyFont="1" applyAlignment="1">
      <alignment horizontal="center"/>
    </xf>
    <xf numFmtId="1" fontId="41" fillId="8" borderId="0" xfId="0" applyNumberFormat="1" applyFont="1" applyFill="1"/>
    <xf numFmtId="7" fontId="54" fillId="25" borderId="13" xfId="0" applyNumberFormat="1" applyFont="1" applyFill="1" applyBorder="1" applyAlignment="1">
      <alignment horizontal="center" vertical="center"/>
    </xf>
    <xf numFmtId="191" fontId="57" fillId="25" borderId="15" xfId="0" applyNumberFormat="1" applyFont="1" applyFill="1" applyBorder="1" applyAlignment="1">
      <alignment horizontal="center" vertical="center"/>
    </xf>
    <xf numFmtId="7" fontId="54" fillId="26" borderId="13" xfId="0" applyNumberFormat="1" applyFont="1" applyFill="1" applyBorder="1" applyAlignment="1">
      <alignment horizontal="center" vertical="center"/>
    </xf>
    <xf numFmtId="191" fontId="57" fillId="26" borderId="15" xfId="0" applyNumberFormat="1" applyFont="1" applyFill="1" applyBorder="1" applyAlignment="1">
      <alignment horizontal="center" vertical="center"/>
    </xf>
    <xf numFmtId="7" fontId="87" fillId="26" borderId="13" xfId="0" applyNumberFormat="1" applyFont="1" applyFill="1" applyBorder="1" applyAlignment="1">
      <alignment horizontal="center" vertical="center"/>
    </xf>
    <xf numFmtId="169" fontId="48" fillId="0" borderId="0" xfId="51" applyNumberFormat="1" applyFont="1" applyAlignment="1">
      <alignment horizontal="center" vertical="center"/>
    </xf>
    <xf numFmtId="191" fontId="54" fillId="0" borderId="0" xfId="51" applyNumberFormat="1" applyFont="1" applyFill="1" applyBorder="1" applyAlignment="1">
      <alignment horizontal="left" vertical="center"/>
    </xf>
    <xf numFmtId="3" fontId="104" fillId="0" borderId="0" xfId="22" applyNumberFormat="1" applyFont="1" applyFill="1" applyBorder="1" applyAlignment="1">
      <alignment horizontal="center" vertical="center"/>
    </xf>
    <xf numFmtId="3" fontId="50" fillId="0" borderId="0" xfId="51" applyNumberFormat="1" applyFont="1" applyFill="1" applyBorder="1" applyAlignment="1">
      <alignment horizontal="center" vertical="center"/>
    </xf>
    <xf numFmtId="203" fontId="41" fillId="0" borderId="0" xfId="0" applyNumberFormat="1" applyFont="1" applyAlignment="1">
      <alignment horizontal="center"/>
    </xf>
    <xf numFmtId="191" fontId="41" fillId="0" borderId="0" xfId="0" applyNumberFormat="1" applyFont="1" applyAlignment="1">
      <alignment horizontal="center"/>
    </xf>
    <xf numFmtId="191" fontId="47" fillId="0" borderId="0" xfId="51" applyNumberFormat="1" applyFont="1" applyFill="1" applyBorder="1" applyAlignment="1">
      <alignment vertical="center"/>
    </xf>
    <xf numFmtId="191" fontId="142" fillId="0" borderId="0" xfId="51" applyNumberFormat="1" applyFont="1" applyFill="1" applyBorder="1" applyAlignment="1">
      <alignment horizontal="left" vertical="center"/>
    </xf>
    <xf numFmtId="191" fontId="47" fillId="8" borderId="0" xfId="51" applyNumberFormat="1" applyFont="1" applyFill="1" applyBorder="1" applyAlignment="1">
      <alignment vertical="center"/>
    </xf>
    <xf numFmtId="0" fontId="40" fillId="8" borderId="0" xfId="0" applyFont="1" applyFill="1"/>
    <xf numFmtId="0" fontId="41" fillId="12" borderId="6" xfId="88" applyFont="1" applyFill="1" applyBorder="1"/>
    <xf numFmtId="192" fontId="41" fillId="0" borderId="0" xfId="0" applyNumberFormat="1" applyFont="1" applyAlignment="1">
      <alignment horizontal="center"/>
    </xf>
    <xf numFmtId="0" fontId="41" fillId="8" borderId="4" xfId="0" applyFont="1" applyFill="1" applyBorder="1"/>
    <xf numFmtId="0" fontId="41" fillId="8" borderId="2" xfId="0" applyFont="1" applyFill="1" applyBorder="1" applyAlignment="1">
      <alignment horizontal="center"/>
    </xf>
    <xf numFmtId="0" fontId="41" fillId="8" borderId="3" xfId="0" applyFont="1" applyFill="1" applyBorder="1"/>
    <xf numFmtId="15" fontId="129" fillId="8" borderId="0" xfId="0" applyNumberFormat="1" applyFont="1" applyFill="1"/>
    <xf numFmtId="0" fontId="129" fillId="8" borderId="0" xfId="0" applyFont="1" applyFill="1"/>
    <xf numFmtId="191" fontId="129" fillId="8" borderId="0" xfId="0" applyNumberFormat="1" applyFont="1" applyFill="1" applyAlignment="1">
      <alignment horizontal="center"/>
    </xf>
    <xf numFmtId="202" fontId="41" fillId="8" borderId="0" xfId="0" applyNumberFormat="1" applyFont="1" applyFill="1" applyAlignment="1">
      <alignment horizontal="center"/>
    </xf>
    <xf numFmtId="3" fontId="41" fillId="8" borderId="0" xfId="0" applyNumberFormat="1" applyFont="1" applyFill="1" applyAlignment="1">
      <alignment horizontal="center"/>
    </xf>
    <xf numFmtId="169" fontId="41" fillId="8" borderId="0" xfId="0" applyNumberFormat="1" applyFont="1" applyFill="1" applyAlignment="1">
      <alignment horizontal="center"/>
    </xf>
    <xf numFmtId="191" fontId="41" fillId="8" borderId="0" xfId="0" applyNumberFormat="1" applyFont="1" applyFill="1"/>
    <xf numFmtId="7" fontId="41" fillId="8" borderId="0" xfId="0" applyNumberFormat="1" applyFont="1" applyFill="1" applyAlignment="1">
      <alignment horizontal="center"/>
    </xf>
    <xf numFmtId="203" fontId="40" fillId="8" borderId="0" xfId="0" applyNumberFormat="1" applyFont="1" applyFill="1" applyAlignment="1">
      <alignment horizontal="center"/>
    </xf>
    <xf numFmtId="164" fontId="54" fillId="0" borderId="0" xfId="0" applyNumberFormat="1" applyFont="1"/>
    <xf numFmtId="0" fontId="143" fillId="8" borderId="0" xfId="0" applyFont="1" applyFill="1"/>
    <xf numFmtId="191" fontId="144" fillId="8" borderId="0" xfId="51" applyNumberFormat="1" applyFont="1" applyFill="1" applyAlignment="1">
      <alignment horizontal="center"/>
    </xf>
    <xf numFmtId="9" fontId="41" fillId="8" borderId="0" xfId="0" applyNumberFormat="1" applyFont="1" applyFill="1" applyAlignment="1">
      <alignment horizontal="center"/>
    </xf>
    <xf numFmtId="206" fontId="41" fillId="8" borderId="0" xfId="0" applyNumberFormat="1" applyFont="1" applyFill="1" applyAlignment="1">
      <alignment horizontal="center"/>
    </xf>
    <xf numFmtId="10" fontId="41" fillId="8" borderId="0" xfId="0" applyNumberFormat="1" applyFont="1" applyFill="1" applyAlignment="1">
      <alignment horizontal="center"/>
    </xf>
    <xf numFmtId="169" fontId="41" fillId="0" borderId="0" xfId="0" applyNumberFormat="1" applyFont="1" applyAlignment="1">
      <alignment horizontal="center"/>
    </xf>
    <xf numFmtId="6" fontId="57" fillId="0" borderId="36" xfId="51" applyNumberFormat="1" applyFont="1" applyFill="1" applyBorder="1" applyAlignment="1">
      <alignment horizontal="center" vertical="center"/>
    </xf>
    <xf numFmtId="6" fontId="57" fillId="0" borderId="36" xfId="51" applyNumberFormat="1" applyFont="1" applyBorder="1" applyAlignment="1">
      <alignment horizontal="center" vertical="center"/>
    </xf>
    <xf numFmtId="6" fontId="41" fillId="8" borderId="0" xfId="0" applyNumberFormat="1" applyFont="1" applyFill="1" applyAlignment="1">
      <alignment horizontal="center"/>
    </xf>
    <xf numFmtId="0" fontId="41" fillId="0" borderId="0" xfId="0" applyFont="1" applyAlignment="1">
      <alignment horizontal="center"/>
    </xf>
    <xf numFmtId="202" fontId="56" fillId="0" borderId="0" xfId="0" applyNumberFormat="1" applyFont="1" applyAlignment="1">
      <alignment horizontal="center"/>
    </xf>
    <xf numFmtId="195" fontId="52" fillId="0" borderId="0" xfId="0" applyNumberFormat="1" applyFont="1" applyAlignment="1">
      <alignment horizontal="center"/>
    </xf>
    <xf numFmtId="191" fontId="48" fillId="0" borderId="0" xfId="0" applyNumberFormat="1" applyFont="1"/>
    <xf numFmtId="9" fontId="129" fillId="0" borderId="0" xfId="0" applyNumberFormat="1" applyFont="1" applyAlignment="1">
      <alignment horizontal="center"/>
    </xf>
    <xf numFmtId="9" fontId="129" fillId="8" borderId="0" xfId="0" applyNumberFormat="1" applyFont="1" applyFill="1" applyAlignment="1">
      <alignment horizontal="center"/>
    </xf>
    <xf numFmtId="9" fontId="41" fillId="0" borderId="0" xfId="0" applyNumberFormat="1" applyFont="1" applyAlignment="1">
      <alignment horizontal="center"/>
    </xf>
    <xf numFmtId="202" fontId="129" fillId="0" borderId="0" xfId="0" applyNumberFormat="1" applyFont="1" applyAlignment="1">
      <alignment horizontal="center"/>
    </xf>
    <xf numFmtId="192" fontId="48" fillId="0" borderId="0" xfId="22" applyNumberFormat="1" applyFont="1" applyAlignment="1">
      <alignment horizontal="center"/>
    </xf>
    <xf numFmtId="193" fontId="129" fillId="0" borderId="0" xfId="0" applyNumberFormat="1" applyFont="1" applyAlignment="1">
      <alignment horizontal="center"/>
    </xf>
    <xf numFmtId="193" fontId="129" fillId="8" borderId="0" xfId="0" applyNumberFormat="1" applyFont="1" applyFill="1" applyAlignment="1">
      <alignment horizontal="center"/>
    </xf>
    <xf numFmtId="195" fontId="41" fillId="0" borderId="0" xfId="0" applyNumberFormat="1" applyFont="1" applyAlignment="1">
      <alignment horizontal="center"/>
    </xf>
    <xf numFmtId="15" fontId="41" fillId="8" borderId="0" xfId="0" applyNumberFormat="1" applyFont="1" applyFill="1"/>
    <xf numFmtId="0" fontId="129" fillId="8" borderId="0" xfId="0" applyFont="1" applyFill="1" applyAlignment="1">
      <alignment horizontal="center"/>
    </xf>
    <xf numFmtId="191" fontId="129" fillId="8" borderId="0" xfId="0" applyNumberFormat="1" applyFont="1" applyFill="1"/>
    <xf numFmtId="192" fontId="129" fillId="8" borderId="0" xfId="0" applyNumberFormat="1" applyFont="1" applyFill="1" applyAlignment="1">
      <alignment horizontal="center"/>
    </xf>
    <xf numFmtId="196" fontId="56" fillId="0" borderId="0" xfId="22" applyNumberFormat="1" applyFont="1" applyAlignment="1">
      <alignment horizontal="center"/>
    </xf>
    <xf numFmtId="0" fontId="48" fillId="0" borderId="0" xfId="0" applyFont="1" applyAlignment="1">
      <alignment horizontal="left" indent="2"/>
    </xf>
    <xf numFmtId="192" fontId="59" fillId="0" borderId="0" xfId="22" applyNumberFormat="1" applyFont="1" applyAlignment="1">
      <alignment horizontal="center"/>
    </xf>
    <xf numFmtId="195" fontId="129" fillId="8" borderId="0" xfId="0" applyNumberFormat="1" applyFont="1" applyFill="1" applyAlignment="1">
      <alignment horizontal="center"/>
    </xf>
    <xf numFmtId="14" fontId="3" fillId="0" borderId="0" xfId="0" quotePrefix="1" applyNumberFormat="1" applyFont="1" applyAlignment="1">
      <alignment horizontal="center"/>
    </xf>
    <xf numFmtId="0" fontId="0" fillId="0" borderId="0" xfId="0" applyAlignment="1">
      <alignment horizontal="center"/>
    </xf>
    <xf numFmtId="166" fontId="48" fillId="0" borderId="0" xfId="127" applyNumberFormat="1" applyFont="1" applyAlignment="1">
      <alignment horizontal="center"/>
    </xf>
    <xf numFmtId="166" fontId="70" fillId="0" borderId="0" xfId="127" applyNumberFormat="1" applyFont="1" applyAlignment="1">
      <alignment horizontal="center"/>
    </xf>
    <xf numFmtId="197" fontId="70" fillId="0" borderId="0" xfId="0" applyNumberFormat="1" applyFont="1" applyAlignment="1">
      <alignment horizontal="center" vertical="center"/>
    </xf>
    <xf numFmtId="191" fontId="59" fillId="0" borderId="0" xfId="22" applyNumberFormat="1" applyFont="1" applyAlignment="1">
      <alignment horizontal="center"/>
    </xf>
    <xf numFmtId="0" fontId="96" fillId="0" borderId="0" xfId="0" applyFont="1" applyAlignment="1">
      <alignment horizontal="center"/>
    </xf>
    <xf numFmtId="202" fontId="48" fillId="0" borderId="0" xfId="0" applyNumberFormat="1" applyFont="1" applyAlignment="1">
      <alignment horizontal="center"/>
    </xf>
    <xf numFmtId="195" fontId="16" fillId="0" borderId="36" xfId="0" applyNumberFormat="1" applyFont="1" applyBorder="1" applyAlignment="1">
      <alignment horizontal="center"/>
    </xf>
    <xf numFmtId="192" fontId="59" fillId="0" borderId="36" xfId="22" applyNumberFormat="1" applyFont="1" applyBorder="1" applyAlignment="1">
      <alignment horizontal="center"/>
    </xf>
    <xf numFmtId="192" fontId="48" fillId="0" borderId="36" xfId="22" applyNumberFormat="1" applyFont="1" applyBorder="1" applyAlignment="1">
      <alignment horizontal="center"/>
    </xf>
    <xf numFmtId="191" fontId="59" fillId="0" borderId="36" xfId="22" applyNumberFormat="1" applyFont="1" applyBorder="1" applyAlignment="1">
      <alignment horizontal="center"/>
    </xf>
    <xf numFmtId="202" fontId="56" fillId="0" borderId="36" xfId="0" applyNumberFormat="1" applyFont="1" applyBorder="1" applyAlignment="1">
      <alignment horizontal="center"/>
    </xf>
    <xf numFmtId="202" fontId="107" fillId="0" borderId="36" xfId="0" applyNumberFormat="1" applyFont="1" applyBorder="1" applyAlignment="1">
      <alignment horizontal="center"/>
    </xf>
    <xf numFmtId="192" fontId="48" fillId="0" borderId="35" xfId="22" applyNumberFormat="1" applyFont="1" applyBorder="1" applyAlignment="1">
      <alignment horizontal="center"/>
    </xf>
    <xf numFmtId="191" fontId="56" fillId="0" borderId="36" xfId="0" quotePrefix="1" applyNumberFormat="1" applyFont="1" applyBorder="1" applyAlignment="1">
      <alignment horizontal="center"/>
    </xf>
    <xf numFmtId="195" fontId="52" fillId="0" borderId="36" xfId="0" applyNumberFormat="1" applyFont="1" applyBorder="1" applyAlignment="1">
      <alignment horizontal="center"/>
    </xf>
    <xf numFmtId="0" fontId="41" fillId="8" borderId="30" xfId="0" applyFont="1" applyFill="1" applyBorder="1"/>
    <xf numFmtId="1" fontId="41" fillId="0" borderId="42" xfId="0" applyNumberFormat="1" applyFont="1" applyBorder="1"/>
    <xf numFmtId="191" fontId="44" fillId="8" borderId="4" xfId="51" applyNumberFormat="1" applyFont="1" applyFill="1" applyBorder="1" applyAlignment="1">
      <alignment horizontal="left" vertical="center" indent="1"/>
    </xf>
    <xf numFmtId="191" fontId="41" fillId="8" borderId="0" xfId="51" applyNumberFormat="1" applyFont="1" applyFill="1" applyAlignment="1">
      <alignment horizontal="center"/>
    </xf>
    <xf numFmtId="194" fontId="87" fillId="24" borderId="10" xfId="0" applyNumberFormat="1" applyFont="1" applyFill="1" applyBorder="1" applyAlignment="1">
      <alignment horizontal="center" vertical="center"/>
    </xf>
    <xf numFmtId="191" fontId="57" fillId="24" borderId="17" xfId="51" applyNumberFormat="1" applyFont="1" applyFill="1" applyBorder="1" applyAlignment="1">
      <alignment horizontal="center" vertical="center"/>
    </xf>
    <xf numFmtId="37" fontId="83" fillId="0" borderId="0" xfId="0" applyNumberFormat="1" applyFont="1" applyAlignment="1">
      <alignment vertical="center"/>
    </xf>
    <xf numFmtId="37" fontId="48" fillId="0" borderId="21" xfId="0" applyNumberFormat="1" applyFont="1" applyBorder="1" applyAlignment="1">
      <alignment vertical="center"/>
    </xf>
    <xf numFmtId="0" fontId="54" fillId="27" borderId="18" xfId="0" applyFont="1" applyFill="1" applyBorder="1" applyAlignment="1">
      <alignment horizontal="left"/>
    </xf>
    <xf numFmtId="0" fontId="54" fillId="27" borderId="19" xfId="0" applyFont="1" applyFill="1" applyBorder="1" applyAlignment="1">
      <alignment horizontal="center"/>
    </xf>
    <xf numFmtId="0" fontId="54" fillId="27" borderId="20" xfId="0" applyFont="1" applyFill="1" applyBorder="1" applyAlignment="1">
      <alignment horizontal="center"/>
    </xf>
    <xf numFmtId="194" fontId="54" fillId="27" borderId="25" xfId="0" applyNumberFormat="1" applyFont="1" applyFill="1" applyBorder="1" applyAlignment="1">
      <alignment horizontal="center"/>
    </xf>
    <xf numFmtId="194" fontId="54" fillId="27" borderId="10" xfId="0" applyNumberFormat="1" applyFont="1" applyFill="1" applyBorder="1" applyAlignment="1">
      <alignment horizontal="center"/>
    </xf>
    <xf numFmtId="191" fontId="57" fillId="27" borderId="16" xfId="51" applyNumberFormat="1" applyFont="1" applyFill="1" applyBorder="1" applyAlignment="1">
      <alignment horizontal="center"/>
    </xf>
    <xf numFmtId="191" fontId="57" fillId="27" borderId="17" xfId="51" applyNumberFormat="1" applyFont="1" applyFill="1" applyBorder="1" applyAlignment="1">
      <alignment horizontal="center"/>
    </xf>
    <xf numFmtId="0" fontId="54" fillId="27" borderId="9" xfId="0" applyFont="1" applyFill="1" applyBorder="1" applyAlignment="1">
      <alignment horizontal="center" vertical="center" wrapText="1"/>
    </xf>
    <xf numFmtId="0" fontId="57" fillId="27" borderId="14" xfId="0" applyFont="1" applyFill="1" applyBorder="1" applyAlignment="1">
      <alignment horizontal="center" vertical="center" wrapText="1"/>
    </xf>
    <xf numFmtId="197" fontId="70" fillId="0" borderId="0" xfId="0" applyNumberFormat="1" applyFont="1" applyAlignment="1">
      <alignment horizontal="centerContinuous" vertical="center"/>
    </xf>
    <xf numFmtId="197" fontId="48" fillId="0" borderId="0" xfId="0" applyNumberFormat="1" applyFont="1" applyAlignment="1">
      <alignment horizontal="centerContinuous" vertical="center"/>
    </xf>
    <xf numFmtId="196" fontId="87" fillId="0" borderId="36" xfId="51" applyNumberFormat="1" applyFont="1" applyFill="1" applyBorder="1" applyAlignment="1">
      <alignment horizontal="center" vertical="center"/>
    </xf>
    <xf numFmtId="193" fontId="55" fillId="22" borderId="0" xfId="0" applyNumberFormat="1" applyFont="1" applyFill="1" applyAlignment="1">
      <alignment horizontal="center" vertical="center"/>
    </xf>
    <xf numFmtId="0" fontId="3" fillId="18" borderId="3" xfId="0" applyFont="1" applyFill="1" applyBorder="1" applyAlignment="1">
      <alignment horizontal="center" vertical="center"/>
    </xf>
    <xf numFmtId="198" fontId="116" fillId="18" borderId="3" xfId="0" applyNumberFormat="1" applyFont="1" applyFill="1" applyBorder="1" applyAlignment="1">
      <alignment horizontal="center" vertical="center"/>
    </xf>
    <xf numFmtId="198" fontId="55" fillId="19" borderId="3" xfId="0" applyNumberFormat="1" applyFont="1" applyFill="1" applyBorder="1" applyAlignment="1">
      <alignment horizontal="center" vertical="center"/>
    </xf>
    <xf numFmtId="193" fontId="55" fillId="19" borderId="3" xfId="0" applyNumberFormat="1" applyFont="1" applyFill="1" applyBorder="1" applyAlignment="1">
      <alignment horizontal="center" vertical="center"/>
    </xf>
    <xf numFmtId="0" fontId="48" fillId="14" borderId="3" xfId="0" applyFont="1" applyFill="1" applyBorder="1" applyAlignment="1">
      <alignment horizontal="center" vertical="center"/>
    </xf>
    <xf numFmtId="198" fontId="116" fillId="14" borderId="3" xfId="0" applyNumberFormat="1" applyFont="1" applyFill="1" applyBorder="1" applyAlignment="1">
      <alignment horizontal="center" vertical="center"/>
    </xf>
    <xf numFmtId="198" fontId="55" fillId="20" borderId="3" xfId="0" applyNumberFormat="1" applyFont="1" applyFill="1" applyBorder="1" applyAlignment="1">
      <alignment horizontal="center" vertical="center"/>
    </xf>
    <xf numFmtId="193" fontId="55" fillId="20" borderId="3" xfId="0" applyNumberFormat="1" applyFont="1" applyFill="1" applyBorder="1" applyAlignment="1">
      <alignment horizontal="center" vertical="center"/>
    </xf>
    <xf numFmtId="191" fontId="137" fillId="0" borderId="3" xfId="0" applyNumberFormat="1" applyFont="1" applyBorder="1" applyAlignment="1">
      <alignment horizontal="center" vertical="center"/>
    </xf>
    <xf numFmtId="191" fontId="59" fillId="0" borderId="0" xfId="22" applyNumberFormat="1" applyFont="1" applyFill="1" applyBorder="1" applyAlignment="1">
      <alignment horizontal="center" vertical="center"/>
    </xf>
    <xf numFmtId="191" fontId="137" fillId="0" borderId="4" xfId="0" applyNumberFormat="1" applyFont="1" applyBorder="1" applyAlignment="1">
      <alignment horizontal="center" vertical="center"/>
    </xf>
    <xf numFmtId="189" fontId="64" fillId="0" borderId="0" xfId="51" applyNumberFormat="1" applyFont="1" applyFill="1" applyBorder="1" applyAlignment="1">
      <alignment horizontal="center" vertical="center"/>
    </xf>
    <xf numFmtId="0" fontId="148" fillId="0" borderId="0" xfId="0" applyFont="1"/>
    <xf numFmtId="15" fontId="77" fillId="0" borderId="0" xfId="0" applyNumberFormat="1" applyFont="1" applyAlignment="1">
      <alignment horizontal="left" vertical="center"/>
    </xf>
    <xf numFmtId="0" fontId="64" fillId="0" borderId="0" xfId="0" applyFont="1" applyAlignment="1">
      <alignment horizontal="center" vertical="center"/>
    </xf>
    <xf numFmtId="0" fontId="77" fillId="0" borderId="0" xfId="0" applyFont="1" applyAlignment="1">
      <alignment horizontal="center" vertical="center"/>
    </xf>
    <xf numFmtId="37" fontId="64" fillId="0" borderId="0" xfId="0" applyNumberFormat="1" applyFont="1" applyAlignment="1">
      <alignment horizontal="center" vertical="center"/>
    </xf>
    <xf numFmtId="0" fontId="136" fillId="23" borderId="4" xfId="0" applyFont="1" applyFill="1" applyBorder="1" applyAlignment="1">
      <alignment horizontal="center" vertical="center"/>
    </xf>
    <xf numFmtId="164" fontId="52" fillId="0" borderId="0" xfId="0" applyNumberFormat="1" applyFont="1" applyAlignment="1">
      <alignment horizontal="center" vertical="center"/>
    </xf>
    <xf numFmtId="164" fontId="55" fillId="0" borderId="43" xfId="0" applyNumberFormat="1" applyFont="1" applyBorder="1" applyAlignment="1">
      <alignment horizontal="center" vertical="center"/>
    </xf>
    <xf numFmtId="164" fontId="56" fillId="0" borderId="43" xfId="0" applyNumberFormat="1" applyFont="1" applyBorder="1" applyAlignment="1">
      <alignment horizontal="center" vertical="center"/>
    </xf>
    <xf numFmtId="164" fontId="60" fillId="0" borderId="35" xfId="0" applyNumberFormat="1" applyFont="1" applyBorder="1" applyAlignment="1">
      <alignment vertical="center"/>
    </xf>
    <xf numFmtId="164" fontId="60" fillId="0" borderId="43" xfId="0" applyNumberFormat="1" applyFont="1" applyBorder="1" applyAlignment="1">
      <alignment vertical="center"/>
    </xf>
    <xf numFmtId="164" fontId="48" fillId="0" borderId="43" xfId="0" applyNumberFormat="1" applyFont="1" applyBorder="1" applyAlignment="1">
      <alignment vertical="center"/>
    </xf>
    <xf numFmtId="191" fontId="56" fillId="0" borderId="0" xfId="0" applyNumberFormat="1" applyFont="1" applyAlignment="1">
      <alignment horizontal="center"/>
    </xf>
    <xf numFmtId="196" fontId="56" fillId="0" borderId="36" xfId="22" applyNumberFormat="1" applyFont="1" applyBorder="1" applyAlignment="1">
      <alignment horizontal="center"/>
    </xf>
    <xf numFmtId="191" fontId="92" fillId="0" borderId="0" xfId="51" applyNumberFormat="1" applyFont="1" applyAlignment="1">
      <alignment horizontal="center" vertical="center"/>
    </xf>
    <xf numFmtId="191" fontId="53" fillId="0" borderId="0" xfId="0" applyNumberFormat="1" applyFont="1" applyAlignment="1">
      <alignment horizontal="center"/>
    </xf>
    <xf numFmtId="191" fontId="53" fillId="0" borderId="36" xfId="0" applyNumberFormat="1" applyFont="1" applyBorder="1" applyAlignment="1">
      <alignment horizontal="center"/>
    </xf>
    <xf numFmtId="191" fontId="53" fillId="0" borderId="3" xfId="0" applyNumberFormat="1" applyFont="1" applyBorder="1" applyAlignment="1">
      <alignment horizontal="center"/>
    </xf>
    <xf numFmtId="191" fontId="53" fillId="25" borderId="29" xfId="0" applyNumberFormat="1" applyFont="1" applyFill="1" applyBorder="1" applyAlignment="1">
      <alignment horizontal="center"/>
    </xf>
    <xf numFmtId="0" fontId="120" fillId="27" borderId="35" xfId="0" applyFont="1" applyFill="1" applyBorder="1" applyAlignment="1">
      <alignment horizontal="center" vertical="center"/>
    </xf>
    <xf numFmtId="0" fontId="122" fillId="27" borderId="30" xfId="0" applyFont="1" applyFill="1" applyBorder="1" applyAlignment="1">
      <alignment horizontal="centerContinuous"/>
    </xf>
    <xf numFmtId="0" fontId="3" fillId="27" borderId="36" xfId="0" applyFont="1" applyFill="1" applyBorder="1" applyAlignment="1">
      <alignment horizontal="left" vertical="center"/>
    </xf>
    <xf numFmtId="198" fontId="116" fillId="27" borderId="3" xfId="0" applyNumberFormat="1" applyFont="1" applyFill="1" applyBorder="1" applyAlignment="1">
      <alignment horizontal="center" vertical="center"/>
    </xf>
    <xf numFmtId="0" fontId="1" fillId="27" borderId="36" xfId="0" applyFont="1" applyFill="1" applyBorder="1" applyAlignment="1">
      <alignment horizontal="left" vertical="center"/>
    </xf>
    <xf numFmtId="0" fontId="116" fillId="27" borderId="36" xfId="0" applyFont="1" applyFill="1" applyBorder="1" applyAlignment="1">
      <alignment horizontal="left" vertical="center"/>
    </xf>
    <xf numFmtId="194" fontId="116" fillId="27" borderId="3" xfId="0" applyNumberFormat="1" applyFont="1" applyFill="1" applyBorder="1" applyAlignment="1">
      <alignment horizontal="center" vertical="center"/>
    </xf>
    <xf numFmtId="0" fontId="50" fillId="24" borderId="42" xfId="0" applyFont="1" applyFill="1" applyBorder="1" applyAlignment="1">
      <alignment horizontal="centerContinuous"/>
    </xf>
    <xf numFmtId="0" fontId="50" fillId="24" borderId="42" xfId="0" applyFont="1" applyFill="1" applyBorder="1" applyAlignment="1">
      <alignment horizontal="centerContinuous" vertical="center"/>
    </xf>
    <xf numFmtId="0" fontId="122" fillId="24" borderId="30" xfId="0" applyFont="1" applyFill="1" applyBorder="1" applyAlignment="1">
      <alignment horizontal="centerContinuous"/>
    </xf>
    <xf numFmtId="198" fontId="116" fillId="24" borderId="0" xfId="0" applyNumberFormat="1" applyFont="1" applyFill="1" applyAlignment="1">
      <alignment horizontal="center" vertical="center"/>
    </xf>
    <xf numFmtId="194" fontId="116" fillId="24" borderId="0" xfId="0" applyNumberFormat="1" applyFont="1" applyFill="1" applyAlignment="1">
      <alignment horizontal="center" vertical="center"/>
    </xf>
    <xf numFmtId="198" fontId="116" fillId="24" borderId="3" xfId="0" applyNumberFormat="1" applyFont="1" applyFill="1" applyBorder="1" applyAlignment="1">
      <alignment horizontal="center" vertical="center"/>
    </xf>
    <xf numFmtId="194" fontId="116" fillId="24" borderId="3" xfId="0" applyNumberFormat="1" applyFont="1" applyFill="1" applyBorder="1" applyAlignment="1">
      <alignment horizontal="center" vertical="center"/>
    </xf>
    <xf numFmtId="191" fontId="47" fillId="8" borderId="44" xfId="51" applyNumberFormat="1" applyFont="1" applyFill="1" applyBorder="1" applyAlignment="1">
      <alignment vertical="center"/>
    </xf>
    <xf numFmtId="203" fontId="41" fillId="8" borderId="44" xfId="0" applyNumberFormat="1" applyFont="1" applyFill="1" applyBorder="1" applyAlignment="1">
      <alignment horizontal="center"/>
    </xf>
    <xf numFmtId="0" fontId="43" fillId="8" borderId="0" xfId="0" applyFont="1" applyFill="1" applyAlignment="1">
      <alignment horizontal="left" indent="1"/>
    </xf>
    <xf numFmtId="169" fontId="43" fillId="0" borderId="0" xfId="0" applyNumberFormat="1" applyFont="1" applyAlignment="1">
      <alignment horizontal="center"/>
    </xf>
    <xf numFmtId="191" fontId="43" fillId="0" borderId="0" xfId="0" applyNumberFormat="1" applyFont="1" applyAlignment="1">
      <alignment horizontal="center"/>
    </xf>
    <xf numFmtId="203" fontId="43" fillId="0" borderId="0" xfId="0" applyNumberFormat="1" applyFont="1" applyAlignment="1">
      <alignment horizontal="center"/>
    </xf>
    <xf numFmtId="196" fontId="129" fillId="8" borderId="0" xfId="0" applyNumberFormat="1" applyFont="1" applyFill="1" applyAlignment="1">
      <alignment horizontal="center"/>
    </xf>
    <xf numFmtId="197" fontId="48" fillId="9" borderId="0" xfId="0" applyNumberFormat="1" applyFont="1" applyFill="1" applyAlignment="1">
      <alignment horizontal="center" vertical="center"/>
    </xf>
    <xf numFmtId="195" fontId="54" fillId="0" borderId="12" xfId="0" applyNumberFormat="1" applyFont="1" applyBorder="1" applyAlignment="1">
      <alignment horizontal="center"/>
    </xf>
    <xf numFmtId="0" fontId="54" fillId="8" borderId="11" xfId="0" applyFont="1" applyFill="1" applyBorder="1" applyAlignment="1">
      <alignment horizontal="left"/>
    </xf>
    <xf numFmtId="187" fontId="54" fillId="8" borderId="12" xfId="0" applyNumberFormat="1" applyFont="1" applyFill="1" applyBorder="1" applyAlignment="1">
      <alignment horizontal="center"/>
    </xf>
    <xf numFmtId="183" fontId="54" fillId="0" borderId="12" xfId="0" applyNumberFormat="1" applyFont="1" applyBorder="1" applyAlignment="1">
      <alignment horizontal="center"/>
    </xf>
    <xf numFmtId="0" fontId="55" fillId="0" borderId="14" xfId="0" applyFont="1" applyBorder="1" applyAlignment="1">
      <alignment horizontal="left"/>
    </xf>
    <xf numFmtId="183" fontId="55" fillId="0" borderId="16" xfId="0" applyNumberFormat="1" applyFont="1" applyBorder="1" applyAlignment="1">
      <alignment horizontal="center"/>
    </xf>
    <xf numFmtId="183" fontId="55" fillId="0" borderId="17" xfId="0" applyNumberFormat="1" applyFont="1" applyBorder="1" applyAlignment="1">
      <alignment horizontal="center"/>
    </xf>
    <xf numFmtId="169" fontId="41" fillId="0" borderId="0" xfId="51" applyNumberFormat="1" applyFont="1"/>
    <xf numFmtId="14" fontId="39" fillId="0" borderId="0" xfId="582" applyNumberFormat="1">
      <alignment horizontal="center"/>
    </xf>
    <xf numFmtId="189" fontId="124" fillId="0" borderId="0" xfId="582" applyNumberFormat="1" applyFont="1">
      <alignment horizontal="center"/>
    </xf>
    <xf numFmtId="191" fontId="145" fillId="8" borderId="0" xfId="47" applyNumberFormat="1" applyFont="1" applyFill="1" applyAlignment="1">
      <alignment horizontal="center" vertical="center"/>
    </xf>
    <xf numFmtId="0" fontId="136" fillId="23" borderId="36" xfId="0" applyFont="1" applyFill="1" applyBorder="1" applyAlignment="1">
      <alignment horizontal="center" vertical="center"/>
    </xf>
    <xf numFmtId="191" fontId="137" fillId="0" borderId="36" xfId="0" applyNumberFormat="1" applyFont="1" applyBorder="1" applyAlignment="1">
      <alignment horizontal="center" vertical="center"/>
    </xf>
    <xf numFmtId="14" fontId="52" fillId="0" borderId="0" xfId="0" applyNumberFormat="1" applyFont="1" applyAlignment="1">
      <alignment horizontal="center"/>
    </xf>
    <xf numFmtId="37" fontId="39" fillId="0" borderId="0" xfId="582" applyAlignment="1">
      <alignment horizontal="center" vertical="center"/>
    </xf>
    <xf numFmtId="0" fontId="50" fillId="24" borderId="45" xfId="0" applyFont="1" applyFill="1" applyBorder="1" applyAlignment="1">
      <alignment horizontal="centerContinuous"/>
    </xf>
    <xf numFmtId="0" fontId="134" fillId="11" borderId="0" xfId="0" applyFont="1" applyFill="1" applyAlignment="1">
      <alignment horizontal="centerContinuous"/>
    </xf>
    <xf numFmtId="198" fontId="136" fillId="11" borderId="0" xfId="0" applyNumberFormat="1" applyFont="1" applyFill="1" applyAlignment="1">
      <alignment horizontal="center" vertical="center"/>
    </xf>
    <xf numFmtId="198" fontId="136" fillId="11" borderId="36" xfId="0" applyNumberFormat="1" applyFont="1" applyFill="1" applyBorder="1" applyAlignment="1">
      <alignment horizontal="center" vertical="center"/>
    </xf>
    <xf numFmtId="198" fontId="136" fillId="11" borderId="4" xfId="0" applyNumberFormat="1" applyFont="1" applyFill="1" applyBorder="1" applyAlignment="1">
      <alignment horizontal="center" vertical="center"/>
    </xf>
    <xf numFmtId="198" fontId="136" fillId="11" borderId="3" xfId="0" applyNumberFormat="1" applyFont="1" applyFill="1" applyBorder="1" applyAlignment="1">
      <alignment horizontal="center" vertical="center"/>
    </xf>
    <xf numFmtId="184" fontId="136" fillId="11" borderId="0" xfId="0" applyNumberFormat="1" applyFont="1" applyFill="1" applyAlignment="1">
      <alignment horizontal="center" vertical="center"/>
    </xf>
    <xf numFmtId="184" fontId="136" fillId="11" borderId="36" xfId="0" applyNumberFormat="1" applyFont="1" applyFill="1" applyBorder="1" applyAlignment="1">
      <alignment horizontal="center" vertical="center"/>
    </xf>
    <xf numFmtId="184" fontId="136" fillId="11" borderId="3" xfId="0" applyNumberFormat="1" applyFont="1" applyFill="1" applyBorder="1" applyAlignment="1">
      <alignment horizontal="center" vertical="center"/>
    </xf>
    <xf numFmtId="198" fontId="136" fillId="28" borderId="0" xfId="0" applyNumberFormat="1" applyFont="1" applyFill="1" applyAlignment="1">
      <alignment horizontal="center" vertical="center"/>
    </xf>
    <xf numFmtId="198" fontId="136" fillId="28" borderId="36" xfId="0" applyNumberFormat="1" applyFont="1" applyFill="1" applyBorder="1" applyAlignment="1">
      <alignment horizontal="center" vertical="center"/>
    </xf>
    <xf numFmtId="198" fontId="136" fillId="28" borderId="3" xfId="0" applyNumberFormat="1" applyFont="1" applyFill="1" applyBorder="1" applyAlignment="1">
      <alignment horizontal="center" vertical="center"/>
    </xf>
    <xf numFmtId="196" fontId="136" fillId="28" borderId="0" xfId="0" applyNumberFormat="1" applyFont="1" applyFill="1" applyAlignment="1">
      <alignment horizontal="center" vertical="center"/>
    </xf>
    <xf numFmtId="196" fontId="136" fillId="28" borderId="36" xfId="0" applyNumberFormat="1" applyFont="1" applyFill="1" applyBorder="1" applyAlignment="1">
      <alignment horizontal="center" vertical="center"/>
    </xf>
    <xf numFmtId="196" fontId="136" fillId="28" borderId="3" xfId="0" applyNumberFormat="1" applyFont="1" applyFill="1" applyBorder="1" applyAlignment="1">
      <alignment horizontal="center" vertical="center"/>
    </xf>
    <xf numFmtId="195" fontId="136" fillId="28" borderId="0" xfId="0" applyNumberFormat="1" applyFont="1" applyFill="1" applyAlignment="1">
      <alignment horizontal="center" vertical="center"/>
    </xf>
    <xf numFmtId="195" fontId="136" fillId="28" borderId="36" xfId="0" applyNumberFormat="1" applyFont="1" applyFill="1" applyBorder="1" applyAlignment="1">
      <alignment horizontal="center" vertical="center"/>
    </xf>
    <xf numFmtId="195" fontId="136" fillId="28" borderId="3" xfId="0" applyNumberFormat="1" applyFont="1" applyFill="1" applyBorder="1" applyAlignment="1">
      <alignment horizontal="center" vertical="center"/>
    </xf>
    <xf numFmtId="196" fontId="57" fillId="0" borderId="0" xfId="51" applyNumberFormat="1" applyFont="1" applyAlignment="1">
      <alignment horizontal="center" vertical="center"/>
    </xf>
    <xf numFmtId="183" fontId="56" fillId="0" borderId="0" xfId="22" applyNumberFormat="1" applyFont="1" applyAlignment="1">
      <alignment horizontal="center" vertical="center"/>
    </xf>
    <xf numFmtId="192" fontId="56" fillId="0" borderId="44" xfId="22" quotePrefix="1" applyNumberFormat="1" applyFont="1" applyBorder="1" applyAlignment="1">
      <alignment horizontal="center" vertical="center"/>
    </xf>
    <xf numFmtId="164" fontId="50" fillId="0" borderId="44" xfId="0" applyNumberFormat="1" applyFont="1" applyBorder="1" applyAlignment="1">
      <alignment horizontal="center" vertical="center"/>
    </xf>
    <xf numFmtId="192" fontId="55" fillId="0" borderId="0" xfId="22" applyNumberFormat="1" applyFont="1" applyAlignment="1">
      <alignment horizontal="center" vertical="center"/>
    </xf>
    <xf numFmtId="191" fontId="55" fillId="0" borderId="0" xfId="51" applyNumberFormat="1" applyFont="1" applyAlignment="1">
      <alignment horizontal="center" vertical="center"/>
    </xf>
    <xf numFmtId="164" fontId="56" fillId="0" borderId="0" xfId="22" applyNumberFormat="1" applyFont="1" applyAlignment="1">
      <alignment horizontal="center" vertical="center"/>
    </xf>
    <xf numFmtId="164" fontId="104" fillId="14" borderId="44" xfId="0" applyNumberFormat="1" applyFont="1" applyFill="1" applyBorder="1" applyAlignment="1">
      <alignment horizontal="center" vertical="center"/>
    </xf>
    <xf numFmtId="164" fontId="65" fillId="0" borderId="0" xfId="0" applyNumberFormat="1" applyFont="1" applyAlignment="1">
      <alignment horizontal="center" vertical="center"/>
    </xf>
    <xf numFmtId="192" fontId="56" fillId="0" borderId="0" xfId="22" applyNumberFormat="1" applyFont="1" applyAlignment="1">
      <alignment horizontal="center" vertical="center"/>
    </xf>
    <xf numFmtId="164" fontId="56" fillId="0" borderId="44" xfId="0" quotePrefix="1" applyNumberFormat="1" applyFont="1" applyBorder="1" applyAlignment="1">
      <alignment horizontal="center" vertical="center"/>
    </xf>
    <xf numFmtId="192" fontId="56" fillId="0" borderId="0" xfId="22" quotePrefix="1" applyNumberFormat="1" applyFont="1" applyAlignment="1">
      <alignment horizontal="center" vertical="center"/>
    </xf>
    <xf numFmtId="183" fontId="104" fillId="0" borderId="0" xfId="22" applyNumberFormat="1" applyFont="1" applyAlignment="1">
      <alignment horizontal="center" vertical="center"/>
    </xf>
    <xf numFmtId="196" fontId="104" fillId="0" borderId="0" xfId="51" applyNumberFormat="1" applyFont="1" applyAlignment="1">
      <alignment horizontal="center" vertical="center"/>
    </xf>
    <xf numFmtId="192" fontId="59" fillId="0" borderId="0" xfId="51" applyNumberFormat="1" applyFont="1" applyAlignment="1">
      <alignment horizontal="center" vertical="center"/>
    </xf>
    <xf numFmtId="196" fontId="87" fillId="14" borderId="0" xfId="22" applyNumberFormat="1" applyFont="1" applyFill="1" applyAlignment="1">
      <alignment horizontal="center" vertical="center"/>
    </xf>
    <xf numFmtId="3" fontId="104" fillId="0" borderId="0" xfId="22" applyNumberFormat="1" applyFont="1" applyAlignment="1">
      <alignment horizontal="center" vertical="center"/>
    </xf>
    <xf numFmtId="37" fontId="48" fillId="0" borderId="44" xfId="0" applyNumberFormat="1" applyFont="1" applyBorder="1" applyAlignment="1">
      <alignment vertical="center"/>
    </xf>
    <xf numFmtId="7" fontId="104" fillId="14" borderId="0" xfId="27" applyNumberFormat="1" applyFont="1" applyFill="1" applyBorder="1" applyAlignment="1">
      <alignment horizontal="center" vertical="center"/>
    </xf>
    <xf numFmtId="198" fontId="130" fillId="24" borderId="0" xfId="0" applyNumberFormat="1" applyFont="1" applyFill="1" applyAlignment="1">
      <alignment horizontal="center" vertical="center"/>
    </xf>
    <xf numFmtId="0" fontId="116" fillId="9" borderId="0" xfId="0" applyFont="1" applyFill="1"/>
    <xf numFmtId="0" fontId="121" fillId="9" borderId="0" xfId="0" applyFont="1" applyFill="1"/>
    <xf numFmtId="0" fontId="0" fillId="0" borderId="0" xfId="0" applyAlignment="1">
      <alignment vertical="center"/>
    </xf>
    <xf numFmtId="37" fontId="39" fillId="0" borderId="0" xfId="582" applyAlignment="1">
      <alignment horizontal="left" vertical="center"/>
    </xf>
    <xf numFmtId="37" fontId="41" fillId="0" borderId="0" xfId="582" applyFont="1" applyAlignment="1">
      <alignment horizontal="center" vertical="center"/>
    </xf>
    <xf numFmtId="0" fontId="58" fillId="0" borderId="0" xfId="0" applyFont="1" applyAlignment="1">
      <alignment vertical="center"/>
    </xf>
    <xf numFmtId="191" fontId="39" fillId="27" borderId="4" xfId="582" applyNumberFormat="1" applyFill="1" applyBorder="1" applyAlignment="1">
      <alignment horizontal="center" vertical="center"/>
    </xf>
    <xf numFmtId="191" fontId="39" fillId="24" borderId="0" xfId="582" applyNumberFormat="1" applyFill="1" applyAlignment="1">
      <alignment horizontal="center" vertical="center"/>
    </xf>
    <xf numFmtId="191" fontId="39" fillId="24" borderId="4" xfId="582" applyNumberFormat="1" applyFill="1" applyBorder="1" applyAlignment="1">
      <alignment horizontal="center" vertical="center"/>
    </xf>
    <xf numFmtId="0" fontId="146" fillId="0" borderId="0" xfId="0" applyFont="1" applyAlignment="1">
      <alignment vertical="center"/>
    </xf>
    <xf numFmtId="37" fontId="130" fillId="0" borderId="0" xfId="582" applyFont="1" applyAlignment="1">
      <alignment horizontal="center" vertical="center"/>
    </xf>
    <xf numFmtId="37" fontId="43" fillId="0" borderId="0" xfId="582" applyFont="1" applyAlignment="1">
      <alignment horizontal="center" vertical="center"/>
    </xf>
    <xf numFmtId="191" fontId="130" fillId="0" borderId="0" xfId="582" applyNumberFormat="1" applyFont="1" applyAlignment="1">
      <alignment horizontal="center" vertical="center"/>
    </xf>
    <xf numFmtId="207" fontId="130" fillId="0" borderId="0" xfId="582" applyNumberFormat="1" applyFont="1" applyAlignment="1">
      <alignment horizontal="center" vertical="center"/>
    </xf>
    <xf numFmtId="191" fontId="130" fillId="0" borderId="3" xfId="582" applyNumberFormat="1" applyFont="1" applyBorder="1" applyAlignment="1">
      <alignment horizontal="center" vertical="center"/>
    </xf>
    <xf numFmtId="207" fontId="130" fillId="0" borderId="4" xfId="582" applyNumberFormat="1" applyFont="1" applyBorder="1" applyAlignment="1">
      <alignment horizontal="center" vertical="center"/>
    </xf>
    <xf numFmtId="191" fontId="39" fillId="0" borderId="0" xfId="582" applyNumberFormat="1" applyAlignment="1">
      <alignment horizontal="center" vertical="center"/>
    </xf>
    <xf numFmtId="191" fontId="130" fillId="24" borderId="4" xfId="582" applyNumberFormat="1" applyFont="1" applyFill="1" applyBorder="1" applyAlignment="1">
      <alignment horizontal="center" vertical="center"/>
    </xf>
    <xf numFmtId="37" fontId="130" fillId="0" borderId="4" xfId="582" applyFont="1" applyBorder="1" applyAlignment="1">
      <alignment horizontal="center" vertical="center"/>
    </xf>
    <xf numFmtId="0" fontId="86" fillId="0" borderId="0" xfId="0" applyFont="1" applyAlignment="1">
      <alignment vertical="center"/>
    </xf>
    <xf numFmtId="191" fontId="39" fillId="14" borderId="4" xfId="582" applyNumberFormat="1" applyFill="1" applyBorder="1" applyAlignment="1">
      <alignment horizontal="center" vertical="center"/>
    </xf>
    <xf numFmtId="191" fontId="39" fillId="18" borderId="0" xfId="582" applyNumberFormat="1" applyFill="1" applyAlignment="1">
      <alignment horizontal="center" vertical="center"/>
    </xf>
    <xf numFmtId="191" fontId="39" fillId="18" borderId="4" xfId="582" applyNumberFormat="1" applyFill="1" applyBorder="1" applyAlignment="1">
      <alignment horizontal="center" vertical="center"/>
    </xf>
    <xf numFmtId="191" fontId="39" fillId="0" borderId="3" xfId="582" applyNumberFormat="1" applyBorder="1" applyAlignment="1">
      <alignment horizontal="center" vertical="center"/>
    </xf>
    <xf numFmtId="191" fontId="47" fillId="20" borderId="4" xfId="582" applyNumberFormat="1" applyFont="1" applyFill="1" applyBorder="1" applyAlignment="1">
      <alignment horizontal="center" vertical="center"/>
    </xf>
    <xf numFmtId="191" fontId="47" fillId="19" borderId="0" xfId="582" applyNumberFormat="1" applyFont="1" applyFill="1" applyAlignment="1">
      <alignment horizontal="center" vertical="center"/>
    </xf>
    <xf numFmtId="191" fontId="47" fillId="19" borderId="4" xfId="582" applyNumberFormat="1" applyFont="1" applyFill="1" applyBorder="1" applyAlignment="1">
      <alignment horizontal="center" vertical="center"/>
    </xf>
    <xf numFmtId="191" fontId="130" fillId="0" borderId="2" xfId="582" applyNumberFormat="1" applyFont="1" applyBorder="1" applyAlignment="1">
      <alignment horizontal="center" vertical="center"/>
    </xf>
    <xf numFmtId="207" fontId="130" fillId="0" borderId="2" xfId="582" applyNumberFormat="1" applyFont="1" applyBorder="1" applyAlignment="1">
      <alignment horizontal="center" vertical="center"/>
    </xf>
    <xf numFmtId="191" fontId="130" fillId="0" borderId="31" xfId="582" applyNumberFormat="1" applyFont="1" applyBorder="1" applyAlignment="1">
      <alignment horizontal="center" vertical="center"/>
    </xf>
    <xf numFmtId="207" fontId="130" fillId="0" borderId="32" xfId="582" applyNumberFormat="1" applyFont="1" applyBorder="1" applyAlignment="1">
      <alignment horizontal="center" vertical="center"/>
    </xf>
    <xf numFmtId="0" fontId="50" fillId="0" borderId="11" xfId="0" applyFont="1" applyBorder="1"/>
    <xf numFmtId="0" fontId="50" fillId="27" borderId="11" xfId="0" applyFont="1" applyFill="1" applyBorder="1" applyAlignment="1">
      <alignment horizontal="left"/>
    </xf>
    <xf numFmtId="0" fontId="59" fillId="27" borderId="14" xfId="0" applyFont="1" applyFill="1" applyBorder="1" applyAlignment="1">
      <alignment horizontal="left"/>
    </xf>
    <xf numFmtId="0" fontId="40" fillId="27" borderId="9" xfId="0" applyFont="1" applyFill="1" applyBorder="1" applyAlignment="1">
      <alignment horizontal="left"/>
    </xf>
    <xf numFmtId="14" fontId="116" fillId="0" borderId="0" xfId="0" applyNumberFormat="1" applyFont="1" applyAlignment="1">
      <alignment horizontal="centerContinuous"/>
    </xf>
    <xf numFmtId="0" fontId="134" fillId="11" borderId="9" xfId="0" applyFont="1" applyFill="1" applyBorder="1" applyAlignment="1">
      <alignment horizontal="left" vertical="center"/>
    </xf>
    <xf numFmtId="0" fontId="134" fillId="11" borderId="25" xfId="0" applyFont="1" applyFill="1" applyBorder="1" applyAlignment="1">
      <alignment horizontal="center" vertical="center"/>
    </xf>
    <xf numFmtId="0" fontId="134" fillId="11" borderId="46" xfId="0" applyFont="1" applyFill="1" applyBorder="1" applyAlignment="1">
      <alignment horizontal="center" vertical="center"/>
    </xf>
    <xf numFmtId="0" fontId="134" fillId="11" borderId="47" xfId="0" applyFont="1" applyFill="1" applyBorder="1" applyAlignment="1">
      <alignment horizontal="center" vertical="center"/>
    </xf>
    <xf numFmtId="0" fontId="134" fillId="11" borderId="25" xfId="0" applyFont="1" applyFill="1" applyBorder="1" applyAlignment="1">
      <alignment horizontal="centerContinuous"/>
    </xf>
    <xf numFmtId="0" fontId="134" fillId="11" borderId="25" xfId="0" applyFont="1" applyFill="1" applyBorder="1" applyAlignment="1">
      <alignment horizontal="centerContinuous" vertical="center"/>
    </xf>
    <xf numFmtId="0" fontId="134" fillId="11" borderId="10" xfId="0" applyFont="1" applyFill="1" applyBorder="1" applyAlignment="1">
      <alignment horizontal="centerContinuous"/>
    </xf>
    <xf numFmtId="0" fontId="136" fillId="23" borderId="11" xfId="0" applyFont="1" applyFill="1" applyBorder="1" applyAlignment="1">
      <alignment vertical="center"/>
    </xf>
    <xf numFmtId="0" fontId="136" fillId="23" borderId="12" xfId="0" applyFont="1" applyFill="1" applyBorder="1" applyAlignment="1">
      <alignment horizontal="center" vertical="center"/>
    </xf>
    <xf numFmtId="0" fontId="136" fillId="28" borderId="11" xfId="0" applyFont="1" applyFill="1" applyBorder="1" applyAlignment="1">
      <alignment horizontal="left" vertical="center"/>
    </xf>
    <xf numFmtId="198" fontId="136" fillId="28" borderId="12" xfId="0" applyNumberFormat="1" applyFont="1" applyFill="1" applyBorder="1" applyAlignment="1">
      <alignment horizontal="center" vertical="center"/>
    </xf>
    <xf numFmtId="0" fontId="137" fillId="0" borderId="11" xfId="0" applyFont="1" applyBorder="1" applyAlignment="1">
      <alignment horizontal="left" vertical="center"/>
    </xf>
    <xf numFmtId="191" fontId="137" fillId="0" borderId="12" xfId="0" applyNumberFormat="1" applyFont="1" applyBorder="1" applyAlignment="1">
      <alignment horizontal="center" vertical="center"/>
    </xf>
    <xf numFmtId="0" fontId="136" fillId="11" borderId="11" xfId="0" applyFont="1" applyFill="1" applyBorder="1" applyAlignment="1">
      <alignment horizontal="left" vertical="center"/>
    </xf>
    <xf numFmtId="198" fontId="136" fillId="11" borderId="12" xfId="0" applyNumberFormat="1" applyFont="1" applyFill="1" applyBorder="1" applyAlignment="1">
      <alignment horizontal="center" vertical="center"/>
    </xf>
    <xf numFmtId="191" fontId="149" fillId="0" borderId="12" xfId="0" applyNumberFormat="1" applyFont="1" applyBorder="1" applyAlignment="1">
      <alignment horizontal="center" vertical="center"/>
    </xf>
    <xf numFmtId="196" fontId="136" fillId="28" borderId="12" xfId="0" applyNumberFormat="1" applyFont="1" applyFill="1" applyBorder="1" applyAlignment="1">
      <alignment horizontal="center" vertical="center"/>
    </xf>
    <xf numFmtId="191" fontId="149" fillId="0" borderId="12" xfId="0" quotePrefix="1" applyNumberFormat="1" applyFont="1" applyBorder="1" applyAlignment="1">
      <alignment horizontal="center" vertical="center"/>
    </xf>
    <xf numFmtId="184" fontId="136" fillId="11" borderId="12" xfId="0" applyNumberFormat="1" applyFont="1" applyFill="1" applyBorder="1" applyAlignment="1">
      <alignment horizontal="center" vertical="center"/>
    </xf>
    <xf numFmtId="195" fontId="136" fillId="28" borderId="12" xfId="0" applyNumberFormat="1" applyFont="1" applyFill="1" applyBorder="1" applyAlignment="1">
      <alignment horizontal="center" vertical="center"/>
    </xf>
    <xf numFmtId="0" fontId="137" fillId="0" borderId="14" xfId="0" applyFont="1" applyBorder="1" applyAlignment="1">
      <alignment horizontal="left" vertical="center"/>
    </xf>
    <xf numFmtId="191" fontId="137" fillId="0" borderId="16" xfId="0" applyNumberFormat="1" applyFont="1" applyBorder="1" applyAlignment="1">
      <alignment horizontal="center" vertical="center"/>
    </xf>
    <xf numFmtId="191" fontId="137" fillId="0" borderId="48" xfId="0" applyNumberFormat="1" applyFont="1" applyBorder="1" applyAlignment="1">
      <alignment horizontal="center" vertical="center"/>
    </xf>
    <xf numFmtId="191" fontId="137" fillId="0" borderId="28" xfId="0" applyNumberFormat="1" applyFont="1" applyBorder="1" applyAlignment="1">
      <alignment horizontal="center" vertical="center"/>
    </xf>
    <xf numFmtId="191" fontId="137" fillId="0" borderId="16" xfId="0" applyNumberFormat="1" applyFont="1" applyBorder="1" applyAlignment="1">
      <alignment horizontal="centerContinuous" vertical="center"/>
    </xf>
    <xf numFmtId="200" fontId="137" fillId="0" borderId="16" xfId="0" applyNumberFormat="1" applyFont="1" applyBorder="1" applyAlignment="1">
      <alignment horizontal="center" vertical="center"/>
    </xf>
    <xf numFmtId="198" fontId="149" fillId="11" borderId="12" xfId="0" applyNumberFormat="1" applyFont="1" applyFill="1" applyBorder="1" applyAlignment="1">
      <alignment horizontal="center" vertical="center"/>
    </xf>
    <xf numFmtId="184" fontId="116" fillId="0" borderId="0" xfId="0" applyNumberFormat="1" applyFont="1"/>
    <xf numFmtId="164" fontId="55" fillId="0" borderId="43" xfId="0" applyNumberFormat="1" applyFont="1" applyBorder="1" applyAlignment="1">
      <alignment vertical="center"/>
    </xf>
    <xf numFmtId="164" fontId="48" fillId="0" borderId="45" xfId="0" applyNumberFormat="1" applyFont="1" applyBorder="1" applyAlignment="1">
      <alignment horizontal="center" vertical="center"/>
    </xf>
    <xf numFmtId="164" fontId="48" fillId="0" borderId="49" xfId="0" applyNumberFormat="1" applyFont="1" applyBorder="1" applyAlignment="1">
      <alignment horizontal="center" vertical="center"/>
    </xf>
    <xf numFmtId="164" fontId="70" fillId="0" borderId="43" xfId="0" applyNumberFormat="1" applyFont="1" applyBorder="1" applyAlignment="1">
      <alignment horizontal="center" vertical="center"/>
    </xf>
    <xf numFmtId="164" fontId="48" fillId="0" borderId="43" xfId="0" applyNumberFormat="1" applyFont="1" applyBorder="1" applyAlignment="1">
      <alignment horizontal="center" vertical="center"/>
    </xf>
    <xf numFmtId="164" fontId="55" fillId="0" borderId="44" xfId="0" applyNumberFormat="1" applyFont="1" applyBorder="1" applyAlignment="1">
      <alignment vertical="center"/>
    </xf>
    <xf numFmtId="164" fontId="60" fillId="0" borderId="44" xfId="0" applyNumberFormat="1" applyFont="1" applyBorder="1" applyAlignment="1">
      <alignment vertical="center"/>
    </xf>
    <xf numFmtId="191" fontId="59" fillId="0" borderId="44" xfId="51" applyNumberFormat="1" applyFont="1" applyBorder="1" applyAlignment="1">
      <alignment vertical="center"/>
    </xf>
    <xf numFmtId="164" fontId="55" fillId="0" borderId="44" xfId="0" applyNumberFormat="1" applyFont="1" applyBorder="1" applyAlignment="1">
      <alignment horizontal="center" vertical="center"/>
    </xf>
    <xf numFmtId="164" fontId="55" fillId="8" borderId="44" xfId="0" applyNumberFormat="1" applyFont="1" applyFill="1" applyBorder="1" applyAlignment="1">
      <alignment horizontal="center" vertical="center"/>
    </xf>
    <xf numFmtId="164" fontId="55" fillId="0" borderId="31" xfId="0" applyNumberFormat="1" applyFont="1" applyBorder="1" applyAlignment="1">
      <alignment vertical="center"/>
    </xf>
    <xf numFmtId="191" fontId="59" fillId="0" borderId="2" xfId="51" applyNumberFormat="1" applyFont="1" applyFill="1" applyBorder="1" applyAlignment="1">
      <alignment horizontal="center" vertical="center"/>
    </xf>
    <xf numFmtId="191" fontId="59" fillId="0" borderId="21" xfId="51" applyNumberFormat="1" applyFont="1" applyFill="1" applyBorder="1" applyAlignment="1">
      <alignment horizontal="center" vertical="center"/>
    </xf>
    <xf numFmtId="191" fontId="59" fillId="0" borderId="2" xfId="51" applyNumberFormat="1" applyFont="1" applyBorder="1" applyAlignment="1">
      <alignment horizontal="center" vertical="center"/>
    </xf>
    <xf numFmtId="37" fontId="57" fillId="14" borderId="26" xfId="0" applyNumberFormat="1" applyFont="1" applyFill="1" applyBorder="1" applyAlignment="1">
      <alignment vertical="center"/>
    </xf>
    <xf numFmtId="37" fontId="48" fillId="14" borderId="5" xfId="0" applyNumberFormat="1" applyFont="1" applyFill="1" applyBorder="1" applyAlignment="1">
      <alignment vertical="center"/>
    </xf>
    <xf numFmtId="191" fontId="48" fillId="14" borderId="5" xfId="51" applyNumberFormat="1" applyFont="1" applyFill="1" applyBorder="1" applyAlignment="1">
      <alignment horizontal="center" vertical="center"/>
    </xf>
    <xf numFmtId="37" fontId="48" fillId="14" borderId="5" xfId="0" applyNumberFormat="1" applyFont="1" applyFill="1" applyBorder="1" applyAlignment="1">
      <alignment horizontal="center" vertical="center"/>
    </xf>
    <xf numFmtId="37" fontId="48" fillId="14" borderId="35" xfId="0" applyNumberFormat="1" applyFont="1" applyFill="1" applyBorder="1" applyAlignment="1">
      <alignment horizontal="center" vertical="center"/>
    </xf>
    <xf numFmtId="37" fontId="57" fillId="14" borderId="3" xfId="0" applyNumberFormat="1" applyFont="1" applyFill="1" applyBorder="1" applyAlignment="1">
      <alignment vertical="center"/>
    </xf>
    <xf numFmtId="37" fontId="48" fillId="14" borderId="0" xfId="0" applyNumberFormat="1" applyFont="1" applyFill="1" applyAlignment="1">
      <alignment vertical="center"/>
    </xf>
    <xf numFmtId="191" fontId="48" fillId="14" borderId="0" xfId="51" applyNumberFormat="1" applyFont="1" applyFill="1" applyBorder="1" applyAlignment="1">
      <alignment vertical="center"/>
    </xf>
    <xf numFmtId="191" fontId="92" fillId="14" borderId="0" xfId="51" applyNumberFormat="1" applyFont="1" applyFill="1" applyBorder="1" applyAlignment="1">
      <alignment horizontal="center" vertical="center"/>
    </xf>
    <xf numFmtId="191" fontId="59" fillId="14" borderId="0" xfId="0" applyNumberFormat="1" applyFont="1" applyFill="1" applyAlignment="1">
      <alignment horizontal="center" vertical="center"/>
    </xf>
    <xf numFmtId="191" fontId="59" fillId="14" borderId="36" xfId="0" applyNumberFormat="1" applyFont="1" applyFill="1" applyBorder="1" applyAlignment="1">
      <alignment horizontal="center" vertical="center"/>
    </xf>
    <xf numFmtId="37" fontId="53" fillId="17" borderId="0" xfId="0" applyNumberFormat="1" applyFont="1" applyFill="1" applyAlignment="1">
      <alignment vertical="center"/>
    </xf>
    <xf numFmtId="37" fontId="48" fillId="17" borderId="36" xfId="0" applyNumberFormat="1" applyFont="1" applyFill="1" applyBorder="1" applyAlignment="1">
      <alignment vertical="center"/>
    </xf>
    <xf numFmtId="37" fontId="48" fillId="17" borderId="0" xfId="0" applyNumberFormat="1" applyFont="1" applyFill="1" applyAlignment="1">
      <alignment vertical="center"/>
    </xf>
    <xf numFmtId="37" fontId="55" fillId="17" borderId="0" xfId="0" applyNumberFormat="1" applyFont="1" applyFill="1" applyAlignment="1">
      <alignment horizontal="center" vertical="center"/>
    </xf>
    <xf numFmtId="37" fontId="55" fillId="17" borderId="36" xfId="0" applyNumberFormat="1" applyFont="1" applyFill="1" applyBorder="1" applyAlignment="1">
      <alignment horizontal="center" vertical="center"/>
    </xf>
    <xf numFmtId="37" fontId="57" fillId="14" borderId="0" xfId="0" applyNumberFormat="1" applyFont="1" applyFill="1" applyAlignment="1">
      <alignment horizontal="left" vertical="center" indent="1"/>
    </xf>
    <xf numFmtId="37" fontId="51" fillId="14" borderId="36" xfId="0" applyNumberFormat="1" applyFont="1" applyFill="1" applyBorder="1" applyAlignment="1">
      <alignment vertical="center"/>
    </xf>
    <xf numFmtId="192" fontId="66" fillId="0" borderId="36" xfId="51" applyNumberFormat="1" applyFont="1" applyFill="1" applyBorder="1" applyAlignment="1">
      <alignment horizontal="center" vertical="center"/>
    </xf>
    <xf numFmtId="0" fontId="85" fillId="0" borderId="0" xfId="0" applyFont="1"/>
    <xf numFmtId="37" fontId="85" fillId="0" borderId="0" xfId="0" applyNumberFormat="1" applyFont="1" applyAlignment="1">
      <alignment vertical="center"/>
    </xf>
    <xf numFmtId="164" fontId="66" fillId="0" borderId="36" xfId="0" applyNumberFormat="1" applyFont="1" applyBorder="1" applyAlignment="1">
      <alignment vertical="center"/>
    </xf>
    <xf numFmtId="164" fontId="66" fillId="0" borderId="0" xfId="0" applyNumberFormat="1" applyFont="1" applyAlignment="1">
      <alignment vertical="center"/>
    </xf>
    <xf numFmtId="191" fontId="85" fillId="0" borderId="0" xfId="51" applyNumberFormat="1" applyFont="1" applyFill="1" applyBorder="1" applyAlignment="1">
      <alignment vertical="center"/>
    </xf>
    <xf numFmtId="0" fontId="150" fillId="0" borderId="0" xfId="0" applyFont="1"/>
    <xf numFmtId="192" fontId="56" fillId="0" borderId="31" xfId="22" applyNumberFormat="1" applyFont="1" applyBorder="1" applyAlignment="1">
      <alignment horizontal="center" vertical="center"/>
    </xf>
    <xf numFmtId="192" fontId="56" fillId="0" borderId="2" xfId="22" applyNumberFormat="1" applyFont="1" applyBorder="1" applyAlignment="1">
      <alignment horizontal="center" vertical="center"/>
    </xf>
    <xf numFmtId="192" fontId="55" fillId="0" borderId="21" xfId="0" applyNumberFormat="1" applyFont="1" applyBorder="1" applyAlignment="1">
      <alignment horizontal="center" vertical="center"/>
    </xf>
    <xf numFmtId="164" fontId="48" fillId="8" borderId="0" xfId="0" applyNumberFormat="1" applyFont="1" applyFill="1" applyAlignment="1">
      <alignment horizontal="center" vertical="center"/>
    </xf>
    <xf numFmtId="164" fontId="59" fillId="0" borderId="36" xfId="0" applyNumberFormat="1" applyFont="1" applyBorder="1" applyAlignment="1">
      <alignment horizontal="center"/>
    </xf>
    <xf numFmtId="164" fontId="59" fillId="0" borderId="0" xfId="0" applyNumberFormat="1" applyFont="1" applyAlignment="1">
      <alignment horizontal="center"/>
    </xf>
    <xf numFmtId="191" fontId="57" fillId="25" borderId="29" xfId="0" applyNumberFormat="1" applyFont="1" applyFill="1" applyBorder="1" applyAlignment="1">
      <alignment horizontal="center"/>
    </xf>
    <xf numFmtId="37" fontId="63" fillId="0" borderId="0" xfId="0" applyNumberFormat="1" applyFont="1" applyAlignment="1">
      <alignment horizontal="center" vertical="center"/>
    </xf>
    <xf numFmtId="192" fontId="59" fillId="0" borderId="0" xfId="0" applyNumberFormat="1" applyFont="1" applyAlignment="1">
      <alignment horizontal="center" vertical="center"/>
    </xf>
    <xf numFmtId="191" fontId="59" fillId="0" borderId="0" xfId="0" quotePrefix="1" applyNumberFormat="1" applyFont="1" applyAlignment="1">
      <alignment horizontal="center" vertical="center"/>
    </xf>
    <xf numFmtId="191" fontId="59" fillId="0" borderId="36" xfId="0" applyNumberFormat="1" applyFont="1" applyBorder="1" applyAlignment="1">
      <alignment horizontal="center" vertical="center"/>
    </xf>
    <xf numFmtId="164" fontId="57" fillId="0" borderId="0" xfId="0" applyNumberFormat="1" applyFont="1" applyAlignment="1">
      <alignment horizontal="left" vertical="center"/>
    </xf>
    <xf numFmtId="37" fontId="55" fillId="14" borderId="0" xfId="0" applyNumberFormat="1" applyFont="1" applyFill="1" applyAlignment="1">
      <alignment horizontal="left" vertical="center"/>
    </xf>
    <xf numFmtId="164" fontId="56" fillId="14" borderId="0" xfId="0" quotePrefix="1" applyNumberFormat="1" applyFont="1" applyFill="1" applyAlignment="1">
      <alignment horizontal="center" vertical="center"/>
    </xf>
    <xf numFmtId="37" fontId="57" fillId="14" borderId="0" xfId="0" applyNumberFormat="1" applyFont="1" applyFill="1" applyAlignment="1">
      <alignment horizontal="left" vertical="center" indent="2"/>
    </xf>
    <xf numFmtId="196" fontId="57" fillId="14" borderId="0" xfId="51" applyNumberFormat="1" applyFont="1" applyFill="1" applyBorder="1" applyAlignment="1">
      <alignment horizontal="center" vertical="center"/>
    </xf>
    <xf numFmtId="196" fontId="57" fillId="14" borderId="36" xfId="51" applyNumberFormat="1" applyFont="1" applyFill="1" applyBorder="1" applyAlignment="1">
      <alignment horizontal="center" vertical="center"/>
    </xf>
    <xf numFmtId="7" fontId="56" fillId="0" borderId="0" xfId="27" applyNumberFormat="1" applyFont="1" applyBorder="1" applyAlignment="1">
      <alignment horizontal="center" vertical="center"/>
    </xf>
    <xf numFmtId="164" fontId="99" fillId="0" borderId="0" xfId="0" quotePrefix="1" applyNumberFormat="1" applyFont="1" applyAlignment="1">
      <alignment horizontal="center" vertical="center"/>
    </xf>
    <xf numFmtId="0" fontId="41" fillId="9" borderId="0" xfId="0" applyFont="1" applyFill="1" applyAlignment="1">
      <alignment horizontal="center"/>
    </xf>
    <xf numFmtId="37" fontId="151" fillId="0" borderId="0" xfId="0" applyNumberFormat="1" applyFont="1" applyAlignment="1">
      <alignment vertical="center"/>
    </xf>
    <xf numFmtId="164" fontId="100" fillId="0" borderId="36" xfId="0" applyNumberFormat="1" applyFont="1" applyBorder="1" applyAlignment="1">
      <alignment horizontal="center" vertical="center"/>
    </xf>
    <xf numFmtId="37" fontId="59" fillId="0" borderId="36" xfId="0" applyNumberFormat="1" applyFont="1" applyBorder="1" applyAlignment="1">
      <alignment horizontal="center" vertical="center"/>
    </xf>
    <xf numFmtId="164" fontId="48" fillId="14" borderId="36" xfId="0" quotePrefix="1" applyNumberFormat="1" applyFont="1" applyFill="1" applyBorder="1" applyAlignment="1">
      <alignment horizontal="center" vertical="center"/>
    </xf>
    <xf numFmtId="192" fontId="92" fillId="14" borderId="0" xfId="51" applyNumberFormat="1" applyFont="1" applyFill="1" applyBorder="1" applyAlignment="1">
      <alignment horizontal="center" vertical="center"/>
    </xf>
    <xf numFmtId="191" fontId="107" fillId="0" borderId="36" xfId="51" applyNumberFormat="1" applyFont="1" applyFill="1" applyBorder="1" applyAlignment="1">
      <alignment horizontal="center" vertical="center"/>
    </xf>
    <xf numFmtId="191" fontId="92" fillId="0" borderId="36" xfId="51" applyNumberFormat="1" applyFont="1" applyFill="1" applyBorder="1" applyAlignment="1">
      <alignment horizontal="center" vertical="center"/>
    </xf>
    <xf numFmtId="191" fontId="90" fillId="0" borderId="0" xfId="51" applyNumberFormat="1" applyFont="1" applyFill="1" applyBorder="1" applyAlignment="1">
      <alignment horizontal="left" vertical="center" indent="1"/>
    </xf>
    <xf numFmtId="14" fontId="58" fillId="0" borderId="0" xfId="0" applyNumberFormat="1" applyFont="1" applyAlignment="1">
      <alignment vertical="center"/>
    </xf>
    <xf numFmtId="195" fontId="107" fillId="0" borderId="0" xfId="51" applyNumberFormat="1" applyFont="1" applyFill="1" applyBorder="1" applyAlignment="1">
      <alignment horizontal="center" vertical="center"/>
    </xf>
    <xf numFmtId="164" fontId="55" fillId="0" borderId="21" xfId="0" applyNumberFormat="1" applyFont="1" applyBorder="1" applyAlignment="1">
      <alignment horizontal="center" vertical="center"/>
    </xf>
    <xf numFmtId="192" fontId="48" fillId="0" borderId="21" xfId="22" applyNumberFormat="1" applyFont="1" applyFill="1" applyBorder="1" applyAlignment="1">
      <alignment horizontal="center" vertical="center"/>
    </xf>
    <xf numFmtId="164" fontId="54" fillId="14" borderId="49" xfId="0" applyNumberFormat="1" applyFont="1" applyFill="1" applyBorder="1" applyAlignment="1">
      <alignment horizontal="center" vertical="center"/>
    </xf>
    <xf numFmtId="164" fontId="55" fillId="0" borderId="49" xfId="0" applyNumberFormat="1" applyFont="1" applyBorder="1" applyAlignment="1">
      <alignment horizontal="center" vertical="center"/>
    </xf>
    <xf numFmtId="192" fontId="56" fillId="0" borderId="49" xfId="22" applyNumberFormat="1" applyFont="1" applyBorder="1" applyAlignment="1">
      <alignment horizontal="center" vertical="center"/>
    </xf>
    <xf numFmtId="191" fontId="57" fillId="0" borderId="21" xfId="0" applyNumberFormat="1" applyFont="1" applyBorder="1" applyAlignment="1">
      <alignment horizontal="center" vertical="center"/>
    </xf>
    <xf numFmtId="164" fontId="55" fillId="8" borderId="49" xfId="0" applyNumberFormat="1" applyFont="1" applyFill="1" applyBorder="1" applyAlignment="1">
      <alignment horizontal="center" vertical="center"/>
    </xf>
    <xf numFmtId="164" fontId="55" fillId="0" borderId="6" xfId="0" applyNumberFormat="1" applyFont="1" applyBorder="1" applyAlignment="1">
      <alignment horizontal="center" vertical="center"/>
    </xf>
    <xf numFmtId="192" fontId="48" fillId="0" borderId="21" xfId="0" applyNumberFormat="1" applyFont="1" applyBorder="1" applyAlignment="1">
      <alignment horizontal="center" vertical="center"/>
    </xf>
    <xf numFmtId="164" fontId="50" fillId="14" borderId="36" xfId="22" applyNumberFormat="1" applyFont="1" applyFill="1" applyBorder="1" applyAlignment="1">
      <alignment horizontal="center" vertical="center"/>
    </xf>
    <xf numFmtId="14" fontId="83" fillId="0" borderId="0" xfId="0" applyNumberFormat="1" applyFont="1" applyAlignment="1">
      <alignment vertical="center"/>
    </xf>
    <xf numFmtId="0" fontId="41" fillId="0" borderId="2" xfId="88" applyFont="1" applyBorder="1"/>
    <xf numFmtId="0" fontId="41" fillId="0" borderId="6" xfId="88" applyFont="1" applyBorder="1"/>
    <xf numFmtId="0" fontId="129" fillId="0" borderId="0" xfId="0" applyFont="1"/>
    <xf numFmtId="169" fontId="129" fillId="0" borderId="0" xfId="0" applyNumberFormat="1" applyFont="1" applyAlignment="1">
      <alignment horizontal="center"/>
    </xf>
    <xf numFmtId="169" fontId="129" fillId="8" borderId="0" xfId="0" applyNumberFormat="1" applyFont="1" applyFill="1" applyAlignment="1">
      <alignment horizontal="center"/>
    </xf>
    <xf numFmtId="10" fontId="41" fillId="9" borderId="0" xfId="0" applyNumberFormat="1" applyFont="1" applyFill="1" applyAlignment="1">
      <alignment horizontal="center"/>
    </xf>
    <xf numFmtId="191" fontId="55" fillId="0" borderId="0" xfId="51" applyNumberFormat="1" applyFont="1" applyAlignment="1">
      <alignment horizontal="left" vertical="center" indent="1"/>
    </xf>
    <xf numFmtId="0" fontId="41" fillId="9" borderId="0" xfId="0" applyFont="1" applyFill="1" applyAlignment="1">
      <alignment horizontal="left"/>
    </xf>
    <xf numFmtId="201" fontId="52" fillId="0" borderId="0" xfId="22" applyNumberFormat="1" applyFont="1" applyFill="1" applyBorder="1" applyAlignment="1">
      <alignment horizontal="center" vertical="center"/>
    </xf>
    <xf numFmtId="201" fontId="52" fillId="0" borderId="0" xfId="22" applyNumberFormat="1" applyFont="1" applyAlignment="1">
      <alignment horizontal="center" vertical="center"/>
    </xf>
    <xf numFmtId="0" fontId="68" fillId="0" borderId="0" xfId="0" applyFont="1"/>
    <xf numFmtId="0" fontId="59" fillId="0" borderId="0" xfId="0" applyFont="1" applyAlignment="1">
      <alignment horizontal="left" indent="1"/>
    </xf>
    <xf numFmtId="196" fontId="55" fillId="8" borderId="22" xfId="51" applyNumberFormat="1" applyFont="1" applyFill="1" applyBorder="1" applyAlignment="1">
      <alignment horizontal="center" vertical="center" wrapText="1"/>
    </xf>
    <xf numFmtId="195" fontId="55" fillId="8" borderId="0" xfId="0" applyNumberFormat="1" applyFont="1" applyFill="1" applyAlignment="1">
      <alignment horizontal="center"/>
    </xf>
    <xf numFmtId="195" fontId="54" fillId="0" borderId="0" xfId="0" applyNumberFormat="1" applyFont="1" applyAlignment="1">
      <alignment horizontal="center"/>
    </xf>
    <xf numFmtId="187" fontId="54" fillId="8" borderId="0" xfId="0" applyNumberFormat="1" applyFont="1" applyFill="1" applyAlignment="1">
      <alignment horizontal="center"/>
    </xf>
    <xf numFmtId="183" fontId="54" fillId="0" borderId="0" xfId="0" applyNumberFormat="1" applyFont="1" applyAlignment="1">
      <alignment horizontal="center"/>
    </xf>
    <xf numFmtId="197" fontId="55" fillId="0" borderId="0" xfId="0" applyNumberFormat="1" applyFont="1" applyAlignment="1">
      <alignment horizontal="center" vertical="center"/>
    </xf>
    <xf numFmtId="164" fontId="75" fillId="0" borderId="0" xfId="0" applyNumberFormat="1" applyFont="1" applyAlignment="1">
      <alignment horizontal="center"/>
    </xf>
    <xf numFmtId="0" fontId="55" fillId="0" borderId="0" xfId="0" applyFont="1"/>
    <xf numFmtId="15" fontId="57" fillId="29" borderId="25" xfId="0" applyNumberFormat="1" applyFont="1" applyFill="1" applyBorder="1" applyAlignment="1">
      <alignment horizontal="right" vertical="center"/>
    </xf>
    <xf numFmtId="185" fontId="54" fillId="29" borderId="25" xfId="0" applyNumberFormat="1" applyFont="1" applyFill="1" applyBorder="1" applyAlignment="1">
      <alignment horizontal="center" vertical="center"/>
    </xf>
    <xf numFmtId="185" fontId="54" fillId="29" borderId="10" xfId="0" applyNumberFormat="1" applyFont="1" applyFill="1" applyBorder="1" applyAlignment="1">
      <alignment horizontal="center" vertical="center"/>
    </xf>
    <xf numFmtId="15" fontId="57" fillId="29" borderId="9" xfId="0" applyNumberFormat="1" applyFont="1" applyFill="1" applyBorder="1" applyAlignment="1">
      <alignment vertical="center"/>
    </xf>
    <xf numFmtId="164" fontId="54" fillId="14" borderId="27" xfId="47" applyNumberFormat="1" applyFont="1" applyFill="1" applyBorder="1" applyAlignment="1">
      <alignment horizontal="center"/>
    </xf>
    <xf numFmtId="0" fontId="54" fillId="14" borderId="16" xfId="47" applyFont="1" applyFill="1" applyBorder="1" applyAlignment="1">
      <alignment vertical="center"/>
    </xf>
    <xf numFmtId="37" fontId="54" fillId="14" borderId="41" xfId="47" applyNumberFormat="1" applyFont="1" applyFill="1" applyBorder="1" applyAlignment="1">
      <alignment vertical="center"/>
    </xf>
    <xf numFmtId="0" fontId="57" fillId="14" borderId="14" xfId="47" applyFont="1" applyFill="1" applyBorder="1" applyAlignment="1">
      <alignment vertical="center"/>
    </xf>
    <xf numFmtId="0" fontId="53" fillId="14" borderId="11" xfId="46" applyFont="1" applyFill="1" applyBorder="1" applyAlignment="1">
      <alignment vertical="center"/>
    </xf>
    <xf numFmtId="0" fontId="53" fillId="14" borderId="0" xfId="46" applyFont="1" applyFill="1" applyAlignment="1">
      <alignment vertical="center"/>
    </xf>
    <xf numFmtId="168" fontId="54" fillId="14" borderId="0" xfId="22" applyNumberFormat="1" applyFont="1" applyFill="1" applyBorder="1" applyAlignment="1" applyProtection="1">
      <alignment horizontal="center" vertical="center"/>
    </xf>
    <xf numFmtId="0" fontId="54" fillId="14" borderId="14" xfId="45" applyFont="1" applyFill="1" applyBorder="1" applyAlignment="1">
      <alignment vertical="center"/>
    </xf>
    <xf numFmtId="0" fontId="54" fillId="14" borderId="16" xfId="45" applyFont="1" applyFill="1" applyBorder="1" applyAlignment="1">
      <alignment vertical="center"/>
    </xf>
    <xf numFmtId="5" fontId="54" fillId="14" borderId="16" xfId="27" applyNumberFormat="1" applyFont="1" applyFill="1" applyBorder="1" applyAlignment="1">
      <alignment horizontal="center" vertical="center"/>
    </xf>
    <xf numFmtId="168" fontId="54" fillId="14" borderId="12" xfId="22" applyNumberFormat="1" applyFont="1" applyFill="1" applyBorder="1" applyAlignment="1" applyProtection="1">
      <alignment horizontal="center" vertical="center"/>
    </xf>
    <xf numFmtId="0" fontId="54" fillId="14" borderId="14" xfId="47" applyFont="1" applyFill="1" applyBorder="1" applyAlignment="1">
      <alignment vertical="center"/>
    </xf>
    <xf numFmtId="196" fontId="54" fillId="14" borderId="16" xfId="27" applyNumberFormat="1" applyFont="1" applyFill="1" applyBorder="1" applyAlignment="1" applyProtection="1">
      <alignment horizontal="center" vertical="center"/>
    </xf>
    <xf numFmtId="194" fontId="54" fillId="14" borderId="16" xfId="27" applyNumberFormat="1" applyFont="1" applyFill="1" applyBorder="1" applyAlignment="1" applyProtection="1">
      <alignment horizontal="center" vertical="center"/>
    </xf>
    <xf numFmtId="191" fontId="54" fillId="14" borderId="16" xfId="47" applyNumberFormat="1" applyFont="1" applyFill="1" applyBorder="1" applyAlignment="1">
      <alignment vertical="center"/>
    </xf>
    <xf numFmtId="191" fontId="54" fillId="14" borderId="16" xfId="47" applyNumberFormat="1" applyFont="1" applyFill="1" applyBorder="1" applyAlignment="1">
      <alignment horizontal="center" vertical="center"/>
    </xf>
    <xf numFmtId="0" fontId="53" fillId="14" borderId="9" xfId="46" applyFont="1" applyFill="1" applyBorder="1" applyAlignment="1">
      <alignment vertical="center"/>
    </xf>
    <xf numFmtId="0" fontId="53" fillId="14" borderId="25" xfId="46" applyFont="1" applyFill="1" applyBorder="1" applyAlignment="1">
      <alignment vertical="center"/>
    </xf>
    <xf numFmtId="168" fontId="55" fillId="14" borderId="25" xfId="22" applyNumberFormat="1" applyFont="1" applyFill="1" applyBorder="1" applyAlignment="1" applyProtection="1">
      <alignment vertical="center"/>
    </xf>
    <xf numFmtId="168" fontId="54" fillId="14" borderId="25" xfId="22" applyNumberFormat="1" applyFont="1" applyFill="1" applyBorder="1" applyAlignment="1" applyProtection="1">
      <alignment horizontal="center" vertical="center"/>
    </xf>
    <xf numFmtId="168" fontId="55" fillId="14" borderId="10" xfId="22" applyNumberFormat="1" applyFont="1" applyFill="1" applyBorder="1" applyAlignment="1" applyProtection="1">
      <alignment vertical="center"/>
    </xf>
    <xf numFmtId="166" fontId="54" fillId="14" borderId="5" xfId="22" applyNumberFormat="1" applyFont="1" applyFill="1" applyBorder="1" applyAlignment="1" applyProtection="1">
      <alignment horizontal="center" vertical="center"/>
    </xf>
    <xf numFmtId="191" fontId="54" fillId="14" borderId="3" xfId="46" applyNumberFormat="1" applyFont="1" applyFill="1" applyBorder="1" applyAlignment="1">
      <alignment horizontal="center" vertical="center"/>
    </xf>
    <xf numFmtId="192" fontId="57" fillId="0" borderId="0" xfId="51" applyNumberFormat="1" applyFont="1" applyFill="1" applyBorder="1" applyAlignment="1">
      <alignment horizontal="center" vertical="center"/>
    </xf>
    <xf numFmtId="0" fontId="134" fillId="11" borderId="9" xfId="0" applyFont="1" applyFill="1" applyBorder="1" applyAlignment="1">
      <alignment horizontal="centerContinuous" vertical="center"/>
    </xf>
    <xf numFmtId="0" fontId="136" fillId="23" borderId="11" xfId="0" applyFont="1" applyFill="1" applyBorder="1" applyAlignment="1">
      <alignment horizontal="center" vertical="center"/>
    </xf>
    <xf numFmtId="198" fontId="136" fillId="28" borderId="11" xfId="0" applyNumberFormat="1" applyFont="1" applyFill="1" applyBorder="1" applyAlignment="1">
      <alignment horizontal="center" vertical="center"/>
    </xf>
    <xf numFmtId="191" fontId="137" fillId="0" borderId="11" xfId="0" applyNumberFormat="1" applyFont="1" applyBorder="1" applyAlignment="1">
      <alignment horizontal="center" vertical="center"/>
    </xf>
    <xf numFmtId="198" fontId="136" fillId="11" borderId="11" xfId="0" applyNumberFormat="1" applyFont="1" applyFill="1" applyBorder="1" applyAlignment="1">
      <alignment horizontal="center" vertical="center"/>
    </xf>
    <xf numFmtId="196" fontId="136" fillId="28" borderId="11" xfId="0" applyNumberFormat="1" applyFont="1" applyFill="1" applyBorder="1" applyAlignment="1">
      <alignment horizontal="center" vertical="center"/>
    </xf>
    <xf numFmtId="184" fontId="136" fillId="11" borderId="11" xfId="0" applyNumberFormat="1" applyFont="1" applyFill="1" applyBorder="1" applyAlignment="1">
      <alignment horizontal="center" vertical="center"/>
    </xf>
    <xf numFmtId="195" fontId="136" fillId="28" borderId="11" xfId="0" applyNumberFormat="1" applyFont="1" applyFill="1" applyBorder="1" applyAlignment="1">
      <alignment horizontal="center" vertical="center"/>
    </xf>
    <xf numFmtId="191" fontId="137" fillId="0" borderId="14" xfId="0" applyNumberFormat="1" applyFont="1" applyBorder="1" applyAlignment="1">
      <alignment horizontal="center" vertical="center"/>
    </xf>
    <xf numFmtId="191" fontId="137" fillId="0" borderId="17" xfId="0" applyNumberFormat="1" applyFont="1" applyBorder="1" applyAlignment="1">
      <alignment horizontal="center" vertical="center"/>
    </xf>
    <xf numFmtId="198" fontId="152" fillId="11" borderId="12" xfId="0" applyNumberFormat="1" applyFont="1" applyFill="1" applyBorder="1" applyAlignment="1">
      <alignment horizontal="center" vertical="center"/>
    </xf>
    <xf numFmtId="0" fontId="55" fillId="14" borderId="16" xfId="47" applyFont="1" applyFill="1" applyBorder="1" applyAlignment="1">
      <alignment vertical="center"/>
    </xf>
    <xf numFmtId="191" fontId="57" fillId="14" borderId="16" xfId="51" applyNumberFormat="1" applyFont="1" applyFill="1" applyBorder="1" applyAlignment="1">
      <alignment horizontal="center"/>
    </xf>
    <xf numFmtId="188" fontId="66" fillId="8" borderId="36" xfId="22" applyNumberFormat="1" applyFont="1" applyFill="1" applyBorder="1" applyAlignment="1">
      <alignment vertical="center"/>
    </xf>
    <xf numFmtId="188" fontId="66" fillId="8" borderId="0" xfId="22" applyNumberFormat="1" applyFont="1" applyFill="1" applyBorder="1" applyAlignment="1">
      <alignment vertical="center"/>
    </xf>
    <xf numFmtId="198" fontId="136" fillId="28" borderId="13" xfId="0" applyNumberFormat="1" applyFont="1" applyFill="1" applyBorder="1" applyAlignment="1">
      <alignment horizontal="center" vertical="center"/>
    </xf>
    <xf numFmtId="191" fontId="137" fillId="0" borderId="50" xfId="0" applyNumberFormat="1" applyFont="1" applyBorder="1" applyAlignment="1">
      <alignment horizontal="center" vertical="center"/>
    </xf>
    <xf numFmtId="198" fontId="136" fillId="28" borderId="50" xfId="0" applyNumberFormat="1" applyFont="1" applyFill="1" applyBorder="1" applyAlignment="1">
      <alignment horizontal="center" vertical="center"/>
    </xf>
    <xf numFmtId="198" fontId="136" fillId="11" borderId="50" xfId="0" applyNumberFormat="1" applyFont="1" applyFill="1" applyBorder="1" applyAlignment="1">
      <alignment horizontal="center" vertical="center"/>
    </xf>
    <xf numFmtId="196" fontId="136" fillId="28" borderId="50" xfId="0" applyNumberFormat="1" applyFont="1" applyFill="1" applyBorder="1" applyAlignment="1">
      <alignment horizontal="center" vertical="center"/>
    </xf>
    <xf numFmtId="184" fontId="136" fillId="11" borderId="50" xfId="0" applyNumberFormat="1" applyFont="1" applyFill="1" applyBorder="1" applyAlignment="1">
      <alignment horizontal="center" vertical="center"/>
    </xf>
    <xf numFmtId="195" fontId="136" fillId="28" borderId="50" xfId="0" applyNumberFormat="1" applyFont="1" applyFill="1" applyBorder="1" applyAlignment="1">
      <alignment horizontal="center" vertical="center"/>
    </xf>
    <xf numFmtId="191" fontId="137" fillId="0" borderId="15" xfId="0" applyNumberFormat="1" applyFont="1" applyBorder="1" applyAlignment="1">
      <alignment horizontal="center" vertical="center"/>
    </xf>
    <xf numFmtId="189" fontId="39" fillId="0" borderId="0" xfId="582" applyNumberFormat="1">
      <alignment horizontal="center"/>
    </xf>
    <xf numFmtId="189" fontId="39" fillId="0" borderId="2" xfId="582" applyNumberFormat="1" applyBorder="1">
      <alignment horizontal="center"/>
    </xf>
    <xf numFmtId="198" fontId="152" fillId="0" borderId="17" xfId="0" applyNumberFormat="1" applyFont="1" applyBorder="1" applyAlignment="1">
      <alignment horizontal="center" vertical="center"/>
    </xf>
    <xf numFmtId="195" fontId="136" fillId="11" borderId="36" xfId="0" applyNumberFormat="1" applyFont="1" applyFill="1" applyBorder="1" applyAlignment="1">
      <alignment horizontal="center" vertical="center"/>
    </xf>
    <xf numFmtId="0" fontId="41" fillId="8" borderId="9" xfId="0" applyFont="1" applyFill="1" applyBorder="1" applyAlignment="1">
      <alignment horizontal="center" vertical="center"/>
    </xf>
    <xf numFmtId="0" fontId="41" fillId="8" borderId="25" xfId="0" applyFont="1" applyFill="1" applyBorder="1" applyAlignment="1">
      <alignment horizontal="center" vertical="center"/>
    </xf>
    <xf numFmtId="0" fontId="41" fillId="8" borderId="10" xfId="0" applyFont="1" applyFill="1" applyBorder="1" applyAlignment="1">
      <alignment horizontal="center" vertical="center"/>
    </xf>
    <xf numFmtId="0" fontId="41" fillId="8" borderId="11" xfId="0" applyFont="1" applyFill="1" applyBorder="1" applyAlignment="1">
      <alignment horizontal="center" vertical="center"/>
    </xf>
    <xf numFmtId="0" fontId="41" fillId="8" borderId="0" xfId="0" applyFont="1" applyFill="1" applyAlignment="1">
      <alignment horizontal="center" vertical="center"/>
    </xf>
    <xf numFmtId="0" fontId="41" fillId="8" borderId="12" xfId="0" applyFont="1" applyFill="1" applyBorder="1" applyAlignment="1">
      <alignment horizontal="center" vertical="center"/>
    </xf>
    <xf numFmtId="0" fontId="41" fillId="8" borderId="14" xfId="0" applyFont="1" applyFill="1" applyBorder="1" applyAlignment="1">
      <alignment horizontal="center" vertical="center"/>
    </xf>
    <xf numFmtId="0" fontId="41" fillId="8" borderId="16" xfId="0" applyFont="1" applyFill="1" applyBorder="1" applyAlignment="1">
      <alignment horizontal="center" vertical="center"/>
    </xf>
    <xf numFmtId="0" fontId="41" fillId="8" borderId="17" xfId="0" applyFont="1" applyFill="1" applyBorder="1" applyAlignment="1">
      <alignment horizontal="center" vertical="center"/>
    </xf>
    <xf numFmtId="164" fontId="56" fillId="14" borderId="0" xfId="0" applyNumberFormat="1" applyFont="1" applyFill="1" applyAlignment="1">
      <alignment horizontal="center" vertical="center"/>
    </xf>
    <xf numFmtId="164" fontId="70" fillId="0" borderId="49" xfId="0" applyNumberFormat="1" applyFont="1" applyBorder="1" applyAlignment="1">
      <alignment horizontal="center" vertical="center"/>
    </xf>
    <xf numFmtId="196" fontId="57" fillId="0" borderId="0" xfId="51" applyNumberFormat="1" applyFont="1" applyFill="1" applyAlignment="1">
      <alignment horizontal="center" vertical="center"/>
    </xf>
    <xf numFmtId="195" fontId="107" fillId="0" borderId="0" xfId="51" applyNumberFormat="1" applyFont="1" applyFill="1" applyAlignment="1">
      <alignment horizontal="center" vertical="center"/>
    </xf>
    <xf numFmtId="164" fontId="54" fillId="0" borderId="49" xfId="0" applyNumberFormat="1" applyFont="1" applyBorder="1" applyAlignment="1">
      <alignment horizontal="center" vertical="center"/>
    </xf>
    <xf numFmtId="191" fontId="59" fillId="8" borderId="0" xfId="51" applyNumberFormat="1" applyFont="1" applyFill="1" applyAlignment="1">
      <alignment horizontal="center" vertical="center"/>
    </xf>
    <xf numFmtId="196" fontId="57" fillId="14" borderId="0" xfId="51" applyNumberFormat="1" applyFont="1" applyFill="1" applyAlignment="1">
      <alignment horizontal="center" vertical="center"/>
    </xf>
    <xf numFmtId="164" fontId="99" fillId="0" borderId="36" xfId="0" applyNumberFormat="1" applyFont="1" applyBorder="1" applyAlignment="1">
      <alignment horizontal="center" vertical="center"/>
    </xf>
    <xf numFmtId="191" fontId="57" fillId="8" borderId="0" xfId="51" applyNumberFormat="1" applyFont="1" applyFill="1" applyAlignment="1">
      <alignment horizontal="center" vertical="center"/>
    </xf>
    <xf numFmtId="192" fontId="56" fillId="0" borderId="0" xfId="22" applyNumberFormat="1" applyFont="1" applyFill="1" applyAlignment="1">
      <alignment horizontal="center" vertical="center"/>
    </xf>
    <xf numFmtId="37" fontId="48" fillId="14" borderId="49" xfId="0" applyNumberFormat="1" applyFont="1" applyFill="1" applyBorder="1" applyAlignment="1">
      <alignment horizontal="center" vertical="center"/>
    </xf>
    <xf numFmtId="7" fontId="55" fillId="0" borderId="0" xfId="27" applyNumberFormat="1" applyFont="1" applyAlignment="1">
      <alignment horizontal="center" vertical="center"/>
    </xf>
    <xf numFmtId="191" fontId="58" fillId="0" borderId="0" xfId="51" applyNumberFormat="1" applyFont="1" applyFill="1" applyAlignment="1">
      <alignment horizontal="center" vertical="center"/>
    </xf>
    <xf numFmtId="183" fontId="104" fillId="0" borderId="0" xfId="22" applyNumberFormat="1" applyFont="1" applyFill="1" applyAlignment="1">
      <alignment horizontal="center" vertical="center"/>
    </xf>
    <xf numFmtId="3" fontId="54" fillId="0" borderId="0" xfId="22" applyNumberFormat="1" applyFont="1" applyFill="1" applyAlignment="1">
      <alignment horizontal="center" vertical="center"/>
    </xf>
    <xf numFmtId="202" fontId="56" fillId="0" borderId="0" xfId="0" applyNumberFormat="1" applyFont="1" applyAlignment="1">
      <alignment horizontal="center" vertical="center"/>
    </xf>
    <xf numFmtId="192" fontId="48" fillId="0" borderId="0" xfId="22" applyNumberFormat="1" applyFont="1" applyAlignment="1">
      <alignment horizontal="center" vertical="center"/>
    </xf>
    <xf numFmtId="191" fontId="59" fillId="0" borderId="0" xfId="22" applyNumberFormat="1" applyFont="1" applyAlignment="1">
      <alignment horizontal="center" vertical="center"/>
    </xf>
    <xf numFmtId="191" fontId="56" fillId="0" borderId="0" xfId="0" quotePrefix="1" applyNumberFormat="1" applyFont="1" applyAlignment="1">
      <alignment horizontal="center" vertical="center"/>
    </xf>
    <xf numFmtId="195" fontId="48" fillId="0" borderId="0" xfId="0" applyNumberFormat="1" applyFont="1" applyAlignment="1">
      <alignment horizontal="center" vertical="center"/>
    </xf>
    <xf numFmtId="195" fontId="56" fillId="0" borderId="0" xfId="0" applyNumberFormat="1" applyFont="1" applyAlignment="1">
      <alignment horizontal="center" vertical="center"/>
    </xf>
    <xf numFmtId="192" fontId="59" fillId="0" borderId="0" xfId="22" applyNumberFormat="1" applyFont="1" applyAlignment="1">
      <alignment horizontal="center" vertical="center"/>
    </xf>
    <xf numFmtId="0" fontId="48" fillId="0" borderId="0" xfId="0" applyFont="1" applyAlignment="1">
      <alignment horizontal="center" vertical="center"/>
    </xf>
    <xf numFmtId="37" fontId="59" fillId="0" borderId="42" xfId="0" applyNumberFormat="1" applyFont="1" applyBorder="1" applyAlignment="1">
      <alignment horizontal="center" vertical="center"/>
    </xf>
    <xf numFmtId="191" fontId="56" fillId="0" borderId="0" xfId="0" applyNumberFormat="1" applyFont="1" applyAlignment="1">
      <alignment horizontal="center" vertical="center"/>
    </xf>
    <xf numFmtId="191" fontId="49" fillId="0" borderId="0" xfId="51" applyNumberFormat="1" applyFont="1" applyBorder="1" applyAlignment="1">
      <alignment horizontal="center" vertical="center"/>
    </xf>
    <xf numFmtId="37" fontId="48" fillId="0" borderId="42" xfId="0" applyNumberFormat="1" applyFont="1" applyBorder="1" applyAlignment="1">
      <alignment horizontal="center" vertical="center"/>
    </xf>
    <xf numFmtId="9" fontId="59" fillId="0" borderId="0" xfId="0" applyNumberFormat="1" applyFont="1" applyAlignment="1">
      <alignment horizontal="center" vertical="center"/>
    </xf>
    <xf numFmtId="37" fontId="59" fillId="9" borderId="0" xfId="0" applyNumberFormat="1" applyFont="1" applyFill="1" applyAlignment="1">
      <alignment vertical="center"/>
    </xf>
    <xf numFmtId="3" fontId="54" fillId="0" borderId="0" xfId="22" applyNumberFormat="1" applyFont="1" applyFill="1" applyBorder="1" applyAlignment="1">
      <alignment horizontal="center" vertical="center"/>
    </xf>
    <xf numFmtId="196" fontId="56" fillId="0" borderId="36" xfId="22" applyNumberFormat="1" applyFont="1" applyFill="1" applyBorder="1" applyAlignment="1">
      <alignment horizontal="center"/>
    </xf>
    <xf numFmtId="164" fontId="154" fillId="0" borderId="0" xfId="0" applyNumberFormat="1" applyFont="1" applyAlignment="1">
      <alignment horizontal="center" vertical="center"/>
    </xf>
    <xf numFmtId="164" fontId="153" fillId="0" borderId="0" xfId="0" applyNumberFormat="1" applyFont="1" applyAlignment="1">
      <alignment horizontal="center" vertical="center"/>
    </xf>
    <xf numFmtId="188" fontId="66" fillId="0" borderId="0" xfId="22" applyNumberFormat="1" applyFont="1" applyFill="1" applyBorder="1" applyAlignment="1">
      <alignment horizontal="center" vertical="center"/>
    </xf>
    <xf numFmtId="164" fontId="55" fillId="0" borderId="49" xfId="0" applyNumberFormat="1" applyFont="1" applyBorder="1" applyAlignment="1">
      <alignment vertical="center"/>
    </xf>
    <xf numFmtId="164" fontId="60" fillId="0" borderId="35" xfId="0" applyNumberFormat="1" applyFont="1" applyBorder="1" applyAlignment="1">
      <alignment horizontal="center" vertical="center"/>
    </xf>
    <xf numFmtId="164" fontId="60" fillId="0" borderId="49" xfId="0" applyNumberFormat="1" applyFont="1" applyBorder="1" applyAlignment="1">
      <alignment horizontal="center" vertical="center"/>
    </xf>
    <xf numFmtId="37" fontId="48" fillId="0" borderId="49" xfId="0" applyNumberFormat="1" applyFont="1" applyBorder="1" applyAlignment="1">
      <alignment horizontal="center" vertical="center"/>
    </xf>
    <xf numFmtId="192" fontId="54" fillId="0" borderId="5" xfId="0" applyNumberFormat="1" applyFont="1" applyBorder="1" applyAlignment="1">
      <alignment horizontal="center" vertical="center"/>
    </xf>
    <xf numFmtId="192" fontId="104" fillId="0" borderId="5" xfId="0" applyNumberFormat="1" applyFont="1" applyBorder="1" applyAlignment="1">
      <alignment horizontal="center" vertical="center"/>
    </xf>
    <xf numFmtId="192" fontId="104" fillId="0" borderId="35" xfId="0" applyNumberFormat="1" applyFont="1" applyBorder="1" applyAlignment="1">
      <alignment horizontal="center" vertical="center"/>
    </xf>
    <xf numFmtId="192" fontId="54" fillId="0" borderId="35" xfId="0" applyNumberFormat="1" applyFont="1" applyBorder="1" applyAlignment="1">
      <alignment horizontal="center" vertical="center"/>
    </xf>
    <xf numFmtId="164" fontId="155" fillId="0" borderId="0" xfId="590" applyNumberFormat="1" applyAlignment="1">
      <alignment horizontal="left" vertical="center"/>
    </xf>
    <xf numFmtId="189" fontId="39" fillId="8" borderId="2" xfId="88" applyNumberFormat="1" applyFont="1" applyFill="1" applyBorder="1" applyAlignment="1">
      <alignment horizontal="center"/>
    </xf>
    <xf numFmtId="189" fontId="41" fillId="0" borderId="0" xfId="0" applyNumberFormat="1" applyFont="1" applyAlignment="1">
      <alignment horizontal="center"/>
    </xf>
    <xf numFmtId="189" fontId="41" fillId="8" borderId="2" xfId="88" applyNumberFormat="1" applyFont="1" applyFill="1" applyBorder="1" applyAlignment="1">
      <alignment horizontal="center"/>
    </xf>
    <xf numFmtId="189" fontId="39" fillId="0" borderId="0" xfId="88" applyNumberFormat="1" applyFont="1" applyAlignment="1">
      <alignment horizontal="center"/>
    </xf>
    <xf numFmtId="189" fontId="41" fillId="8" borderId="0" xfId="0" applyNumberFormat="1" applyFont="1" applyFill="1" applyAlignment="1">
      <alignment horizontal="center"/>
    </xf>
    <xf numFmtId="164" fontId="55" fillId="30" borderId="0" xfId="0" applyNumberFormat="1" applyFont="1" applyFill="1" applyAlignment="1">
      <alignment horizontal="center" vertical="center"/>
    </xf>
    <xf numFmtId="195" fontId="153" fillId="0" borderId="0" xfId="0" applyNumberFormat="1" applyFont="1" applyAlignment="1">
      <alignment horizontal="center" vertical="center"/>
    </xf>
    <xf numFmtId="197" fontId="55" fillId="0" borderId="0" xfId="127" applyNumberFormat="1" applyFont="1" applyAlignment="1">
      <alignment horizontal="center"/>
    </xf>
    <xf numFmtId="197" fontId="55" fillId="0" borderId="0" xfId="0" applyNumberFormat="1" applyFont="1" applyAlignment="1">
      <alignment horizontal="centerContinuous" vertical="center"/>
    </xf>
    <xf numFmtId="191" fontId="54" fillId="14" borderId="20" xfId="51" applyNumberFormat="1" applyFont="1" applyFill="1" applyBorder="1" applyAlignment="1" applyProtection="1">
      <alignment horizontal="center" vertical="center"/>
    </xf>
    <xf numFmtId="191" fontId="54" fillId="14" borderId="29" xfId="51" applyNumberFormat="1" applyFont="1" applyFill="1" applyBorder="1" applyAlignment="1" applyProtection="1">
      <alignment horizontal="left" vertical="center"/>
    </xf>
    <xf numFmtId="191" fontId="92" fillId="14" borderId="16" xfId="51" applyNumberFormat="1" applyFont="1" applyFill="1" applyBorder="1" applyAlignment="1">
      <alignment horizontal="center"/>
    </xf>
    <xf numFmtId="191" fontId="147" fillId="0" borderId="32" xfId="582" applyNumberFormat="1" applyFont="1" applyBorder="1" applyAlignment="1">
      <alignment horizontal="center" vertical="center" wrapText="1"/>
    </xf>
    <xf numFmtId="37" fontId="39" fillId="0" borderId="0" xfId="582" applyAlignment="1">
      <alignment horizontal="center" wrapText="1"/>
    </xf>
    <xf numFmtId="0" fontId="66" fillId="0" borderId="0" xfId="0" applyFont="1" applyAlignment="1">
      <alignment horizontal="center" wrapText="1"/>
    </xf>
    <xf numFmtId="0" fontId="50" fillId="27" borderId="30" xfId="0" applyFont="1" applyFill="1" applyBorder="1" applyAlignment="1">
      <alignment horizontal="centerContinuous" wrapText="1"/>
    </xf>
    <xf numFmtId="0" fontId="48" fillId="14" borderId="4" xfId="0" applyFont="1" applyFill="1" applyBorder="1" applyAlignment="1">
      <alignment horizontal="center" vertical="center" wrapText="1"/>
    </xf>
    <xf numFmtId="37" fontId="124" fillId="27" borderId="4" xfId="582" applyFont="1" applyFill="1" applyBorder="1" applyAlignment="1">
      <alignment horizontal="center" vertical="center" wrapText="1"/>
    </xf>
    <xf numFmtId="37" fontId="147" fillId="0" borderId="4" xfId="582" applyFont="1" applyBorder="1" applyAlignment="1">
      <alignment horizontal="center" vertical="center" wrapText="1"/>
    </xf>
    <xf numFmtId="37" fontId="124" fillId="14" borderId="4" xfId="582" applyFont="1" applyFill="1" applyBorder="1" applyAlignment="1">
      <alignment horizontal="center" vertical="center" wrapText="1"/>
    </xf>
    <xf numFmtId="191" fontId="147" fillId="0" borderId="4" xfId="582" applyNumberFormat="1" applyFont="1" applyBorder="1" applyAlignment="1">
      <alignment horizontal="center" vertical="center" wrapText="1"/>
    </xf>
    <xf numFmtId="37" fontId="124" fillId="0" borderId="4" xfId="582" applyFont="1" applyBorder="1" applyAlignment="1">
      <alignment horizontal="center" vertical="center" wrapText="1"/>
    </xf>
    <xf numFmtId="37" fontId="147" fillId="14" borderId="4" xfId="582" applyFont="1" applyFill="1" applyBorder="1" applyAlignment="1">
      <alignment horizontal="center" vertical="center" wrapText="1"/>
    </xf>
    <xf numFmtId="194" fontId="124" fillId="27" borderId="4" xfId="582" applyNumberFormat="1" applyFont="1" applyFill="1" applyBorder="1" applyAlignment="1">
      <alignment horizontal="center" vertical="center" wrapText="1"/>
    </xf>
    <xf numFmtId="193" fontId="124" fillId="14" borderId="4" xfId="582" applyNumberFormat="1" applyFont="1" applyFill="1" applyBorder="1" applyAlignment="1">
      <alignment horizontal="center" vertical="center" wrapText="1"/>
    </xf>
    <xf numFmtId="193" fontId="124" fillId="27" borderId="4" xfId="582" applyNumberFormat="1" applyFont="1" applyFill="1" applyBorder="1" applyAlignment="1">
      <alignment horizontal="center" vertical="center" wrapText="1"/>
    </xf>
    <xf numFmtId="37" fontId="41" fillId="8" borderId="0" xfId="0" applyNumberFormat="1" applyFont="1" applyFill="1"/>
    <xf numFmtId="0" fontId="50" fillId="27" borderId="49" xfId="0" applyFont="1" applyFill="1" applyBorder="1" applyAlignment="1">
      <alignment horizontal="centerContinuous" vertical="center"/>
    </xf>
    <xf numFmtId="0" fontId="50" fillId="27" borderId="49" xfId="0" applyFont="1" applyFill="1" applyBorder="1" applyAlignment="1">
      <alignment horizontal="centerContinuous"/>
    </xf>
    <xf numFmtId="0" fontId="122" fillId="27" borderId="49" xfId="0" applyFont="1" applyFill="1" applyBorder="1" applyAlignment="1">
      <alignment horizontal="centerContinuous"/>
    </xf>
    <xf numFmtId="0" fontId="50" fillId="27" borderId="45" xfId="0" applyFont="1" applyFill="1" applyBorder="1" applyAlignment="1">
      <alignment horizontal="center" vertical="center"/>
    </xf>
    <xf numFmtId="0" fontId="3" fillId="14" borderId="0" xfId="0" applyFont="1" applyFill="1" applyAlignment="1">
      <alignment horizontal="center" vertical="center"/>
    </xf>
    <xf numFmtId="0" fontId="1" fillId="14" borderId="0" xfId="0" applyFont="1" applyFill="1" applyAlignment="1">
      <alignment horizontal="center" vertical="center"/>
    </xf>
    <xf numFmtId="198" fontId="116" fillId="27" borderId="0" xfId="0" applyNumberFormat="1" applyFont="1" applyFill="1" applyAlignment="1">
      <alignment horizontal="center" vertical="center"/>
    </xf>
    <xf numFmtId="191" fontId="39" fillId="27" borderId="0" xfId="582" applyNumberFormat="1" applyFill="1" applyAlignment="1">
      <alignment horizontal="center" vertical="center"/>
    </xf>
    <xf numFmtId="198" fontId="116" fillId="14" borderId="0" xfId="0" applyNumberFormat="1" applyFont="1" applyFill="1" applyAlignment="1">
      <alignment horizontal="center" vertical="center"/>
    </xf>
    <xf numFmtId="191" fontId="39" fillId="14" borderId="0" xfId="582" applyNumberFormat="1" applyFill="1" applyAlignment="1">
      <alignment horizontal="center" vertical="center"/>
    </xf>
    <xf numFmtId="195" fontId="116" fillId="14" borderId="0" xfId="0" applyNumberFormat="1" applyFont="1" applyFill="1" applyAlignment="1">
      <alignment horizontal="center" vertical="center"/>
    </xf>
    <xf numFmtId="195" fontId="55" fillId="20" borderId="0" xfId="0" applyNumberFormat="1" applyFont="1" applyFill="1" applyAlignment="1">
      <alignment horizontal="center" vertical="center"/>
    </xf>
    <xf numFmtId="191" fontId="47" fillId="20" borderId="0" xfId="582" applyNumberFormat="1" applyFont="1" applyFill="1" applyAlignment="1">
      <alignment horizontal="center" vertical="center"/>
    </xf>
    <xf numFmtId="198" fontId="55" fillId="20" borderId="0" xfId="0" applyNumberFormat="1" applyFont="1" applyFill="1" applyAlignment="1">
      <alignment horizontal="center" vertical="center"/>
    </xf>
    <xf numFmtId="194" fontId="116" fillId="27" borderId="0" xfId="0" applyNumberFormat="1" applyFont="1" applyFill="1" applyAlignment="1">
      <alignment horizontal="center" vertical="center"/>
    </xf>
    <xf numFmtId="193" fontId="55" fillId="20" borderId="0" xfId="0" applyNumberFormat="1" applyFont="1" applyFill="1" applyAlignment="1">
      <alignment horizontal="center" vertical="center"/>
    </xf>
    <xf numFmtId="37" fontId="50" fillId="27" borderId="0" xfId="0" applyNumberFormat="1" applyFont="1" applyFill="1" applyAlignment="1">
      <alignment vertical="center"/>
    </xf>
    <xf numFmtId="37" fontId="50" fillId="27" borderId="0" xfId="0" applyNumberFormat="1" applyFont="1" applyFill="1" applyAlignment="1">
      <alignment horizontal="center" vertical="center"/>
    </xf>
    <xf numFmtId="15" fontId="50" fillId="27" borderId="0" xfId="0" applyNumberFormat="1" applyFont="1" applyFill="1" applyAlignment="1">
      <alignment horizontal="center" vertical="center"/>
    </xf>
    <xf numFmtId="37" fontId="54" fillId="27" borderId="0" xfId="0" applyNumberFormat="1" applyFont="1" applyFill="1" applyAlignment="1">
      <alignment vertical="center"/>
    </xf>
    <xf numFmtId="37" fontId="54" fillId="27" borderId="0" xfId="0" applyNumberFormat="1" applyFont="1" applyFill="1" applyAlignment="1">
      <alignment horizontal="center" vertical="center"/>
    </xf>
    <xf numFmtId="15" fontId="54" fillId="27" borderId="0" xfId="0" applyNumberFormat="1" applyFont="1" applyFill="1" applyAlignment="1">
      <alignment horizontal="center" vertical="center"/>
    </xf>
    <xf numFmtId="15" fontId="53" fillId="27" borderId="0" xfId="0" applyNumberFormat="1" applyFont="1" applyFill="1" applyAlignment="1">
      <alignment horizontal="center" vertical="center"/>
    </xf>
    <xf numFmtId="37" fontId="54" fillId="27" borderId="9" xfId="0" applyNumberFormat="1" applyFont="1" applyFill="1" applyBorder="1" applyAlignment="1">
      <alignment vertical="center"/>
    </xf>
    <xf numFmtId="37" fontId="48" fillId="27" borderId="0" xfId="0" applyNumberFormat="1" applyFont="1" applyFill="1" applyAlignment="1">
      <alignment horizontal="center" vertical="center"/>
    </xf>
    <xf numFmtId="37" fontId="54" fillId="27" borderId="10" xfId="0" applyNumberFormat="1" applyFont="1" applyFill="1" applyBorder="1" applyAlignment="1">
      <alignment horizontal="center" vertical="center"/>
    </xf>
    <xf numFmtId="37" fontId="54" fillId="27" borderId="9" xfId="0" applyNumberFormat="1" applyFont="1" applyFill="1" applyBorder="1" applyAlignment="1">
      <alignment horizontal="centerContinuous" vertical="center"/>
    </xf>
    <xf numFmtId="37" fontId="54" fillId="27" borderId="10" xfId="0" applyNumberFormat="1" applyFont="1" applyFill="1" applyBorder="1" applyAlignment="1">
      <alignment horizontal="centerContinuous" vertical="center"/>
    </xf>
    <xf numFmtId="37" fontId="54" fillId="27" borderId="25" xfId="0" applyNumberFormat="1" applyFont="1" applyFill="1" applyBorder="1" applyAlignment="1">
      <alignment horizontal="centerContinuous" vertical="center"/>
    </xf>
    <xf numFmtId="191" fontId="50" fillId="27" borderId="0" xfId="51" applyNumberFormat="1" applyFont="1" applyFill="1" applyBorder="1" applyAlignment="1">
      <alignment horizontal="center" vertical="center"/>
    </xf>
    <xf numFmtId="15" fontId="50" fillId="27" borderId="0" xfId="0" applyNumberFormat="1" applyFont="1" applyFill="1" applyAlignment="1">
      <alignment horizontal="left" vertical="center"/>
    </xf>
    <xf numFmtId="15" fontId="57" fillId="27" borderId="0" xfId="0" applyNumberFormat="1" applyFont="1" applyFill="1" applyAlignment="1">
      <alignment horizontal="left" vertical="center"/>
    </xf>
    <xf numFmtId="37" fontId="50" fillId="27" borderId="35" xfId="0" applyNumberFormat="1" applyFont="1" applyFill="1" applyBorder="1" applyAlignment="1">
      <alignment horizontal="center" vertical="center"/>
    </xf>
    <xf numFmtId="190" fontId="50" fillId="27" borderId="0" xfId="0" applyNumberFormat="1" applyFont="1" applyFill="1" applyAlignment="1">
      <alignment horizontal="center" vertical="center"/>
    </xf>
    <xf numFmtId="191" fontId="48" fillId="0" borderId="0" xfId="22" applyNumberFormat="1" applyFont="1" applyBorder="1" applyAlignment="1">
      <alignment horizontal="center" vertical="center"/>
    </xf>
    <xf numFmtId="193" fontId="124" fillId="8" borderId="0" xfId="0" applyNumberFormat="1" applyFont="1" applyFill="1"/>
    <xf numFmtId="193" fontId="52" fillId="0" borderId="0" xfId="0" applyNumberFormat="1" applyFont="1" applyAlignment="1">
      <alignment horizontal="center" vertical="center"/>
    </xf>
    <xf numFmtId="15" fontId="57" fillId="27" borderId="0" xfId="0" applyNumberFormat="1" applyFont="1" applyFill="1" applyAlignment="1">
      <alignment horizontal="right" vertical="center"/>
    </xf>
    <xf numFmtId="37" fontId="50" fillId="27" borderId="36" xfId="0" applyNumberFormat="1" applyFont="1" applyFill="1" applyBorder="1" applyAlignment="1">
      <alignment horizontal="center" vertical="center"/>
    </xf>
    <xf numFmtId="164" fontId="50" fillId="27" borderId="36" xfId="0" applyNumberFormat="1" applyFont="1" applyFill="1" applyBorder="1" applyAlignment="1">
      <alignment horizontal="center" vertical="center"/>
    </xf>
    <xf numFmtId="164" fontId="50" fillId="27" borderId="0" xfId="0" applyNumberFormat="1" applyFont="1" applyFill="1" applyAlignment="1">
      <alignment horizontal="center" vertical="center"/>
    </xf>
    <xf numFmtId="37" fontId="54" fillId="27" borderId="36" xfId="0" applyNumberFormat="1" applyFont="1" applyFill="1" applyBorder="1" applyAlignment="1">
      <alignment horizontal="center" vertical="center"/>
    </xf>
    <xf numFmtId="192" fontId="48" fillId="0" borderId="0" xfId="22" applyNumberFormat="1" applyFont="1" applyFill="1" applyAlignment="1">
      <alignment horizontal="center" vertical="center"/>
    </xf>
    <xf numFmtId="192" fontId="48" fillId="0" borderId="36" xfId="22" applyNumberFormat="1" applyFont="1" applyFill="1" applyBorder="1" applyAlignment="1">
      <alignment horizontal="center"/>
    </xf>
    <xf numFmtId="191" fontId="50" fillId="0" borderId="0" xfId="51" applyNumberFormat="1" applyFont="1" applyFill="1" applyAlignment="1">
      <alignment horizontal="center" vertical="center"/>
    </xf>
    <xf numFmtId="191" fontId="59" fillId="0" borderId="0" xfId="51" applyNumberFormat="1" applyFont="1" applyFill="1" applyAlignment="1">
      <alignment horizontal="center"/>
    </xf>
    <xf numFmtId="0" fontId="59" fillId="0" borderId="0" xfId="0" applyFont="1"/>
    <xf numFmtId="0" fontId="59" fillId="0" borderId="36" xfId="0" applyFont="1" applyBorder="1"/>
    <xf numFmtId="0" fontId="59" fillId="0" borderId="0" xfId="0" applyFont="1" applyAlignment="1">
      <alignment horizontal="center"/>
    </xf>
    <xf numFmtId="191" fontId="107" fillId="0" borderId="0" xfId="0" quotePrefix="1" applyNumberFormat="1" applyFont="1" applyAlignment="1">
      <alignment horizontal="center"/>
    </xf>
    <xf numFmtId="0" fontId="59" fillId="0" borderId="0" xfId="0" applyFont="1" applyAlignment="1">
      <alignment horizontal="center" vertical="center"/>
    </xf>
    <xf numFmtId="191" fontId="107" fillId="0" borderId="0" xfId="0" applyNumberFormat="1" applyFont="1" applyAlignment="1">
      <alignment horizontal="center"/>
    </xf>
    <xf numFmtId="9" fontId="107" fillId="0" borderId="0" xfId="0" applyNumberFormat="1" applyFont="1" applyAlignment="1">
      <alignment horizontal="center"/>
    </xf>
    <xf numFmtId="0" fontId="59" fillId="0" borderId="36" xfId="0" applyFont="1" applyBorder="1" applyAlignment="1">
      <alignment horizontal="center"/>
    </xf>
    <xf numFmtId="9" fontId="59" fillId="0" borderId="0" xfId="0" applyNumberFormat="1" applyFont="1" applyAlignment="1">
      <alignment horizontal="center"/>
    </xf>
    <xf numFmtId="9" fontId="107" fillId="0" borderId="0" xfId="0" applyNumberFormat="1" applyFont="1" applyAlignment="1">
      <alignment horizontal="center" vertical="center"/>
    </xf>
    <xf numFmtId="195" fontId="59" fillId="0" borderId="0" xfId="0" applyNumberFormat="1" applyFont="1" applyAlignment="1">
      <alignment horizontal="center"/>
    </xf>
    <xf numFmtId="9" fontId="107" fillId="0" borderId="36" xfId="0" applyNumberFormat="1" applyFont="1" applyBorder="1" applyAlignment="1">
      <alignment horizontal="center"/>
    </xf>
    <xf numFmtId="191" fontId="59" fillId="0" borderId="36" xfId="0" applyNumberFormat="1" applyFont="1" applyBorder="1" applyAlignment="1">
      <alignment horizontal="center"/>
    </xf>
    <xf numFmtId="191" fontId="59" fillId="0" borderId="0" xfId="0" applyNumberFormat="1" applyFont="1" applyAlignment="1">
      <alignment horizontal="center"/>
    </xf>
    <xf numFmtId="37" fontId="58" fillId="0" borderId="0" xfId="0" applyNumberFormat="1" applyFont="1" applyAlignment="1">
      <alignment vertical="center"/>
    </xf>
    <xf numFmtId="37" fontId="79" fillId="0" borderId="0" xfId="0" applyNumberFormat="1" applyFont="1" applyAlignment="1">
      <alignment horizontal="left" vertical="center" indent="1"/>
    </xf>
    <xf numFmtId="191" fontId="107" fillId="0" borderId="36" xfId="0" applyNumberFormat="1" applyFont="1" applyBorder="1" applyAlignment="1">
      <alignment horizontal="center" vertical="center"/>
    </xf>
    <xf numFmtId="191" fontId="58" fillId="0" borderId="36" xfId="0" applyNumberFormat="1" applyFont="1" applyBorder="1" applyAlignment="1">
      <alignment horizontal="center" vertical="center"/>
    </xf>
    <xf numFmtId="192" fontId="59" fillId="0" borderId="36" xfId="0" applyNumberFormat="1" applyFont="1" applyBorder="1" applyAlignment="1">
      <alignment horizontal="center" vertical="center"/>
    </xf>
    <xf numFmtId="164" fontId="156" fillId="0" borderId="0" xfId="0" applyNumberFormat="1" applyFont="1" applyAlignment="1">
      <alignment horizontal="left" vertical="center"/>
    </xf>
    <xf numFmtId="37" fontId="157" fillId="0" borderId="0" xfId="0" applyNumberFormat="1" applyFont="1" applyAlignment="1">
      <alignment vertical="center"/>
    </xf>
    <xf numFmtId="191" fontId="156" fillId="0" borderId="0" xfId="51" applyNumberFormat="1" applyFont="1" applyFill="1" applyAlignment="1">
      <alignment horizontal="left" vertical="center"/>
    </xf>
    <xf numFmtId="164" fontId="50" fillId="14" borderId="49" xfId="22" applyNumberFormat="1" applyFont="1" applyFill="1" applyBorder="1" applyAlignment="1">
      <alignment horizontal="center" vertical="center"/>
    </xf>
    <xf numFmtId="183" fontId="87" fillId="14" borderId="49" xfId="22" applyNumberFormat="1" applyFont="1" applyFill="1" applyBorder="1" applyAlignment="1">
      <alignment horizontal="center" vertical="center"/>
    </xf>
    <xf numFmtId="192" fontId="48" fillId="0" borderId="49" xfId="0" applyNumberFormat="1" applyFont="1" applyBorder="1" applyAlignment="1">
      <alignment horizontal="center" vertical="center"/>
    </xf>
    <xf numFmtId="37" fontId="59" fillId="0" borderId="49" xfId="0" applyNumberFormat="1" applyFont="1" applyBorder="1" applyAlignment="1">
      <alignment horizontal="center" vertical="center"/>
    </xf>
    <xf numFmtId="37" fontId="48" fillId="0" borderId="21" xfId="0" applyNumberFormat="1" applyFont="1" applyBorder="1" applyAlignment="1">
      <alignment horizontal="center"/>
    </xf>
    <xf numFmtId="0" fontId="48" fillId="0" borderId="21" xfId="0" applyFont="1" applyBorder="1"/>
    <xf numFmtId="204" fontId="59" fillId="0" borderId="0" xfId="0" applyNumberFormat="1" applyFont="1"/>
    <xf numFmtId="37" fontId="78" fillId="0" borderId="2" xfId="0" applyNumberFormat="1" applyFont="1" applyBorder="1" applyAlignment="1">
      <alignment vertical="center"/>
    </xf>
    <xf numFmtId="37" fontId="49" fillId="0" borderId="2" xfId="0" applyNumberFormat="1" applyFont="1" applyBorder="1" applyAlignment="1">
      <alignment vertical="center"/>
    </xf>
    <xf numFmtId="164" fontId="56" fillId="0" borderId="2" xfId="0" applyNumberFormat="1" applyFont="1" applyBorder="1" applyAlignment="1">
      <alignment horizontal="center" vertical="center"/>
    </xf>
    <xf numFmtId="191" fontId="48" fillId="0" borderId="2" xfId="0" applyNumberFormat="1" applyFont="1" applyBorder="1" applyAlignment="1">
      <alignment horizontal="center" vertical="center"/>
    </xf>
    <xf numFmtId="0" fontId="48" fillId="0" borderId="2" xfId="0" applyFont="1" applyBorder="1"/>
    <xf numFmtId="37" fontId="59" fillId="0" borderId="2" xfId="0" applyNumberFormat="1" applyFont="1" applyBorder="1" applyAlignment="1">
      <alignment vertical="center"/>
    </xf>
    <xf numFmtId="37" fontId="48" fillId="0" borderId="2" xfId="0" applyNumberFormat="1" applyFont="1" applyBorder="1" applyAlignment="1">
      <alignment horizontal="center" vertical="center"/>
    </xf>
    <xf numFmtId="37" fontId="59" fillId="0" borderId="2" xfId="0" applyNumberFormat="1" applyFont="1" applyBorder="1" applyAlignment="1">
      <alignment horizontal="center" vertical="center"/>
    </xf>
    <xf numFmtId="37" fontId="56" fillId="0" borderId="21" xfId="0" applyNumberFormat="1" applyFont="1" applyBorder="1" applyAlignment="1">
      <alignment horizontal="center" vertical="center"/>
    </xf>
    <xf numFmtId="37" fontId="48" fillId="0" borderId="21" xfId="0" applyNumberFormat="1" applyFont="1" applyBorder="1" applyAlignment="1">
      <alignment horizontal="center" vertical="center"/>
    </xf>
    <xf numFmtId="0" fontId="0" fillId="0" borderId="25" xfId="0" applyBorder="1"/>
    <xf numFmtId="198" fontId="136" fillId="28" borderId="0" xfId="0" applyNumberFormat="1" applyFont="1" applyFill="1" applyAlignment="1">
      <alignment horizontal="centerContinuous" vertical="center"/>
    </xf>
    <xf numFmtId="198" fontId="135" fillId="28" borderId="0" xfId="0" applyNumberFormat="1" applyFont="1" applyFill="1" applyAlignment="1">
      <alignment horizontal="center" vertical="center"/>
    </xf>
    <xf numFmtId="191" fontId="136" fillId="28" borderId="0" xfId="0" applyNumberFormat="1" applyFont="1" applyFill="1" applyAlignment="1">
      <alignment horizontal="center" vertical="center"/>
    </xf>
    <xf numFmtId="191" fontId="137" fillId="0" borderId="0" xfId="0" applyNumberFormat="1" applyFont="1" applyAlignment="1">
      <alignment horizontal="centerContinuous" vertical="center"/>
    </xf>
    <xf numFmtId="191" fontId="138" fillId="0" borderId="0" xfId="0" applyNumberFormat="1" applyFont="1" applyAlignment="1">
      <alignment horizontal="center" vertical="center"/>
    </xf>
    <xf numFmtId="198" fontId="136" fillId="11" borderId="0" xfId="0" applyNumberFormat="1" applyFont="1" applyFill="1" applyAlignment="1">
      <alignment horizontal="centerContinuous" vertical="center"/>
    </xf>
    <xf numFmtId="198" fontId="135" fillId="11" borderId="0" xfId="0" applyNumberFormat="1" applyFont="1" applyFill="1" applyAlignment="1">
      <alignment horizontal="center" vertical="center"/>
    </xf>
    <xf numFmtId="191" fontId="136" fillId="11" borderId="0" xfId="0" applyNumberFormat="1" applyFont="1" applyFill="1" applyAlignment="1">
      <alignment horizontal="center" vertical="center"/>
    </xf>
    <xf numFmtId="200" fontId="137" fillId="0" borderId="0" xfId="0" applyNumberFormat="1" applyFont="1" applyAlignment="1">
      <alignment horizontal="center" vertical="center"/>
    </xf>
    <xf numFmtId="196" fontId="136" fillId="28" borderId="0" xfId="0" applyNumberFormat="1" applyFont="1" applyFill="1" applyAlignment="1">
      <alignment horizontal="centerContinuous" vertical="center"/>
    </xf>
    <xf numFmtId="196" fontId="135" fillId="28" borderId="0" xfId="0" applyNumberFormat="1" applyFont="1" applyFill="1" applyAlignment="1">
      <alignment horizontal="center" vertical="center"/>
    </xf>
    <xf numFmtId="184" fontId="136" fillId="11" borderId="0" xfId="0" applyNumberFormat="1" applyFont="1" applyFill="1" applyAlignment="1">
      <alignment horizontal="centerContinuous" vertical="center"/>
    </xf>
    <xf numFmtId="184" fontId="135" fillId="11" borderId="0" xfId="0" applyNumberFormat="1" applyFont="1" applyFill="1" applyAlignment="1">
      <alignment horizontal="center" vertical="center"/>
    </xf>
    <xf numFmtId="195" fontId="136" fillId="28" borderId="0" xfId="0" applyNumberFormat="1" applyFont="1" applyFill="1" applyAlignment="1">
      <alignment horizontal="centerContinuous" vertical="center"/>
    </xf>
    <xf numFmtId="195" fontId="135" fillId="28" borderId="0" xfId="0" applyNumberFormat="1" applyFont="1" applyFill="1" applyAlignment="1">
      <alignment horizontal="center" vertical="center"/>
    </xf>
    <xf numFmtId="191" fontId="137" fillId="25" borderId="0" xfId="0" applyNumberFormat="1" applyFont="1" applyFill="1" applyAlignment="1">
      <alignment horizontal="center" vertical="center"/>
    </xf>
    <xf numFmtId="164" fontId="54" fillId="14" borderId="49" xfId="0" applyNumberFormat="1" applyFont="1" applyFill="1" applyBorder="1" applyAlignment="1">
      <alignment vertical="center"/>
    </xf>
    <xf numFmtId="14" fontId="49" fillId="0" borderId="49" xfId="0" applyNumberFormat="1" applyFont="1" applyBorder="1" applyAlignment="1">
      <alignment horizontal="center" vertical="center"/>
    </xf>
    <xf numFmtId="14" fontId="110" fillId="0" borderId="49" xfId="0" applyNumberFormat="1" applyFont="1" applyBorder="1" applyAlignment="1">
      <alignment horizontal="center" vertical="center"/>
    </xf>
    <xf numFmtId="14" fontId="78" fillId="0" borderId="49" xfId="0" applyNumberFormat="1" applyFont="1" applyBorder="1" applyAlignment="1">
      <alignment horizontal="center" vertical="center"/>
    </xf>
    <xf numFmtId="14" fontId="64" fillId="0" borderId="49" xfId="0" applyNumberFormat="1" applyFont="1" applyBorder="1" applyAlignment="1">
      <alignment horizontal="center" vertical="center"/>
    </xf>
    <xf numFmtId="183" fontId="50" fillId="14" borderId="49" xfId="22" applyNumberFormat="1" applyFont="1" applyFill="1" applyBorder="1" applyAlignment="1">
      <alignment horizontal="center" vertical="center"/>
    </xf>
    <xf numFmtId="37" fontId="107" fillId="0" borderId="0" xfId="0" applyNumberFormat="1" applyFont="1" applyAlignment="1">
      <alignment horizontal="center" vertical="center"/>
    </xf>
    <xf numFmtId="37" fontId="48" fillId="0" borderId="45" xfId="0" applyNumberFormat="1" applyFont="1" applyBorder="1" applyAlignment="1">
      <alignment horizontal="center" vertical="center"/>
    </xf>
    <xf numFmtId="191" fontId="48" fillId="0" borderId="45" xfId="0" applyNumberFormat="1" applyFont="1" applyBorder="1" applyAlignment="1">
      <alignment horizontal="center" vertical="center"/>
    </xf>
    <xf numFmtId="37" fontId="55" fillId="0" borderId="0" xfId="47" applyNumberFormat="1" applyFont="1" applyAlignment="1">
      <alignment vertical="center"/>
    </xf>
    <xf numFmtId="0" fontId="54" fillId="14" borderId="51" xfId="47" applyFont="1" applyFill="1" applyBorder="1" applyAlignment="1">
      <alignment vertical="center"/>
    </xf>
    <xf numFmtId="164" fontId="54" fillId="14" borderId="51" xfId="47" applyNumberFormat="1" applyFont="1" applyFill="1" applyBorder="1" applyAlignment="1">
      <alignment horizontal="center"/>
    </xf>
    <xf numFmtId="191" fontId="92" fillId="14" borderId="17" xfId="51" applyNumberFormat="1" applyFont="1" applyFill="1" applyBorder="1" applyAlignment="1">
      <alignment horizontal="center"/>
    </xf>
    <xf numFmtId="191" fontId="130" fillId="24" borderId="0" xfId="582" applyNumberFormat="1" applyFont="1" applyFill="1" applyAlignment="1">
      <alignment horizontal="center" vertical="center"/>
    </xf>
    <xf numFmtId="207" fontId="158" fillId="0" borderId="0" xfId="582" applyNumberFormat="1" applyFont="1" applyAlignment="1">
      <alignment horizontal="center" vertical="center"/>
    </xf>
    <xf numFmtId="39" fontId="50" fillId="27" borderId="0" xfId="0" applyNumberFormat="1" applyFont="1" applyFill="1" applyAlignment="1">
      <alignment horizontal="left" vertical="center"/>
    </xf>
    <xf numFmtId="197" fontId="50" fillId="27" borderId="0" xfId="0" applyNumberFormat="1" applyFont="1" applyFill="1" applyAlignment="1">
      <alignment horizontal="right" vertical="center"/>
    </xf>
    <xf numFmtId="37" fontId="48" fillId="27" borderId="0" xfId="0" applyNumberFormat="1" applyFont="1" applyFill="1" applyAlignment="1">
      <alignment vertical="center"/>
    </xf>
    <xf numFmtId="191" fontId="50" fillId="0" borderId="0" xfId="51" applyNumberFormat="1" applyFont="1" applyBorder="1" applyAlignment="1">
      <alignment horizontal="center"/>
    </xf>
    <xf numFmtId="191" fontId="48" fillId="0" borderId="51" xfId="0" applyNumberFormat="1" applyFont="1" applyBorder="1" applyAlignment="1">
      <alignment horizontal="center" vertical="center"/>
    </xf>
    <xf numFmtId="37" fontId="48" fillId="0" borderId="51" xfId="0" applyNumberFormat="1" applyFont="1" applyBorder="1" applyAlignment="1">
      <alignment horizontal="center" vertical="center"/>
    </xf>
    <xf numFmtId="0" fontId="54" fillId="14" borderId="38" xfId="47" applyFont="1" applyFill="1" applyBorder="1" applyAlignment="1">
      <alignment horizontal="center" vertical="center" textRotation="90"/>
    </xf>
    <xf numFmtId="0" fontId="54" fillId="14" borderId="37" xfId="47" applyFont="1" applyFill="1" applyBorder="1" applyAlignment="1">
      <alignment horizontal="center" vertical="center" textRotation="90"/>
    </xf>
    <xf numFmtId="191" fontId="130" fillId="0" borderId="2" xfId="582" applyNumberFormat="1" applyFont="1" applyFill="1" applyBorder="1" applyAlignment="1">
      <alignment horizontal="center" vertical="center"/>
    </xf>
    <xf numFmtId="7" fontId="55" fillId="26" borderId="29" xfId="27" applyNumberFormat="1" applyFont="1" applyFill="1" applyBorder="1" applyAlignment="1">
      <alignment horizontal="center" vertical="center"/>
    </xf>
  </cellXfs>
  <cellStyles count="591">
    <cellStyle name="_x000d__x000a_JournalTemplate=C:\COMFO\CTALK\JOURSTD.TPL_x000d__x000a_LbStateAddress=3 3 0 251 1 89 2 311_x000d__x000a_LbStateJou" xfId="1" xr:uid="{00000000-0005-0000-0000-000000000000}"/>
    <cellStyle name="&quot;A&quot;-style" xfId="2" xr:uid="{00000000-0005-0000-0000-000001000000}"/>
    <cellStyle name="$" xfId="3" xr:uid="{00000000-0005-0000-0000-000002000000}"/>
    <cellStyle name="$ &amp; ¢" xfId="4" xr:uid="{00000000-0005-0000-0000-000003000000}"/>
    <cellStyle name="%" xfId="5" xr:uid="{00000000-0005-0000-0000-000004000000}"/>
    <cellStyle name="%.00" xfId="6" xr:uid="{00000000-0005-0000-0000-000005000000}"/>
    <cellStyle name="’Ê‰Ý [0.00]_GE 3 MINIMUM" xfId="7" xr:uid="{00000000-0005-0000-0000-000006000000}"/>
    <cellStyle name="’Ê‰Ý_GE 3 MINIMUM" xfId="8" xr:uid="{00000000-0005-0000-0000-000007000000}"/>
    <cellStyle name="£ BP" xfId="9" xr:uid="{00000000-0005-0000-0000-000008000000}"/>
    <cellStyle name="¥ JY" xfId="10" xr:uid="{00000000-0005-0000-0000-000009000000}"/>
    <cellStyle name="•W_GE 3 MINIMUM" xfId="11" xr:uid="{00000000-0005-0000-0000-00000A000000}"/>
    <cellStyle name="B-CHeader" xfId="12" xr:uid="{00000000-0005-0000-0000-00000B000000}"/>
    <cellStyle name="Blue" xfId="13" xr:uid="{00000000-0005-0000-0000-00000C000000}"/>
    <cellStyle name="Bold/Border" xfId="14" xr:uid="{00000000-0005-0000-0000-00000D000000}"/>
    <cellStyle name="Border, Bottom" xfId="15" xr:uid="{00000000-0005-0000-0000-00000E000000}"/>
    <cellStyle name="Border, Left" xfId="16" xr:uid="{00000000-0005-0000-0000-00000F000000}"/>
    <cellStyle name="Border, Right" xfId="17" xr:uid="{00000000-0005-0000-0000-000010000000}"/>
    <cellStyle name="Border, Top" xfId="18" xr:uid="{00000000-0005-0000-0000-000011000000}"/>
    <cellStyle name="Bullet" xfId="19" xr:uid="{00000000-0005-0000-0000-000012000000}"/>
    <cellStyle name="Changeable" xfId="20" xr:uid="{00000000-0005-0000-0000-000013000000}"/>
    <cellStyle name="ColHeading" xfId="21" xr:uid="{00000000-0005-0000-0000-000014000000}"/>
    <cellStyle name="Comma" xfId="22" builtinId="3"/>
    <cellStyle name="comma (0)" xfId="23" xr:uid="{00000000-0005-0000-0000-000016000000}"/>
    <cellStyle name="Comma 10" xfId="156" xr:uid="{00000000-0005-0000-0000-0000C8000000}"/>
    <cellStyle name="Comma 100" xfId="426" xr:uid="{00000000-0005-0000-0000-0000D6010000}"/>
    <cellStyle name="Comma 101" xfId="429" xr:uid="{00000000-0005-0000-0000-0000D9010000}"/>
    <cellStyle name="Comma 102" xfId="432" xr:uid="{00000000-0005-0000-0000-0000DC010000}"/>
    <cellStyle name="Comma 103" xfId="435" xr:uid="{00000000-0005-0000-0000-0000DF010000}"/>
    <cellStyle name="Comma 104" xfId="438" xr:uid="{00000000-0005-0000-0000-0000E2010000}"/>
    <cellStyle name="Comma 105" xfId="441" xr:uid="{00000000-0005-0000-0000-0000E5010000}"/>
    <cellStyle name="Comma 106" xfId="444" xr:uid="{00000000-0005-0000-0000-0000E8010000}"/>
    <cellStyle name="Comma 107" xfId="447" xr:uid="{00000000-0005-0000-0000-0000EB010000}"/>
    <cellStyle name="Comma 108" xfId="450" xr:uid="{00000000-0005-0000-0000-0000EE010000}"/>
    <cellStyle name="Comma 109" xfId="453" xr:uid="{00000000-0005-0000-0000-0000F1010000}"/>
    <cellStyle name="Comma 11" xfId="159" xr:uid="{00000000-0005-0000-0000-0000CB000000}"/>
    <cellStyle name="Comma 110" xfId="456" xr:uid="{00000000-0005-0000-0000-0000F4010000}"/>
    <cellStyle name="Comma 111" xfId="459" xr:uid="{00000000-0005-0000-0000-0000F7010000}"/>
    <cellStyle name="Comma 112" xfId="462" xr:uid="{00000000-0005-0000-0000-0000FA010000}"/>
    <cellStyle name="Comma 113" xfId="465" xr:uid="{00000000-0005-0000-0000-0000FD010000}"/>
    <cellStyle name="Comma 114" xfId="468" xr:uid="{00000000-0005-0000-0000-000000020000}"/>
    <cellStyle name="Comma 115" xfId="471" xr:uid="{00000000-0005-0000-0000-000003020000}"/>
    <cellStyle name="Comma 116" xfId="474" xr:uid="{00000000-0005-0000-0000-000006020000}"/>
    <cellStyle name="Comma 117" xfId="477" xr:uid="{00000000-0005-0000-0000-000009020000}"/>
    <cellStyle name="Comma 118" xfId="480" xr:uid="{00000000-0005-0000-0000-00000C020000}"/>
    <cellStyle name="Comma 119" xfId="483" xr:uid="{00000000-0005-0000-0000-00000F020000}"/>
    <cellStyle name="Comma 12" xfId="162" xr:uid="{00000000-0005-0000-0000-0000CE000000}"/>
    <cellStyle name="Comma 120" xfId="486" xr:uid="{00000000-0005-0000-0000-000012020000}"/>
    <cellStyle name="Comma 121" xfId="489" xr:uid="{00000000-0005-0000-0000-000015020000}"/>
    <cellStyle name="Comma 122" xfId="492" xr:uid="{00000000-0005-0000-0000-000018020000}"/>
    <cellStyle name="Comma 123" xfId="495" xr:uid="{00000000-0005-0000-0000-00001B020000}"/>
    <cellStyle name="Comma 124" xfId="498" xr:uid="{00000000-0005-0000-0000-00001E020000}"/>
    <cellStyle name="Comma 125" xfId="501" xr:uid="{00000000-0005-0000-0000-000021020000}"/>
    <cellStyle name="Comma 126" xfId="504" xr:uid="{00000000-0005-0000-0000-000024020000}"/>
    <cellStyle name="Comma 127" xfId="507" xr:uid="{00000000-0005-0000-0000-000027020000}"/>
    <cellStyle name="Comma 128" xfId="510" xr:uid="{00000000-0005-0000-0000-00002A020000}"/>
    <cellStyle name="Comma 129" xfId="513" xr:uid="{00000000-0005-0000-0000-00002D020000}"/>
    <cellStyle name="Comma 13" xfId="165" xr:uid="{00000000-0005-0000-0000-0000D1000000}"/>
    <cellStyle name="Comma 130" xfId="516" xr:uid="{00000000-0005-0000-0000-000030020000}"/>
    <cellStyle name="Comma 131" xfId="519" xr:uid="{00000000-0005-0000-0000-000033020000}"/>
    <cellStyle name="Comma 132" xfId="522" xr:uid="{00000000-0005-0000-0000-000036020000}"/>
    <cellStyle name="Comma 133" xfId="525" xr:uid="{00000000-0005-0000-0000-000039020000}"/>
    <cellStyle name="Comma 134" xfId="528" xr:uid="{00000000-0005-0000-0000-00003C020000}"/>
    <cellStyle name="Comma 135" xfId="531" xr:uid="{00000000-0005-0000-0000-00003F020000}"/>
    <cellStyle name="Comma 136" xfId="534" xr:uid="{00000000-0005-0000-0000-000042020000}"/>
    <cellStyle name="Comma 137" xfId="537" xr:uid="{00000000-0005-0000-0000-000045020000}"/>
    <cellStyle name="Comma 138" xfId="540" xr:uid="{00000000-0005-0000-0000-000048020000}"/>
    <cellStyle name="Comma 139" xfId="543" xr:uid="{00000000-0005-0000-0000-00004B020000}"/>
    <cellStyle name="Comma 14" xfId="168" xr:uid="{00000000-0005-0000-0000-0000D4000000}"/>
    <cellStyle name="Comma 140" xfId="546" xr:uid="{00000000-0005-0000-0000-00004E020000}"/>
    <cellStyle name="Comma 141" xfId="549" xr:uid="{00000000-0005-0000-0000-000051020000}"/>
    <cellStyle name="Comma 142" xfId="552" xr:uid="{00000000-0005-0000-0000-000054020000}"/>
    <cellStyle name="Comma 143" xfId="555" xr:uid="{00000000-0005-0000-0000-000057020000}"/>
    <cellStyle name="Comma 144" xfId="558" xr:uid="{00000000-0005-0000-0000-00005A020000}"/>
    <cellStyle name="Comma 145" xfId="561" xr:uid="{00000000-0005-0000-0000-00005D020000}"/>
    <cellStyle name="Comma 146" xfId="564" xr:uid="{00000000-0005-0000-0000-000060020000}"/>
    <cellStyle name="Comma 147" xfId="567" xr:uid="{00000000-0005-0000-0000-000063020000}"/>
    <cellStyle name="Comma 148" xfId="570" xr:uid="{00000000-0005-0000-0000-000066020000}"/>
    <cellStyle name="Comma 149" xfId="573" xr:uid="{00000000-0005-0000-0000-000069020000}"/>
    <cellStyle name="Comma 15" xfId="171" xr:uid="{00000000-0005-0000-0000-0000D7000000}"/>
    <cellStyle name="Comma 150" xfId="576" xr:uid="{00000000-0005-0000-0000-00006C020000}"/>
    <cellStyle name="Comma 151" xfId="579" xr:uid="{00000000-0005-0000-0000-00006F020000}"/>
    <cellStyle name="Comma 152" xfId="587" xr:uid="{B68B9D85-BCE3-4B37-921F-C344E262293E}"/>
    <cellStyle name="Comma 16" xfId="174" xr:uid="{00000000-0005-0000-0000-0000DA000000}"/>
    <cellStyle name="Comma 17" xfId="177" xr:uid="{00000000-0005-0000-0000-0000DD000000}"/>
    <cellStyle name="Comma 18" xfId="180" xr:uid="{00000000-0005-0000-0000-0000E0000000}"/>
    <cellStyle name="Comma 19" xfId="183" xr:uid="{00000000-0005-0000-0000-0000E3000000}"/>
    <cellStyle name="Comma 2" xfId="130" xr:uid="{FA3B16A5-F4AB-43C2-93D6-2900F7317EDE}"/>
    <cellStyle name="Comma 2 2" xfId="136" xr:uid="{00000000-0005-0000-0000-000001000000}"/>
    <cellStyle name="Comma 20" xfId="186" xr:uid="{00000000-0005-0000-0000-0000E6000000}"/>
    <cellStyle name="Comma 21" xfId="189" xr:uid="{00000000-0005-0000-0000-0000E9000000}"/>
    <cellStyle name="Comma 22" xfId="192" xr:uid="{00000000-0005-0000-0000-0000EC000000}"/>
    <cellStyle name="Comma 23" xfId="195" xr:uid="{00000000-0005-0000-0000-0000EF000000}"/>
    <cellStyle name="Comma 24" xfId="198" xr:uid="{00000000-0005-0000-0000-0000F2000000}"/>
    <cellStyle name="Comma 25" xfId="201" xr:uid="{00000000-0005-0000-0000-0000F5000000}"/>
    <cellStyle name="Comma 26" xfId="204" xr:uid="{00000000-0005-0000-0000-0000F8000000}"/>
    <cellStyle name="Comma 27" xfId="207" xr:uid="{00000000-0005-0000-0000-0000FB000000}"/>
    <cellStyle name="Comma 28" xfId="210" xr:uid="{00000000-0005-0000-0000-0000FE000000}"/>
    <cellStyle name="Comma 29" xfId="213" xr:uid="{00000000-0005-0000-0000-000001010000}"/>
    <cellStyle name="Comma 3" xfId="133" xr:uid="{00000000-0005-0000-0000-0000B1000000}"/>
    <cellStyle name="Comma 30" xfId="216" xr:uid="{00000000-0005-0000-0000-000004010000}"/>
    <cellStyle name="Comma 31" xfId="219" xr:uid="{00000000-0005-0000-0000-000007010000}"/>
    <cellStyle name="Comma 32" xfId="222" xr:uid="{00000000-0005-0000-0000-00000A010000}"/>
    <cellStyle name="Comma 33" xfId="225" xr:uid="{00000000-0005-0000-0000-00000D010000}"/>
    <cellStyle name="Comma 34" xfId="228" xr:uid="{00000000-0005-0000-0000-000010010000}"/>
    <cellStyle name="Comma 35" xfId="231" xr:uid="{00000000-0005-0000-0000-000013010000}"/>
    <cellStyle name="Comma 36" xfId="234" xr:uid="{00000000-0005-0000-0000-000016010000}"/>
    <cellStyle name="Comma 37" xfId="237" xr:uid="{00000000-0005-0000-0000-000019010000}"/>
    <cellStyle name="Comma 38" xfId="240" xr:uid="{00000000-0005-0000-0000-00001C010000}"/>
    <cellStyle name="Comma 39" xfId="243" xr:uid="{00000000-0005-0000-0000-00001F010000}"/>
    <cellStyle name="Comma 4" xfId="138" xr:uid="{00000000-0005-0000-0000-0000B6000000}"/>
    <cellStyle name="Comma 40" xfId="246" xr:uid="{00000000-0005-0000-0000-000022010000}"/>
    <cellStyle name="Comma 41" xfId="249" xr:uid="{00000000-0005-0000-0000-000025010000}"/>
    <cellStyle name="Comma 42" xfId="252" xr:uid="{00000000-0005-0000-0000-000028010000}"/>
    <cellStyle name="Comma 43" xfId="255" xr:uid="{00000000-0005-0000-0000-00002B010000}"/>
    <cellStyle name="Comma 44" xfId="258" xr:uid="{00000000-0005-0000-0000-00002E010000}"/>
    <cellStyle name="Comma 45" xfId="261" xr:uid="{00000000-0005-0000-0000-000031010000}"/>
    <cellStyle name="Comma 46" xfId="264" xr:uid="{00000000-0005-0000-0000-000034010000}"/>
    <cellStyle name="Comma 47" xfId="267" xr:uid="{00000000-0005-0000-0000-000037010000}"/>
    <cellStyle name="Comma 48" xfId="270" xr:uid="{00000000-0005-0000-0000-00003A010000}"/>
    <cellStyle name="Comma 49" xfId="273" xr:uid="{00000000-0005-0000-0000-00003D010000}"/>
    <cellStyle name="Comma 5" xfId="141" xr:uid="{00000000-0005-0000-0000-0000B9000000}"/>
    <cellStyle name="Comma 50" xfId="276" xr:uid="{00000000-0005-0000-0000-000040010000}"/>
    <cellStyle name="Comma 51" xfId="279" xr:uid="{00000000-0005-0000-0000-000043010000}"/>
    <cellStyle name="Comma 52" xfId="282" xr:uid="{00000000-0005-0000-0000-000046010000}"/>
    <cellStyle name="Comma 53" xfId="285" xr:uid="{00000000-0005-0000-0000-000049010000}"/>
    <cellStyle name="Comma 54" xfId="288" xr:uid="{00000000-0005-0000-0000-00004C010000}"/>
    <cellStyle name="Comma 55" xfId="291" xr:uid="{00000000-0005-0000-0000-00004F010000}"/>
    <cellStyle name="Comma 56" xfId="294" xr:uid="{00000000-0005-0000-0000-000052010000}"/>
    <cellStyle name="Comma 57" xfId="297" xr:uid="{00000000-0005-0000-0000-000055010000}"/>
    <cellStyle name="Comma 58" xfId="300" xr:uid="{00000000-0005-0000-0000-000058010000}"/>
    <cellStyle name="Comma 59" xfId="303" xr:uid="{00000000-0005-0000-0000-00005B010000}"/>
    <cellStyle name="Comma 6" xfId="144" xr:uid="{00000000-0005-0000-0000-0000BC000000}"/>
    <cellStyle name="Comma 60" xfId="306" xr:uid="{00000000-0005-0000-0000-00005E010000}"/>
    <cellStyle name="Comma 61" xfId="309" xr:uid="{00000000-0005-0000-0000-000061010000}"/>
    <cellStyle name="Comma 62" xfId="312" xr:uid="{00000000-0005-0000-0000-000064010000}"/>
    <cellStyle name="Comma 63" xfId="315" xr:uid="{00000000-0005-0000-0000-000067010000}"/>
    <cellStyle name="Comma 64" xfId="318" xr:uid="{00000000-0005-0000-0000-00006A010000}"/>
    <cellStyle name="Comma 65" xfId="321" xr:uid="{00000000-0005-0000-0000-00006D010000}"/>
    <cellStyle name="Comma 66" xfId="324" xr:uid="{00000000-0005-0000-0000-000070010000}"/>
    <cellStyle name="Comma 67" xfId="327" xr:uid="{00000000-0005-0000-0000-000073010000}"/>
    <cellStyle name="Comma 68" xfId="330" xr:uid="{00000000-0005-0000-0000-000076010000}"/>
    <cellStyle name="Comma 69" xfId="333" xr:uid="{00000000-0005-0000-0000-000079010000}"/>
    <cellStyle name="Comma 7" xfId="147" xr:uid="{00000000-0005-0000-0000-0000BF000000}"/>
    <cellStyle name="Comma 70" xfId="336" xr:uid="{00000000-0005-0000-0000-00007C010000}"/>
    <cellStyle name="Comma 71" xfId="339" xr:uid="{00000000-0005-0000-0000-00007F010000}"/>
    <cellStyle name="Comma 72" xfId="342" xr:uid="{00000000-0005-0000-0000-000082010000}"/>
    <cellStyle name="Comma 73" xfId="345" xr:uid="{00000000-0005-0000-0000-000085010000}"/>
    <cellStyle name="Comma 74" xfId="348" xr:uid="{00000000-0005-0000-0000-000088010000}"/>
    <cellStyle name="Comma 75" xfId="351" xr:uid="{00000000-0005-0000-0000-00008B010000}"/>
    <cellStyle name="Comma 76" xfId="354" xr:uid="{00000000-0005-0000-0000-00008E010000}"/>
    <cellStyle name="Comma 77" xfId="357" xr:uid="{00000000-0005-0000-0000-000091010000}"/>
    <cellStyle name="Comma 78" xfId="360" xr:uid="{00000000-0005-0000-0000-000094010000}"/>
    <cellStyle name="Comma 79" xfId="363" xr:uid="{00000000-0005-0000-0000-000097010000}"/>
    <cellStyle name="Comma 8" xfId="150" xr:uid="{00000000-0005-0000-0000-0000C2000000}"/>
    <cellStyle name="Comma 80" xfId="366" xr:uid="{00000000-0005-0000-0000-00009A010000}"/>
    <cellStyle name="Comma 81" xfId="369" xr:uid="{00000000-0005-0000-0000-00009D010000}"/>
    <cellStyle name="Comma 82" xfId="372" xr:uid="{00000000-0005-0000-0000-0000A0010000}"/>
    <cellStyle name="Comma 83" xfId="375" xr:uid="{00000000-0005-0000-0000-0000A3010000}"/>
    <cellStyle name="Comma 84" xfId="378" xr:uid="{00000000-0005-0000-0000-0000A6010000}"/>
    <cellStyle name="Comma 85" xfId="381" xr:uid="{00000000-0005-0000-0000-0000A9010000}"/>
    <cellStyle name="Comma 86" xfId="384" xr:uid="{00000000-0005-0000-0000-0000AC010000}"/>
    <cellStyle name="Comma 87" xfId="387" xr:uid="{00000000-0005-0000-0000-0000AF010000}"/>
    <cellStyle name="Comma 88" xfId="390" xr:uid="{00000000-0005-0000-0000-0000B2010000}"/>
    <cellStyle name="Comma 89" xfId="393" xr:uid="{00000000-0005-0000-0000-0000B5010000}"/>
    <cellStyle name="Comma 9" xfId="153" xr:uid="{00000000-0005-0000-0000-0000C5000000}"/>
    <cellStyle name="Comma 90" xfId="396" xr:uid="{00000000-0005-0000-0000-0000B8010000}"/>
    <cellStyle name="Comma 91" xfId="399" xr:uid="{00000000-0005-0000-0000-0000BB010000}"/>
    <cellStyle name="Comma 92" xfId="402" xr:uid="{00000000-0005-0000-0000-0000BE010000}"/>
    <cellStyle name="Comma 93" xfId="405" xr:uid="{00000000-0005-0000-0000-0000C1010000}"/>
    <cellStyle name="Comma 94" xfId="408" xr:uid="{00000000-0005-0000-0000-0000C4010000}"/>
    <cellStyle name="Comma 95" xfId="411" xr:uid="{00000000-0005-0000-0000-0000C7010000}"/>
    <cellStyle name="Comma 96" xfId="414" xr:uid="{00000000-0005-0000-0000-0000CA010000}"/>
    <cellStyle name="Comma 97" xfId="417" xr:uid="{00000000-0005-0000-0000-0000CD010000}"/>
    <cellStyle name="Comma 98" xfId="420" xr:uid="{00000000-0005-0000-0000-0000D0010000}"/>
    <cellStyle name="Comma 99" xfId="423" xr:uid="{00000000-0005-0000-0000-0000D3010000}"/>
    <cellStyle name="Company" xfId="24" xr:uid="{00000000-0005-0000-0000-000018000000}"/>
    <cellStyle name="CompanyName" xfId="25" xr:uid="{00000000-0005-0000-0000-000019000000}"/>
    <cellStyle name="CompanyName 2" xfId="64" xr:uid="{00000000-0005-0000-0000-00001A000000}"/>
    <cellStyle name="CurRatio" xfId="26" xr:uid="{00000000-0005-0000-0000-00001B000000}"/>
    <cellStyle name="Currency" xfId="27" builtinId="4"/>
    <cellStyle name="Currency [2]" xfId="28" xr:uid="{00000000-0005-0000-0000-00001D000000}"/>
    <cellStyle name="Currency 2" xfId="131" xr:uid="{7C847322-DF44-4FE3-8EE9-BE5B4E37A689}"/>
    <cellStyle name="Currency(1)" xfId="29" xr:uid="{00000000-0005-0000-0000-00001E000000}"/>
    <cellStyle name="Dash" xfId="30" xr:uid="{00000000-0005-0000-0000-00001F000000}"/>
    <cellStyle name="D-No Decimal" xfId="31" xr:uid="{00000000-0005-0000-0000-000020000000}"/>
    <cellStyle name="Euro" xfId="32" xr:uid="{00000000-0005-0000-0000-000021000000}"/>
    <cellStyle name="Grey" xfId="33" xr:uid="{00000000-0005-0000-0000-000022000000}"/>
    <cellStyle name="Hyperlink" xfId="590" builtinId="8"/>
    <cellStyle name="Input" xfId="34" builtinId="20" customBuiltin="1"/>
    <cellStyle name="Input [yellow]" xfId="35" xr:uid="{00000000-0005-0000-0000-000024000000}"/>
    <cellStyle name="Input 10" xfId="78" xr:uid="{00000000-0005-0000-0000-000025000000}"/>
    <cellStyle name="Input 11" xfId="81" xr:uid="{00000000-0005-0000-0000-000026000000}"/>
    <cellStyle name="Input 12" xfId="77" xr:uid="{00000000-0005-0000-0000-000027000000}"/>
    <cellStyle name="Input 13" xfId="83" xr:uid="{00000000-0005-0000-0000-000028000000}"/>
    <cellStyle name="Input 14" xfId="96" xr:uid="{00000000-0005-0000-0000-000029000000}"/>
    <cellStyle name="Input 15" xfId="94" xr:uid="{00000000-0005-0000-0000-00002A000000}"/>
    <cellStyle name="Input 16" xfId="95" xr:uid="{00000000-0005-0000-0000-00002B000000}"/>
    <cellStyle name="Input 17" xfId="103" xr:uid="{00000000-0005-0000-0000-00002C000000}"/>
    <cellStyle name="Input 18" xfId="101" xr:uid="{00000000-0005-0000-0000-00002D000000}"/>
    <cellStyle name="Input 19" xfId="102" xr:uid="{00000000-0005-0000-0000-00002E000000}"/>
    <cellStyle name="Input 2" xfId="69" xr:uid="{00000000-0005-0000-0000-00002F000000}"/>
    <cellStyle name="Input 20" xfId="109" xr:uid="{00000000-0005-0000-0000-000030000000}"/>
    <cellStyle name="Input 21" xfId="107" xr:uid="{00000000-0005-0000-0000-000031000000}"/>
    <cellStyle name="Input 22" xfId="108" xr:uid="{00000000-0005-0000-0000-000032000000}"/>
    <cellStyle name="Input 23" xfId="115" xr:uid="{00000000-0005-0000-0000-000033000000}"/>
    <cellStyle name="Input 3" xfId="66" xr:uid="{00000000-0005-0000-0000-000034000000}"/>
    <cellStyle name="Input 4" xfId="67" xr:uid="{00000000-0005-0000-0000-000035000000}"/>
    <cellStyle name="Input 5" xfId="65" xr:uid="{00000000-0005-0000-0000-000036000000}"/>
    <cellStyle name="Input 6" xfId="68" xr:uid="{00000000-0005-0000-0000-000037000000}"/>
    <cellStyle name="Input 7" xfId="82" xr:uid="{00000000-0005-0000-0000-000038000000}"/>
    <cellStyle name="Input 8" xfId="79" xr:uid="{00000000-0005-0000-0000-000039000000}"/>
    <cellStyle name="Input 9" xfId="80" xr:uid="{00000000-0005-0000-0000-00003A000000}"/>
    <cellStyle name="Integer" xfId="36" xr:uid="{00000000-0005-0000-0000-00003B000000}"/>
    <cellStyle name="Italic" xfId="37" xr:uid="{00000000-0005-0000-0000-00003C000000}"/>
    <cellStyle name="Item" xfId="38" xr:uid="{00000000-0005-0000-0000-00003D000000}"/>
    <cellStyle name="ItemTypeClass" xfId="39" xr:uid="{00000000-0005-0000-0000-00003E000000}"/>
    <cellStyle name="mm/dd/yy" xfId="40" xr:uid="{00000000-0005-0000-0000-00003F000000}"/>
    <cellStyle name="Normal" xfId="0" builtinId="0"/>
    <cellStyle name="Normal - Style1" xfId="41" xr:uid="{00000000-0005-0000-0000-000041000000}"/>
    <cellStyle name="Normal 10" xfId="86" xr:uid="{00000000-0005-0000-0000-000042000000}"/>
    <cellStyle name="Normal 10 2 2" xfId="581" xr:uid="{9167A20D-757D-4995-965D-06E949ABF2E5}"/>
    <cellStyle name="Normal 100" xfId="353" xr:uid="{00000000-0005-0000-0000-00008F010000}"/>
    <cellStyle name="Normal 101" xfId="356" xr:uid="{00000000-0005-0000-0000-000092010000}"/>
    <cellStyle name="Normal 102" xfId="359" xr:uid="{00000000-0005-0000-0000-000095010000}"/>
    <cellStyle name="Normal 103" xfId="362" xr:uid="{00000000-0005-0000-0000-000098010000}"/>
    <cellStyle name="Normal 104" xfId="365" xr:uid="{00000000-0005-0000-0000-00009B010000}"/>
    <cellStyle name="Normal 105" xfId="368" xr:uid="{00000000-0005-0000-0000-00009E010000}"/>
    <cellStyle name="Normal 106" xfId="371" xr:uid="{00000000-0005-0000-0000-0000A1010000}"/>
    <cellStyle name="Normal 107" xfId="374" xr:uid="{00000000-0005-0000-0000-0000A4010000}"/>
    <cellStyle name="Normal 108" xfId="377" xr:uid="{00000000-0005-0000-0000-0000A7010000}"/>
    <cellStyle name="Normal 109" xfId="380" xr:uid="{00000000-0005-0000-0000-0000AA010000}"/>
    <cellStyle name="Normal 11" xfId="87" xr:uid="{00000000-0005-0000-0000-000043000000}"/>
    <cellStyle name="Normal 110" xfId="383" xr:uid="{00000000-0005-0000-0000-0000AD010000}"/>
    <cellStyle name="Normal 111" xfId="386" xr:uid="{00000000-0005-0000-0000-0000B0010000}"/>
    <cellStyle name="Normal 112" xfId="389" xr:uid="{00000000-0005-0000-0000-0000B3010000}"/>
    <cellStyle name="Normal 113" xfId="392" xr:uid="{00000000-0005-0000-0000-0000B6010000}"/>
    <cellStyle name="Normal 114" xfId="395" xr:uid="{00000000-0005-0000-0000-0000B9010000}"/>
    <cellStyle name="Normal 115" xfId="398" xr:uid="{00000000-0005-0000-0000-0000BC010000}"/>
    <cellStyle name="Normal 116" xfId="401" xr:uid="{00000000-0005-0000-0000-0000BF010000}"/>
    <cellStyle name="Normal 117" xfId="404" xr:uid="{00000000-0005-0000-0000-0000C2010000}"/>
    <cellStyle name="Normal 118" xfId="407" xr:uid="{00000000-0005-0000-0000-0000C5010000}"/>
    <cellStyle name="Normal 119" xfId="410" xr:uid="{00000000-0005-0000-0000-0000C8010000}"/>
    <cellStyle name="Normal 12" xfId="88" xr:uid="{00000000-0005-0000-0000-000044000000}"/>
    <cellStyle name="Normal 120" xfId="413" xr:uid="{00000000-0005-0000-0000-0000CB010000}"/>
    <cellStyle name="Normal 121" xfId="416" xr:uid="{00000000-0005-0000-0000-0000CE010000}"/>
    <cellStyle name="Normal 122" xfId="419" xr:uid="{00000000-0005-0000-0000-0000D1010000}"/>
    <cellStyle name="Normal 123" xfId="422" xr:uid="{00000000-0005-0000-0000-0000D4010000}"/>
    <cellStyle name="Normal 124" xfId="425" xr:uid="{00000000-0005-0000-0000-0000D7010000}"/>
    <cellStyle name="Normal 125" xfId="428" xr:uid="{00000000-0005-0000-0000-0000DA010000}"/>
    <cellStyle name="Normal 126" xfId="431" xr:uid="{00000000-0005-0000-0000-0000DD010000}"/>
    <cellStyle name="Normal 127" xfId="434" xr:uid="{00000000-0005-0000-0000-0000E0010000}"/>
    <cellStyle name="Normal 128" xfId="437" xr:uid="{00000000-0005-0000-0000-0000E3010000}"/>
    <cellStyle name="Normal 129" xfId="440" xr:uid="{00000000-0005-0000-0000-0000E6010000}"/>
    <cellStyle name="Normal 13" xfId="89" xr:uid="{00000000-0005-0000-0000-000045000000}"/>
    <cellStyle name="Normal 130" xfId="443" xr:uid="{00000000-0005-0000-0000-0000E9010000}"/>
    <cellStyle name="Normal 131" xfId="446" xr:uid="{00000000-0005-0000-0000-0000EC010000}"/>
    <cellStyle name="Normal 132" xfId="449" xr:uid="{00000000-0005-0000-0000-0000EF010000}"/>
    <cellStyle name="Normal 133" xfId="452" xr:uid="{00000000-0005-0000-0000-0000F2010000}"/>
    <cellStyle name="Normal 134" xfId="455" xr:uid="{00000000-0005-0000-0000-0000F5010000}"/>
    <cellStyle name="Normal 135" xfId="458" xr:uid="{00000000-0005-0000-0000-0000F8010000}"/>
    <cellStyle name="Normal 136" xfId="461" xr:uid="{00000000-0005-0000-0000-0000FB010000}"/>
    <cellStyle name="Normal 137" xfId="464" xr:uid="{00000000-0005-0000-0000-0000FE010000}"/>
    <cellStyle name="Normal 138" xfId="467" xr:uid="{00000000-0005-0000-0000-000001020000}"/>
    <cellStyle name="Normal 139" xfId="470" xr:uid="{00000000-0005-0000-0000-000004020000}"/>
    <cellStyle name="Normal 14" xfId="90" xr:uid="{00000000-0005-0000-0000-000046000000}"/>
    <cellStyle name="Normal 140" xfId="473" xr:uid="{00000000-0005-0000-0000-000007020000}"/>
    <cellStyle name="Normal 141" xfId="476" xr:uid="{00000000-0005-0000-0000-00000A020000}"/>
    <cellStyle name="Normal 142" xfId="479" xr:uid="{00000000-0005-0000-0000-00000D020000}"/>
    <cellStyle name="Normal 143" xfId="482" xr:uid="{00000000-0005-0000-0000-000010020000}"/>
    <cellStyle name="Normal 144" xfId="485" xr:uid="{00000000-0005-0000-0000-000013020000}"/>
    <cellStyle name="Normal 145" xfId="488" xr:uid="{00000000-0005-0000-0000-000016020000}"/>
    <cellStyle name="Normal 146" xfId="491" xr:uid="{00000000-0005-0000-0000-000019020000}"/>
    <cellStyle name="Normal 147" xfId="494" xr:uid="{00000000-0005-0000-0000-00001C020000}"/>
    <cellStyle name="Normal 148" xfId="497" xr:uid="{00000000-0005-0000-0000-00001F020000}"/>
    <cellStyle name="Normal 149" xfId="500" xr:uid="{00000000-0005-0000-0000-000022020000}"/>
    <cellStyle name="Normal 15" xfId="91" xr:uid="{00000000-0005-0000-0000-000047000000}"/>
    <cellStyle name="Normal 150" xfId="503" xr:uid="{00000000-0005-0000-0000-000025020000}"/>
    <cellStyle name="Normal 151" xfId="506" xr:uid="{00000000-0005-0000-0000-000028020000}"/>
    <cellStyle name="Normal 152" xfId="509" xr:uid="{00000000-0005-0000-0000-00002B020000}"/>
    <cellStyle name="Normal 153" xfId="512" xr:uid="{00000000-0005-0000-0000-00002E020000}"/>
    <cellStyle name="Normal 154" xfId="515" xr:uid="{00000000-0005-0000-0000-000031020000}"/>
    <cellStyle name="Normal 155" xfId="518" xr:uid="{00000000-0005-0000-0000-000034020000}"/>
    <cellStyle name="Normal 156" xfId="521" xr:uid="{00000000-0005-0000-0000-000037020000}"/>
    <cellStyle name="Normal 157" xfId="524" xr:uid="{00000000-0005-0000-0000-00003A020000}"/>
    <cellStyle name="Normal 158" xfId="527" xr:uid="{00000000-0005-0000-0000-00003D020000}"/>
    <cellStyle name="Normal 159" xfId="530" xr:uid="{00000000-0005-0000-0000-000040020000}"/>
    <cellStyle name="Normal 16" xfId="92" xr:uid="{00000000-0005-0000-0000-000048000000}"/>
    <cellStyle name="Normal 160" xfId="533" xr:uid="{00000000-0005-0000-0000-000043020000}"/>
    <cellStyle name="Normal 161" xfId="536" xr:uid="{00000000-0005-0000-0000-000046020000}"/>
    <cellStyle name="Normal 162" xfId="539" xr:uid="{00000000-0005-0000-0000-000049020000}"/>
    <cellStyle name="Normal 163" xfId="542" xr:uid="{00000000-0005-0000-0000-00004C020000}"/>
    <cellStyle name="Normal 164" xfId="545" xr:uid="{00000000-0005-0000-0000-00004F020000}"/>
    <cellStyle name="Normal 165" xfId="548" xr:uid="{00000000-0005-0000-0000-000052020000}"/>
    <cellStyle name="Normal 166" xfId="551" xr:uid="{00000000-0005-0000-0000-000055020000}"/>
    <cellStyle name="Normal 167" xfId="554" xr:uid="{00000000-0005-0000-0000-000058020000}"/>
    <cellStyle name="Normal 168" xfId="557" xr:uid="{00000000-0005-0000-0000-00005B020000}"/>
    <cellStyle name="Normal 169" xfId="560" xr:uid="{00000000-0005-0000-0000-00005E020000}"/>
    <cellStyle name="Normal 17" xfId="99" xr:uid="{00000000-0005-0000-0000-000049000000}"/>
    <cellStyle name="Normal 170" xfId="563" xr:uid="{00000000-0005-0000-0000-000061020000}"/>
    <cellStyle name="Normal 171" xfId="566" xr:uid="{00000000-0005-0000-0000-000064020000}"/>
    <cellStyle name="Normal 172" xfId="569" xr:uid="{00000000-0005-0000-0000-000067020000}"/>
    <cellStyle name="Normal 173" xfId="572" xr:uid="{00000000-0005-0000-0000-00006A020000}"/>
    <cellStyle name="Normal 174" xfId="575" xr:uid="{00000000-0005-0000-0000-00006D020000}"/>
    <cellStyle name="Normal 175" xfId="578" xr:uid="{00000000-0005-0000-0000-000070020000}"/>
    <cellStyle name="Normal 176" xfId="582" xr:uid="{35D46E45-F7F5-4002-B2DD-3A6B10001BD0}"/>
    <cellStyle name="Normal 177" xfId="585" xr:uid="{73EE3714-FBFE-4E07-886F-A5AA7137CCDD}"/>
    <cellStyle name="Normal 178" xfId="588" xr:uid="{97457A61-5C85-4CFC-AB68-98D2125AF32E}"/>
    <cellStyle name="Normal 179" xfId="589" xr:uid="{A58B6E40-1578-4FA3-89E0-C923C5D23A5B}"/>
    <cellStyle name="Normal 18" xfId="100" xr:uid="{00000000-0005-0000-0000-00004A000000}"/>
    <cellStyle name="Normal 19" xfId="93" xr:uid="{00000000-0005-0000-0000-00004B000000}"/>
    <cellStyle name="Normal 2" xfId="63" xr:uid="{00000000-0005-0000-0000-00004C000000}"/>
    <cellStyle name="Normal 2 2" xfId="135" xr:uid="{00000000-0005-0000-0000-000003000000}"/>
    <cellStyle name="Normal 2 2 3" xfId="42" xr:uid="{00000000-0005-0000-0000-00004D000000}"/>
    <cellStyle name="Normal 2 3" xfId="584" xr:uid="{01AF52A3-8A1D-44E8-A869-EA8D37D4C2A9}"/>
    <cellStyle name="Normal 20" xfId="104" xr:uid="{00000000-0005-0000-0000-00004E000000}"/>
    <cellStyle name="Normal 21" xfId="105" xr:uid="{00000000-0005-0000-0000-00004F000000}"/>
    <cellStyle name="Normal 22" xfId="106" xr:uid="{00000000-0005-0000-0000-000050000000}"/>
    <cellStyle name="Normal 23" xfId="112" xr:uid="{00000000-0005-0000-0000-000051000000}"/>
    <cellStyle name="Normal 24" xfId="113" xr:uid="{00000000-0005-0000-0000-000052000000}"/>
    <cellStyle name="Normal 25" xfId="114" xr:uid="{00000000-0005-0000-0000-000053000000}"/>
    <cellStyle name="Normal 26" xfId="128" xr:uid="{589CAB52-1B9D-4AF6-B646-20DB45134A29}"/>
    <cellStyle name="Normal 27" xfId="132" xr:uid="{00000000-0005-0000-0000-0000B3000000}"/>
    <cellStyle name="Normal 28" xfId="137" xr:uid="{00000000-0005-0000-0000-0000B7000000}"/>
    <cellStyle name="Normal 29" xfId="140" xr:uid="{00000000-0005-0000-0000-0000BA000000}"/>
    <cellStyle name="Normal 3" xfId="72" xr:uid="{00000000-0005-0000-0000-000054000000}"/>
    <cellStyle name="Normal 30" xfId="143" xr:uid="{00000000-0005-0000-0000-0000BD000000}"/>
    <cellStyle name="Normal 31" xfId="146" xr:uid="{00000000-0005-0000-0000-0000C0000000}"/>
    <cellStyle name="Normal 32" xfId="149" xr:uid="{00000000-0005-0000-0000-0000C3000000}"/>
    <cellStyle name="Normal 33" xfId="152" xr:uid="{00000000-0005-0000-0000-0000C6000000}"/>
    <cellStyle name="Normal 34" xfId="155" xr:uid="{00000000-0005-0000-0000-0000C9000000}"/>
    <cellStyle name="Normal 35" xfId="158" xr:uid="{00000000-0005-0000-0000-0000CC000000}"/>
    <cellStyle name="Normal 36" xfId="161" xr:uid="{00000000-0005-0000-0000-0000CF000000}"/>
    <cellStyle name="Normal 37" xfId="164" xr:uid="{00000000-0005-0000-0000-0000D2000000}"/>
    <cellStyle name="Normal 38" xfId="167" xr:uid="{00000000-0005-0000-0000-0000D5000000}"/>
    <cellStyle name="Normal 39" xfId="170" xr:uid="{00000000-0005-0000-0000-0000D8000000}"/>
    <cellStyle name="Normal 4" xfId="73" xr:uid="{00000000-0005-0000-0000-000055000000}"/>
    <cellStyle name="Normal 40" xfId="173" xr:uid="{00000000-0005-0000-0000-0000DB000000}"/>
    <cellStyle name="Normal 41" xfId="176" xr:uid="{00000000-0005-0000-0000-0000DE000000}"/>
    <cellStyle name="Normal 42" xfId="179" xr:uid="{00000000-0005-0000-0000-0000E1000000}"/>
    <cellStyle name="Normal 43" xfId="182" xr:uid="{00000000-0005-0000-0000-0000E4000000}"/>
    <cellStyle name="Normal 44" xfId="185" xr:uid="{00000000-0005-0000-0000-0000E7000000}"/>
    <cellStyle name="Normal 45" xfId="188" xr:uid="{00000000-0005-0000-0000-0000EA000000}"/>
    <cellStyle name="Normal 46" xfId="191" xr:uid="{00000000-0005-0000-0000-0000ED000000}"/>
    <cellStyle name="Normal 47" xfId="194" xr:uid="{00000000-0005-0000-0000-0000F0000000}"/>
    <cellStyle name="Normal 48" xfId="197" xr:uid="{00000000-0005-0000-0000-0000F3000000}"/>
    <cellStyle name="Normal 49" xfId="200" xr:uid="{00000000-0005-0000-0000-0000F6000000}"/>
    <cellStyle name="Normal 5" xfId="74" xr:uid="{00000000-0005-0000-0000-000056000000}"/>
    <cellStyle name="Normal 50" xfId="203" xr:uid="{00000000-0005-0000-0000-0000F9000000}"/>
    <cellStyle name="Normal 51" xfId="206" xr:uid="{00000000-0005-0000-0000-0000FC000000}"/>
    <cellStyle name="Normal 52" xfId="209" xr:uid="{00000000-0005-0000-0000-0000FF000000}"/>
    <cellStyle name="Normal 53" xfId="212" xr:uid="{00000000-0005-0000-0000-000002010000}"/>
    <cellStyle name="Normal 54" xfId="215" xr:uid="{00000000-0005-0000-0000-000005010000}"/>
    <cellStyle name="Normal 55" xfId="218" xr:uid="{00000000-0005-0000-0000-000008010000}"/>
    <cellStyle name="Normal 56" xfId="221" xr:uid="{00000000-0005-0000-0000-00000B010000}"/>
    <cellStyle name="Normal 57" xfId="224" xr:uid="{00000000-0005-0000-0000-00000E010000}"/>
    <cellStyle name="Normal 58" xfId="227" xr:uid="{00000000-0005-0000-0000-000011010000}"/>
    <cellStyle name="Normal 59" xfId="230" xr:uid="{00000000-0005-0000-0000-000014010000}"/>
    <cellStyle name="Normal 6" xfId="43" xr:uid="{00000000-0005-0000-0000-000057000000}"/>
    <cellStyle name="Normal 6 2" xfId="70" xr:uid="{00000000-0005-0000-0000-000058000000}"/>
    <cellStyle name="Normal 6 2 2" xfId="118" xr:uid="{00000000-0005-0000-0000-000059000000}"/>
    <cellStyle name="Normal 6 3" xfId="84" xr:uid="{00000000-0005-0000-0000-00005A000000}"/>
    <cellStyle name="Normal 6 3 2" xfId="120" xr:uid="{00000000-0005-0000-0000-00005B000000}"/>
    <cellStyle name="Normal 6 4" xfId="97" xr:uid="{00000000-0005-0000-0000-00005C000000}"/>
    <cellStyle name="Normal 6 4 2" xfId="122" xr:uid="{00000000-0005-0000-0000-00005D000000}"/>
    <cellStyle name="Normal 6 5" xfId="110" xr:uid="{00000000-0005-0000-0000-00005E000000}"/>
    <cellStyle name="Normal 6 5 2" xfId="124" xr:uid="{00000000-0005-0000-0000-00005F000000}"/>
    <cellStyle name="Normal 6 6" xfId="116" xr:uid="{00000000-0005-0000-0000-000060000000}"/>
    <cellStyle name="Normal 6 8 2" xfId="126" xr:uid="{00000000-0005-0000-0000-000061000000}"/>
    <cellStyle name="Normal 60" xfId="233" xr:uid="{00000000-0005-0000-0000-000017010000}"/>
    <cellStyle name="Normal 61" xfId="236" xr:uid="{00000000-0005-0000-0000-00001A010000}"/>
    <cellStyle name="Normal 62" xfId="239" xr:uid="{00000000-0005-0000-0000-00001D010000}"/>
    <cellStyle name="Normal 63" xfId="242" xr:uid="{00000000-0005-0000-0000-000020010000}"/>
    <cellStyle name="Normal 64" xfId="245" xr:uid="{00000000-0005-0000-0000-000023010000}"/>
    <cellStyle name="Normal 65" xfId="248" xr:uid="{00000000-0005-0000-0000-000026010000}"/>
    <cellStyle name="Normal 66" xfId="251" xr:uid="{00000000-0005-0000-0000-000029010000}"/>
    <cellStyle name="Normal 67" xfId="254" xr:uid="{00000000-0005-0000-0000-00002C010000}"/>
    <cellStyle name="Normal 68" xfId="257" xr:uid="{00000000-0005-0000-0000-00002F010000}"/>
    <cellStyle name="Normal 69" xfId="260" xr:uid="{00000000-0005-0000-0000-000032010000}"/>
    <cellStyle name="Normal 7" xfId="44" xr:uid="{00000000-0005-0000-0000-000062000000}"/>
    <cellStyle name="Normal 7 2" xfId="71" xr:uid="{00000000-0005-0000-0000-000063000000}"/>
    <cellStyle name="Normal 7 2 2" xfId="119" xr:uid="{00000000-0005-0000-0000-000064000000}"/>
    <cellStyle name="Normal 7 3" xfId="85" xr:uid="{00000000-0005-0000-0000-000065000000}"/>
    <cellStyle name="Normal 7 3 2" xfId="121" xr:uid="{00000000-0005-0000-0000-000066000000}"/>
    <cellStyle name="Normal 7 4" xfId="98" xr:uid="{00000000-0005-0000-0000-000067000000}"/>
    <cellStyle name="Normal 7 4 2" xfId="123" xr:uid="{00000000-0005-0000-0000-000068000000}"/>
    <cellStyle name="Normal 7 5" xfId="111" xr:uid="{00000000-0005-0000-0000-000069000000}"/>
    <cellStyle name="Normal 7 5 2" xfId="125" xr:uid="{00000000-0005-0000-0000-00006A000000}"/>
    <cellStyle name="Normal 7 6" xfId="117" xr:uid="{00000000-0005-0000-0000-00006B000000}"/>
    <cellStyle name="Normal 70" xfId="263" xr:uid="{00000000-0005-0000-0000-000035010000}"/>
    <cellStyle name="Normal 71" xfId="266" xr:uid="{00000000-0005-0000-0000-000038010000}"/>
    <cellStyle name="Normal 72" xfId="269" xr:uid="{00000000-0005-0000-0000-00003B010000}"/>
    <cellStyle name="Normal 73" xfId="272" xr:uid="{00000000-0005-0000-0000-00003E010000}"/>
    <cellStyle name="Normal 74" xfId="275" xr:uid="{00000000-0005-0000-0000-000041010000}"/>
    <cellStyle name="Normal 75" xfId="278" xr:uid="{00000000-0005-0000-0000-000044010000}"/>
    <cellStyle name="Normal 76" xfId="281" xr:uid="{00000000-0005-0000-0000-000047010000}"/>
    <cellStyle name="Normal 77" xfId="284" xr:uid="{00000000-0005-0000-0000-00004A010000}"/>
    <cellStyle name="Normal 78" xfId="287" xr:uid="{00000000-0005-0000-0000-00004D010000}"/>
    <cellStyle name="Normal 79" xfId="290" xr:uid="{00000000-0005-0000-0000-000050010000}"/>
    <cellStyle name="Normal 8" xfId="75" xr:uid="{00000000-0005-0000-0000-00006C000000}"/>
    <cellStyle name="Normal 80" xfId="293" xr:uid="{00000000-0005-0000-0000-000053010000}"/>
    <cellStyle name="Normal 81" xfId="296" xr:uid="{00000000-0005-0000-0000-000056010000}"/>
    <cellStyle name="Normal 82" xfId="299" xr:uid="{00000000-0005-0000-0000-000059010000}"/>
    <cellStyle name="Normal 83" xfId="302" xr:uid="{00000000-0005-0000-0000-00005C010000}"/>
    <cellStyle name="Normal 84" xfId="305" xr:uid="{00000000-0005-0000-0000-00005F010000}"/>
    <cellStyle name="Normal 85" xfId="308" xr:uid="{00000000-0005-0000-0000-000062010000}"/>
    <cellStyle name="Normal 86" xfId="311" xr:uid="{00000000-0005-0000-0000-000065010000}"/>
    <cellStyle name="Normal 87" xfId="314" xr:uid="{00000000-0005-0000-0000-000068010000}"/>
    <cellStyle name="Normal 88" xfId="317" xr:uid="{00000000-0005-0000-0000-00006B010000}"/>
    <cellStyle name="Normal 89" xfId="320" xr:uid="{00000000-0005-0000-0000-00006E010000}"/>
    <cellStyle name="Normal 9" xfId="76" xr:uid="{00000000-0005-0000-0000-00006D000000}"/>
    <cellStyle name="Normal 90" xfId="323" xr:uid="{00000000-0005-0000-0000-000071010000}"/>
    <cellStyle name="Normal 91" xfId="326" xr:uid="{00000000-0005-0000-0000-000074010000}"/>
    <cellStyle name="Normal 92" xfId="329" xr:uid="{00000000-0005-0000-0000-000077010000}"/>
    <cellStyle name="Normal 93" xfId="332" xr:uid="{00000000-0005-0000-0000-00007A010000}"/>
    <cellStyle name="Normal 94" xfId="335" xr:uid="{00000000-0005-0000-0000-00007D010000}"/>
    <cellStyle name="Normal 95" xfId="338" xr:uid="{00000000-0005-0000-0000-000080010000}"/>
    <cellStyle name="Normal 96" xfId="341" xr:uid="{00000000-0005-0000-0000-000083010000}"/>
    <cellStyle name="Normal 97" xfId="344" xr:uid="{00000000-0005-0000-0000-000086010000}"/>
    <cellStyle name="Normal 98" xfId="347" xr:uid="{00000000-0005-0000-0000-000089010000}"/>
    <cellStyle name="Normal 99" xfId="350" xr:uid="{00000000-0005-0000-0000-00008C010000}"/>
    <cellStyle name="Normal_Clarkson PartIII" xfId="45" xr:uid="{00000000-0005-0000-0000-00006E000000}"/>
    <cellStyle name="Normal_Comps" xfId="127" xr:uid="{00000000-0005-0000-0000-000070000000}"/>
    <cellStyle name="Normal_MSFT_IS" xfId="46" xr:uid="{00000000-0005-0000-0000-000072000000}"/>
    <cellStyle name="Normal_Valuation+Summary" xfId="47" xr:uid="{00000000-0005-0000-0000-000074000000}"/>
    <cellStyle name="NormalItalic" xfId="48" xr:uid="{00000000-0005-0000-0000-000075000000}"/>
    <cellStyle name="Œ…‹æØ‚è [0.00]_GE 3 MINIMUM" xfId="49" xr:uid="{00000000-0005-0000-0000-000076000000}"/>
    <cellStyle name="Œ…‹æØ‚è_GE 3 MINIMUM" xfId="50" xr:uid="{00000000-0005-0000-0000-000077000000}"/>
    <cellStyle name="Percent" xfId="51" builtinId="5"/>
    <cellStyle name="Percent [2]" xfId="52" xr:uid="{00000000-0005-0000-0000-000079000000}"/>
    <cellStyle name="Percent 10" xfId="157" xr:uid="{00000000-0005-0000-0000-0000CA000000}"/>
    <cellStyle name="Percent 100" xfId="427" xr:uid="{00000000-0005-0000-0000-0000D8010000}"/>
    <cellStyle name="Percent 101" xfId="430" xr:uid="{00000000-0005-0000-0000-0000DB010000}"/>
    <cellStyle name="Percent 102" xfId="433" xr:uid="{00000000-0005-0000-0000-0000DE010000}"/>
    <cellStyle name="Percent 103" xfId="436" xr:uid="{00000000-0005-0000-0000-0000E1010000}"/>
    <cellStyle name="Percent 104" xfId="439" xr:uid="{00000000-0005-0000-0000-0000E4010000}"/>
    <cellStyle name="Percent 105" xfId="442" xr:uid="{00000000-0005-0000-0000-0000E7010000}"/>
    <cellStyle name="Percent 106" xfId="445" xr:uid="{00000000-0005-0000-0000-0000EA010000}"/>
    <cellStyle name="Percent 107" xfId="448" xr:uid="{00000000-0005-0000-0000-0000ED010000}"/>
    <cellStyle name="Percent 108" xfId="451" xr:uid="{00000000-0005-0000-0000-0000F0010000}"/>
    <cellStyle name="Percent 109" xfId="454" xr:uid="{00000000-0005-0000-0000-0000F3010000}"/>
    <cellStyle name="Percent 11" xfId="160" xr:uid="{00000000-0005-0000-0000-0000CD000000}"/>
    <cellStyle name="Percent 110" xfId="457" xr:uid="{00000000-0005-0000-0000-0000F6010000}"/>
    <cellStyle name="Percent 111" xfId="460" xr:uid="{00000000-0005-0000-0000-0000F9010000}"/>
    <cellStyle name="Percent 112" xfId="463" xr:uid="{00000000-0005-0000-0000-0000FC010000}"/>
    <cellStyle name="Percent 113" xfId="466" xr:uid="{00000000-0005-0000-0000-0000FF010000}"/>
    <cellStyle name="Percent 114" xfId="469" xr:uid="{00000000-0005-0000-0000-000002020000}"/>
    <cellStyle name="Percent 115" xfId="472" xr:uid="{00000000-0005-0000-0000-000005020000}"/>
    <cellStyle name="Percent 116" xfId="475" xr:uid="{00000000-0005-0000-0000-000008020000}"/>
    <cellStyle name="Percent 117" xfId="478" xr:uid="{00000000-0005-0000-0000-00000B020000}"/>
    <cellStyle name="Percent 118" xfId="481" xr:uid="{00000000-0005-0000-0000-00000E020000}"/>
    <cellStyle name="Percent 119" xfId="484" xr:uid="{00000000-0005-0000-0000-000011020000}"/>
    <cellStyle name="Percent 12" xfId="163" xr:uid="{00000000-0005-0000-0000-0000D0000000}"/>
    <cellStyle name="Percent 120" xfId="487" xr:uid="{00000000-0005-0000-0000-000014020000}"/>
    <cellStyle name="Percent 121" xfId="490" xr:uid="{00000000-0005-0000-0000-000017020000}"/>
    <cellStyle name="Percent 122" xfId="493" xr:uid="{00000000-0005-0000-0000-00001A020000}"/>
    <cellStyle name="Percent 123" xfId="496" xr:uid="{00000000-0005-0000-0000-00001D020000}"/>
    <cellStyle name="Percent 124" xfId="499" xr:uid="{00000000-0005-0000-0000-000020020000}"/>
    <cellStyle name="Percent 125" xfId="502" xr:uid="{00000000-0005-0000-0000-000023020000}"/>
    <cellStyle name="Percent 126" xfId="505" xr:uid="{00000000-0005-0000-0000-000026020000}"/>
    <cellStyle name="Percent 127" xfId="508" xr:uid="{00000000-0005-0000-0000-000029020000}"/>
    <cellStyle name="Percent 128" xfId="511" xr:uid="{00000000-0005-0000-0000-00002C020000}"/>
    <cellStyle name="Percent 129" xfId="514" xr:uid="{00000000-0005-0000-0000-00002F020000}"/>
    <cellStyle name="Percent 13" xfId="166" xr:uid="{00000000-0005-0000-0000-0000D3000000}"/>
    <cellStyle name="Percent 130" xfId="517" xr:uid="{00000000-0005-0000-0000-000032020000}"/>
    <cellStyle name="Percent 131" xfId="520" xr:uid="{00000000-0005-0000-0000-000035020000}"/>
    <cellStyle name="Percent 132" xfId="523" xr:uid="{00000000-0005-0000-0000-000038020000}"/>
    <cellStyle name="Percent 133" xfId="526" xr:uid="{00000000-0005-0000-0000-00003B020000}"/>
    <cellStyle name="Percent 134" xfId="529" xr:uid="{00000000-0005-0000-0000-00003E020000}"/>
    <cellStyle name="Percent 135" xfId="532" xr:uid="{00000000-0005-0000-0000-000041020000}"/>
    <cellStyle name="Percent 136" xfId="535" xr:uid="{00000000-0005-0000-0000-000044020000}"/>
    <cellStyle name="Percent 137" xfId="538" xr:uid="{00000000-0005-0000-0000-000047020000}"/>
    <cellStyle name="Percent 138" xfId="541" xr:uid="{00000000-0005-0000-0000-00004A020000}"/>
    <cellStyle name="Percent 139" xfId="544" xr:uid="{00000000-0005-0000-0000-00004D020000}"/>
    <cellStyle name="Percent 14" xfId="169" xr:uid="{00000000-0005-0000-0000-0000D6000000}"/>
    <cellStyle name="Percent 140" xfId="547" xr:uid="{00000000-0005-0000-0000-000050020000}"/>
    <cellStyle name="Percent 141" xfId="550" xr:uid="{00000000-0005-0000-0000-000053020000}"/>
    <cellStyle name="Percent 142" xfId="553" xr:uid="{00000000-0005-0000-0000-000056020000}"/>
    <cellStyle name="Percent 143" xfId="556" xr:uid="{00000000-0005-0000-0000-000059020000}"/>
    <cellStyle name="Percent 144" xfId="559" xr:uid="{00000000-0005-0000-0000-00005C020000}"/>
    <cellStyle name="Percent 145" xfId="562" xr:uid="{00000000-0005-0000-0000-00005F020000}"/>
    <cellStyle name="Percent 146" xfId="565" xr:uid="{00000000-0005-0000-0000-000062020000}"/>
    <cellStyle name="Percent 147" xfId="568" xr:uid="{00000000-0005-0000-0000-000065020000}"/>
    <cellStyle name="Percent 148" xfId="571" xr:uid="{00000000-0005-0000-0000-000068020000}"/>
    <cellStyle name="Percent 149" xfId="574" xr:uid="{00000000-0005-0000-0000-00006B020000}"/>
    <cellStyle name="Percent 15" xfId="172" xr:uid="{00000000-0005-0000-0000-0000D9000000}"/>
    <cellStyle name="Percent 150" xfId="577" xr:uid="{00000000-0005-0000-0000-00006E020000}"/>
    <cellStyle name="Percent 151" xfId="580" xr:uid="{00000000-0005-0000-0000-000071020000}"/>
    <cellStyle name="Percent 152" xfId="586" xr:uid="{B83DF48F-3FB7-435C-85BC-E337BA6A4CFE}"/>
    <cellStyle name="Percent 16" xfId="175" xr:uid="{00000000-0005-0000-0000-0000DC000000}"/>
    <cellStyle name="Percent 17" xfId="178" xr:uid="{00000000-0005-0000-0000-0000DF000000}"/>
    <cellStyle name="Percent 18" xfId="181" xr:uid="{00000000-0005-0000-0000-0000E2000000}"/>
    <cellStyle name="Percent 19" xfId="184" xr:uid="{00000000-0005-0000-0000-0000E5000000}"/>
    <cellStyle name="Percent 2" xfId="129" xr:uid="{58673944-EA83-416D-B26F-37F041E2BD10}"/>
    <cellStyle name="Percent 20" xfId="187" xr:uid="{00000000-0005-0000-0000-0000E8000000}"/>
    <cellStyle name="Percent 21" xfId="190" xr:uid="{00000000-0005-0000-0000-0000EB000000}"/>
    <cellStyle name="Percent 22" xfId="193" xr:uid="{00000000-0005-0000-0000-0000EE000000}"/>
    <cellStyle name="Percent 23" xfId="196" xr:uid="{00000000-0005-0000-0000-0000F1000000}"/>
    <cellStyle name="Percent 24" xfId="199" xr:uid="{00000000-0005-0000-0000-0000F4000000}"/>
    <cellStyle name="Percent 25" xfId="202" xr:uid="{00000000-0005-0000-0000-0000F7000000}"/>
    <cellStyle name="Percent 26" xfId="205" xr:uid="{00000000-0005-0000-0000-0000FA000000}"/>
    <cellStyle name="Percent 27" xfId="208" xr:uid="{00000000-0005-0000-0000-0000FD000000}"/>
    <cellStyle name="Percent 28" xfId="211" xr:uid="{00000000-0005-0000-0000-000000010000}"/>
    <cellStyle name="Percent 29" xfId="214" xr:uid="{00000000-0005-0000-0000-000003010000}"/>
    <cellStyle name="Percent 3" xfId="134" xr:uid="{00000000-0005-0000-0000-0000B5000000}"/>
    <cellStyle name="Percent 30" xfId="217" xr:uid="{00000000-0005-0000-0000-000006010000}"/>
    <cellStyle name="Percent 31" xfId="220" xr:uid="{00000000-0005-0000-0000-000009010000}"/>
    <cellStyle name="Percent 32" xfId="223" xr:uid="{00000000-0005-0000-0000-00000C010000}"/>
    <cellStyle name="Percent 33" xfId="226" xr:uid="{00000000-0005-0000-0000-00000F010000}"/>
    <cellStyle name="Percent 34" xfId="229" xr:uid="{00000000-0005-0000-0000-000012010000}"/>
    <cellStyle name="Percent 35" xfId="232" xr:uid="{00000000-0005-0000-0000-000015010000}"/>
    <cellStyle name="Percent 36" xfId="235" xr:uid="{00000000-0005-0000-0000-000018010000}"/>
    <cellStyle name="Percent 37" xfId="238" xr:uid="{00000000-0005-0000-0000-00001B010000}"/>
    <cellStyle name="Percent 38" xfId="241" xr:uid="{00000000-0005-0000-0000-00001E010000}"/>
    <cellStyle name="Percent 39" xfId="244" xr:uid="{00000000-0005-0000-0000-000021010000}"/>
    <cellStyle name="Percent 4" xfId="139" xr:uid="{00000000-0005-0000-0000-0000B8000000}"/>
    <cellStyle name="Percent 40" xfId="247" xr:uid="{00000000-0005-0000-0000-000024010000}"/>
    <cellStyle name="Percent 41" xfId="250" xr:uid="{00000000-0005-0000-0000-000027010000}"/>
    <cellStyle name="Percent 42" xfId="253" xr:uid="{00000000-0005-0000-0000-00002A010000}"/>
    <cellStyle name="Percent 43" xfId="256" xr:uid="{00000000-0005-0000-0000-00002D010000}"/>
    <cellStyle name="Percent 44" xfId="259" xr:uid="{00000000-0005-0000-0000-000030010000}"/>
    <cellStyle name="Percent 45" xfId="262" xr:uid="{00000000-0005-0000-0000-000033010000}"/>
    <cellStyle name="Percent 46" xfId="265" xr:uid="{00000000-0005-0000-0000-000036010000}"/>
    <cellStyle name="Percent 47" xfId="268" xr:uid="{00000000-0005-0000-0000-000039010000}"/>
    <cellStyle name="Percent 48" xfId="271" xr:uid="{00000000-0005-0000-0000-00003C010000}"/>
    <cellStyle name="Percent 49" xfId="274" xr:uid="{00000000-0005-0000-0000-00003F010000}"/>
    <cellStyle name="Percent 5" xfId="142" xr:uid="{00000000-0005-0000-0000-0000BB000000}"/>
    <cellStyle name="Percent 50" xfId="277" xr:uid="{00000000-0005-0000-0000-000042010000}"/>
    <cellStyle name="Percent 51" xfId="280" xr:uid="{00000000-0005-0000-0000-000045010000}"/>
    <cellStyle name="Percent 52" xfId="283" xr:uid="{00000000-0005-0000-0000-000048010000}"/>
    <cellStyle name="Percent 53" xfId="286" xr:uid="{00000000-0005-0000-0000-00004B010000}"/>
    <cellStyle name="Percent 54" xfId="289" xr:uid="{00000000-0005-0000-0000-00004E010000}"/>
    <cellStyle name="Percent 55" xfId="292" xr:uid="{00000000-0005-0000-0000-000051010000}"/>
    <cellStyle name="Percent 56" xfId="295" xr:uid="{00000000-0005-0000-0000-000054010000}"/>
    <cellStyle name="Percent 57" xfId="298" xr:uid="{00000000-0005-0000-0000-000057010000}"/>
    <cellStyle name="Percent 58" xfId="301" xr:uid="{00000000-0005-0000-0000-00005A010000}"/>
    <cellStyle name="Percent 59" xfId="304" xr:uid="{00000000-0005-0000-0000-00005D010000}"/>
    <cellStyle name="Percent 6" xfId="145" xr:uid="{00000000-0005-0000-0000-0000BE000000}"/>
    <cellStyle name="Percent 60" xfId="307" xr:uid="{00000000-0005-0000-0000-000060010000}"/>
    <cellStyle name="Percent 61" xfId="310" xr:uid="{00000000-0005-0000-0000-000063010000}"/>
    <cellStyle name="Percent 62" xfId="313" xr:uid="{00000000-0005-0000-0000-000066010000}"/>
    <cellStyle name="Percent 63" xfId="316" xr:uid="{00000000-0005-0000-0000-000069010000}"/>
    <cellStyle name="Percent 64" xfId="319" xr:uid="{00000000-0005-0000-0000-00006C010000}"/>
    <cellStyle name="Percent 65" xfId="322" xr:uid="{00000000-0005-0000-0000-00006F010000}"/>
    <cellStyle name="Percent 66" xfId="325" xr:uid="{00000000-0005-0000-0000-000072010000}"/>
    <cellStyle name="Percent 67" xfId="328" xr:uid="{00000000-0005-0000-0000-000075010000}"/>
    <cellStyle name="Percent 68" xfId="331" xr:uid="{00000000-0005-0000-0000-000078010000}"/>
    <cellStyle name="Percent 69" xfId="334" xr:uid="{00000000-0005-0000-0000-00007B010000}"/>
    <cellStyle name="Percent 7" xfId="148" xr:uid="{00000000-0005-0000-0000-0000C1000000}"/>
    <cellStyle name="Percent 70" xfId="337" xr:uid="{00000000-0005-0000-0000-00007E010000}"/>
    <cellStyle name="Percent 71" xfId="340" xr:uid="{00000000-0005-0000-0000-000081010000}"/>
    <cellStyle name="Percent 72" xfId="343" xr:uid="{00000000-0005-0000-0000-000084010000}"/>
    <cellStyle name="Percent 73" xfId="346" xr:uid="{00000000-0005-0000-0000-000087010000}"/>
    <cellStyle name="Percent 74" xfId="349" xr:uid="{00000000-0005-0000-0000-00008A010000}"/>
    <cellStyle name="Percent 75" xfId="352" xr:uid="{00000000-0005-0000-0000-00008D010000}"/>
    <cellStyle name="Percent 76" xfId="355" xr:uid="{00000000-0005-0000-0000-000090010000}"/>
    <cellStyle name="Percent 77" xfId="358" xr:uid="{00000000-0005-0000-0000-000093010000}"/>
    <cellStyle name="Percent 78" xfId="361" xr:uid="{00000000-0005-0000-0000-000096010000}"/>
    <cellStyle name="Percent 79" xfId="364" xr:uid="{00000000-0005-0000-0000-000099010000}"/>
    <cellStyle name="Percent 8" xfId="151" xr:uid="{00000000-0005-0000-0000-0000C4000000}"/>
    <cellStyle name="Percent 80" xfId="367" xr:uid="{00000000-0005-0000-0000-00009C010000}"/>
    <cellStyle name="Percent 81" xfId="370" xr:uid="{00000000-0005-0000-0000-00009F010000}"/>
    <cellStyle name="Percent 82" xfId="373" xr:uid="{00000000-0005-0000-0000-0000A2010000}"/>
    <cellStyle name="Percent 83" xfId="376" xr:uid="{00000000-0005-0000-0000-0000A5010000}"/>
    <cellStyle name="Percent 84" xfId="379" xr:uid="{00000000-0005-0000-0000-0000A8010000}"/>
    <cellStyle name="Percent 85" xfId="382" xr:uid="{00000000-0005-0000-0000-0000AB010000}"/>
    <cellStyle name="Percent 86" xfId="385" xr:uid="{00000000-0005-0000-0000-0000AE010000}"/>
    <cellStyle name="Percent 87" xfId="388" xr:uid="{00000000-0005-0000-0000-0000B1010000}"/>
    <cellStyle name="Percent 88" xfId="391" xr:uid="{00000000-0005-0000-0000-0000B4010000}"/>
    <cellStyle name="Percent 89" xfId="394" xr:uid="{00000000-0005-0000-0000-0000B7010000}"/>
    <cellStyle name="Percent 9" xfId="154" xr:uid="{00000000-0005-0000-0000-0000C7000000}"/>
    <cellStyle name="Percent 90" xfId="397" xr:uid="{00000000-0005-0000-0000-0000BA010000}"/>
    <cellStyle name="Percent 91" xfId="400" xr:uid="{00000000-0005-0000-0000-0000BD010000}"/>
    <cellStyle name="Percent 92" xfId="403" xr:uid="{00000000-0005-0000-0000-0000C0010000}"/>
    <cellStyle name="Percent 93" xfId="406" xr:uid="{00000000-0005-0000-0000-0000C3010000}"/>
    <cellStyle name="Percent 94" xfId="409" xr:uid="{00000000-0005-0000-0000-0000C6010000}"/>
    <cellStyle name="Percent 95" xfId="412" xr:uid="{00000000-0005-0000-0000-0000C9010000}"/>
    <cellStyle name="Percent 96" xfId="415" xr:uid="{00000000-0005-0000-0000-0000CC010000}"/>
    <cellStyle name="Percent 97" xfId="418" xr:uid="{00000000-0005-0000-0000-0000CF010000}"/>
    <cellStyle name="Percent 98" xfId="421" xr:uid="{00000000-0005-0000-0000-0000D2010000}"/>
    <cellStyle name="Percent 99" xfId="424" xr:uid="{00000000-0005-0000-0000-0000D5010000}"/>
    <cellStyle name="Percent1" xfId="53" xr:uid="{00000000-0005-0000-0000-00007A000000}"/>
    <cellStyle name="Percent2" xfId="54" xr:uid="{00000000-0005-0000-0000-00007B000000}"/>
    <cellStyle name="percentage" xfId="55" xr:uid="{00000000-0005-0000-0000-00007C000000}"/>
    <cellStyle name="PercentChange" xfId="56" xr:uid="{00000000-0005-0000-0000-00007D000000}"/>
    <cellStyle name="RatioX" xfId="57" xr:uid="{00000000-0005-0000-0000-00007E000000}"/>
    <cellStyle name="SectionHeading" xfId="58" xr:uid="{00000000-0005-0000-0000-00007F000000}"/>
    <cellStyle name="TableName" xfId="59" xr:uid="{00000000-0005-0000-0000-000080000000}"/>
    <cellStyle name="Text" xfId="583" xr:uid="{2F4C70AC-C5BC-416C-958F-E17DC794F31D}"/>
    <cellStyle name="Text Wrap" xfId="60" xr:uid="{00000000-0005-0000-0000-000081000000}"/>
    <cellStyle name="Titles" xfId="61" xr:uid="{00000000-0005-0000-0000-000082000000}"/>
    <cellStyle name="UnderlineNormal" xfId="62" xr:uid="{00000000-0005-0000-0000-000083000000}"/>
  </cellStyles>
  <dxfs count="3">
    <dxf>
      <font>
        <color rgb="FF9C5700"/>
      </font>
      <fill>
        <patternFill>
          <bgColor rgb="FFFFEB9C"/>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8000"/>
      <rgbColor rgb="00339966"/>
      <rgbColor rgb="0099CC00"/>
      <rgbColor rgb="00CCFFCC"/>
      <rgbColor rgb="00808080"/>
      <rgbColor rgb="00D9D9D9"/>
      <rgbColor rgb="00262626"/>
      <rgbColor rgb="004C4C4C"/>
      <rgbColor rgb="00000080"/>
      <rgbColor rgb="007979FF"/>
      <rgbColor rgb="00D9D9FF"/>
      <rgbColor rgb="001A1AFF"/>
      <rgbColor rgb="00808080"/>
      <rgbColor rgb="00D9D9D9"/>
      <rgbColor rgb="00262626"/>
      <rgbColor rgb="004C4C4C"/>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8000"/>
      <color rgb="FF800000"/>
      <color rgb="FF0000FF"/>
      <color rgb="FF000000"/>
      <color rgb="FF009999"/>
      <color rgb="FF993300"/>
      <color rgb="FF99CCFF"/>
      <color rgb="FFC0C0C0"/>
      <color rgb="FF00659C"/>
      <color rgb="FFE8E8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3" Type="http://schemas.openxmlformats.org/officeDocument/2006/relationships/themeOverride" Target="../theme/themeOverride9.xml"/><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3" Type="http://schemas.openxmlformats.org/officeDocument/2006/relationships/themeOverride" Target="../theme/themeOverride10.xml"/><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3" Type="http://schemas.openxmlformats.org/officeDocument/2006/relationships/themeOverride" Target="../theme/themeOverride11.xml"/><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3" Type="http://schemas.openxmlformats.org/officeDocument/2006/relationships/themeOverride" Target="../theme/themeOverride12.xml"/><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3" Type="http://schemas.openxmlformats.org/officeDocument/2006/relationships/themeOverride" Target="../theme/themeOverride13.xml"/><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3" Type="http://schemas.openxmlformats.org/officeDocument/2006/relationships/themeOverride" Target="../theme/themeOverride14.xml"/><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3" Type="http://schemas.openxmlformats.org/officeDocument/2006/relationships/themeOverride" Target="../theme/themeOverride15.xml"/><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3" Type="http://schemas.openxmlformats.org/officeDocument/2006/relationships/themeOverride" Target="../theme/themeOverride16.xml"/><Relationship Id="rId2" Type="http://schemas.microsoft.com/office/2011/relationships/chartColorStyle" Target="colors65.xml"/><Relationship Id="rId1" Type="http://schemas.microsoft.com/office/2011/relationships/chartStyle" Target="style65.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Summary!$K$86</c:f>
              <c:strCache>
                <c:ptCount val="1"/>
                <c:pt idx="0">
                  <c:v>SHOP EV/revenue</c:v>
                </c:pt>
              </c:strCache>
            </c:strRef>
          </c:tx>
          <c:spPr>
            <a:ln w="28575" cap="rnd">
              <a:solidFill>
                <a:schemeClr val="accent3"/>
              </a:solidFill>
              <a:round/>
            </a:ln>
            <a:effectLst/>
          </c:spPr>
          <c:marker>
            <c:symbol val="none"/>
          </c:marker>
          <c:cat>
            <c:numRef>
              <c:f>Summary!$B$87:$B$586</c:f>
              <c:numCache>
                <c:formatCode>m/d/yyyy</c:formatCode>
                <c:ptCount val="500"/>
                <c:pt idx="0">
                  <c:v>42741</c:v>
                </c:pt>
                <c:pt idx="1">
                  <c:v>42748</c:v>
                </c:pt>
                <c:pt idx="2">
                  <c:v>42755</c:v>
                </c:pt>
                <c:pt idx="3">
                  <c:v>42762</c:v>
                </c:pt>
                <c:pt idx="4">
                  <c:v>42769</c:v>
                </c:pt>
                <c:pt idx="5">
                  <c:v>42776</c:v>
                </c:pt>
                <c:pt idx="6">
                  <c:v>42783</c:v>
                </c:pt>
                <c:pt idx="7">
                  <c:v>42790</c:v>
                </c:pt>
                <c:pt idx="8">
                  <c:v>42797</c:v>
                </c:pt>
                <c:pt idx="9">
                  <c:v>42804</c:v>
                </c:pt>
                <c:pt idx="10">
                  <c:v>42811</c:v>
                </c:pt>
                <c:pt idx="11">
                  <c:v>42818</c:v>
                </c:pt>
                <c:pt idx="12">
                  <c:v>42825</c:v>
                </c:pt>
                <c:pt idx="13">
                  <c:v>42832</c:v>
                </c:pt>
                <c:pt idx="14">
                  <c:v>42839</c:v>
                </c:pt>
                <c:pt idx="15">
                  <c:v>42846</c:v>
                </c:pt>
                <c:pt idx="16">
                  <c:v>42853</c:v>
                </c:pt>
                <c:pt idx="17">
                  <c:v>42860</c:v>
                </c:pt>
                <c:pt idx="18">
                  <c:v>42867</c:v>
                </c:pt>
                <c:pt idx="19">
                  <c:v>42874</c:v>
                </c:pt>
                <c:pt idx="20">
                  <c:v>42881</c:v>
                </c:pt>
                <c:pt idx="21">
                  <c:v>42888</c:v>
                </c:pt>
                <c:pt idx="22">
                  <c:v>42895</c:v>
                </c:pt>
                <c:pt idx="23">
                  <c:v>42902</c:v>
                </c:pt>
                <c:pt idx="24">
                  <c:v>42909</c:v>
                </c:pt>
                <c:pt idx="25">
                  <c:v>42916</c:v>
                </c:pt>
                <c:pt idx="26">
                  <c:v>42923</c:v>
                </c:pt>
                <c:pt idx="27">
                  <c:v>42930</c:v>
                </c:pt>
                <c:pt idx="28">
                  <c:v>42937</c:v>
                </c:pt>
                <c:pt idx="29">
                  <c:v>42944</c:v>
                </c:pt>
                <c:pt idx="30">
                  <c:v>42951</c:v>
                </c:pt>
                <c:pt idx="31">
                  <c:v>42958</c:v>
                </c:pt>
                <c:pt idx="32">
                  <c:v>42965</c:v>
                </c:pt>
                <c:pt idx="33">
                  <c:v>42972</c:v>
                </c:pt>
                <c:pt idx="34">
                  <c:v>42979</c:v>
                </c:pt>
                <c:pt idx="35">
                  <c:v>42986</c:v>
                </c:pt>
                <c:pt idx="36">
                  <c:v>42993</c:v>
                </c:pt>
                <c:pt idx="37">
                  <c:v>43000</c:v>
                </c:pt>
                <c:pt idx="38">
                  <c:v>43007</c:v>
                </c:pt>
                <c:pt idx="39">
                  <c:v>43014</c:v>
                </c:pt>
                <c:pt idx="40">
                  <c:v>43021</c:v>
                </c:pt>
                <c:pt idx="41">
                  <c:v>43028</c:v>
                </c:pt>
                <c:pt idx="42">
                  <c:v>43035</c:v>
                </c:pt>
                <c:pt idx="43">
                  <c:v>43042</c:v>
                </c:pt>
                <c:pt idx="44">
                  <c:v>43049</c:v>
                </c:pt>
                <c:pt idx="45">
                  <c:v>43056</c:v>
                </c:pt>
                <c:pt idx="46">
                  <c:v>43063</c:v>
                </c:pt>
                <c:pt idx="47">
                  <c:v>43070</c:v>
                </c:pt>
                <c:pt idx="48">
                  <c:v>43077</c:v>
                </c:pt>
                <c:pt idx="49">
                  <c:v>43084</c:v>
                </c:pt>
                <c:pt idx="50">
                  <c:v>43091</c:v>
                </c:pt>
                <c:pt idx="51">
                  <c:v>43098</c:v>
                </c:pt>
                <c:pt idx="52">
                  <c:v>43105</c:v>
                </c:pt>
                <c:pt idx="53">
                  <c:v>43112</c:v>
                </c:pt>
                <c:pt idx="54">
                  <c:v>43119</c:v>
                </c:pt>
                <c:pt idx="55">
                  <c:v>43126</c:v>
                </c:pt>
                <c:pt idx="56">
                  <c:v>43133</c:v>
                </c:pt>
                <c:pt idx="57">
                  <c:v>43140</c:v>
                </c:pt>
                <c:pt idx="58">
                  <c:v>43147</c:v>
                </c:pt>
                <c:pt idx="59">
                  <c:v>43154</c:v>
                </c:pt>
                <c:pt idx="60">
                  <c:v>43161</c:v>
                </c:pt>
                <c:pt idx="61">
                  <c:v>43168</c:v>
                </c:pt>
                <c:pt idx="62">
                  <c:v>43175</c:v>
                </c:pt>
                <c:pt idx="63">
                  <c:v>43182</c:v>
                </c:pt>
                <c:pt idx="64">
                  <c:v>43189</c:v>
                </c:pt>
                <c:pt idx="65">
                  <c:v>43196</c:v>
                </c:pt>
                <c:pt idx="66">
                  <c:v>43203</c:v>
                </c:pt>
                <c:pt idx="67">
                  <c:v>43210</c:v>
                </c:pt>
                <c:pt idx="68">
                  <c:v>43217</c:v>
                </c:pt>
                <c:pt idx="69">
                  <c:v>43224</c:v>
                </c:pt>
                <c:pt idx="70">
                  <c:v>43231</c:v>
                </c:pt>
                <c:pt idx="71">
                  <c:v>43238</c:v>
                </c:pt>
                <c:pt idx="72">
                  <c:v>43245</c:v>
                </c:pt>
                <c:pt idx="73">
                  <c:v>43252</c:v>
                </c:pt>
                <c:pt idx="74">
                  <c:v>43259</c:v>
                </c:pt>
                <c:pt idx="75">
                  <c:v>43266</c:v>
                </c:pt>
                <c:pt idx="76">
                  <c:v>43273</c:v>
                </c:pt>
                <c:pt idx="77">
                  <c:v>43280</c:v>
                </c:pt>
                <c:pt idx="78">
                  <c:v>43287</c:v>
                </c:pt>
                <c:pt idx="79">
                  <c:v>43294</c:v>
                </c:pt>
                <c:pt idx="80">
                  <c:v>43301</c:v>
                </c:pt>
                <c:pt idx="81">
                  <c:v>43308</c:v>
                </c:pt>
                <c:pt idx="82">
                  <c:v>43315</c:v>
                </c:pt>
                <c:pt idx="83">
                  <c:v>43322</c:v>
                </c:pt>
                <c:pt idx="84">
                  <c:v>43329</c:v>
                </c:pt>
                <c:pt idx="85">
                  <c:v>43336</c:v>
                </c:pt>
                <c:pt idx="86">
                  <c:v>43343</c:v>
                </c:pt>
                <c:pt idx="87">
                  <c:v>43350</c:v>
                </c:pt>
                <c:pt idx="88">
                  <c:v>43357</c:v>
                </c:pt>
                <c:pt idx="89">
                  <c:v>43364</c:v>
                </c:pt>
                <c:pt idx="90">
                  <c:v>43371</c:v>
                </c:pt>
                <c:pt idx="91">
                  <c:v>43378</c:v>
                </c:pt>
                <c:pt idx="92">
                  <c:v>43385</c:v>
                </c:pt>
                <c:pt idx="93">
                  <c:v>43392</c:v>
                </c:pt>
                <c:pt idx="94">
                  <c:v>43399</c:v>
                </c:pt>
                <c:pt idx="95">
                  <c:v>43406</c:v>
                </c:pt>
                <c:pt idx="96">
                  <c:v>43413</c:v>
                </c:pt>
                <c:pt idx="97">
                  <c:v>43420</c:v>
                </c:pt>
                <c:pt idx="98">
                  <c:v>43427</c:v>
                </c:pt>
                <c:pt idx="99">
                  <c:v>43434</c:v>
                </c:pt>
                <c:pt idx="100">
                  <c:v>43441</c:v>
                </c:pt>
                <c:pt idx="101">
                  <c:v>43448</c:v>
                </c:pt>
                <c:pt idx="102">
                  <c:v>43455</c:v>
                </c:pt>
                <c:pt idx="103">
                  <c:v>43462</c:v>
                </c:pt>
                <c:pt idx="104">
                  <c:v>43469</c:v>
                </c:pt>
                <c:pt idx="105">
                  <c:v>43476</c:v>
                </c:pt>
                <c:pt idx="106">
                  <c:v>43483</c:v>
                </c:pt>
                <c:pt idx="107">
                  <c:v>43490</c:v>
                </c:pt>
                <c:pt idx="108">
                  <c:v>43497</c:v>
                </c:pt>
                <c:pt idx="109">
                  <c:v>43504</c:v>
                </c:pt>
                <c:pt idx="110">
                  <c:v>43511</c:v>
                </c:pt>
                <c:pt idx="111">
                  <c:v>43518</c:v>
                </c:pt>
                <c:pt idx="112">
                  <c:v>43525</c:v>
                </c:pt>
                <c:pt idx="113">
                  <c:v>43532</c:v>
                </c:pt>
                <c:pt idx="114">
                  <c:v>43539</c:v>
                </c:pt>
                <c:pt idx="115">
                  <c:v>43546</c:v>
                </c:pt>
                <c:pt idx="116">
                  <c:v>43553</c:v>
                </c:pt>
                <c:pt idx="117">
                  <c:v>43560</c:v>
                </c:pt>
                <c:pt idx="118">
                  <c:v>43567</c:v>
                </c:pt>
                <c:pt idx="119">
                  <c:v>43574</c:v>
                </c:pt>
                <c:pt idx="120">
                  <c:v>43581</c:v>
                </c:pt>
                <c:pt idx="121">
                  <c:v>43588</c:v>
                </c:pt>
                <c:pt idx="122">
                  <c:v>43595</c:v>
                </c:pt>
                <c:pt idx="123">
                  <c:v>43602</c:v>
                </c:pt>
                <c:pt idx="124">
                  <c:v>43609</c:v>
                </c:pt>
                <c:pt idx="125">
                  <c:v>43616</c:v>
                </c:pt>
                <c:pt idx="126">
                  <c:v>43623</c:v>
                </c:pt>
                <c:pt idx="127">
                  <c:v>43630</c:v>
                </c:pt>
                <c:pt idx="128">
                  <c:v>43637</c:v>
                </c:pt>
                <c:pt idx="129">
                  <c:v>43644</c:v>
                </c:pt>
                <c:pt idx="130">
                  <c:v>43651</c:v>
                </c:pt>
                <c:pt idx="131">
                  <c:v>43658</c:v>
                </c:pt>
                <c:pt idx="132">
                  <c:v>43665</c:v>
                </c:pt>
                <c:pt idx="133">
                  <c:v>43672</c:v>
                </c:pt>
                <c:pt idx="134">
                  <c:v>43679</c:v>
                </c:pt>
                <c:pt idx="135">
                  <c:v>43686</c:v>
                </c:pt>
                <c:pt idx="136">
                  <c:v>43693</c:v>
                </c:pt>
                <c:pt idx="137">
                  <c:v>43700</c:v>
                </c:pt>
                <c:pt idx="138">
                  <c:v>43707</c:v>
                </c:pt>
                <c:pt idx="139">
                  <c:v>43714</c:v>
                </c:pt>
                <c:pt idx="140">
                  <c:v>43721</c:v>
                </c:pt>
                <c:pt idx="141">
                  <c:v>43728</c:v>
                </c:pt>
                <c:pt idx="142">
                  <c:v>43735</c:v>
                </c:pt>
                <c:pt idx="143">
                  <c:v>43742</c:v>
                </c:pt>
                <c:pt idx="144">
                  <c:v>43749</c:v>
                </c:pt>
                <c:pt idx="145">
                  <c:v>43756</c:v>
                </c:pt>
                <c:pt idx="146">
                  <c:v>43763</c:v>
                </c:pt>
                <c:pt idx="147">
                  <c:v>43770</c:v>
                </c:pt>
                <c:pt idx="148">
                  <c:v>43777</c:v>
                </c:pt>
                <c:pt idx="149">
                  <c:v>43784</c:v>
                </c:pt>
                <c:pt idx="150">
                  <c:v>43791</c:v>
                </c:pt>
                <c:pt idx="151">
                  <c:v>43798</c:v>
                </c:pt>
                <c:pt idx="152">
                  <c:v>43805</c:v>
                </c:pt>
                <c:pt idx="153">
                  <c:v>43812</c:v>
                </c:pt>
                <c:pt idx="154">
                  <c:v>43819</c:v>
                </c:pt>
                <c:pt idx="155">
                  <c:v>43826</c:v>
                </c:pt>
                <c:pt idx="156">
                  <c:v>43833</c:v>
                </c:pt>
                <c:pt idx="157">
                  <c:v>43840</c:v>
                </c:pt>
                <c:pt idx="158">
                  <c:v>43847</c:v>
                </c:pt>
                <c:pt idx="159">
                  <c:v>43854</c:v>
                </c:pt>
                <c:pt idx="160">
                  <c:v>43861</c:v>
                </c:pt>
                <c:pt idx="161">
                  <c:v>43868</c:v>
                </c:pt>
                <c:pt idx="162">
                  <c:v>43875</c:v>
                </c:pt>
                <c:pt idx="163">
                  <c:v>43882</c:v>
                </c:pt>
                <c:pt idx="164">
                  <c:v>43889</c:v>
                </c:pt>
                <c:pt idx="165">
                  <c:v>43896</c:v>
                </c:pt>
                <c:pt idx="166">
                  <c:v>43903</c:v>
                </c:pt>
                <c:pt idx="167">
                  <c:v>43910</c:v>
                </c:pt>
                <c:pt idx="168">
                  <c:v>43917</c:v>
                </c:pt>
                <c:pt idx="169">
                  <c:v>43924</c:v>
                </c:pt>
                <c:pt idx="170">
                  <c:v>43931</c:v>
                </c:pt>
                <c:pt idx="171">
                  <c:v>43938</c:v>
                </c:pt>
                <c:pt idx="172">
                  <c:v>43945</c:v>
                </c:pt>
                <c:pt idx="173">
                  <c:v>43952</c:v>
                </c:pt>
                <c:pt idx="174">
                  <c:v>43959</c:v>
                </c:pt>
                <c:pt idx="175">
                  <c:v>43966</c:v>
                </c:pt>
                <c:pt idx="176">
                  <c:v>43973</c:v>
                </c:pt>
                <c:pt idx="177">
                  <c:v>43980</c:v>
                </c:pt>
                <c:pt idx="178">
                  <c:v>43987</c:v>
                </c:pt>
                <c:pt idx="179">
                  <c:v>43994</c:v>
                </c:pt>
                <c:pt idx="180">
                  <c:v>44001</c:v>
                </c:pt>
                <c:pt idx="181">
                  <c:v>44008</c:v>
                </c:pt>
                <c:pt idx="182">
                  <c:v>44015</c:v>
                </c:pt>
                <c:pt idx="183">
                  <c:v>44022</c:v>
                </c:pt>
                <c:pt idx="184">
                  <c:v>44029</c:v>
                </c:pt>
                <c:pt idx="185">
                  <c:v>44036</c:v>
                </c:pt>
                <c:pt idx="186">
                  <c:v>44043</c:v>
                </c:pt>
                <c:pt idx="187">
                  <c:v>44050</c:v>
                </c:pt>
                <c:pt idx="188">
                  <c:v>44057</c:v>
                </c:pt>
                <c:pt idx="189">
                  <c:v>44064</c:v>
                </c:pt>
                <c:pt idx="190">
                  <c:v>44071</c:v>
                </c:pt>
                <c:pt idx="191">
                  <c:v>44078</c:v>
                </c:pt>
                <c:pt idx="192">
                  <c:v>44085</c:v>
                </c:pt>
                <c:pt idx="193">
                  <c:v>44092</c:v>
                </c:pt>
                <c:pt idx="194">
                  <c:v>44099</c:v>
                </c:pt>
                <c:pt idx="195">
                  <c:v>44106</c:v>
                </c:pt>
                <c:pt idx="196">
                  <c:v>44113</c:v>
                </c:pt>
                <c:pt idx="197">
                  <c:v>44120</c:v>
                </c:pt>
                <c:pt idx="198">
                  <c:v>44127</c:v>
                </c:pt>
                <c:pt idx="199">
                  <c:v>44134</c:v>
                </c:pt>
                <c:pt idx="200">
                  <c:v>44141</c:v>
                </c:pt>
                <c:pt idx="201">
                  <c:v>44148</c:v>
                </c:pt>
                <c:pt idx="202">
                  <c:v>44155</c:v>
                </c:pt>
                <c:pt idx="203">
                  <c:v>44162</c:v>
                </c:pt>
                <c:pt idx="204">
                  <c:v>44169</c:v>
                </c:pt>
                <c:pt idx="205">
                  <c:v>44176</c:v>
                </c:pt>
                <c:pt idx="206">
                  <c:v>44183</c:v>
                </c:pt>
                <c:pt idx="207">
                  <c:v>44190</c:v>
                </c:pt>
                <c:pt idx="208">
                  <c:v>44197</c:v>
                </c:pt>
                <c:pt idx="209">
                  <c:v>44204</c:v>
                </c:pt>
                <c:pt idx="210">
                  <c:v>44211</c:v>
                </c:pt>
                <c:pt idx="211">
                  <c:v>44218</c:v>
                </c:pt>
                <c:pt idx="212">
                  <c:v>44225</c:v>
                </c:pt>
                <c:pt idx="213">
                  <c:v>44232</c:v>
                </c:pt>
                <c:pt idx="214">
                  <c:v>44239</c:v>
                </c:pt>
                <c:pt idx="215">
                  <c:v>44246</c:v>
                </c:pt>
                <c:pt idx="216">
                  <c:v>44253</c:v>
                </c:pt>
                <c:pt idx="217">
                  <c:v>44260</c:v>
                </c:pt>
                <c:pt idx="218">
                  <c:v>44267</c:v>
                </c:pt>
                <c:pt idx="219">
                  <c:v>44274</c:v>
                </c:pt>
                <c:pt idx="220">
                  <c:v>44281</c:v>
                </c:pt>
                <c:pt idx="221">
                  <c:v>44288</c:v>
                </c:pt>
                <c:pt idx="222">
                  <c:v>44295</c:v>
                </c:pt>
                <c:pt idx="223">
                  <c:v>44302</c:v>
                </c:pt>
                <c:pt idx="224">
                  <c:v>44309</c:v>
                </c:pt>
                <c:pt idx="225">
                  <c:v>44316</c:v>
                </c:pt>
                <c:pt idx="226">
                  <c:v>44323</c:v>
                </c:pt>
                <c:pt idx="227">
                  <c:v>44330</c:v>
                </c:pt>
                <c:pt idx="228">
                  <c:v>44337</c:v>
                </c:pt>
                <c:pt idx="229">
                  <c:v>44344</c:v>
                </c:pt>
                <c:pt idx="230">
                  <c:v>44351</c:v>
                </c:pt>
                <c:pt idx="231">
                  <c:v>44358</c:v>
                </c:pt>
                <c:pt idx="232">
                  <c:v>44365</c:v>
                </c:pt>
                <c:pt idx="233">
                  <c:v>44372</c:v>
                </c:pt>
                <c:pt idx="234">
                  <c:v>44379</c:v>
                </c:pt>
                <c:pt idx="235">
                  <c:v>44386</c:v>
                </c:pt>
                <c:pt idx="236">
                  <c:v>44393</c:v>
                </c:pt>
                <c:pt idx="237">
                  <c:v>44400</c:v>
                </c:pt>
                <c:pt idx="238">
                  <c:v>44407</c:v>
                </c:pt>
                <c:pt idx="239">
                  <c:v>44414</c:v>
                </c:pt>
                <c:pt idx="240">
                  <c:v>44421</c:v>
                </c:pt>
                <c:pt idx="241">
                  <c:v>44428</c:v>
                </c:pt>
                <c:pt idx="242">
                  <c:v>44435</c:v>
                </c:pt>
                <c:pt idx="243">
                  <c:v>44442</c:v>
                </c:pt>
                <c:pt idx="244">
                  <c:v>44449</c:v>
                </c:pt>
                <c:pt idx="245">
                  <c:v>44456</c:v>
                </c:pt>
                <c:pt idx="246">
                  <c:v>44463</c:v>
                </c:pt>
                <c:pt idx="247">
                  <c:v>44470</c:v>
                </c:pt>
                <c:pt idx="248">
                  <c:v>44477</c:v>
                </c:pt>
                <c:pt idx="249">
                  <c:v>44484</c:v>
                </c:pt>
                <c:pt idx="250">
                  <c:v>44491</c:v>
                </c:pt>
                <c:pt idx="251">
                  <c:v>44498</c:v>
                </c:pt>
                <c:pt idx="252">
                  <c:v>44505</c:v>
                </c:pt>
                <c:pt idx="253">
                  <c:v>44512</c:v>
                </c:pt>
                <c:pt idx="254">
                  <c:v>44519</c:v>
                </c:pt>
                <c:pt idx="255">
                  <c:v>44526</c:v>
                </c:pt>
                <c:pt idx="256">
                  <c:v>44533</c:v>
                </c:pt>
                <c:pt idx="257">
                  <c:v>44540</c:v>
                </c:pt>
                <c:pt idx="258">
                  <c:v>44547</c:v>
                </c:pt>
                <c:pt idx="259">
                  <c:v>44554</c:v>
                </c:pt>
                <c:pt idx="260">
                  <c:v>44561</c:v>
                </c:pt>
                <c:pt idx="261">
                  <c:v>44568</c:v>
                </c:pt>
                <c:pt idx="262">
                  <c:v>44575</c:v>
                </c:pt>
                <c:pt idx="263">
                  <c:v>44582</c:v>
                </c:pt>
                <c:pt idx="264">
                  <c:v>44589</c:v>
                </c:pt>
                <c:pt idx="265">
                  <c:v>44596</c:v>
                </c:pt>
                <c:pt idx="266">
                  <c:v>44603</c:v>
                </c:pt>
                <c:pt idx="267">
                  <c:v>44610</c:v>
                </c:pt>
                <c:pt idx="268">
                  <c:v>44617</c:v>
                </c:pt>
                <c:pt idx="269">
                  <c:v>44624</c:v>
                </c:pt>
                <c:pt idx="270">
                  <c:v>44631</c:v>
                </c:pt>
                <c:pt idx="271">
                  <c:v>44638</c:v>
                </c:pt>
                <c:pt idx="272">
                  <c:v>44645</c:v>
                </c:pt>
                <c:pt idx="273">
                  <c:v>44652</c:v>
                </c:pt>
                <c:pt idx="274">
                  <c:v>44659</c:v>
                </c:pt>
                <c:pt idx="275">
                  <c:v>44666</c:v>
                </c:pt>
                <c:pt idx="276">
                  <c:v>44673</c:v>
                </c:pt>
                <c:pt idx="277">
                  <c:v>44680</c:v>
                </c:pt>
                <c:pt idx="278">
                  <c:v>44687</c:v>
                </c:pt>
                <c:pt idx="279">
                  <c:v>44694</c:v>
                </c:pt>
                <c:pt idx="280">
                  <c:v>44701</c:v>
                </c:pt>
                <c:pt idx="281">
                  <c:v>44708</c:v>
                </c:pt>
                <c:pt idx="282">
                  <c:v>44715</c:v>
                </c:pt>
                <c:pt idx="283">
                  <c:v>44722</c:v>
                </c:pt>
                <c:pt idx="284">
                  <c:v>44729</c:v>
                </c:pt>
                <c:pt idx="285">
                  <c:v>44736</c:v>
                </c:pt>
                <c:pt idx="286">
                  <c:v>44743</c:v>
                </c:pt>
                <c:pt idx="287">
                  <c:v>44750</c:v>
                </c:pt>
                <c:pt idx="288">
                  <c:v>44757</c:v>
                </c:pt>
                <c:pt idx="289">
                  <c:v>44764</c:v>
                </c:pt>
                <c:pt idx="290">
                  <c:v>44771</c:v>
                </c:pt>
                <c:pt idx="291">
                  <c:v>44778</c:v>
                </c:pt>
                <c:pt idx="292">
                  <c:v>44785</c:v>
                </c:pt>
                <c:pt idx="293">
                  <c:v>44792</c:v>
                </c:pt>
                <c:pt idx="294">
                  <c:v>44799</c:v>
                </c:pt>
                <c:pt idx="295">
                  <c:v>44806</c:v>
                </c:pt>
                <c:pt idx="296">
                  <c:v>44813</c:v>
                </c:pt>
                <c:pt idx="297">
                  <c:v>44820</c:v>
                </c:pt>
                <c:pt idx="298">
                  <c:v>44827</c:v>
                </c:pt>
                <c:pt idx="299">
                  <c:v>44834</c:v>
                </c:pt>
                <c:pt idx="300">
                  <c:v>44841</c:v>
                </c:pt>
                <c:pt idx="301">
                  <c:v>44848</c:v>
                </c:pt>
                <c:pt idx="302">
                  <c:v>44855</c:v>
                </c:pt>
                <c:pt idx="303">
                  <c:v>44862</c:v>
                </c:pt>
                <c:pt idx="304">
                  <c:v>44869</c:v>
                </c:pt>
                <c:pt idx="305">
                  <c:v>44876</c:v>
                </c:pt>
                <c:pt idx="306">
                  <c:v>44883</c:v>
                </c:pt>
                <c:pt idx="307">
                  <c:v>44890</c:v>
                </c:pt>
                <c:pt idx="308">
                  <c:v>44897</c:v>
                </c:pt>
                <c:pt idx="309">
                  <c:v>44904</c:v>
                </c:pt>
                <c:pt idx="310">
                  <c:v>44911</c:v>
                </c:pt>
                <c:pt idx="311">
                  <c:v>44918</c:v>
                </c:pt>
                <c:pt idx="312">
                  <c:v>44925</c:v>
                </c:pt>
                <c:pt idx="313">
                  <c:v>44932</c:v>
                </c:pt>
                <c:pt idx="314">
                  <c:v>44939</c:v>
                </c:pt>
                <c:pt idx="315">
                  <c:v>44946</c:v>
                </c:pt>
                <c:pt idx="316">
                  <c:v>44953</c:v>
                </c:pt>
                <c:pt idx="317">
                  <c:v>44960</c:v>
                </c:pt>
                <c:pt idx="318">
                  <c:v>44967</c:v>
                </c:pt>
                <c:pt idx="319">
                  <c:v>44974</c:v>
                </c:pt>
                <c:pt idx="320">
                  <c:v>44981</c:v>
                </c:pt>
                <c:pt idx="321">
                  <c:v>44988</c:v>
                </c:pt>
                <c:pt idx="322">
                  <c:v>44995</c:v>
                </c:pt>
                <c:pt idx="323">
                  <c:v>45002</c:v>
                </c:pt>
                <c:pt idx="324">
                  <c:v>45009</c:v>
                </c:pt>
                <c:pt idx="325">
                  <c:v>45016</c:v>
                </c:pt>
                <c:pt idx="326">
                  <c:v>45023</c:v>
                </c:pt>
                <c:pt idx="327">
                  <c:v>45030</c:v>
                </c:pt>
                <c:pt idx="328">
                  <c:v>45037</c:v>
                </c:pt>
                <c:pt idx="329">
                  <c:v>45044</c:v>
                </c:pt>
                <c:pt idx="330">
                  <c:v>45051</c:v>
                </c:pt>
                <c:pt idx="331">
                  <c:v>45058</c:v>
                </c:pt>
                <c:pt idx="332">
                  <c:v>45065</c:v>
                </c:pt>
                <c:pt idx="333">
                  <c:v>45072</c:v>
                </c:pt>
                <c:pt idx="334">
                  <c:v>45079</c:v>
                </c:pt>
                <c:pt idx="335">
                  <c:v>45086</c:v>
                </c:pt>
                <c:pt idx="336">
                  <c:v>45093</c:v>
                </c:pt>
                <c:pt idx="337">
                  <c:v>45100</c:v>
                </c:pt>
                <c:pt idx="338">
                  <c:v>45107</c:v>
                </c:pt>
                <c:pt idx="339">
                  <c:v>45114</c:v>
                </c:pt>
                <c:pt idx="340">
                  <c:v>45121</c:v>
                </c:pt>
                <c:pt idx="341">
                  <c:v>45128</c:v>
                </c:pt>
                <c:pt idx="342">
                  <c:v>45135</c:v>
                </c:pt>
                <c:pt idx="343">
                  <c:v>45142</c:v>
                </c:pt>
                <c:pt idx="344">
                  <c:v>45149</c:v>
                </c:pt>
                <c:pt idx="345">
                  <c:v>45156</c:v>
                </c:pt>
                <c:pt idx="346">
                  <c:v>45163</c:v>
                </c:pt>
                <c:pt idx="347">
                  <c:v>45170</c:v>
                </c:pt>
                <c:pt idx="348">
                  <c:v>45177</c:v>
                </c:pt>
                <c:pt idx="349">
                  <c:v>45184</c:v>
                </c:pt>
                <c:pt idx="350">
                  <c:v>45191</c:v>
                </c:pt>
                <c:pt idx="351">
                  <c:v>45198</c:v>
                </c:pt>
                <c:pt idx="352">
                  <c:v>45205</c:v>
                </c:pt>
                <c:pt idx="353">
                  <c:v>45212</c:v>
                </c:pt>
                <c:pt idx="354">
                  <c:v>45219</c:v>
                </c:pt>
                <c:pt idx="355">
                  <c:v>45226</c:v>
                </c:pt>
                <c:pt idx="356">
                  <c:v>45233</c:v>
                </c:pt>
                <c:pt idx="357">
                  <c:v>45240</c:v>
                </c:pt>
                <c:pt idx="358">
                  <c:v>45247</c:v>
                </c:pt>
                <c:pt idx="359">
                  <c:v>45254</c:v>
                </c:pt>
                <c:pt idx="360">
                  <c:v>45261</c:v>
                </c:pt>
                <c:pt idx="361">
                  <c:v>45268</c:v>
                </c:pt>
                <c:pt idx="362">
                  <c:v>45275</c:v>
                </c:pt>
                <c:pt idx="363">
                  <c:v>45282</c:v>
                </c:pt>
                <c:pt idx="364">
                  <c:v>45289</c:v>
                </c:pt>
                <c:pt idx="365">
                  <c:v>45296</c:v>
                </c:pt>
                <c:pt idx="366">
                  <c:v>45303</c:v>
                </c:pt>
                <c:pt idx="367">
                  <c:v>45310</c:v>
                </c:pt>
                <c:pt idx="368">
                  <c:v>45317</c:v>
                </c:pt>
                <c:pt idx="369">
                  <c:v>45324</c:v>
                </c:pt>
                <c:pt idx="370">
                  <c:v>45331</c:v>
                </c:pt>
                <c:pt idx="371">
                  <c:v>45338</c:v>
                </c:pt>
                <c:pt idx="372">
                  <c:v>45345</c:v>
                </c:pt>
                <c:pt idx="373">
                  <c:v>45352</c:v>
                </c:pt>
                <c:pt idx="374">
                  <c:v>45359</c:v>
                </c:pt>
                <c:pt idx="375">
                  <c:v>45366</c:v>
                </c:pt>
                <c:pt idx="376">
                  <c:v>45373</c:v>
                </c:pt>
                <c:pt idx="377">
                  <c:v>45380</c:v>
                </c:pt>
                <c:pt idx="378">
                  <c:v>45387</c:v>
                </c:pt>
                <c:pt idx="379">
                  <c:v>45394</c:v>
                </c:pt>
                <c:pt idx="380">
                  <c:v>45401</c:v>
                </c:pt>
                <c:pt idx="381">
                  <c:v>45408</c:v>
                </c:pt>
                <c:pt idx="382">
                  <c:v>45415</c:v>
                </c:pt>
                <c:pt idx="383">
                  <c:v>45422</c:v>
                </c:pt>
                <c:pt idx="384">
                  <c:v>45429</c:v>
                </c:pt>
                <c:pt idx="385">
                  <c:v>45436</c:v>
                </c:pt>
                <c:pt idx="386">
                  <c:v>45443</c:v>
                </c:pt>
                <c:pt idx="387">
                  <c:v>45450</c:v>
                </c:pt>
                <c:pt idx="388">
                  <c:v>45457</c:v>
                </c:pt>
                <c:pt idx="389">
                  <c:v>45464</c:v>
                </c:pt>
                <c:pt idx="390">
                  <c:v>45471</c:v>
                </c:pt>
                <c:pt idx="391">
                  <c:v>45478</c:v>
                </c:pt>
                <c:pt idx="392">
                  <c:v>45485</c:v>
                </c:pt>
                <c:pt idx="393">
                  <c:v>45492</c:v>
                </c:pt>
                <c:pt idx="394">
                  <c:v>45499</c:v>
                </c:pt>
                <c:pt idx="395">
                  <c:v>45506</c:v>
                </c:pt>
                <c:pt idx="396">
                  <c:v>45513</c:v>
                </c:pt>
                <c:pt idx="397">
                  <c:v>45520</c:v>
                </c:pt>
                <c:pt idx="398">
                  <c:v>45527</c:v>
                </c:pt>
                <c:pt idx="399">
                  <c:v>45534</c:v>
                </c:pt>
                <c:pt idx="400">
                  <c:v>45541</c:v>
                </c:pt>
                <c:pt idx="401">
                  <c:v>45548</c:v>
                </c:pt>
                <c:pt idx="402">
                  <c:v>45555</c:v>
                </c:pt>
                <c:pt idx="403">
                  <c:v>45562</c:v>
                </c:pt>
                <c:pt idx="404">
                  <c:v>45569</c:v>
                </c:pt>
                <c:pt idx="405">
                  <c:v>45576</c:v>
                </c:pt>
                <c:pt idx="406">
                  <c:v>45583</c:v>
                </c:pt>
                <c:pt idx="407">
                  <c:v>45590</c:v>
                </c:pt>
                <c:pt idx="408">
                  <c:v>45597</c:v>
                </c:pt>
                <c:pt idx="409">
                  <c:v>45604</c:v>
                </c:pt>
                <c:pt idx="410">
                  <c:v>45611</c:v>
                </c:pt>
                <c:pt idx="411">
                  <c:v>45618</c:v>
                </c:pt>
                <c:pt idx="412">
                  <c:v>45625</c:v>
                </c:pt>
                <c:pt idx="413">
                  <c:v>45632</c:v>
                </c:pt>
                <c:pt idx="414">
                  <c:v>45639</c:v>
                </c:pt>
                <c:pt idx="415">
                  <c:v>45646</c:v>
                </c:pt>
                <c:pt idx="416">
                  <c:v>45653</c:v>
                </c:pt>
                <c:pt idx="417">
                  <c:v>45660</c:v>
                </c:pt>
                <c:pt idx="418">
                  <c:v>45667</c:v>
                </c:pt>
                <c:pt idx="419">
                  <c:v>45674</c:v>
                </c:pt>
                <c:pt idx="420">
                  <c:v>45681</c:v>
                </c:pt>
                <c:pt idx="421">
                  <c:v>45688</c:v>
                </c:pt>
                <c:pt idx="422">
                  <c:v>45695</c:v>
                </c:pt>
                <c:pt idx="423">
                  <c:v>45702</c:v>
                </c:pt>
                <c:pt idx="424">
                  <c:v>45709</c:v>
                </c:pt>
                <c:pt idx="425">
                  <c:v>45716</c:v>
                </c:pt>
                <c:pt idx="426">
                  <c:v>45723</c:v>
                </c:pt>
                <c:pt idx="427">
                  <c:v>45730</c:v>
                </c:pt>
                <c:pt idx="428">
                  <c:v>45737</c:v>
                </c:pt>
                <c:pt idx="429">
                  <c:v>45744</c:v>
                </c:pt>
                <c:pt idx="430">
                  <c:v>45751</c:v>
                </c:pt>
                <c:pt idx="431">
                  <c:v>45758</c:v>
                </c:pt>
                <c:pt idx="432">
                  <c:v>45765</c:v>
                </c:pt>
                <c:pt idx="433">
                  <c:v>45772</c:v>
                </c:pt>
                <c:pt idx="434">
                  <c:v>45779</c:v>
                </c:pt>
                <c:pt idx="435">
                  <c:v>45786</c:v>
                </c:pt>
                <c:pt idx="436">
                  <c:v>45793</c:v>
                </c:pt>
                <c:pt idx="437">
                  <c:v>45800</c:v>
                </c:pt>
                <c:pt idx="438">
                  <c:v>45807</c:v>
                </c:pt>
                <c:pt idx="439">
                  <c:v>45814</c:v>
                </c:pt>
                <c:pt idx="440">
                  <c:v>45821</c:v>
                </c:pt>
                <c:pt idx="441">
                  <c:v>45828</c:v>
                </c:pt>
                <c:pt idx="442">
                  <c:v>45835</c:v>
                </c:pt>
                <c:pt idx="443">
                  <c:v>45842</c:v>
                </c:pt>
                <c:pt idx="444">
                  <c:v>45849</c:v>
                </c:pt>
                <c:pt idx="445">
                  <c:v>45856</c:v>
                </c:pt>
                <c:pt idx="446">
                  <c:v>45863</c:v>
                </c:pt>
                <c:pt idx="447">
                  <c:v>45870</c:v>
                </c:pt>
                <c:pt idx="448">
                  <c:v>45877</c:v>
                </c:pt>
                <c:pt idx="449">
                  <c:v>45884</c:v>
                </c:pt>
                <c:pt idx="450">
                  <c:v>45891</c:v>
                </c:pt>
                <c:pt idx="451">
                  <c:v>45898</c:v>
                </c:pt>
                <c:pt idx="452">
                  <c:v>45905</c:v>
                </c:pt>
                <c:pt idx="453">
                  <c:v>45912</c:v>
                </c:pt>
                <c:pt idx="454">
                  <c:v>45919</c:v>
                </c:pt>
                <c:pt idx="455">
                  <c:v>45926</c:v>
                </c:pt>
                <c:pt idx="456">
                  <c:v>45933</c:v>
                </c:pt>
                <c:pt idx="457">
                  <c:v>45940</c:v>
                </c:pt>
                <c:pt idx="458">
                  <c:v>45947</c:v>
                </c:pt>
                <c:pt idx="459">
                  <c:v>45954</c:v>
                </c:pt>
                <c:pt idx="460">
                  <c:v>45961</c:v>
                </c:pt>
                <c:pt idx="461">
                  <c:v>45968</c:v>
                </c:pt>
                <c:pt idx="462">
                  <c:v>45975</c:v>
                </c:pt>
                <c:pt idx="463">
                  <c:v>45982</c:v>
                </c:pt>
                <c:pt idx="464">
                  <c:v>45989</c:v>
                </c:pt>
                <c:pt idx="465">
                  <c:v>45996</c:v>
                </c:pt>
                <c:pt idx="466">
                  <c:v>46003</c:v>
                </c:pt>
                <c:pt idx="467">
                  <c:v>46010</c:v>
                </c:pt>
                <c:pt idx="468">
                  <c:v>46017</c:v>
                </c:pt>
                <c:pt idx="469">
                  <c:v>46024</c:v>
                </c:pt>
                <c:pt idx="470">
                  <c:v>46031</c:v>
                </c:pt>
                <c:pt idx="471">
                  <c:v>46038</c:v>
                </c:pt>
                <c:pt idx="472">
                  <c:v>46045</c:v>
                </c:pt>
                <c:pt idx="473">
                  <c:v>46052</c:v>
                </c:pt>
                <c:pt idx="474">
                  <c:v>46059</c:v>
                </c:pt>
                <c:pt idx="475">
                  <c:v>46066</c:v>
                </c:pt>
                <c:pt idx="476">
                  <c:v>46073</c:v>
                </c:pt>
                <c:pt idx="477">
                  <c:v>46080</c:v>
                </c:pt>
                <c:pt idx="478">
                  <c:v>46087</c:v>
                </c:pt>
                <c:pt idx="479">
                  <c:v>46094</c:v>
                </c:pt>
                <c:pt idx="480">
                  <c:v>46101</c:v>
                </c:pt>
                <c:pt idx="481">
                  <c:v>46108</c:v>
                </c:pt>
                <c:pt idx="482">
                  <c:v>46115</c:v>
                </c:pt>
                <c:pt idx="483">
                  <c:v>46122</c:v>
                </c:pt>
                <c:pt idx="484">
                  <c:v>46129</c:v>
                </c:pt>
                <c:pt idx="485">
                  <c:v>46136</c:v>
                </c:pt>
                <c:pt idx="486">
                  <c:v>46143</c:v>
                </c:pt>
                <c:pt idx="487">
                  <c:v>46150</c:v>
                </c:pt>
                <c:pt idx="488">
                  <c:v>46157</c:v>
                </c:pt>
                <c:pt idx="489">
                  <c:v>46164</c:v>
                </c:pt>
                <c:pt idx="490">
                  <c:v>46171</c:v>
                </c:pt>
                <c:pt idx="491">
                  <c:v>46178</c:v>
                </c:pt>
                <c:pt idx="492">
                  <c:v>46185</c:v>
                </c:pt>
                <c:pt idx="493">
                  <c:v>46192</c:v>
                </c:pt>
                <c:pt idx="494">
                  <c:v>46199</c:v>
                </c:pt>
                <c:pt idx="495">
                  <c:v>46206</c:v>
                </c:pt>
                <c:pt idx="496">
                  <c:v>46213</c:v>
                </c:pt>
                <c:pt idx="497">
                  <c:v>46220</c:v>
                </c:pt>
                <c:pt idx="498">
                  <c:v>46227</c:v>
                </c:pt>
                <c:pt idx="499">
                  <c:v>46234</c:v>
                </c:pt>
              </c:numCache>
            </c:numRef>
          </c:cat>
          <c:val>
            <c:numRef>
              <c:f>Summary!$K$87:$K$586</c:f>
              <c:numCache>
                <c:formatCode>0.0\x_);\(0.0\x\)</c:formatCode>
                <c:ptCount val="500"/>
                <c:pt idx="0">
                  <c:v>6.2716608862213787</c:v>
                </c:pt>
                <c:pt idx="1">
                  <c:v>6.4099472059093081</c:v>
                </c:pt>
                <c:pt idx="2">
                  <c:v>6.6624179790675297</c:v>
                </c:pt>
                <c:pt idx="3">
                  <c:v>6.8330981047791912</c:v>
                </c:pt>
                <c:pt idx="4">
                  <c:v>6.8756048191515529</c:v>
                </c:pt>
                <c:pt idx="5">
                  <c:v>7.2553197699963308</c:v>
                </c:pt>
                <c:pt idx="6">
                  <c:v>7.6130230244236898</c:v>
                </c:pt>
                <c:pt idx="7">
                  <c:v>7.5919971358587954</c:v>
                </c:pt>
                <c:pt idx="8">
                  <c:v>7.3427156940333491</c:v>
                </c:pt>
                <c:pt idx="9">
                  <c:v>7.7994450072161952</c:v>
                </c:pt>
                <c:pt idx="10">
                  <c:v>8.1009519394447906</c:v>
                </c:pt>
                <c:pt idx="11">
                  <c:v>8.3046108543937507</c:v>
                </c:pt>
                <c:pt idx="12">
                  <c:v>8.7816155704016694</c:v>
                </c:pt>
                <c:pt idx="13">
                  <c:v>8.8094699326113144</c:v>
                </c:pt>
                <c:pt idx="14">
                  <c:v>9.0256043188564252</c:v>
                </c:pt>
                <c:pt idx="15">
                  <c:v>9.7316181890105806</c:v>
                </c:pt>
                <c:pt idx="16">
                  <c:v>9.5669284548041382</c:v>
                </c:pt>
                <c:pt idx="17">
                  <c:v>10.23506011254565</c:v>
                </c:pt>
                <c:pt idx="18">
                  <c:v>11.174965458530428</c:v>
                </c:pt>
                <c:pt idx="19">
                  <c:v>10.508015250882078</c:v>
                </c:pt>
                <c:pt idx="20">
                  <c:v>10.673563810011037</c:v>
                </c:pt>
                <c:pt idx="21">
                  <c:v>11.437009007776723</c:v>
                </c:pt>
                <c:pt idx="22">
                  <c:v>10.627751198331509</c:v>
                </c:pt>
                <c:pt idx="23">
                  <c:v>10.001901713614444</c:v>
                </c:pt>
                <c:pt idx="24">
                  <c:v>10.830688274888516</c:v>
                </c:pt>
                <c:pt idx="25">
                  <c:v>9.6101238642409896</c:v>
                </c:pt>
                <c:pt idx="26">
                  <c:v>9.8043235739460606</c:v>
                </c:pt>
                <c:pt idx="27">
                  <c:v>10.169455315373199</c:v>
                </c:pt>
                <c:pt idx="28">
                  <c:v>9.7385450132870197</c:v>
                </c:pt>
                <c:pt idx="29">
                  <c:v>10.108649418714261</c:v>
                </c:pt>
                <c:pt idx="30">
                  <c:v>10.002136504891373</c:v>
                </c:pt>
                <c:pt idx="31">
                  <c:v>9.4112212555650743</c:v>
                </c:pt>
                <c:pt idx="32">
                  <c:v>9.6781767339192548</c:v>
                </c:pt>
                <c:pt idx="33">
                  <c:v>10.662316505494006</c:v>
                </c:pt>
                <c:pt idx="34">
                  <c:v>11.397963753289925</c:v>
                </c:pt>
                <c:pt idx="35">
                  <c:v>11.620702608533435</c:v>
                </c:pt>
                <c:pt idx="36">
                  <c:v>12.287546249522258</c:v>
                </c:pt>
                <c:pt idx="37">
                  <c:v>12.211427952685918</c:v>
                </c:pt>
                <c:pt idx="38">
                  <c:v>12.33591912245234</c:v>
                </c:pt>
                <c:pt idx="39">
                  <c:v>10.133826780207929</c:v>
                </c:pt>
                <c:pt idx="40">
                  <c:v>9.650442363570777</c:v>
                </c:pt>
                <c:pt idx="41">
                  <c:v>10.454743685806301</c:v>
                </c:pt>
                <c:pt idx="42">
                  <c:v>10.970182118600466</c:v>
                </c:pt>
                <c:pt idx="43">
                  <c:v>9.7373801003370666</c:v>
                </c:pt>
                <c:pt idx="44">
                  <c:v>9.8183032255085632</c:v>
                </c:pt>
                <c:pt idx="45">
                  <c:v>10.283701251637863</c:v>
                </c:pt>
                <c:pt idx="46">
                  <c:v>10.961758056900088</c:v>
                </c:pt>
                <c:pt idx="47">
                  <c:v>9.9778473462083728</c:v>
                </c:pt>
                <c:pt idx="48">
                  <c:v>9.6537450845000485</c:v>
                </c:pt>
                <c:pt idx="49">
                  <c:v>10.063284220723295</c:v>
                </c:pt>
                <c:pt idx="50">
                  <c:v>9.8615127521809658</c:v>
                </c:pt>
                <c:pt idx="51">
                  <c:v>9.1710860503359566</c:v>
                </c:pt>
                <c:pt idx="52">
                  <c:v>10.071035166938133</c:v>
                </c:pt>
                <c:pt idx="53">
                  <c:v>10.226787948208644</c:v>
                </c:pt>
                <c:pt idx="54">
                  <c:v>10.425948608180692</c:v>
                </c:pt>
                <c:pt idx="55">
                  <c:v>11.692502042160845</c:v>
                </c:pt>
                <c:pt idx="56">
                  <c:v>11.192187447872476</c:v>
                </c:pt>
                <c:pt idx="57">
                  <c:v>10.58266898231372</c:v>
                </c:pt>
                <c:pt idx="58">
                  <c:v>11.693606594888056</c:v>
                </c:pt>
                <c:pt idx="59">
                  <c:v>11.566161710998358</c:v>
                </c:pt>
                <c:pt idx="60">
                  <c:v>11.465729301895298</c:v>
                </c:pt>
                <c:pt idx="61">
                  <c:v>12.502775088416435</c:v>
                </c:pt>
                <c:pt idx="62">
                  <c:v>12.246799399361834</c:v>
                </c:pt>
                <c:pt idx="63">
                  <c:v>11.662787279389649</c:v>
                </c:pt>
                <c:pt idx="64">
                  <c:v>10.26152277854718</c:v>
                </c:pt>
                <c:pt idx="65">
                  <c:v>9.5158551512894309</c:v>
                </c:pt>
                <c:pt idx="66">
                  <c:v>9.4624874502650549</c:v>
                </c:pt>
                <c:pt idx="67">
                  <c:v>10.256420161706972</c:v>
                </c:pt>
                <c:pt idx="68">
                  <c:v>10.175197584461259</c:v>
                </c:pt>
                <c:pt idx="69">
                  <c:v>10.782395615561182</c:v>
                </c:pt>
                <c:pt idx="70">
                  <c:v>11.453352360027207</c:v>
                </c:pt>
                <c:pt idx="71">
                  <c:v>11.610615044849569</c:v>
                </c:pt>
                <c:pt idx="72">
                  <c:v>11.238999429017721</c:v>
                </c:pt>
                <c:pt idx="73">
                  <c:v>11.793864598309487</c:v>
                </c:pt>
                <c:pt idx="74">
                  <c:v>12.761987770068659</c:v>
                </c:pt>
                <c:pt idx="75">
                  <c:v>13.141778905816981</c:v>
                </c:pt>
                <c:pt idx="76">
                  <c:v>12.557309874792098</c:v>
                </c:pt>
                <c:pt idx="77">
                  <c:v>11.524850517864049</c:v>
                </c:pt>
                <c:pt idx="78">
                  <c:v>12.410392726167627</c:v>
                </c:pt>
                <c:pt idx="79">
                  <c:v>13.150675640562966</c:v>
                </c:pt>
                <c:pt idx="80">
                  <c:v>13.49419085685617</c:v>
                </c:pt>
                <c:pt idx="81">
                  <c:v>12.413040931653155</c:v>
                </c:pt>
                <c:pt idx="82">
                  <c:v>10.639751017455245</c:v>
                </c:pt>
                <c:pt idx="83">
                  <c:v>11.192376560545961</c:v>
                </c:pt>
                <c:pt idx="84">
                  <c:v>10.12967844042444</c:v>
                </c:pt>
                <c:pt idx="85">
                  <c:v>10.3488023269806</c:v>
                </c:pt>
                <c:pt idx="86">
                  <c:v>10.686929111028938</c:v>
                </c:pt>
                <c:pt idx="87">
                  <c:v>10.215714960142845</c:v>
                </c:pt>
                <c:pt idx="88">
                  <c:v>11.292128616834725</c:v>
                </c:pt>
                <c:pt idx="89">
                  <c:v>11.753337839696362</c:v>
                </c:pt>
                <c:pt idx="90">
                  <c:v>11.977594413524216</c:v>
                </c:pt>
                <c:pt idx="91">
                  <c:v>10.399019291576664</c:v>
                </c:pt>
                <c:pt idx="92">
                  <c:v>9.5143046244938123</c:v>
                </c:pt>
                <c:pt idx="93">
                  <c:v>8.8185279831210135</c:v>
                </c:pt>
                <c:pt idx="94">
                  <c:v>9.0148263876622199</c:v>
                </c:pt>
                <c:pt idx="95">
                  <c:v>9.9194199517924666</c:v>
                </c:pt>
                <c:pt idx="96">
                  <c:v>9.5126159058982687</c:v>
                </c:pt>
                <c:pt idx="97">
                  <c:v>10.218222626794256</c:v>
                </c:pt>
                <c:pt idx="98">
                  <c:v>8.9519007501925518</c:v>
                </c:pt>
                <c:pt idx="99">
                  <c:v>10.226168608717867</c:v>
                </c:pt>
                <c:pt idx="100">
                  <c:v>9.745202440799023</c:v>
                </c:pt>
                <c:pt idx="101">
                  <c:v>9.1992193334256669</c:v>
                </c:pt>
                <c:pt idx="102">
                  <c:v>7.8530145611726336</c:v>
                </c:pt>
                <c:pt idx="103">
                  <c:v>8.6122401037968768</c:v>
                </c:pt>
                <c:pt idx="104">
                  <c:v>8.5378889630153338</c:v>
                </c:pt>
                <c:pt idx="105">
                  <c:v>9.2935017187319815</c:v>
                </c:pt>
                <c:pt idx="106">
                  <c:v>9.8699648309078327</c:v>
                </c:pt>
                <c:pt idx="107">
                  <c:v>10.118067799890198</c:v>
                </c:pt>
                <c:pt idx="108">
                  <c:v>10.592780231843435</c:v>
                </c:pt>
                <c:pt idx="109">
                  <c:v>10.898837872305718</c:v>
                </c:pt>
                <c:pt idx="110">
                  <c:v>10.892058563767304</c:v>
                </c:pt>
                <c:pt idx="111">
                  <c:v>11.197689637298344</c:v>
                </c:pt>
                <c:pt idx="112">
                  <c:v>11.65359259573391</c:v>
                </c:pt>
                <c:pt idx="113">
                  <c:v>11.468540898227126</c:v>
                </c:pt>
                <c:pt idx="114">
                  <c:v>12.483734725995397</c:v>
                </c:pt>
                <c:pt idx="115">
                  <c:v>11.933637751708508</c:v>
                </c:pt>
                <c:pt idx="116">
                  <c:v>13.032971643362911</c:v>
                </c:pt>
                <c:pt idx="117">
                  <c:v>12.271247750074361</c:v>
                </c:pt>
                <c:pt idx="118">
                  <c:v>13.444304705918434</c:v>
                </c:pt>
                <c:pt idx="119">
                  <c:v>13.780465257449919</c:v>
                </c:pt>
                <c:pt idx="120">
                  <c:v>13.781686489553296</c:v>
                </c:pt>
                <c:pt idx="121">
                  <c:v>16.232476922469285</c:v>
                </c:pt>
                <c:pt idx="122">
                  <c:v>15.800201286741459</c:v>
                </c:pt>
                <c:pt idx="123">
                  <c:v>16.667455727073918</c:v>
                </c:pt>
                <c:pt idx="124">
                  <c:v>16.727387574401803</c:v>
                </c:pt>
                <c:pt idx="125">
                  <c:v>16.583169436576309</c:v>
                </c:pt>
                <c:pt idx="126">
                  <c:v>18.422487833424416</c:v>
                </c:pt>
                <c:pt idx="127">
                  <c:v>18.325718195658155</c:v>
                </c:pt>
                <c:pt idx="128">
                  <c:v>19.59562412770925</c:v>
                </c:pt>
                <c:pt idx="129">
                  <c:v>17.968814733566894</c:v>
                </c:pt>
                <c:pt idx="130">
                  <c:v>18.721673106986987</c:v>
                </c:pt>
                <c:pt idx="131">
                  <c:v>18.387715873422021</c:v>
                </c:pt>
                <c:pt idx="132">
                  <c:v>19.540278308588306</c:v>
                </c:pt>
                <c:pt idx="133">
                  <c:v>19.843366406808457</c:v>
                </c:pt>
                <c:pt idx="134">
                  <c:v>19.086408029013651</c:v>
                </c:pt>
                <c:pt idx="135">
                  <c:v>21.243416677340974</c:v>
                </c:pt>
                <c:pt idx="136">
                  <c:v>20.447531199285432</c:v>
                </c:pt>
                <c:pt idx="137">
                  <c:v>21.771437001088792</c:v>
                </c:pt>
                <c:pt idx="138">
                  <c:v>21.80830388874455</c:v>
                </c:pt>
                <c:pt idx="139">
                  <c:v>21.384790151835599</c:v>
                </c:pt>
                <c:pt idx="140">
                  <c:v>18.782715740102411</c:v>
                </c:pt>
                <c:pt idx="141">
                  <c:v>17.547144834896873</c:v>
                </c:pt>
                <c:pt idx="142">
                  <c:v>16.685887749315878</c:v>
                </c:pt>
                <c:pt idx="143">
                  <c:v>17.683978337658157</c:v>
                </c:pt>
                <c:pt idx="144">
                  <c:v>17.61531284687813</c:v>
                </c:pt>
                <c:pt idx="145">
                  <c:v>16.60790930393085</c:v>
                </c:pt>
                <c:pt idx="146">
                  <c:v>16.794871946593453</c:v>
                </c:pt>
                <c:pt idx="147">
                  <c:v>16.37979527721679</c:v>
                </c:pt>
                <c:pt idx="148">
                  <c:v>15.231126412519263</c:v>
                </c:pt>
                <c:pt idx="149">
                  <c:v>15.961813035156673</c:v>
                </c:pt>
                <c:pt idx="150">
                  <c:v>15.909333268298742</c:v>
                </c:pt>
                <c:pt idx="151">
                  <c:v>17.035206680804123</c:v>
                </c:pt>
                <c:pt idx="152">
                  <c:v>18.453333250460542</c:v>
                </c:pt>
                <c:pt idx="153">
                  <c:v>19.486365978824644</c:v>
                </c:pt>
                <c:pt idx="154">
                  <c:v>19.612548536561668</c:v>
                </c:pt>
                <c:pt idx="155">
                  <c:v>20.466246273006234</c:v>
                </c:pt>
                <c:pt idx="156">
                  <c:v>20.24140632880011</c:v>
                </c:pt>
                <c:pt idx="157">
                  <c:v>21.416196468827895</c:v>
                </c:pt>
                <c:pt idx="158">
                  <c:v>22.593129064680472</c:v>
                </c:pt>
                <c:pt idx="159">
                  <c:v>23.222379672603559</c:v>
                </c:pt>
                <c:pt idx="160">
                  <c:v>23.076125607818696</c:v>
                </c:pt>
                <c:pt idx="161">
                  <c:v>23.592273517275334</c:v>
                </c:pt>
                <c:pt idx="162">
                  <c:v>25.243676673910336</c:v>
                </c:pt>
                <c:pt idx="163">
                  <c:v>24.559258664097577</c:v>
                </c:pt>
                <c:pt idx="164">
                  <c:v>21.595482943675474</c:v>
                </c:pt>
                <c:pt idx="165">
                  <c:v>21.902181969004875</c:v>
                </c:pt>
                <c:pt idx="166">
                  <c:v>17.804450887776859</c:v>
                </c:pt>
                <c:pt idx="167">
                  <c:v>15.585499069743909</c:v>
                </c:pt>
                <c:pt idx="168">
                  <c:v>19.15686775739735</c:v>
                </c:pt>
                <c:pt idx="169">
                  <c:v>17.274075145793173</c:v>
                </c:pt>
                <c:pt idx="170">
                  <c:v>20.401816541922052</c:v>
                </c:pt>
                <c:pt idx="171">
                  <c:v>29.17864365285601</c:v>
                </c:pt>
                <c:pt idx="172">
                  <c:v>31.741905323644218</c:v>
                </c:pt>
                <c:pt idx="173">
                  <c:v>29.976537868983563</c:v>
                </c:pt>
                <c:pt idx="174">
                  <c:v>33.073328961857733</c:v>
                </c:pt>
                <c:pt idx="175">
                  <c:v>35.647216173407884</c:v>
                </c:pt>
                <c:pt idx="176">
                  <c:v>38.160562663009358</c:v>
                </c:pt>
                <c:pt idx="177">
                  <c:v>34.812798484140629</c:v>
                </c:pt>
                <c:pt idx="178">
                  <c:v>33.200036846718106</c:v>
                </c:pt>
                <c:pt idx="179">
                  <c:v>33.633785161871209</c:v>
                </c:pt>
                <c:pt idx="180">
                  <c:v>39.845169366147303</c:v>
                </c:pt>
                <c:pt idx="181">
                  <c:v>40.914441055423538</c:v>
                </c:pt>
                <c:pt idx="182">
                  <c:v>47.95682121739928</c:v>
                </c:pt>
                <c:pt idx="183">
                  <c:v>47.733267801300308</c:v>
                </c:pt>
                <c:pt idx="184">
                  <c:v>42.348382980652893</c:v>
                </c:pt>
                <c:pt idx="185">
                  <c:v>41.964106892688861</c:v>
                </c:pt>
                <c:pt idx="186">
                  <c:v>40.217172529272489</c:v>
                </c:pt>
                <c:pt idx="187">
                  <c:v>41.180429915117095</c:v>
                </c:pt>
                <c:pt idx="188">
                  <c:v>38.228175279477945</c:v>
                </c:pt>
                <c:pt idx="189">
                  <c:v>39.357383241189197</c:v>
                </c:pt>
                <c:pt idx="190">
                  <c:v>39.968455832291696</c:v>
                </c:pt>
                <c:pt idx="191">
                  <c:v>37.048918210657362</c:v>
                </c:pt>
                <c:pt idx="192">
                  <c:v>34.570615828937989</c:v>
                </c:pt>
                <c:pt idx="193">
                  <c:v>33.869810360781081</c:v>
                </c:pt>
                <c:pt idx="194">
                  <c:v>36.014740089163318</c:v>
                </c:pt>
                <c:pt idx="195">
                  <c:v>38.624427615640116</c:v>
                </c:pt>
                <c:pt idx="196">
                  <c:v>40.98912993592073</c:v>
                </c:pt>
                <c:pt idx="197">
                  <c:v>39.529709555698744</c:v>
                </c:pt>
                <c:pt idx="198">
                  <c:v>37.740025107859125</c:v>
                </c:pt>
                <c:pt idx="199">
                  <c:v>30.839430619752942</c:v>
                </c:pt>
                <c:pt idx="200">
                  <c:v>34.571301837019639</c:v>
                </c:pt>
                <c:pt idx="201">
                  <c:v>30.054442155901679</c:v>
                </c:pt>
                <c:pt idx="202">
                  <c:v>32.274212513830904</c:v>
                </c:pt>
                <c:pt idx="203">
                  <c:v>33.678256911184739</c:v>
                </c:pt>
                <c:pt idx="204">
                  <c:v>34.057427735699278</c:v>
                </c:pt>
                <c:pt idx="205">
                  <c:v>34.0281533659914</c:v>
                </c:pt>
                <c:pt idx="206">
                  <c:v>37.640167437013879</c:v>
                </c:pt>
                <c:pt idx="207">
                  <c:v>39.300651583497654</c:v>
                </c:pt>
                <c:pt idx="208">
                  <c:v>35.518496781060527</c:v>
                </c:pt>
                <c:pt idx="209">
                  <c:v>37.027995021630566</c:v>
                </c:pt>
                <c:pt idx="210">
                  <c:v>36.013008891166784</c:v>
                </c:pt>
                <c:pt idx="211">
                  <c:v>36.654462657212235</c:v>
                </c:pt>
                <c:pt idx="212">
                  <c:v>33.237271291629504</c:v>
                </c:pt>
                <c:pt idx="213">
                  <c:v>38.766734709000787</c:v>
                </c:pt>
                <c:pt idx="214">
                  <c:v>43.625292310242074</c:v>
                </c:pt>
                <c:pt idx="215">
                  <c:v>40.367484846989626</c:v>
                </c:pt>
                <c:pt idx="216">
                  <c:v>35.665926359483088</c:v>
                </c:pt>
                <c:pt idx="217">
                  <c:v>31.140295813337033</c:v>
                </c:pt>
                <c:pt idx="218">
                  <c:v>31.232684971435791</c:v>
                </c:pt>
                <c:pt idx="219">
                  <c:v>30.386945309931484</c:v>
                </c:pt>
                <c:pt idx="220">
                  <c:v>28.634718455245583</c:v>
                </c:pt>
                <c:pt idx="221">
                  <c:v>31.499461925454145</c:v>
                </c:pt>
                <c:pt idx="222">
                  <c:v>33.322198589481246</c:v>
                </c:pt>
                <c:pt idx="223">
                  <c:v>32.567910148594535</c:v>
                </c:pt>
                <c:pt idx="224">
                  <c:v>29.093081362091013</c:v>
                </c:pt>
                <c:pt idx="225">
                  <c:v>29.247522073711242</c:v>
                </c:pt>
                <c:pt idx="226">
                  <c:v>27.175232594206193</c:v>
                </c:pt>
                <c:pt idx="227">
                  <c:v>26.350801355162591</c:v>
                </c:pt>
                <c:pt idx="228">
                  <c:v>29.74025395215499</c:v>
                </c:pt>
                <c:pt idx="229">
                  <c:v>29.914245775879756</c:v>
                </c:pt>
                <c:pt idx="230">
                  <c:v>28.81823548911256</c:v>
                </c:pt>
                <c:pt idx="231">
                  <c:v>29.688608755677155</c:v>
                </c:pt>
                <c:pt idx="232">
                  <c:v>34.970953747261717</c:v>
                </c:pt>
                <c:pt idx="233">
                  <c:v>34.947626110662611</c:v>
                </c:pt>
                <c:pt idx="234">
                  <c:v>34.787830188187527</c:v>
                </c:pt>
                <c:pt idx="235">
                  <c:v>35.290096899652156</c:v>
                </c:pt>
                <c:pt idx="236">
                  <c:v>33.641420676369172</c:v>
                </c:pt>
                <c:pt idx="237">
                  <c:v>38.133737489453495</c:v>
                </c:pt>
                <c:pt idx="238">
                  <c:v>33.307983157414192</c:v>
                </c:pt>
                <c:pt idx="239">
                  <c:v>33.626561080730824</c:v>
                </c:pt>
                <c:pt idx="240">
                  <c:v>32.843185190530185</c:v>
                </c:pt>
                <c:pt idx="241">
                  <c:v>31.596263457628762</c:v>
                </c:pt>
                <c:pt idx="242">
                  <c:v>33.242654542541551</c:v>
                </c:pt>
                <c:pt idx="243">
                  <c:v>33.57612641570622</c:v>
                </c:pt>
                <c:pt idx="244">
                  <c:v>31.832729630704844</c:v>
                </c:pt>
                <c:pt idx="245">
                  <c:v>31.713421612193891</c:v>
                </c:pt>
                <c:pt idx="246">
                  <c:v>30.727805033074514</c:v>
                </c:pt>
                <c:pt idx="247">
                  <c:v>28.570432285899805</c:v>
                </c:pt>
                <c:pt idx="248">
                  <c:v>29.000335332371236</c:v>
                </c:pt>
                <c:pt idx="249">
                  <c:v>29.810701160903598</c:v>
                </c:pt>
                <c:pt idx="250">
                  <c:v>29.796098094686027</c:v>
                </c:pt>
                <c:pt idx="251">
                  <c:v>30.938250535373061</c:v>
                </c:pt>
                <c:pt idx="252">
                  <c:v>32.138118710267541</c:v>
                </c:pt>
                <c:pt idx="253">
                  <c:v>35.08078371126058</c:v>
                </c:pt>
                <c:pt idx="254">
                  <c:v>35.3640665961791</c:v>
                </c:pt>
                <c:pt idx="255">
                  <c:v>32.746040756364792</c:v>
                </c:pt>
                <c:pt idx="256">
                  <c:v>28.939380904838067</c:v>
                </c:pt>
                <c:pt idx="257">
                  <c:v>29.881057578080163</c:v>
                </c:pt>
                <c:pt idx="258">
                  <c:v>26.821580729322772</c:v>
                </c:pt>
                <c:pt idx="259">
                  <c:v>29.145667954877904</c:v>
                </c:pt>
                <c:pt idx="260">
                  <c:v>27.590948260914786</c:v>
                </c:pt>
                <c:pt idx="261">
                  <c:v>22.578536153896355</c:v>
                </c:pt>
                <c:pt idx="262">
                  <c:v>21.574528491115696</c:v>
                </c:pt>
                <c:pt idx="263">
                  <c:v>16.922269326510563</c:v>
                </c:pt>
                <c:pt idx="264">
                  <c:v>16.609753030149523</c:v>
                </c:pt>
                <c:pt idx="265">
                  <c:v>16.57838128556164</c:v>
                </c:pt>
                <c:pt idx="266">
                  <c:v>16.082693480426112</c:v>
                </c:pt>
                <c:pt idx="267">
                  <c:v>12.119941529613531</c:v>
                </c:pt>
                <c:pt idx="268">
                  <c:v>12.447732588948963</c:v>
                </c:pt>
                <c:pt idx="269">
                  <c:v>10.86163090613042</c:v>
                </c:pt>
                <c:pt idx="270">
                  <c:v>9.7231265918215772</c:v>
                </c:pt>
                <c:pt idx="271">
                  <c:v>14.295985463401605</c:v>
                </c:pt>
                <c:pt idx="272">
                  <c:v>12.237620844109451</c:v>
                </c:pt>
                <c:pt idx="273">
                  <c:v>12.359277294335971</c:v>
                </c:pt>
                <c:pt idx="274">
                  <c:v>10.577959109758208</c:v>
                </c:pt>
                <c:pt idx="275">
                  <c:v>10.079907472828024</c:v>
                </c:pt>
                <c:pt idx="276">
                  <c:v>7.7602310493724174</c:v>
                </c:pt>
                <c:pt idx="277">
                  <c:v>7.1173461494980259</c:v>
                </c:pt>
                <c:pt idx="278">
                  <c:v>6.3549920158421331</c:v>
                </c:pt>
                <c:pt idx="279">
                  <c:v>6.8122560944757655</c:v>
                </c:pt>
                <c:pt idx="280">
                  <c:v>6.0367920157578441</c:v>
                </c:pt>
                <c:pt idx="281">
                  <c:v>6.148813771978765</c:v>
                </c:pt>
                <c:pt idx="282">
                  <c:v>5.8310580444062952</c:v>
                </c:pt>
                <c:pt idx="283">
                  <c:v>5.7040501574399931</c:v>
                </c:pt>
                <c:pt idx="284">
                  <c:v>5.0732303462782999</c:v>
                </c:pt>
                <c:pt idx="285">
                  <c:v>6.3565909325540355</c:v>
                </c:pt>
                <c:pt idx="286">
                  <c:v>5.0424026310215817</c:v>
                </c:pt>
                <c:pt idx="287">
                  <c:v>5.8046773686980373</c:v>
                </c:pt>
                <c:pt idx="288">
                  <c:v>4.9889505289305962</c:v>
                </c:pt>
                <c:pt idx="289">
                  <c:v>6.15816792923889</c:v>
                </c:pt>
                <c:pt idx="290">
                  <c:v>6.0209908310429521</c:v>
                </c:pt>
                <c:pt idx="291">
                  <c:v>7.1899611357575388</c:v>
                </c:pt>
                <c:pt idx="292">
                  <c:v>7.1754576658595104</c:v>
                </c:pt>
                <c:pt idx="293">
                  <c:v>5.844452720423245</c:v>
                </c:pt>
                <c:pt idx="294">
                  <c:v>5.4836129220061176</c:v>
                </c:pt>
                <c:pt idx="295">
                  <c:v>5.0052642030100172</c:v>
                </c:pt>
                <c:pt idx="296">
                  <c:v>5.9420084543905265</c:v>
                </c:pt>
                <c:pt idx="297">
                  <c:v>5.3119100979480285</c:v>
                </c:pt>
                <c:pt idx="298">
                  <c:v>4.7080803697453932</c:v>
                </c:pt>
                <c:pt idx="299">
                  <c:v>4.6799233004483138</c:v>
                </c:pt>
                <c:pt idx="300">
                  <c:v>4.7151314208652328</c:v>
                </c:pt>
                <c:pt idx="301">
                  <c:v>4.4761979375680028</c:v>
                </c:pt>
                <c:pt idx="302">
                  <c:v>5.1937788061102994</c:v>
                </c:pt>
                <c:pt idx="303">
                  <c:v>6.0853478359572089</c:v>
                </c:pt>
                <c:pt idx="304">
                  <c:v>5.6667093427733013</c:v>
                </c:pt>
                <c:pt idx="305">
                  <c:v>7.0704134983530809</c:v>
                </c:pt>
                <c:pt idx="306">
                  <c:v>6.4939886229622523</c:v>
                </c:pt>
                <c:pt idx="307">
                  <c:v>6.5099591226101445</c:v>
                </c:pt>
                <c:pt idx="308">
                  <c:v>7.6960017813326056</c:v>
                </c:pt>
                <c:pt idx="309">
                  <c:v>6.7859849985438592</c:v>
                </c:pt>
                <c:pt idx="310">
                  <c:v>6.3235916082055805</c:v>
                </c:pt>
                <c:pt idx="311">
                  <c:v>5.8397195593899749</c:v>
                </c:pt>
                <c:pt idx="312">
                  <c:v>5.9750990460173039</c:v>
                </c:pt>
                <c:pt idx="313">
                  <c:v>6.4167549189526474</c:v>
                </c:pt>
                <c:pt idx="314">
                  <c:v>6.7779813623522713</c:v>
                </c:pt>
                <c:pt idx="315">
                  <c:v>7.0600415908108953</c:v>
                </c:pt>
                <c:pt idx="316">
                  <c:v>8.8171020016180357</c:v>
                </c:pt>
                <c:pt idx="317">
                  <c:v>9.2994194000407404</c:v>
                </c:pt>
                <c:pt idx="318">
                  <c:v>8.3407189193054929</c:v>
                </c:pt>
                <c:pt idx="319">
                  <c:v>7.4699228944641627</c:v>
                </c:pt>
                <c:pt idx="320">
                  <c:v>6.9128090672305378</c:v>
                </c:pt>
                <c:pt idx="321">
                  <c:v>7.3680342153585974</c:v>
                </c:pt>
                <c:pt idx="322">
                  <c:v>6.9842205637884875</c:v>
                </c:pt>
                <c:pt idx="323">
                  <c:v>7.5466485242095596</c:v>
                </c:pt>
                <c:pt idx="324">
                  <c:v>7.5716274974588069</c:v>
                </c:pt>
                <c:pt idx="325">
                  <c:v>8.0826707998816971</c:v>
                </c:pt>
                <c:pt idx="326">
                  <c:v>7.7901205925269288</c:v>
                </c:pt>
                <c:pt idx="327">
                  <c:v>7.7411913150839604</c:v>
                </c:pt>
                <c:pt idx="328">
                  <c:v>8.3735008568286613</c:v>
                </c:pt>
                <c:pt idx="329">
                  <c:v>8.0490111041033536</c:v>
                </c:pt>
                <c:pt idx="330">
                  <c:v>10.653581328744318</c:v>
                </c:pt>
                <c:pt idx="331">
                  <c:v>10.491648187582877</c:v>
                </c:pt>
                <c:pt idx="332">
                  <c:v>10.255371107757506</c:v>
                </c:pt>
                <c:pt idx="333">
                  <c:v>10.049125901303366</c:v>
                </c:pt>
                <c:pt idx="334">
                  <c:v>9.8618654327488446</c:v>
                </c:pt>
                <c:pt idx="335">
                  <c:v>10.3722082288291</c:v>
                </c:pt>
                <c:pt idx="336">
                  <c:v>10.962530509250097</c:v>
                </c:pt>
                <c:pt idx="337">
                  <c:v>10.744255877286239</c:v>
                </c:pt>
                <c:pt idx="338">
                  <c:v>10.786980256570384</c:v>
                </c:pt>
                <c:pt idx="339">
                  <c:v>10.307912078576676</c:v>
                </c:pt>
                <c:pt idx="340">
                  <c:v>11.396780286732499</c:v>
                </c:pt>
                <c:pt idx="341">
                  <c:v>10.897007607251492</c:v>
                </c:pt>
                <c:pt idx="342">
                  <c:v>10.865265094858646</c:v>
                </c:pt>
                <c:pt idx="343">
                  <c:v>9.1484951206292617</c:v>
                </c:pt>
                <c:pt idx="344">
                  <c:v>8.665860958103087</c:v>
                </c:pt>
                <c:pt idx="345">
                  <c:v>8.2610876517540426</c:v>
                </c:pt>
                <c:pt idx="346">
                  <c:v>8.6213333150845024</c:v>
                </c:pt>
                <c:pt idx="347">
                  <c:v>10.444262297469185</c:v>
                </c:pt>
                <c:pt idx="348">
                  <c:v>9.8056864242339721</c:v>
                </c:pt>
                <c:pt idx="349">
                  <c:v>9.7318234821225715</c:v>
                </c:pt>
                <c:pt idx="350">
                  <c:v>8.1403373189467221</c:v>
                </c:pt>
                <c:pt idx="351">
                  <c:v>8.4725858841480655</c:v>
                </c:pt>
                <c:pt idx="352">
                  <c:v>8.2165129641122761</c:v>
                </c:pt>
                <c:pt idx="353">
                  <c:v>7.8894963614578844</c:v>
                </c:pt>
                <c:pt idx="354">
                  <c:v>7.7124409564025358</c:v>
                </c:pt>
                <c:pt idx="355">
                  <c:v>6.9188404367826024</c:v>
                </c:pt>
                <c:pt idx="356">
                  <c:v>9.3381701436686129</c:v>
                </c:pt>
                <c:pt idx="357">
                  <c:v>9.2585096036806931</c:v>
                </c:pt>
                <c:pt idx="358">
                  <c:v>10.374425442110146</c:v>
                </c:pt>
                <c:pt idx="359">
                  <c:v>10.731286762594038</c:v>
                </c:pt>
                <c:pt idx="360">
                  <c:v>11.171931148072625</c:v>
                </c:pt>
                <c:pt idx="361">
                  <c:v>10.92763022610997</c:v>
                </c:pt>
                <c:pt idx="362">
                  <c:v>11.55056282841354</c:v>
                </c:pt>
                <c:pt idx="363">
                  <c:v>11.505017161275783</c:v>
                </c:pt>
                <c:pt idx="364">
                  <c:v>11.674121732582423</c:v>
                </c:pt>
                <c:pt idx="365">
                  <c:v>11.088020321351701</c:v>
                </c:pt>
                <c:pt idx="366">
                  <c:v>12.077489310333664</c:v>
                </c:pt>
                <c:pt idx="367">
                  <c:v>11.791381365578376</c:v>
                </c:pt>
                <c:pt idx="368">
                  <c:v>12.010296207030912</c:v>
                </c:pt>
                <c:pt idx="369">
                  <c:v>12.182973418936552</c:v>
                </c:pt>
                <c:pt idx="370">
                  <c:v>13.283877897512927</c:v>
                </c:pt>
                <c:pt idx="371">
                  <c:v>11.579545623600753</c:v>
                </c:pt>
                <c:pt idx="372">
                  <c:v>10.759339213518508</c:v>
                </c:pt>
                <c:pt idx="373">
                  <c:v>10.7797299680243</c:v>
                </c:pt>
                <c:pt idx="374">
                  <c:v>10.699737035503594</c:v>
                </c:pt>
                <c:pt idx="375">
                  <c:v>10.777106033667623</c:v>
                </c:pt>
                <c:pt idx="376">
                  <c:v>10.931743323166703</c:v>
                </c:pt>
                <c:pt idx="377">
                  <c:v>10.581071964738028</c:v>
                </c:pt>
                <c:pt idx="378">
                  <c:v>10.241772838584804</c:v>
                </c:pt>
                <c:pt idx="379">
                  <c:v>9.4764356018297153</c:v>
                </c:pt>
                <c:pt idx="380">
                  <c:v>9.3909973058023137</c:v>
                </c:pt>
                <c:pt idx="381">
                  <c:v>9.5574807540222508</c:v>
                </c:pt>
                <c:pt idx="382">
                  <c:v>9.9557522675126222</c:v>
                </c:pt>
                <c:pt idx="383">
                  <c:v>7.8024348869388955</c:v>
                </c:pt>
                <c:pt idx="384">
                  <c:v>7.7061428174451114</c:v>
                </c:pt>
                <c:pt idx="385">
                  <c:v>7.4864782985847702</c:v>
                </c:pt>
                <c:pt idx="386">
                  <c:v>7.7663114664989896</c:v>
                </c:pt>
                <c:pt idx="387">
                  <c:v>8.0785826554604494</c:v>
                </c:pt>
                <c:pt idx="388">
                  <c:v>8.8591764914367541</c:v>
                </c:pt>
                <c:pt idx="389">
                  <c:v>8.4760033843315163</c:v>
                </c:pt>
                <c:pt idx="390">
                  <c:v>8.5925478274947089</c:v>
                </c:pt>
                <c:pt idx="391">
                  <c:v>8.7730763722258889</c:v>
                </c:pt>
                <c:pt idx="392">
                  <c:v>8.3800693406357745</c:v>
                </c:pt>
                <c:pt idx="393">
                  <c:v>8.212681081545929</c:v>
                </c:pt>
                <c:pt idx="394">
                  <c:v>7.730764687697417</c:v>
                </c:pt>
                <c:pt idx="395">
                  <c:v>6.9559028894843156</c:v>
                </c:pt>
                <c:pt idx="396">
                  <c:v>8.8467015699941225</c:v>
                </c:pt>
                <c:pt idx="397">
                  <c:v>9.4811784175415852</c:v>
                </c:pt>
                <c:pt idx="398">
                  <c:v>9.6760731944477492</c:v>
                </c:pt>
                <c:pt idx="399">
                  <c:v>9.3705909433122745</c:v>
                </c:pt>
                <c:pt idx="400">
                  <c:v>8.4274792487429693</c:v>
                </c:pt>
                <c:pt idx="401">
                  <c:v>9.0937310346167095</c:v>
                </c:pt>
                <c:pt idx="402">
                  <c:v>9.8657536300652549</c:v>
                </c:pt>
                <c:pt idx="403">
                  <c:v>9.9345660848643149</c:v>
                </c:pt>
                <c:pt idx="404">
                  <c:v>10.316801439211275</c:v>
                </c:pt>
                <c:pt idx="405">
                  <c:v>10.36692980812372</c:v>
                </c:pt>
                <c:pt idx="406">
                  <c:v>10.269653606433442</c:v>
                </c:pt>
                <c:pt idx="407">
                  <c:v>9.7839203008245015</c:v>
                </c:pt>
                <c:pt idx="408">
                  <c:v>9.7448339505667843</c:v>
                </c:pt>
                <c:pt idx="409">
                  <c:v>10.739521818136966</c:v>
                </c:pt>
                <c:pt idx="410">
                  <c:v>13.016785279640747</c:v>
                </c:pt>
                <c:pt idx="411">
                  <c:v>12.766625690224409</c:v>
                </c:pt>
                <c:pt idx="412">
                  <c:v>13.779833089360157</c:v>
                </c:pt>
                <c:pt idx="413">
                  <c:v>14.075546544159135</c:v>
                </c:pt>
                <c:pt idx="414">
                  <c:v>13.529299203777072</c:v>
                </c:pt>
                <c:pt idx="415">
                  <c:v>12.795455591574513</c:v>
                </c:pt>
                <c:pt idx="416">
                  <c:v>12.653174049413897</c:v>
                </c:pt>
                <c:pt idx="417">
                  <c:v>12.722069493260292</c:v>
                </c:pt>
                <c:pt idx="418">
                  <c:v>12.008094428844167</c:v>
                </c:pt>
                <c:pt idx="419">
                  <c:v>11.967545577859317</c:v>
                </c:pt>
                <c:pt idx="420">
                  <c:v>12.390491630722181</c:v>
                </c:pt>
                <c:pt idx="421">
                  <c:v>13.437659367543587</c:v>
                </c:pt>
                <c:pt idx="422">
                  <c:v>13.396037720417684</c:v>
                </c:pt>
                <c:pt idx="423">
                  <c:v>14.432351517830444</c:v>
                </c:pt>
                <c:pt idx="424">
                  <c:v>12.940054589371055</c:v>
                </c:pt>
                <c:pt idx="425">
                  <c:v>12.506429195453164</c:v>
                </c:pt>
                <c:pt idx="426">
                  <c:v>11.043698192510668</c:v>
                </c:pt>
                <c:pt idx="427">
                  <c:v>10.391356558226661</c:v>
                </c:pt>
                <c:pt idx="428">
                  <c:v>11.423556000103408</c:v>
                </c:pt>
                <c:pt idx="429">
                  <c:v>10.545529294408816</c:v>
                </c:pt>
                <c:pt idx="430">
                  <c:v>8.2734257194512395</c:v>
                </c:pt>
                <c:pt idx="431">
                  <c:v>9.0268138848139436</c:v>
                </c:pt>
                <c:pt idx="432">
                  <c:v>9.0316987645370528</c:v>
                </c:pt>
                <c:pt idx="433">
                  <c:v>10.549573611405551</c:v>
                </c:pt>
                <c:pt idx="434">
                  <c:v>10.855531230436968</c:v>
                </c:pt>
                <c:pt idx="435">
                  <c:v>9.8016066397451276</c:v>
                </c:pt>
                <c:pt idx="436">
                  <c:v>11.845130849200629</c:v>
                </c:pt>
                <c:pt idx="437">
                  <c:v>10.770445281107634</c:v>
                </c:pt>
                <c:pt idx="438">
                  <c:v>11.304923132140235</c:v>
                </c:pt>
                <c:pt idx="439">
                  <c:v>11.789293590921847</c:v>
                </c:pt>
                <c:pt idx="440">
                  <c:v>11.067703542272554</c:v>
                </c:pt>
                <c:pt idx="441">
                  <c:v>11.159184395808348</c:v>
                </c:pt>
                <c:pt idx="442">
                  <c:v>11.95605706427917</c:v>
                </c:pt>
                <c:pt idx="443">
                  <c:v>12.167248873954788</c:v>
                </c:pt>
                <c:pt idx="444">
                  <c:v>11.652756664600822</c:v>
                </c:pt>
                <c:pt idx="445">
                  <c:v>13.213440296931754</c:v>
                </c:pt>
                <c:pt idx="446">
                  <c:v>12.988375671309125</c:v>
                </c:pt>
                <c:pt idx="447">
                  <c:v>12.316206781931863</c:v>
                </c:pt>
                <c:pt idx="448">
                  <c:v>14.962606416946967</c:v>
                </c:pt>
                <c:pt idx="449">
                  <c:v>14.059169204471166</c:v>
                </c:pt>
                <c:pt idx="450">
                  <c:v>14.023376672844954</c:v>
                </c:pt>
                <c:pt idx="451">
                  <c:v>13.892872915841028</c:v>
                </c:pt>
                <c:pt idx="452">
                  <c:v>14.417903484470763</c:v>
                </c:pt>
                <c:pt idx="453">
                  <c:v>13.991648375569824</c:v>
                </c:pt>
                <c:pt idx="454">
                  <c:v>14.967427641209762</c:v>
                </c:pt>
                <c:pt idx="455">
                  <c:v>13.5695044260969</c:v>
                </c:pt>
                <c:pt idx="456">
                  <c:v>15.592102191247401</c:v>
                </c:pt>
                <c:pt idx="457">
                  <c:v>14.521277951144759</c:v>
                </c:pt>
                <c:pt idx="458">
                  <c:v>15.075323496804275</c:v>
                </c:pt>
                <c:pt idx="459">
                  <c:v>16.530290045225023</c:v>
                </c:pt>
                <c:pt idx="460">
                  <c:v>16.610195792151796</c:v>
                </c:pt>
                <c:pt idx="461">
                  <c:v>14.106630161712745</c:v>
                </c:pt>
                <c:pt idx="462">
                  <c:v>13.448135983220398</c:v>
                </c:pt>
                <c:pt idx="463">
                  <c:v>13.531353657222924</c:v>
                </c:pt>
                <c:pt idx="464">
                  <c:v>14.667892450591056</c:v>
                </c:pt>
                <c:pt idx="465">
                  <c:v>14.670782904196162</c:v>
                </c:pt>
                <c:pt idx="466">
                  <c:v>14.926675013213226</c:v>
                </c:pt>
                <c:pt idx="467">
                  <c:v>15.365045079606016</c:v>
                </c:pt>
                <c:pt idx="468">
                  <c:v>15.303465267786207</c:v>
                </c:pt>
                <c:pt idx="469">
                  <c:v>14.130397258380988</c:v>
                </c:pt>
                <c:pt idx="470">
                  <c:v>14.732713421065069</c:v>
                </c:pt>
                <c:pt idx="471">
                  <c:v>13.746314997271734</c:v>
                </c:pt>
                <c:pt idx="472">
                  <c:v>12.030370658847046</c:v>
                </c:pt>
                <c:pt idx="473">
                  <c:v>11.460265751221003</c:v>
                </c:pt>
                <c:pt idx="474">
                  <c:v>9.6490587611910961</c:v>
                </c:pt>
                <c:pt idx="475">
                  <c:v>9.3858543703676389</c:v>
                </c:pt>
                <c:pt idx="476">
                  <c:v>10.492679989010918</c:v>
                </c:pt>
                <c:pt idx="477">
                  <c:v>9.9617634835612154</c:v>
                </c:pt>
                <c:pt idx="478">
                  <c:v>10.67555700698076</c:v>
                </c:pt>
                <c:pt idx="479">
                  <c:v>10.048152637576766</c:v>
                </c:pt>
                <c:pt idx="480">
                  <c:v>9.5029887059981881</c:v>
                </c:pt>
                <c:pt idx="481">
                  <c:v>9.0322157322685079</c:v>
                </c:pt>
                <c:pt idx="482">
                  <c:v>9.5227193978332512</c:v>
                </c:pt>
                <c:pt idx="483">
                  <c:v>8.8717542633298816</c:v>
                </c:pt>
                <c:pt idx="484">
                  <c:v>10.517910581593997</c:v>
                </c:pt>
                <c:pt idx="485">
                  <c:v>10.007756698283835</c:v>
                </c:pt>
                <c:pt idx="486">
                  <c:v>10.147994680359748</c:v>
                </c:pt>
                <c:pt idx="487">
                  <c:v>8.5675206589998911</c:v>
                </c:pt>
                <c:pt idx="488">
                  <c:v>7.7408889065251349</c:v>
                </c:pt>
                <c:pt idx="489">
                  <c:v>7.9397363734980138</c:v>
                </c:pt>
                <c:pt idx="490">
                  <c:v>9.2058992818501242</c:v>
                </c:pt>
                <c:pt idx="491">
                  <c:v>8.4040000184688051</c:v>
                </c:pt>
                <c:pt idx="492">
                  <c:v>8.2620537378352079</c:v>
                </c:pt>
                <c:pt idx="493">
                  <c:v>8.1124956505913772</c:v>
                </c:pt>
                <c:pt idx="494">
                  <c:v>8.8432903714987905</c:v>
                </c:pt>
                <c:pt idx="495">
                  <c:v>9.1296133210705861</c:v>
                </c:pt>
                <c:pt idx="496">
                  <c:v>9.2265257174375304</c:v>
                </c:pt>
                <c:pt idx="497">
                  <c:v>9.2642526073285261</c:v>
                </c:pt>
                <c:pt idx="498">
                  <c:v>8.4847907888010106</c:v>
                </c:pt>
                <c:pt idx="499">
                  <c:v>8.6912887870744981</c:v>
                </c:pt>
              </c:numCache>
            </c:numRef>
          </c:val>
          <c:smooth val="0"/>
          <c:extLst>
            <c:ext xmlns:c16="http://schemas.microsoft.com/office/drawing/2014/chart" uri="{C3380CC4-5D6E-409C-BE32-E72D297353CC}">
              <c16:uniqueId val="{00000000-7DC3-42CC-826D-387680A8B18A}"/>
            </c:ext>
          </c:extLst>
        </c:ser>
        <c:ser>
          <c:idx val="1"/>
          <c:order val="1"/>
          <c:tx>
            <c:strRef>
              <c:f>Summary!$L$86</c:f>
              <c:strCache>
                <c:ptCount val="1"/>
                <c:pt idx="0">
                  <c:v>SHOP Mean</c:v>
                </c:pt>
              </c:strCache>
            </c:strRef>
          </c:tx>
          <c:spPr>
            <a:ln w="28575" cap="rnd">
              <a:solidFill>
                <a:schemeClr val="accent3"/>
              </a:solidFill>
              <a:prstDash val="sysDash"/>
              <a:round/>
            </a:ln>
            <a:effectLst/>
          </c:spPr>
          <c:marker>
            <c:symbol val="none"/>
          </c:marker>
          <c:cat>
            <c:numRef>
              <c:f>Summary!$B$87:$B$586</c:f>
              <c:numCache>
                <c:formatCode>m/d/yyyy</c:formatCode>
                <c:ptCount val="500"/>
                <c:pt idx="0">
                  <c:v>42741</c:v>
                </c:pt>
                <c:pt idx="1">
                  <c:v>42748</c:v>
                </c:pt>
                <c:pt idx="2">
                  <c:v>42755</c:v>
                </c:pt>
                <c:pt idx="3">
                  <c:v>42762</c:v>
                </c:pt>
                <c:pt idx="4">
                  <c:v>42769</c:v>
                </c:pt>
                <c:pt idx="5">
                  <c:v>42776</c:v>
                </c:pt>
                <c:pt idx="6">
                  <c:v>42783</c:v>
                </c:pt>
                <c:pt idx="7">
                  <c:v>42790</c:v>
                </c:pt>
                <c:pt idx="8">
                  <c:v>42797</c:v>
                </c:pt>
                <c:pt idx="9">
                  <c:v>42804</c:v>
                </c:pt>
                <c:pt idx="10">
                  <c:v>42811</c:v>
                </c:pt>
                <c:pt idx="11">
                  <c:v>42818</c:v>
                </c:pt>
                <c:pt idx="12">
                  <c:v>42825</c:v>
                </c:pt>
                <c:pt idx="13">
                  <c:v>42832</c:v>
                </c:pt>
                <c:pt idx="14">
                  <c:v>42839</c:v>
                </c:pt>
                <c:pt idx="15">
                  <c:v>42846</c:v>
                </c:pt>
                <c:pt idx="16">
                  <c:v>42853</c:v>
                </c:pt>
                <c:pt idx="17">
                  <c:v>42860</c:v>
                </c:pt>
                <c:pt idx="18">
                  <c:v>42867</c:v>
                </c:pt>
                <c:pt idx="19">
                  <c:v>42874</c:v>
                </c:pt>
                <c:pt idx="20">
                  <c:v>42881</c:v>
                </c:pt>
                <c:pt idx="21">
                  <c:v>42888</c:v>
                </c:pt>
                <c:pt idx="22">
                  <c:v>42895</c:v>
                </c:pt>
                <c:pt idx="23">
                  <c:v>42902</c:v>
                </c:pt>
                <c:pt idx="24">
                  <c:v>42909</c:v>
                </c:pt>
                <c:pt idx="25">
                  <c:v>42916</c:v>
                </c:pt>
                <c:pt idx="26">
                  <c:v>42923</c:v>
                </c:pt>
                <c:pt idx="27">
                  <c:v>42930</c:v>
                </c:pt>
                <c:pt idx="28">
                  <c:v>42937</c:v>
                </c:pt>
                <c:pt idx="29">
                  <c:v>42944</c:v>
                </c:pt>
                <c:pt idx="30">
                  <c:v>42951</c:v>
                </c:pt>
                <c:pt idx="31">
                  <c:v>42958</c:v>
                </c:pt>
                <c:pt idx="32">
                  <c:v>42965</c:v>
                </c:pt>
                <c:pt idx="33">
                  <c:v>42972</c:v>
                </c:pt>
                <c:pt idx="34">
                  <c:v>42979</c:v>
                </c:pt>
                <c:pt idx="35">
                  <c:v>42986</c:v>
                </c:pt>
                <c:pt idx="36">
                  <c:v>42993</c:v>
                </c:pt>
                <c:pt idx="37">
                  <c:v>43000</c:v>
                </c:pt>
                <c:pt idx="38">
                  <c:v>43007</c:v>
                </c:pt>
                <c:pt idx="39">
                  <c:v>43014</c:v>
                </c:pt>
                <c:pt idx="40">
                  <c:v>43021</c:v>
                </c:pt>
                <c:pt idx="41">
                  <c:v>43028</c:v>
                </c:pt>
                <c:pt idx="42">
                  <c:v>43035</c:v>
                </c:pt>
                <c:pt idx="43">
                  <c:v>43042</c:v>
                </c:pt>
                <c:pt idx="44">
                  <c:v>43049</c:v>
                </c:pt>
                <c:pt idx="45">
                  <c:v>43056</c:v>
                </c:pt>
                <c:pt idx="46">
                  <c:v>43063</c:v>
                </c:pt>
                <c:pt idx="47">
                  <c:v>43070</c:v>
                </c:pt>
                <c:pt idx="48">
                  <c:v>43077</c:v>
                </c:pt>
                <c:pt idx="49">
                  <c:v>43084</c:v>
                </c:pt>
                <c:pt idx="50">
                  <c:v>43091</c:v>
                </c:pt>
                <c:pt idx="51">
                  <c:v>43098</c:v>
                </c:pt>
                <c:pt idx="52">
                  <c:v>43105</c:v>
                </c:pt>
                <c:pt idx="53">
                  <c:v>43112</c:v>
                </c:pt>
                <c:pt idx="54">
                  <c:v>43119</c:v>
                </c:pt>
                <c:pt idx="55">
                  <c:v>43126</c:v>
                </c:pt>
                <c:pt idx="56">
                  <c:v>43133</c:v>
                </c:pt>
                <c:pt idx="57">
                  <c:v>43140</c:v>
                </c:pt>
                <c:pt idx="58">
                  <c:v>43147</c:v>
                </c:pt>
                <c:pt idx="59">
                  <c:v>43154</c:v>
                </c:pt>
                <c:pt idx="60">
                  <c:v>43161</c:v>
                </c:pt>
                <c:pt idx="61">
                  <c:v>43168</c:v>
                </c:pt>
                <c:pt idx="62">
                  <c:v>43175</c:v>
                </c:pt>
                <c:pt idx="63">
                  <c:v>43182</c:v>
                </c:pt>
                <c:pt idx="64">
                  <c:v>43189</c:v>
                </c:pt>
                <c:pt idx="65">
                  <c:v>43196</c:v>
                </c:pt>
                <c:pt idx="66">
                  <c:v>43203</c:v>
                </c:pt>
                <c:pt idx="67">
                  <c:v>43210</c:v>
                </c:pt>
                <c:pt idx="68">
                  <c:v>43217</c:v>
                </c:pt>
                <c:pt idx="69">
                  <c:v>43224</c:v>
                </c:pt>
                <c:pt idx="70">
                  <c:v>43231</c:v>
                </c:pt>
                <c:pt idx="71">
                  <c:v>43238</c:v>
                </c:pt>
                <c:pt idx="72">
                  <c:v>43245</c:v>
                </c:pt>
                <c:pt idx="73">
                  <c:v>43252</c:v>
                </c:pt>
                <c:pt idx="74">
                  <c:v>43259</c:v>
                </c:pt>
                <c:pt idx="75">
                  <c:v>43266</c:v>
                </c:pt>
                <c:pt idx="76">
                  <c:v>43273</c:v>
                </c:pt>
                <c:pt idx="77">
                  <c:v>43280</c:v>
                </c:pt>
                <c:pt idx="78">
                  <c:v>43287</c:v>
                </c:pt>
                <c:pt idx="79">
                  <c:v>43294</c:v>
                </c:pt>
                <c:pt idx="80">
                  <c:v>43301</c:v>
                </c:pt>
                <c:pt idx="81">
                  <c:v>43308</c:v>
                </c:pt>
                <c:pt idx="82">
                  <c:v>43315</c:v>
                </c:pt>
                <c:pt idx="83">
                  <c:v>43322</c:v>
                </c:pt>
                <c:pt idx="84">
                  <c:v>43329</c:v>
                </c:pt>
                <c:pt idx="85">
                  <c:v>43336</c:v>
                </c:pt>
                <c:pt idx="86">
                  <c:v>43343</c:v>
                </c:pt>
                <c:pt idx="87">
                  <c:v>43350</c:v>
                </c:pt>
                <c:pt idx="88">
                  <c:v>43357</c:v>
                </c:pt>
                <c:pt idx="89">
                  <c:v>43364</c:v>
                </c:pt>
                <c:pt idx="90">
                  <c:v>43371</c:v>
                </c:pt>
                <c:pt idx="91">
                  <c:v>43378</c:v>
                </c:pt>
                <c:pt idx="92">
                  <c:v>43385</c:v>
                </c:pt>
                <c:pt idx="93">
                  <c:v>43392</c:v>
                </c:pt>
                <c:pt idx="94">
                  <c:v>43399</c:v>
                </c:pt>
                <c:pt idx="95">
                  <c:v>43406</c:v>
                </c:pt>
                <c:pt idx="96">
                  <c:v>43413</c:v>
                </c:pt>
                <c:pt idx="97">
                  <c:v>43420</c:v>
                </c:pt>
                <c:pt idx="98">
                  <c:v>43427</c:v>
                </c:pt>
                <c:pt idx="99">
                  <c:v>43434</c:v>
                </c:pt>
                <c:pt idx="100">
                  <c:v>43441</c:v>
                </c:pt>
                <c:pt idx="101">
                  <c:v>43448</c:v>
                </c:pt>
                <c:pt idx="102">
                  <c:v>43455</c:v>
                </c:pt>
                <c:pt idx="103">
                  <c:v>43462</c:v>
                </c:pt>
                <c:pt idx="104">
                  <c:v>43469</c:v>
                </c:pt>
                <c:pt idx="105">
                  <c:v>43476</c:v>
                </c:pt>
                <c:pt idx="106">
                  <c:v>43483</c:v>
                </c:pt>
                <c:pt idx="107">
                  <c:v>43490</c:v>
                </c:pt>
                <c:pt idx="108">
                  <c:v>43497</c:v>
                </c:pt>
                <c:pt idx="109">
                  <c:v>43504</c:v>
                </c:pt>
                <c:pt idx="110">
                  <c:v>43511</c:v>
                </c:pt>
                <c:pt idx="111">
                  <c:v>43518</c:v>
                </c:pt>
                <c:pt idx="112">
                  <c:v>43525</c:v>
                </c:pt>
                <c:pt idx="113">
                  <c:v>43532</c:v>
                </c:pt>
                <c:pt idx="114">
                  <c:v>43539</c:v>
                </c:pt>
                <c:pt idx="115">
                  <c:v>43546</c:v>
                </c:pt>
                <c:pt idx="116">
                  <c:v>43553</c:v>
                </c:pt>
                <c:pt idx="117">
                  <c:v>43560</c:v>
                </c:pt>
                <c:pt idx="118">
                  <c:v>43567</c:v>
                </c:pt>
                <c:pt idx="119">
                  <c:v>43574</c:v>
                </c:pt>
                <c:pt idx="120">
                  <c:v>43581</c:v>
                </c:pt>
                <c:pt idx="121">
                  <c:v>43588</c:v>
                </c:pt>
                <c:pt idx="122">
                  <c:v>43595</c:v>
                </c:pt>
                <c:pt idx="123">
                  <c:v>43602</c:v>
                </c:pt>
                <c:pt idx="124">
                  <c:v>43609</c:v>
                </c:pt>
                <c:pt idx="125">
                  <c:v>43616</c:v>
                </c:pt>
                <c:pt idx="126">
                  <c:v>43623</c:v>
                </c:pt>
                <c:pt idx="127">
                  <c:v>43630</c:v>
                </c:pt>
                <c:pt idx="128">
                  <c:v>43637</c:v>
                </c:pt>
                <c:pt idx="129">
                  <c:v>43644</c:v>
                </c:pt>
                <c:pt idx="130">
                  <c:v>43651</c:v>
                </c:pt>
                <c:pt idx="131">
                  <c:v>43658</c:v>
                </c:pt>
                <c:pt idx="132">
                  <c:v>43665</c:v>
                </c:pt>
                <c:pt idx="133">
                  <c:v>43672</c:v>
                </c:pt>
                <c:pt idx="134">
                  <c:v>43679</c:v>
                </c:pt>
                <c:pt idx="135">
                  <c:v>43686</c:v>
                </c:pt>
                <c:pt idx="136">
                  <c:v>43693</c:v>
                </c:pt>
                <c:pt idx="137">
                  <c:v>43700</c:v>
                </c:pt>
                <c:pt idx="138">
                  <c:v>43707</c:v>
                </c:pt>
                <c:pt idx="139">
                  <c:v>43714</c:v>
                </c:pt>
                <c:pt idx="140">
                  <c:v>43721</c:v>
                </c:pt>
                <c:pt idx="141">
                  <c:v>43728</c:v>
                </c:pt>
                <c:pt idx="142">
                  <c:v>43735</c:v>
                </c:pt>
                <c:pt idx="143">
                  <c:v>43742</c:v>
                </c:pt>
                <c:pt idx="144">
                  <c:v>43749</c:v>
                </c:pt>
                <c:pt idx="145">
                  <c:v>43756</c:v>
                </c:pt>
                <c:pt idx="146">
                  <c:v>43763</c:v>
                </c:pt>
                <c:pt idx="147">
                  <c:v>43770</c:v>
                </c:pt>
                <c:pt idx="148">
                  <c:v>43777</c:v>
                </c:pt>
                <c:pt idx="149">
                  <c:v>43784</c:v>
                </c:pt>
                <c:pt idx="150">
                  <c:v>43791</c:v>
                </c:pt>
                <c:pt idx="151">
                  <c:v>43798</c:v>
                </c:pt>
                <c:pt idx="152">
                  <c:v>43805</c:v>
                </c:pt>
                <c:pt idx="153">
                  <c:v>43812</c:v>
                </c:pt>
                <c:pt idx="154">
                  <c:v>43819</c:v>
                </c:pt>
                <c:pt idx="155">
                  <c:v>43826</c:v>
                </c:pt>
                <c:pt idx="156">
                  <c:v>43833</c:v>
                </c:pt>
                <c:pt idx="157">
                  <c:v>43840</c:v>
                </c:pt>
                <c:pt idx="158">
                  <c:v>43847</c:v>
                </c:pt>
                <c:pt idx="159">
                  <c:v>43854</c:v>
                </c:pt>
                <c:pt idx="160">
                  <c:v>43861</c:v>
                </c:pt>
                <c:pt idx="161">
                  <c:v>43868</c:v>
                </c:pt>
                <c:pt idx="162">
                  <c:v>43875</c:v>
                </c:pt>
                <c:pt idx="163">
                  <c:v>43882</c:v>
                </c:pt>
                <c:pt idx="164">
                  <c:v>43889</c:v>
                </c:pt>
                <c:pt idx="165">
                  <c:v>43896</c:v>
                </c:pt>
                <c:pt idx="166">
                  <c:v>43903</c:v>
                </c:pt>
                <c:pt idx="167">
                  <c:v>43910</c:v>
                </c:pt>
                <c:pt idx="168">
                  <c:v>43917</c:v>
                </c:pt>
                <c:pt idx="169">
                  <c:v>43924</c:v>
                </c:pt>
                <c:pt idx="170">
                  <c:v>43931</c:v>
                </c:pt>
                <c:pt idx="171">
                  <c:v>43938</c:v>
                </c:pt>
                <c:pt idx="172">
                  <c:v>43945</c:v>
                </c:pt>
                <c:pt idx="173">
                  <c:v>43952</c:v>
                </c:pt>
                <c:pt idx="174">
                  <c:v>43959</c:v>
                </c:pt>
                <c:pt idx="175">
                  <c:v>43966</c:v>
                </c:pt>
                <c:pt idx="176">
                  <c:v>43973</c:v>
                </c:pt>
                <c:pt idx="177">
                  <c:v>43980</c:v>
                </c:pt>
                <c:pt idx="178">
                  <c:v>43987</c:v>
                </c:pt>
                <c:pt idx="179">
                  <c:v>43994</c:v>
                </c:pt>
                <c:pt idx="180">
                  <c:v>44001</c:v>
                </c:pt>
                <c:pt idx="181">
                  <c:v>44008</c:v>
                </c:pt>
                <c:pt idx="182">
                  <c:v>44015</c:v>
                </c:pt>
                <c:pt idx="183">
                  <c:v>44022</c:v>
                </c:pt>
                <c:pt idx="184">
                  <c:v>44029</c:v>
                </c:pt>
                <c:pt idx="185">
                  <c:v>44036</c:v>
                </c:pt>
                <c:pt idx="186">
                  <c:v>44043</c:v>
                </c:pt>
                <c:pt idx="187">
                  <c:v>44050</c:v>
                </c:pt>
                <c:pt idx="188">
                  <c:v>44057</c:v>
                </c:pt>
                <c:pt idx="189">
                  <c:v>44064</c:v>
                </c:pt>
                <c:pt idx="190">
                  <c:v>44071</c:v>
                </c:pt>
                <c:pt idx="191">
                  <c:v>44078</c:v>
                </c:pt>
                <c:pt idx="192">
                  <c:v>44085</c:v>
                </c:pt>
                <c:pt idx="193">
                  <c:v>44092</c:v>
                </c:pt>
                <c:pt idx="194">
                  <c:v>44099</c:v>
                </c:pt>
                <c:pt idx="195">
                  <c:v>44106</c:v>
                </c:pt>
                <c:pt idx="196">
                  <c:v>44113</c:v>
                </c:pt>
                <c:pt idx="197">
                  <c:v>44120</c:v>
                </c:pt>
                <c:pt idx="198">
                  <c:v>44127</c:v>
                </c:pt>
                <c:pt idx="199">
                  <c:v>44134</c:v>
                </c:pt>
                <c:pt idx="200">
                  <c:v>44141</c:v>
                </c:pt>
                <c:pt idx="201">
                  <c:v>44148</c:v>
                </c:pt>
                <c:pt idx="202">
                  <c:v>44155</c:v>
                </c:pt>
                <c:pt idx="203">
                  <c:v>44162</c:v>
                </c:pt>
                <c:pt idx="204">
                  <c:v>44169</c:v>
                </c:pt>
                <c:pt idx="205">
                  <c:v>44176</c:v>
                </c:pt>
                <c:pt idx="206">
                  <c:v>44183</c:v>
                </c:pt>
                <c:pt idx="207">
                  <c:v>44190</c:v>
                </c:pt>
                <c:pt idx="208">
                  <c:v>44197</c:v>
                </c:pt>
                <c:pt idx="209">
                  <c:v>44204</c:v>
                </c:pt>
                <c:pt idx="210">
                  <c:v>44211</c:v>
                </c:pt>
                <c:pt idx="211">
                  <c:v>44218</c:v>
                </c:pt>
                <c:pt idx="212">
                  <c:v>44225</c:v>
                </c:pt>
                <c:pt idx="213">
                  <c:v>44232</c:v>
                </c:pt>
                <c:pt idx="214">
                  <c:v>44239</c:v>
                </c:pt>
                <c:pt idx="215">
                  <c:v>44246</c:v>
                </c:pt>
                <c:pt idx="216">
                  <c:v>44253</c:v>
                </c:pt>
                <c:pt idx="217">
                  <c:v>44260</c:v>
                </c:pt>
                <c:pt idx="218">
                  <c:v>44267</c:v>
                </c:pt>
                <c:pt idx="219">
                  <c:v>44274</c:v>
                </c:pt>
                <c:pt idx="220">
                  <c:v>44281</c:v>
                </c:pt>
                <c:pt idx="221">
                  <c:v>44288</c:v>
                </c:pt>
                <c:pt idx="222">
                  <c:v>44295</c:v>
                </c:pt>
                <c:pt idx="223">
                  <c:v>44302</c:v>
                </c:pt>
                <c:pt idx="224">
                  <c:v>44309</c:v>
                </c:pt>
                <c:pt idx="225">
                  <c:v>44316</c:v>
                </c:pt>
                <c:pt idx="226">
                  <c:v>44323</c:v>
                </c:pt>
                <c:pt idx="227">
                  <c:v>44330</c:v>
                </c:pt>
                <c:pt idx="228">
                  <c:v>44337</c:v>
                </c:pt>
                <c:pt idx="229">
                  <c:v>44344</c:v>
                </c:pt>
                <c:pt idx="230">
                  <c:v>44351</c:v>
                </c:pt>
                <c:pt idx="231">
                  <c:v>44358</c:v>
                </c:pt>
                <c:pt idx="232">
                  <c:v>44365</c:v>
                </c:pt>
                <c:pt idx="233">
                  <c:v>44372</c:v>
                </c:pt>
                <c:pt idx="234">
                  <c:v>44379</c:v>
                </c:pt>
                <c:pt idx="235">
                  <c:v>44386</c:v>
                </c:pt>
                <c:pt idx="236">
                  <c:v>44393</c:v>
                </c:pt>
                <c:pt idx="237">
                  <c:v>44400</c:v>
                </c:pt>
                <c:pt idx="238">
                  <c:v>44407</c:v>
                </c:pt>
                <c:pt idx="239">
                  <c:v>44414</c:v>
                </c:pt>
                <c:pt idx="240">
                  <c:v>44421</c:v>
                </c:pt>
                <c:pt idx="241">
                  <c:v>44428</c:v>
                </c:pt>
                <c:pt idx="242">
                  <c:v>44435</c:v>
                </c:pt>
                <c:pt idx="243">
                  <c:v>44442</c:v>
                </c:pt>
                <c:pt idx="244">
                  <c:v>44449</c:v>
                </c:pt>
                <c:pt idx="245">
                  <c:v>44456</c:v>
                </c:pt>
                <c:pt idx="246">
                  <c:v>44463</c:v>
                </c:pt>
                <c:pt idx="247">
                  <c:v>44470</c:v>
                </c:pt>
                <c:pt idx="248">
                  <c:v>44477</c:v>
                </c:pt>
                <c:pt idx="249">
                  <c:v>44484</c:v>
                </c:pt>
                <c:pt idx="250">
                  <c:v>44491</c:v>
                </c:pt>
                <c:pt idx="251">
                  <c:v>44498</c:v>
                </c:pt>
                <c:pt idx="252">
                  <c:v>44505</c:v>
                </c:pt>
                <c:pt idx="253">
                  <c:v>44512</c:v>
                </c:pt>
                <c:pt idx="254">
                  <c:v>44519</c:v>
                </c:pt>
                <c:pt idx="255">
                  <c:v>44526</c:v>
                </c:pt>
                <c:pt idx="256">
                  <c:v>44533</c:v>
                </c:pt>
                <c:pt idx="257">
                  <c:v>44540</c:v>
                </c:pt>
                <c:pt idx="258">
                  <c:v>44547</c:v>
                </c:pt>
                <c:pt idx="259">
                  <c:v>44554</c:v>
                </c:pt>
                <c:pt idx="260">
                  <c:v>44561</c:v>
                </c:pt>
                <c:pt idx="261">
                  <c:v>44568</c:v>
                </c:pt>
                <c:pt idx="262">
                  <c:v>44575</c:v>
                </c:pt>
                <c:pt idx="263">
                  <c:v>44582</c:v>
                </c:pt>
                <c:pt idx="264">
                  <c:v>44589</c:v>
                </c:pt>
                <c:pt idx="265">
                  <c:v>44596</c:v>
                </c:pt>
                <c:pt idx="266">
                  <c:v>44603</c:v>
                </c:pt>
                <c:pt idx="267">
                  <c:v>44610</c:v>
                </c:pt>
                <c:pt idx="268">
                  <c:v>44617</c:v>
                </c:pt>
                <c:pt idx="269">
                  <c:v>44624</c:v>
                </c:pt>
                <c:pt idx="270">
                  <c:v>44631</c:v>
                </c:pt>
                <c:pt idx="271">
                  <c:v>44638</c:v>
                </c:pt>
                <c:pt idx="272">
                  <c:v>44645</c:v>
                </c:pt>
                <c:pt idx="273">
                  <c:v>44652</c:v>
                </c:pt>
                <c:pt idx="274">
                  <c:v>44659</c:v>
                </c:pt>
                <c:pt idx="275">
                  <c:v>44666</c:v>
                </c:pt>
                <c:pt idx="276">
                  <c:v>44673</c:v>
                </c:pt>
                <c:pt idx="277">
                  <c:v>44680</c:v>
                </c:pt>
                <c:pt idx="278">
                  <c:v>44687</c:v>
                </c:pt>
                <c:pt idx="279">
                  <c:v>44694</c:v>
                </c:pt>
                <c:pt idx="280">
                  <c:v>44701</c:v>
                </c:pt>
                <c:pt idx="281">
                  <c:v>44708</c:v>
                </c:pt>
                <c:pt idx="282">
                  <c:v>44715</c:v>
                </c:pt>
                <c:pt idx="283">
                  <c:v>44722</c:v>
                </c:pt>
                <c:pt idx="284">
                  <c:v>44729</c:v>
                </c:pt>
                <c:pt idx="285">
                  <c:v>44736</c:v>
                </c:pt>
                <c:pt idx="286">
                  <c:v>44743</c:v>
                </c:pt>
                <c:pt idx="287">
                  <c:v>44750</c:v>
                </c:pt>
                <c:pt idx="288">
                  <c:v>44757</c:v>
                </c:pt>
                <c:pt idx="289">
                  <c:v>44764</c:v>
                </c:pt>
                <c:pt idx="290">
                  <c:v>44771</c:v>
                </c:pt>
                <c:pt idx="291">
                  <c:v>44778</c:v>
                </c:pt>
                <c:pt idx="292">
                  <c:v>44785</c:v>
                </c:pt>
                <c:pt idx="293">
                  <c:v>44792</c:v>
                </c:pt>
                <c:pt idx="294">
                  <c:v>44799</c:v>
                </c:pt>
                <c:pt idx="295">
                  <c:v>44806</c:v>
                </c:pt>
                <c:pt idx="296">
                  <c:v>44813</c:v>
                </c:pt>
                <c:pt idx="297">
                  <c:v>44820</c:v>
                </c:pt>
                <c:pt idx="298">
                  <c:v>44827</c:v>
                </c:pt>
                <c:pt idx="299">
                  <c:v>44834</c:v>
                </c:pt>
                <c:pt idx="300">
                  <c:v>44841</c:v>
                </c:pt>
                <c:pt idx="301">
                  <c:v>44848</c:v>
                </c:pt>
                <c:pt idx="302">
                  <c:v>44855</c:v>
                </c:pt>
                <c:pt idx="303">
                  <c:v>44862</c:v>
                </c:pt>
                <c:pt idx="304">
                  <c:v>44869</c:v>
                </c:pt>
                <c:pt idx="305">
                  <c:v>44876</c:v>
                </c:pt>
                <c:pt idx="306">
                  <c:v>44883</c:v>
                </c:pt>
                <c:pt idx="307">
                  <c:v>44890</c:v>
                </c:pt>
                <c:pt idx="308">
                  <c:v>44897</c:v>
                </c:pt>
                <c:pt idx="309">
                  <c:v>44904</c:v>
                </c:pt>
                <c:pt idx="310">
                  <c:v>44911</c:v>
                </c:pt>
                <c:pt idx="311">
                  <c:v>44918</c:v>
                </c:pt>
                <c:pt idx="312">
                  <c:v>44925</c:v>
                </c:pt>
                <c:pt idx="313">
                  <c:v>44932</c:v>
                </c:pt>
                <c:pt idx="314">
                  <c:v>44939</c:v>
                </c:pt>
                <c:pt idx="315">
                  <c:v>44946</c:v>
                </c:pt>
                <c:pt idx="316">
                  <c:v>44953</c:v>
                </c:pt>
                <c:pt idx="317">
                  <c:v>44960</c:v>
                </c:pt>
                <c:pt idx="318">
                  <c:v>44967</c:v>
                </c:pt>
                <c:pt idx="319">
                  <c:v>44974</c:v>
                </c:pt>
                <c:pt idx="320">
                  <c:v>44981</c:v>
                </c:pt>
                <c:pt idx="321">
                  <c:v>44988</c:v>
                </c:pt>
                <c:pt idx="322">
                  <c:v>44995</c:v>
                </c:pt>
                <c:pt idx="323">
                  <c:v>45002</c:v>
                </c:pt>
                <c:pt idx="324">
                  <c:v>45009</c:v>
                </c:pt>
                <c:pt idx="325">
                  <c:v>45016</c:v>
                </c:pt>
                <c:pt idx="326">
                  <c:v>45023</c:v>
                </c:pt>
                <c:pt idx="327">
                  <c:v>45030</c:v>
                </c:pt>
                <c:pt idx="328">
                  <c:v>45037</c:v>
                </c:pt>
                <c:pt idx="329">
                  <c:v>45044</c:v>
                </c:pt>
                <c:pt idx="330">
                  <c:v>45051</c:v>
                </c:pt>
                <c:pt idx="331">
                  <c:v>45058</c:v>
                </c:pt>
                <c:pt idx="332">
                  <c:v>45065</c:v>
                </c:pt>
                <c:pt idx="333">
                  <c:v>45072</c:v>
                </c:pt>
                <c:pt idx="334">
                  <c:v>45079</c:v>
                </c:pt>
                <c:pt idx="335">
                  <c:v>45086</c:v>
                </c:pt>
                <c:pt idx="336">
                  <c:v>45093</c:v>
                </c:pt>
                <c:pt idx="337">
                  <c:v>45100</c:v>
                </c:pt>
                <c:pt idx="338">
                  <c:v>45107</c:v>
                </c:pt>
                <c:pt idx="339">
                  <c:v>45114</c:v>
                </c:pt>
                <c:pt idx="340">
                  <c:v>45121</c:v>
                </c:pt>
                <c:pt idx="341">
                  <c:v>45128</c:v>
                </c:pt>
                <c:pt idx="342">
                  <c:v>45135</c:v>
                </c:pt>
                <c:pt idx="343">
                  <c:v>45142</c:v>
                </c:pt>
                <c:pt idx="344">
                  <c:v>45149</c:v>
                </c:pt>
                <c:pt idx="345">
                  <c:v>45156</c:v>
                </c:pt>
                <c:pt idx="346">
                  <c:v>45163</c:v>
                </c:pt>
                <c:pt idx="347">
                  <c:v>45170</c:v>
                </c:pt>
                <c:pt idx="348">
                  <c:v>45177</c:v>
                </c:pt>
                <c:pt idx="349">
                  <c:v>45184</c:v>
                </c:pt>
                <c:pt idx="350">
                  <c:v>45191</c:v>
                </c:pt>
                <c:pt idx="351">
                  <c:v>45198</c:v>
                </c:pt>
                <c:pt idx="352">
                  <c:v>45205</c:v>
                </c:pt>
                <c:pt idx="353">
                  <c:v>45212</c:v>
                </c:pt>
                <c:pt idx="354">
                  <c:v>45219</c:v>
                </c:pt>
                <c:pt idx="355">
                  <c:v>45226</c:v>
                </c:pt>
                <c:pt idx="356">
                  <c:v>45233</c:v>
                </c:pt>
                <c:pt idx="357">
                  <c:v>45240</c:v>
                </c:pt>
                <c:pt idx="358">
                  <c:v>45247</c:v>
                </c:pt>
                <c:pt idx="359">
                  <c:v>45254</c:v>
                </c:pt>
                <c:pt idx="360">
                  <c:v>45261</c:v>
                </c:pt>
                <c:pt idx="361">
                  <c:v>45268</c:v>
                </c:pt>
                <c:pt idx="362">
                  <c:v>45275</c:v>
                </c:pt>
                <c:pt idx="363">
                  <c:v>45282</c:v>
                </c:pt>
                <c:pt idx="364">
                  <c:v>45289</c:v>
                </c:pt>
                <c:pt idx="365">
                  <c:v>45296</c:v>
                </c:pt>
                <c:pt idx="366">
                  <c:v>45303</c:v>
                </c:pt>
                <c:pt idx="367">
                  <c:v>45310</c:v>
                </c:pt>
                <c:pt idx="368">
                  <c:v>45317</c:v>
                </c:pt>
                <c:pt idx="369">
                  <c:v>45324</c:v>
                </c:pt>
                <c:pt idx="370">
                  <c:v>45331</c:v>
                </c:pt>
                <c:pt idx="371">
                  <c:v>45338</c:v>
                </c:pt>
                <c:pt idx="372">
                  <c:v>45345</c:v>
                </c:pt>
                <c:pt idx="373">
                  <c:v>45352</c:v>
                </c:pt>
                <c:pt idx="374">
                  <c:v>45359</c:v>
                </c:pt>
                <c:pt idx="375">
                  <c:v>45366</c:v>
                </c:pt>
                <c:pt idx="376">
                  <c:v>45373</c:v>
                </c:pt>
                <c:pt idx="377">
                  <c:v>45380</c:v>
                </c:pt>
                <c:pt idx="378">
                  <c:v>45387</c:v>
                </c:pt>
                <c:pt idx="379">
                  <c:v>45394</c:v>
                </c:pt>
                <c:pt idx="380">
                  <c:v>45401</c:v>
                </c:pt>
                <c:pt idx="381">
                  <c:v>45408</c:v>
                </c:pt>
                <c:pt idx="382">
                  <c:v>45415</c:v>
                </c:pt>
                <c:pt idx="383">
                  <c:v>45422</c:v>
                </c:pt>
                <c:pt idx="384">
                  <c:v>45429</c:v>
                </c:pt>
                <c:pt idx="385">
                  <c:v>45436</c:v>
                </c:pt>
                <c:pt idx="386">
                  <c:v>45443</c:v>
                </c:pt>
                <c:pt idx="387">
                  <c:v>45450</c:v>
                </c:pt>
                <c:pt idx="388">
                  <c:v>45457</c:v>
                </c:pt>
                <c:pt idx="389">
                  <c:v>45464</c:v>
                </c:pt>
                <c:pt idx="390">
                  <c:v>45471</c:v>
                </c:pt>
                <c:pt idx="391">
                  <c:v>45478</c:v>
                </c:pt>
                <c:pt idx="392">
                  <c:v>45485</c:v>
                </c:pt>
                <c:pt idx="393">
                  <c:v>45492</c:v>
                </c:pt>
                <c:pt idx="394">
                  <c:v>45499</c:v>
                </c:pt>
                <c:pt idx="395">
                  <c:v>45506</c:v>
                </c:pt>
                <c:pt idx="396">
                  <c:v>45513</c:v>
                </c:pt>
                <c:pt idx="397">
                  <c:v>45520</c:v>
                </c:pt>
                <c:pt idx="398">
                  <c:v>45527</c:v>
                </c:pt>
                <c:pt idx="399">
                  <c:v>45534</c:v>
                </c:pt>
                <c:pt idx="400">
                  <c:v>45541</c:v>
                </c:pt>
                <c:pt idx="401">
                  <c:v>45548</c:v>
                </c:pt>
                <c:pt idx="402">
                  <c:v>45555</c:v>
                </c:pt>
                <c:pt idx="403">
                  <c:v>45562</c:v>
                </c:pt>
                <c:pt idx="404">
                  <c:v>45569</c:v>
                </c:pt>
                <c:pt idx="405">
                  <c:v>45576</c:v>
                </c:pt>
                <c:pt idx="406">
                  <c:v>45583</c:v>
                </c:pt>
                <c:pt idx="407">
                  <c:v>45590</c:v>
                </c:pt>
                <c:pt idx="408">
                  <c:v>45597</c:v>
                </c:pt>
                <c:pt idx="409">
                  <c:v>45604</c:v>
                </c:pt>
                <c:pt idx="410">
                  <c:v>45611</c:v>
                </c:pt>
                <c:pt idx="411">
                  <c:v>45618</c:v>
                </c:pt>
                <c:pt idx="412">
                  <c:v>45625</c:v>
                </c:pt>
                <c:pt idx="413">
                  <c:v>45632</c:v>
                </c:pt>
                <c:pt idx="414">
                  <c:v>45639</c:v>
                </c:pt>
                <c:pt idx="415">
                  <c:v>45646</c:v>
                </c:pt>
                <c:pt idx="416">
                  <c:v>45653</c:v>
                </c:pt>
                <c:pt idx="417">
                  <c:v>45660</c:v>
                </c:pt>
                <c:pt idx="418">
                  <c:v>45667</c:v>
                </c:pt>
                <c:pt idx="419">
                  <c:v>45674</c:v>
                </c:pt>
                <c:pt idx="420">
                  <c:v>45681</c:v>
                </c:pt>
                <c:pt idx="421">
                  <c:v>45688</c:v>
                </c:pt>
                <c:pt idx="422">
                  <c:v>45695</c:v>
                </c:pt>
                <c:pt idx="423">
                  <c:v>45702</c:v>
                </c:pt>
                <c:pt idx="424">
                  <c:v>45709</c:v>
                </c:pt>
                <c:pt idx="425">
                  <c:v>45716</c:v>
                </c:pt>
                <c:pt idx="426">
                  <c:v>45723</c:v>
                </c:pt>
                <c:pt idx="427">
                  <c:v>45730</c:v>
                </c:pt>
                <c:pt idx="428">
                  <c:v>45737</c:v>
                </c:pt>
                <c:pt idx="429">
                  <c:v>45744</c:v>
                </c:pt>
                <c:pt idx="430">
                  <c:v>45751</c:v>
                </c:pt>
                <c:pt idx="431">
                  <c:v>45758</c:v>
                </c:pt>
                <c:pt idx="432">
                  <c:v>45765</c:v>
                </c:pt>
                <c:pt idx="433">
                  <c:v>45772</c:v>
                </c:pt>
                <c:pt idx="434">
                  <c:v>45779</c:v>
                </c:pt>
                <c:pt idx="435">
                  <c:v>45786</c:v>
                </c:pt>
                <c:pt idx="436">
                  <c:v>45793</c:v>
                </c:pt>
                <c:pt idx="437">
                  <c:v>45800</c:v>
                </c:pt>
                <c:pt idx="438">
                  <c:v>45807</c:v>
                </c:pt>
                <c:pt idx="439">
                  <c:v>45814</c:v>
                </c:pt>
                <c:pt idx="440">
                  <c:v>45821</c:v>
                </c:pt>
                <c:pt idx="441">
                  <c:v>45828</c:v>
                </c:pt>
                <c:pt idx="442">
                  <c:v>45835</c:v>
                </c:pt>
                <c:pt idx="443">
                  <c:v>45842</c:v>
                </c:pt>
                <c:pt idx="444">
                  <c:v>45849</c:v>
                </c:pt>
                <c:pt idx="445">
                  <c:v>45856</c:v>
                </c:pt>
                <c:pt idx="446">
                  <c:v>45863</c:v>
                </c:pt>
                <c:pt idx="447">
                  <c:v>45870</c:v>
                </c:pt>
                <c:pt idx="448">
                  <c:v>45877</c:v>
                </c:pt>
                <c:pt idx="449">
                  <c:v>45884</c:v>
                </c:pt>
                <c:pt idx="450">
                  <c:v>45891</c:v>
                </c:pt>
                <c:pt idx="451">
                  <c:v>45898</c:v>
                </c:pt>
                <c:pt idx="452">
                  <c:v>45905</c:v>
                </c:pt>
                <c:pt idx="453">
                  <c:v>45912</c:v>
                </c:pt>
                <c:pt idx="454">
                  <c:v>45919</c:v>
                </c:pt>
                <c:pt idx="455">
                  <c:v>45926</c:v>
                </c:pt>
                <c:pt idx="456">
                  <c:v>45933</c:v>
                </c:pt>
                <c:pt idx="457">
                  <c:v>45940</c:v>
                </c:pt>
                <c:pt idx="458">
                  <c:v>45947</c:v>
                </c:pt>
                <c:pt idx="459">
                  <c:v>45954</c:v>
                </c:pt>
                <c:pt idx="460">
                  <c:v>45961</c:v>
                </c:pt>
                <c:pt idx="461">
                  <c:v>45968</c:v>
                </c:pt>
                <c:pt idx="462">
                  <c:v>45975</c:v>
                </c:pt>
                <c:pt idx="463">
                  <c:v>45982</c:v>
                </c:pt>
                <c:pt idx="464">
                  <c:v>45989</c:v>
                </c:pt>
                <c:pt idx="465">
                  <c:v>45996</c:v>
                </c:pt>
                <c:pt idx="466">
                  <c:v>46003</c:v>
                </c:pt>
                <c:pt idx="467">
                  <c:v>46010</c:v>
                </c:pt>
                <c:pt idx="468">
                  <c:v>46017</c:v>
                </c:pt>
                <c:pt idx="469">
                  <c:v>46024</c:v>
                </c:pt>
                <c:pt idx="470">
                  <c:v>46031</c:v>
                </c:pt>
                <c:pt idx="471">
                  <c:v>46038</c:v>
                </c:pt>
                <c:pt idx="472">
                  <c:v>46045</c:v>
                </c:pt>
                <c:pt idx="473">
                  <c:v>46052</c:v>
                </c:pt>
                <c:pt idx="474">
                  <c:v>46059</c:v>
                </c:pt>
                <c:pt idx="475">
                  <c:v>46066</c:v>
                </c:pt>
                <c:pt idx="476">
                  <c:v>46073</c:v>
                </c:pt>
                <c:pt idx="477">
                  <c:v>46080</c:v>
                </c:pt>
                <c:pt idx="478">
                  <c:v>46087</c:v>
                </c:pt>
                <c:pt idx="479">
                  <c:v>46094</c:v>
                </c:pt>
                <c:pt idx="480">
                  <c:v>46101</c:v>
                </c:pt>
                <c:pt idx="481">
                  <c:v>46108</c:v>
                </c:pt>
                <c:pt idx="482">
                  <c:v>46115</c:v>
                </c:pt>
                <c:pt idx="483">
                  <c:v>46122</c:v>
                </c:pt>
                <c:pt idx="484">
                  <c:v>46129</c:v>
                </c:pt>
                <c:pt idx="485">
                  <c:v>46136</c:v>
                </c:pt>
                <c:pt idx="486">
                  <c:v>46143</c:v>
                </c:pt>
                <c:pt idx="487">
                  <c:v>46150</c:v>
                </c:pt>
                <c:pt idx="488">
                  <c:v>46157</c:v>
                </c:pt>
                <c:pt idx="489">
                  <c:v>46164</c:v>
                </c:pt>
                <c:pt idx="490">
                  <c:v>46171</c:v>
                </c:pt>
                <c:pt idx="491">
                  <c:v>46178</c:v>
                </c:pt>
                <c:pt idx="492">
                  <c:v>46185</c:v>
                </c:pt>
                <c:pt idx="493">
                  <c:v>46192</c:v>
                </c:pt>
                <c:pt idx="494">
                  <c:v>46199</c:v>
                </c:pt>
                <c:pt idx="495">
                  <c:v>46206</c:v>
                </c:pt>
                <c:pt idx="496">
                  <c:v>46213</c:v>
                </c:pt>
                <c:pt idx="497">
                  <c:v>46220</c:v>
                </c:pt>
                <c:pt idx="498">
                  <c:v>46227</c:v>
                </c:pt>
                <c:pt idx="499">
                  <c:v>46234</c:v>
                </c:pt>
              </c:numCache>
            </c:numRef>
          </c:cat>
          <c:val>
            <c:numRef>
              <c:f>Summary!$L$87:$L$586</c:f>
              <c:numCache>
                <c:formatCode>0.0\x_);\(0.0\x\)</c:formatCode>
                <c:ptCount val="500"/>
                <c:pt idx="0">
                  <c:v>15.420000037248862</c:v>
                </c:pt>
                <c:pt idx="1">
                  <c:v>15.420000037248862</c:v>
                </c:pt>
                <c:pt idx="2">
                  <c:v>15.420000037248862</c:v>
                </c:pt>
                <c:pt idx="3">
                  <c:v>15.420000037248862</c:v>
                </c:pt>
                <c:pt idx="4">
                  <c:v>15.420000037248862</c:v>
                </c:pt>
                <c:pt idx="5">
                  <c:v>15.420000037248862</c:v>
                </c:pt>
                <c:pt idx="6">
                  <c:v>15.420000037248862</c:v>
                </c:pt>
                <c:pt idx="7">
                  <c:v>15.420000037248862</c:v>
                </c:pt>
                <c:pt idx="8">
                  <c:v>15.420000037248862</c:v>
                </c:pt>
                <c:pt idx="9">
                  <c:v>15.420000037248862</c:v>
                </c:pt>
                <c:pt idx="10">
                  <c:v>15.420000037248862</c:v>
                </c:pt>
                <c:pt idx="11">
                  <c:v>15.420000037248862</c:v>
                </c:pt>
                <c:pt idx="12">
                  <c:v>15.420000037248862</c:v>
                </c:pt>
                <c:pt idx="13">
                  <c:v>15.420000037248862</c:v>
                </c:pt>
                <c:pt idx="14">
                  <c:v>15.420000037248862</c:v>
                </c:pt>
                <c:pt idx="15">
                  <c:v>15.420000037248862</c:v>
                </c:pt>
                <c:pt idx="16">
                  <c:v>15.420000037248862</c:v>
                </c:pt>
                <c:pt idx="17">
                  <c:v>15.420000037248862</c:v>
                </c:pt>
                <c:pt idx="18">
                  <c:v>15.420000037248862</c:v>
                </c:pt>
                <c:pt idx="19">
                  <c:v>15.420000037248862</c:v>
                </c:pt>
                <c:pt idx="20">
                  <c:v>15.420000037248862</c:v>
                </c:pt>
                <c:pt idx="21">
                  <c:v>15.420000037248862</c:v>
                </c:pt>
                <c:pt idx="22">
                  <c:v>15.420000037248862</c:v>
                </c:pt>
                <c:pt idx="23">
                  <c:v>15.420000037248862</c:v>
                </c:pt>
                <c:pt idx="24">
                  <c:v>15.420000037248862</c:v>
                </c:pt>
                <c:pt idx="25">
                  <c:v>15.420000037248862</c:v>
                </c:pt>
                <c:pt idx="26">
                  <c:v>15.420000037248862</c:v>
                </c:pt>
                <c:pt idx="27">
                  <c:v>15.420000037248862</c:v>
                </c:pt>
                <c:pt idx="28">
                  <c:v>15.420000037248862</c:v>
                </c:pt>
                <c:pt idx="29">
                  <c:v>15.420000037248862</c:v>
                </c:pt>
                <c:pt idx="30">
                  <c:v>15.420000037248862</c:v>
                </c:pt>
                <c:pt idx="31">
                  <c:v>15.420000037248862</c:v>
                </c:pt>
                <c:pt idx="32">
                  <c:v>15.420000037248862</c:v>
                </c:pt>
                <c:pt idx="33">
                  <c:v>15.420000037248862</c:v>
                </c:pt>
                <c:pt idx="34">
                  <c:v>15.420000037248862</c:v>
                </c:pt>
                <c:pt idx="35">
                  <c:v>15.420000037248862</c:v>
                </c:pt>
                <c:pt idx="36">
                  <c:v>15.420000037248862</c:v>
                </c:pt>
                <c:pt idx="37">
                  <c:v>15.420000037248862</c:v>
                </c:pt>
                <c:pt idx="38">
                  <c:v>15.420000037248862</c:v>
                </c:pt>
                <c:pt idx="39">
                  <c:v>15.420000037248862</c:v>
                </c:pt>
                <c:pt idx="40">
                  <c:v>15.420000037248862</c:v>
                </c:pt>
                <c:pt idx="41">
                  <c:v>15.420000037248862</c:v>
                </c:pt>
                <c:pt idx="42">
                  <c:v>15.420000037248862</c:v>
                </c:pt>
                <c:pt idx="43">
                  <c:v>15.420000037248862</c:v>
                </c:pt>
                <c:pt idx="44">
                  <c:v>15.420000037248862</c:v>
                </c:pt>
                <c:pt idx="45">
                  <c:v>15.420000037248862</c:v>
                </c:pt>
                <c:pt idx="46">
                  <c:v>15.420000037248862</c:v>
                </c:pt>
                <c:pt idx="47">
                  <c:v>15.420000037248862</c:v>
                </c:pt>
                <c:pt idx="48">
                  <c:v>15.420000037248862</c:v>
                </c:pt>
                <c:pt idx="49">
                  <c:v>15.420000037248862</c:v>
                </c:pt>
                <c:pt idx="50">
                  <c:v>15.420000037248862</c:v>
                </c:pt>
                <c:pt idx="51">
                  <c:v>15.420000037248862</c:v>
                </c:pt>
                <c:pt idx="52">
                  <c:v>15.420000037248862</c:v>
                </c:pt>
                <c:pt idx="53">
                  <c:v>15.420000037248862</c:v>
                </c:pt>
                <c:pt idx="54">
                  <c:v>15.420000037248862</c:v>
                </c:pt>
                <c:pt idx="55">
                  <c:v>15.420000037248862</c:v>
                </c:pt>
                <c:pt idx="56">
                  <c:v>15.420000037248862</c:v>
                </c:pt>
                <c:pt idx="57">
                  <c:v>15.420000037248862</c:v>
                </c:pt>
                <c:pt idx="58">
                  <c:v>15.420000037248862</c:v>
                </c:pt>
                <c:pt idx="59">
                  <c:v>15.420000037248862</c:v>
                </c:pt>
                <c:pt idx="60">
                  <c:v>15.420000037248862</c:v>
                </c:pt>
                <c:pt idx="61">
                  <c:v>15.420000037248862</c:v>
                </c:pt>
                <c:pt idx="62">
                  <c:v>15.420000037248862</c:v>
                </c:pt>
                <c:pt idx="63">
                  <c:v>15.420000037248862</c:v>
                </c:pt>
                <c:pt idx="64">
                  <c:v>15.420000037248862</c:v>
                </c:pt>
                <c:pt idx="65">
                  <c:v>15.420000037248862</c:v>
                </c:pt>
                <c:pt idx="66">
                  <c:v>15.420000037248862</c:v>
                </c:pt>
                <c:pt idx="67">
                  <c:v>15.420000037248862</c:v>
                </c:pt>
                <c:pt idx="68">
                  <c:v>15.420000037248862</c:v>
                </c:pt>
                <c:pt idx="69">
                  <c:v>15.420000037248862</c:v>
                </c:pt>
                <c:pt idx="70">
                  <c:v>15.420000037248862</c:v>
                </c:pt>
                <c:pt idx="71">
                  <c:v>15.420000037248862</c:v>
                </c:pt>
                <c:pt idx="72">
                  <c:v>15.420000037248862</c:v>
                </c:pt>
                <c:pt idx="73">
                  <c:v>15.420000037248862</c:v>
                </c:pt>
                <c:pt idx="74">
                  <c:v>15.420000037248862</c:v>
                </c:pt>
                <c:pt idx="75">
                  <c:v>15.420000037248862</c:v>
                </c:pt>
                <c:pt idx="76">
                  <c:v>15.420000037248862</c:v>
                </c:pt>
                <c:pt idx="77">
                  <c:v>15.420000037248862</c:v>
                </c:pt>
                <c:pt idx="78">
                  <c:v>15.420000037248862</c:v>
                </c:pt>
                <c:pt idx="79">
                  <c:v>15.420000037248862</c:v>
                </c:pt>
                <c:pt idx="80">
                  <c:v>15.420000037248862</c:v>
                </c:pt>
                <c:pt idx="81">
                  <c:v>15.420000037248862</c:v>
                </c:pt>
                <c:pt idx="82">
                  <c:v>15.420000037248862</c:v>
                </c:pt>
                <c:pt idx="83">
                  <c:v>15.420000037248862</c:v>
                </c:pt>
                <c:pt idx="84">
                  <c:v>15.420000037248862</c:v>
                </c:pt>
                <c:pt idx="85">
                  <c:v>15.420000037248862</c:v>
                </c:pt>
                <c:pt idx="86">
                  <c:v>15.420000037248862</c:v>
                </c:pt>
                <c:pt idx="87">
                  <c:v>15.420000037248862</c:v>
                </c:pt>
                <c:pt idx="88">
                  <c:v>15.420000037248862</c:v>
                </c:pt>
                <c:pt idx="89">
                  <c:v>15.420000037248862</c:v>
                </c:pt>
                <c:pt idx="90">
                  <c:v>15.420000037248862</c:v>
                </c:pt>
                <c:pt idx="91">
                  <c:v>15.420000037248862</c:v>
                </c:pt>
                <c:pt idx="92">
                  <c:v>15.420000037248862</c:v>
                </c:pt>
                <c:pt idx="93">
                  <c:v>15.420000037248862</c:v>
                </c:pt>
                <c:pt idx="94">
                  <c:v>15.420000037248862</c:v>
                </c:pt>
                <c:pt idx="95">
                  <c:v>15.420000037248862</c:v>
                </c:pt>
                <c:pt idx="96">
                  <c:v>15.420000037248862</c:v>
                </c:pt>
                <c:pt idx="97">
                  <c:v>15.420000037248862</c:v>
                </c:pt>
                <c:pt idx="98">
                  <c:v>15.420000037248862</c:v>
                </c:pt>
                <c:pt idx="99">
                  <c:v>15.420000037248862</c:v>
                </c:pt>
                <c:pt idx="100">
                  <c:v>15.420000037248862</c:v>
                </c:pt>
                <c:pt idx="101">
                  <c:v>15.420000037248862</c:v>
                </c:pt>
                <c:pt idx="102">
                  <c:v>15.420000037248862</c:v>
                </c:pt>
                <c:pt idx="103">
                  <c:v>15.420000037248862</c:v>
                </c:pt>
                <c:pt idx="104">
                  <c:v>15.420000037248862</c:v>
                </c:pt>
                <c:pt idx="105">
                  <c:v>15.420000037248862</c:v>
                </c:pt>
                <c:pt idx="106">
                  <c:v>15.420000037248862</c:v>
                </c:pt>
                <c:pt idx="107">
                  <c:v>15.420000037248862</c:v>
                </c:pt>
                <c:pt idx="108">
                  <c:v>15.420000037248862</c:v>
                </c:pt>
                <c:pt idx="109">
                  <c:v>15.420000037248862</c:v>
                </c:pt>
                <c:pt idx="110">
                  <c:v>15.420000037248862</c:v>
                </c:pt>
                <c:pt idx="111">
                  <c:v>15.420000037248862</c:v>
                </c:pt>
                <c:pt idx="112">
                  <c:v>15.420000037248862</c:v>
                </c:pt>
                <c:pt idx="113">
                  <c:v>15.420000037248862</c:v>
                </c:pt>
                <c:pt idx="114">
                  <c:v>15.420000037248862</c:v>
                </c:pt>
                <c:pt idx="115">
                  <c:v>15.420000037248862</c:v>
                </c:pt>
                <c:pt idx="116">
                  <c:v>15.420000037248862</c:v>
                </c:pt>
                <c:pt idx="117">
                  <c:v>15.420000037248862</c:v>
                </c:pt>
                <c:pt idx="118">
                  <c:v>15.420000037248862</c:v>
                </c:pt>
                <c:pt idx="119">
                  <c:v>15.420000037248862</c:v>
                </c:pt>
                <c:pt idx="120">
                  <c:v>15.420000037248862</c:v>
                </c:pt>
                <c:pt idx="121">
                  <c:v>15.420000037248862</c:v>
                </c:pt>
                <c:pt idx="122">
                  <c:v>15.420000037248862</c:v>
                </c:pt>
                <c:pt idx="123">
                  <c:v>15.420000037248862</c:v>
                </c:pt>
                <c:pt idx="124">
                  <c:v>15.420000037248862</c:v>
                </c:pt>
                <c:pt idx="125">
                  <c:v>15.420000037248862</c:v>
                </c:pt>
                <c:pt idx="126">
                  <c:v>15.420000037248862</c:v>
                </c:pt>
                <c:pt idx="127">
                  <c:v>15.420000037248862</c:v>
                </c:pt>
                <c:pt idx="128">
                  <c:v>15.420000037248862</c:v>
                </c:pt>
                <c:pt idx="129">
                  <c:v>15.420000037248862</c:v>
                </c:pt>
                <c:pt idx="130">
                  <c:v>15.420000037248862</c:v>
                </c:pt>
                <c:pt idx="131">
                  <c:v>15.420000037248862</c:v>
                </c:pt>
                <c:pt idx="132">
                  <c:v>15.420000037248862</c:v>
                </c:pt>
                <c:pt idx="133">
                  <c:v>15.420000037248862</c:v>
                </c:pt>
                <c:pt idx="134">
                  <c:v>15.420000037248862</c:v>
                </c:pt>
                <c:pt idx="135">
                  <c:v>15.420000037248862</c:v>
                </c:pt>
                <c:pt idx="136">
                  <c:v>15.420000037248862</c:v>
                </c:pt>
                <c:pt idx="137">
                  <c:v>15.420000037248862</c:v>
                </c:pt>
                <c:pt idx="138">
                  <c:v>15.420000037248862</c:v>
                </c:pt>
                <c:pt idx="139">
                  <c:v>15.420000037248862</c:v>
                </c:pt>
                <c:pt idx="140">
                  <c:v>15.420000037248862</c:v>
                </c:pt>
                <c:pt idx="141">
                  <c:v>15.420000037248862</c:v>
                </c:pt>
                <c:pt idx="142">
                  <c:v>15.420000037248862</c:v>
                </c:pt>
                <c:pt idx="143">
                  <c:v>15.420000037248862</c:v>
                </c:pt>
                <c:pt idx="144">
                  <c:v>15.420000037248862</c:v>
                </c:pt>
                <c:pt idx="145">
                  <c:v>15.420000037248862</c:v>
                </c:pt>
                <c:pt idx="146">
                  <c:v>15.420000037248862</c:v>
                </c:pt>
                <c:pt idx="147">
                  <c:v>15.420000037248862</c:v>
                </c:pt>
                <c:pt idx="148">
                  <c:v>15.420000037248862</c:v>
                </c:pt>
                <c:pt idx="149">
                  <c:v>15.420000037248862</c:v>
                </c:pt>
                <c:pt idx="150">
                  <c:v>15.420000037248862</c:v>
                </c:pt>
                <c:pt idx="151">
                  <c:v>15.420000037248862</c:v>
                </c:pt>
                <c:pt idx="152">
                  <c:v>15.420000037248862</c:v>
                </c:pt>
                <c:pt idx="153">
                  <c:v>15.420000037248862</c:v>
                </c:pt>
                <c:pt idx="154">
                  <c:v>15.420000037248862</c:v>
                </c:pt>
                <c:pt idx="155">
                  <c:v>15.420000037248862</c:v>
                </c:pt>
                <c:pt idx="156">
                  <c:v>15.420000037248862</c:v>
                </c:pt>
                <c:pt idx="157">
                  <c:v>15.420000037248862</c:v>
                </c:pt>
                <c:pt idx="158">
                  <c:v>15.420000037248862</c:v>
                </c:pt>
                <c:pt idx="159">
                  <c:v>15.420000037248862</c:v>
                </c:pt>
                <c:pt idx="160">
                  <c:v>15.420000037248862</c:v>
                </c:pt>
                <c:pt idx="161">
                  <c:v>15.420000037248862</c:v>
                </c:pt>
                <c:pt idx="162">
                  <c:v>15.420000037248862</c:v>
                </c:pt>
                <c:pt idx="163">
                  <c:v>15.420000037248862</c:v>
                </c:pt>
                <c:pt idx="164">
                  <c:v>15.420000037248862</c:v>
                </c:pt>
                <c:pt idx="165">
                  <c:v>15.420000037248862</c:v>
                </c:pt>
                <c:pt idx="166">
                  <c:v>15.420000037248862</c:v>
                </c:pt>
                <c:pt idx="167">
                  <c:v>15.420000037248862</c:v>
                </c:pt>
                <c:pt idx="168">
                  <c:v>15.420000037248862</c:v>
                </c:pt>
                <c:pt idx="169">
                  <c:v>15.420000037248862</c:v>
                </c:pt>
                <c:pt idx="170">
                  <c:v>15.420000037248862</c:v>
                </c:pt>
                <c:pt idx="171">
                  <c:v>15.420000037248862</c:v>
                </c:pt>
                <c:pt idx="172">
                  <c:v>15.420000037248862</c:v>
                </c:pt>
                <c:pt idx="173">
                  <c:v>15.420000037248862</c:v>
                </c:pt>
                <c:pt idx="174">
                  <c:v>15.420000037248862</c:v>
                </c:pt>
                <c:pt idx="175">
                  <c:v>15.420000037248862</c:v>
                </c:pt>
                <c:pt idx="176">
                  <c:v>15.420000037248862</c:v>
                </c:pt>
                <c:pt idx="177">
                  <c:v>15.420000037248862</c:v>
                </c:pt>
                <c:pt idx="178">
                  <c:v>15.420000037248862</c:v>
                </c:pt>
                <c:pt idx="179">
                  <c:v>15.420000037248862</c:v>
                </c:pt>
                <c:pt idx="180">
                  <c:v>15.420000037248862</c:v>
                </c:pt>
                <c:pt idx="181">
                  <c:v>15.420000037248862</c:v>
                </c:pt>
                <c:pt idx="182">
                  <c:v>15.420000037248862</c:v>
                </c:pt>
                <c:pt idx="183">
                  <c:v>15.420000037248862</c:v>
                </c:pt>
                <c:pt idx="184">
                  <c:v>15.420000037248862</c:v>
                </c:pt>
                <c:pt idx="185">
                  <c:v>15.420000037248862</c:v>
                </c:pt>
                <c:pt idx="186">
                  <c:v>15.420000037248862</c:v>
                </c:pt>
                <c:pt idx="187">
                  <c:v>15.420000037248862</c:v>
                </c:pt>
                <c:pt idx="188">
                  <c:v>15.420000037248862</c:v>
                </c:pt>
                <c:pt idx="189">
                  <c:v>15.420000037248862</c:v>
                </c:pt>
                <c:pt idx="190">
                  <c:v>15.420000037248862</c:v>
                </c:pt>
                <c:pt idx="191">
                  <c:v>15.420000037248862</c:v>
                </c:pt>
                <c:pt idx="192">
                  <c:v>15.420000037248862</c:v>
                </c:pt>
                <c:pt idx="193">
                  <c:v>15.420000037248862</c:v>
                </c:pt>
                <c:pt idx="194">
                  <c:v>15.420000037248862</c:v>
                </c:pt>
                <c:pt idx="195">
                  <c:v>15.420000037248862</c:v>
                </c:pt>
                <c:pt idx="196">
                  <c:v>15.420000037248862</c:v>
                </c:pt>
                <c:pt idx="197">
                  <c:v>15.420000037248862</c:v>
                </c:pt>
                <c:pt idx="198">
                  <c:v>15.420000037248862</c:v>
                </c:pt>
                <c:pt idx="199">
                  <c:v>15.420000037248862</c:v>
                </c:pt>
                <c:pt idx="200">
                  <c:v>15.420000037248862</c:v>
                </c:pt>
                <c:pt idx="201">
                  <c:v>15.420000037248862</c:v>
                </c:pt>
                <c:pt idx="202">
                  <c:v>15.420000037248862</c:v>
                </c:pt>
                <c:pt idx="203">
                  <c:v>15.420000037248862</c:v>
                </c:pt>
                <c:pt idx="204">
                  <c:v>15.420000037248862</c:v>
                </c:pt>
                <c:pt idx="205">
                  <c:v>15.420000037248862</c:v>
                </c:pt>
                <c:pt idx="206">
                  <c:v>15.420000037248862</c:v>
                </c:pt>
                <c:pt idx="207">
                  <c:v>15.420000037248862</c:v>
                </c:pt>
                <c:pt idx="208">
                  <c:v>15.420000037248862</c:v>
                </c:pt>
                <c:pt idx="209">
                  <c:v>15.420000037248862</c:v>
                </c:pt>
                <c:pt idx="210">
                  <c:v>15.420000037248862</c:v>
                </c:pt>
                <c:pt idx="211">
                  <c:v>15.420000037248862</c:v>
                </c:pt>
                <c:pt idx="212">
                  <c:v>15.420000037248862</c:v>
                </c:pt>
                <c:pt idx="213">
                  <c:v>15.420000037248862</c:v>
                </c:pt>
                <c:pt idx="214">
                  <c:v>15.420000037248862</c:v>
                </c:pt>
                <c:pt idx="215">
                  <c:v>15.420000037248862</c:v>
                </c:pt>
                <c:pt idx="216">
                  <c:v>15.420000037248862</c:v>
                </c:pt>
                <c:pt idx="217">
                  <c:v>15.420000037248862</c:v>
                </c:pt>
                <c:pt idx="218">
                  <c:v>15.420000037248862</c:v>
                </c:pt>
                <c:pt idx="219">
                  <c:v>15.420000037248862</c:v>
                </c:pt>
                <c:pt idx="220">
                  <c:v>15.420000037248862</c:v>
                </c:pt>
                <c:pt idx="221">
                  <c:v>15.420000037248862</c:v>
                </c:pt>
                <c:pt idx="222">
                  <c:v>15.420000037248862</c:v>
                </c:pt>
                <c:pt idx="223">
                  <c:v>15.420000037248862</c:v>
                </c:pt>
                <c:pt idx="224">
                  <c:v>15.420000037248862</c:v>
                </c:pt>
                <c:pt idx="225">
                  <c:v>15.420000037248862</c:v>
                </c:pt>
                <c:pt idx="226">
                  <c:v>15.420000037248862</c:v>
                </c:pt>
                <c:pt idx="227">
                  <c:v>15.420000037248862</c:v>
                </c:pt>
                <c:pt idx="228">
                  <c:v>15.420000037248862</c:v>
                </c:pt>
                <c:pt idx="229">
                  <c:v>15.420000037248862</c:v>
                </c:pt>
                <c:pt idx="230">
                  <c:v>15.420000037248862</c:v>
                </c:pt>
                <c:pt idx="231">
                  <c:v>15.420000037248862</c:v>
                </c:pt>
                <c:pt idx="232">
                  <c:v>15.420000037248862</c:v>
                </c:pt>
                <c:pt idx="233">
                  <c:v>15.420000037248862</c:v>
                </c:pt>
                <c:pt idx="234">
                  <c:v>15.420000037248862</c:v>
                </c:pt>
                <c:pt idx="235">
                  <c:v>15.420000037248862</c:v>
                </c:pt>
                <c:pt idx="236">
                  <c:v>15.420000037248862</c:v>
                </c:pt>
                <c:pt idx="237">
                  <c:v>15.420000037248862</c:v>
                </c:pt>
                <c:pt idx="238">
                  <c:v>15.420000037248862</c:v>
                </c:pt>
                <c:pt idx="239">
                  <c:v>15.420000037248862</c:v>
                </c:pt>
                <c:pt idx="240">
                  <c:v>15.420000037248862</c:v>
                </c:pt>
                <c:pt idx="241">
                  <c:v>15.420000037248862</c:v>
                </c:pt>
                <c:pt idx="242">
                  <c:v>15.420000037248862</c:v>
                </c:pt>
                <c:pt idx="243">
                  <c:v>15.420000037248862</c:v>
                </c:pt>
                <c:pt idx="244">
                  <c:v>15.420000037248862</c:v>
                </c:pt>
                <c:pt idx="245">
                  <c:v>15.420000037248862</c:v>
                </c:pt>
                <c:pt idx="246">
                  <c:v>15.420000037248862</c:v>
                </c:pt>
                <c:pt idx="247">
                  <c:v>15.420000037248862</c:v>
                </c:pt>
                <c:pt idx="248">
                  <c:v>15.420000037248862</c:v>
                </c:pt>
                <c:pt idx="249">
                  <c:v>15.420000037248862</c:v>
                </c:pt>
                <c:pt idx="250">
                  <c:v>15.420000037248862</c:v>
                </c:pt>
                <c:pt idx="251">
                  <c:v>15.420000037248862</c:v>
                </c:pt>
                <c:pt idx="252">
                  <c:v>15.420000037248862</c:v>
                </c:pt>
                <c:pt idx="253">
                  <c:v>15.420000037248862</c:v>
                </c:pt>
                <c:pt idx="254">
                  <c:v>15.420000037248862</c:v>
                </c:pt>
                <c:pt idx="255">
                  <c:v>15.420000037248862</c:v>
                </c:pt>
                <c:pt idx="256">
                  <c:v>15.420000037248862</c:v>
                </c:pt>
                <c:pt idx="257">
                  <c:v>15.420000037248862</c:v>
                </c:pt>
                <c:pt idx="258">
                  <c:v>15.420000037248862</c:v>
                </c:pt>
                <c:pt idx="259">
                  <c:v>15.420000037248862</c:v>
                </c:pt>
                <c:pt idx="260">
                  <c:v>15.420000037248862</c:v>
                </c:pt>
                <c:pt idx="261">
                  <c:v>15.420000037248862</c:v>
                </c:pt>
                <c:pt idx="262">
                  <c:v>15.420000037248862</c:v>
                </c:pt>
                <c:pt idx="263">
                  <c:v>15.420000037248862</c:v>
                </c:pt>
                <c:pt idx="264">
                  <c:v>15.420000037248862</c:v>
                </c:pt>
                <c:pt idx="265">
                  <c:v>15.420000037248862</c:v>
                </c:pt>
                <c:pt idx="266">
                  <c:v>15.420000037248862</c:v>
                </c:pt>
                <c:pt idx="267">
                  <c:v>15.420000037248862</c:v>
                </c:pt>
                <c:pt idx="268">
                  <c:v>15.420000037248862</c:v>
                </c:pt>
                <c:pt idx="269">
                  <c:v>15.420000037248862</c:v>
                </c:pt>
                <c:pt idx="270">
                  <c:v>15.420000037248862</c:v>
                </c:pt>
                <c:pt idx="271">
                  <c:v>15.420000037248862</c:v>
                </c:pt>
                <c:pt idx="272">
                  <c:v>15.420000037248862</c:v>
                </c:pt>
                <c:pt idx="273">
                  <c:v>15.420000037248862</c:v>
                </c:pt>
                <c:pt idx="274">
                  <c:v>15.420000037248862</c:v>
                </c:pt>
                <c:pt idx="275">
                  <c:v>15.420000037248862</c:v>
                </c:pt>
                <c:pt idx="276">
                  <c:v>15.420000037248862</c:v>
                </c:pt>
                <c:pt idx="277">
                  <c:v>15.420000037248862</c:v>
                </c:pt>
                <c:pt idx="278">
                  <c:v>15.420000037248862</c:v>
                </c:pt>
                <c:pt idx="279">
                  <c:v>15.420000037248862</c:v>
                </c:pt>
                <c:pt idx="280">
                  <c:v>15.420000037248862</c:v>
                </c:pt>
                <c:pt idx="281">
                  <c:v>15.420000037248862</c:v>
                </c:pt>
                <c:pt idx="282">
                  <c:v>15.420000037248862</c:v>
                </c:pt>
                <c:pt idx="283">
                  <c:v>15.420000037248862</c:v>
                </c:pt>
                <c:pt idx="284">
                  <c:v>15.420000037248862</c:v>
                </c:pt>
                <c:pt idx="285">
                  <c:v>15.420000037248862</c:v>
                </c:pt>
                <c:pt idx="286">
                  <c:v>15.420000037248862</c:v>
                </c:pt>
                <c:pt idx="287">
                  <c:v>15.420000037248862</c:v>
                </c:pt>
                <c:pt idx="288">
                  <c:v>15.420000037248862</c:v>
                </c:pt>
                <c:pt idx="289">
                  <c:v>15.420000037248862</c:v>
                </c:pt>
                <c:pt idx="290">
                  <c:v>15.420000037248862</c:v>
                </c:pt>
                <c:pt idx="291">
                  <c:v>15.420000037248862</c:v>
                </c:pt>
                <c:pt idx="292">
                  <c:v>15.420000037248862</c:v>
                </c:pt>
                <c:pt idx="293">
                  <c:v>15.420000037248862</c:v>
                </c:pt>
                <c:pt idx="294">
                  <c:v>15.420000037248862</c:v>
                </c:pt>
                <c:pt idx="295">
                  <c:v>15.420000037248862</c:v>
                </c:pt>
                <c:pt idx="296">
                  <c:v>15.420000037248862</c:v>
                </c:pt>
                <c:pt idx="297">
                  <c:v>15.420000037248862</c:v>
                </c:pt>
                <c:pt idx="298">
                  <c:v>15.420000037248862</c:v>
                </c:pt>
                <c:pt idx="299">
                  <c:v>15.420000037248862</c:v>
                </c:pt>
                <c:pt idx="300">
                  <c:v>15.420000037248862</c:v>
                </c:pt>
                <c:pt idx="301">
                  <c:v>15.420000037248862</c:v>
                </c:pt>
                <c:pt idx="302">
                  <c:v>15.420000037248862</c:v>
                </c:pt>
                <c:pt idx="303">
                  <c:v>15.420000037248862</c:v>
                </c:pt>
                <c:pt idx="304">
                  <c:v>15.420000037248862</c:v>
                </c:pt>
                <c:pt idx="305">
                  <c:v>15.420000037248862</c:v>
                </c:pt>
                <c:pt idx="306">
                  <c:v>15.420000037248862</c:v>
                </c:pt>
                <c:pt idx="307">
                  <c:v>15.420000037248862</c:v>
                </c:pt>
                <c:pt idx="308">
                  <c:v>15.420000037248862</c:v>
                </c:pt>
                <c:pt idx="309">
                  <c:v>15.420000037248862</c:v>
                </c:pt>
                <c:pt idx="310">
                  <c:v>15.420000037248862</c:v>
                </c:pt>
                <c:pt idx="311">
                  <c:v>15.420000037248862</c:v>
                </c:pt>
                <c:pt idx="312">
                  <c:v>15.420000037248862</c:v>
                </c:pt>
                <c:pt idx="313">
                  <c:v>15.420000037248862</c:v>
                </c:pt>
                <c:pt idx="314">
                  <c:v>15.420000037248862</c:v>
                </c:pt>
                <c:pt idx="315">
                  <c:v>15.420000037248862</c:v>
                </c:pt>
                <c:pt idx="316">
                  <c:v>15.420000037248862</c:v>
                </c:pt>
                <c:pt idx="317">
                  <c:v>15.420000037248862</c:v>
                </c:pt>
                <c:pt idx="318">
                  <c:v>15.420000037248862</c:v>
                </c:pt>
                <c:pt idx="319">
                  <c:v>15.420000037248862</c:v>
                </c:pt>
                <c:pt idx="320">
                  <c:v>15.420000037248862</c:v>
                </c:pt>
                <c:pt idx="321">
                  <c:v>15.420000037248862</c:v>
                </c:pt>
                <c:pt idx="322">
                  <c:v>15.420000037248862</c:v>
                </c:pt>
                <c:pt idx="323">
                  <c:v>15.420000037248862</c:v>
                </c:pt>
                <c:pt idx="324">
                  <c:v>15.420000037248862</c:v>
                </c:pt>
                <c:pt idx="325">
                  <c:v>15.420000037248862</c:v>
                </c:pt>
                <c:pt idx="326">
                  <c:v>15.420000037248862</c:v>
                </c:pt>
                <c:pt idx="327">
                  <c:v>15.420000037248862</c:v>
                </c:pt>
                <c:pt idx="328">
                  <c:v>15.420000037248862</c:v>
                </c:pt>
                <c:pt idx="329">
                  <c:v>15.420000037248862</c:v>
                </c:pt>
                <c:pt idx="330">
                  <c:v>15.420000037248862</c:v>
                </c:pt>
                <c:pt idx="331">
                  <c:v>15.420000037248862</c:v>
                </c:pt>
                <c:pt idx="332">
                  <c:v>15.420000037248862</c:v>
                </c:pt>
                <c:pt idx="333">
                  <c:v>15.420000037248862</c:v>
                </c:pt>
                <c:pt idx="334">
                  <c:v>15.420000037248862</c:v>
                </c:pt>
                <c:pt idx="335">
                  <c:v>15.420000037248862</c:v>
                </c:pt>
                <c:pt idx="336">
                  <c:v>15.420000037248862</c:v>
                </c:pt>
                <c:pt idx="337">
                  <c:v>15.420000037248862</c:v>
                </c:pt>
                <c:pt idx="338">
                  <c:v>15.420000037248862</c:v>
                </c:pt>
                <c:pt idx="339">
                  <c:v>15.420000037248862</c:v>
                </c:pt>
                <c:pt idx="340">
                  <c:v>15.420000037248862</c:v>
                </c:pt>
                <c:pt idx="341">
                  <c:v>15.420000037248862</c:v>
                </c:pt>
                <c:pt idx="342">
                  <c:v>15.420000037248862</c:v>
                </c:pt>
                <c:pt idx="343">
                  <c:v>15.420000037248862</c:v>
                </c:pt>
                <c:pt idx="344">
                  <c:v>15.420000037248862</c:v>
                </c:pt>
                <c:pt idx="345">
                  <c:v>15.420000037248862</c:v>
                </c:pt>
                <c:pt idx="346">
                  <c:v>15.420000037248862</c:v>
                </c:pt>
                <c:pt idx="347">
                  <c:v>15.420000037248862</c:v>
                </c:pt>
                <c:pt idx="348">
                  <c:v>15.420000037248862</c:v>
                </c:pt>
                <c:pt idx="349">
                  <c:v>15.420000037248862</c:v>
                </c:pt>
                <c:pt idx="350">
                  <c:v>15.420000037248862</c:v>
                </c:pt>
                <c:pt idx="351">
                  <c:v>15.420000037248862</c:v>
                </c:pt>
                <c:pt idx="352">
                  <c:v>15.420000037248862</c:v>
                </c:pt>
                <c:pt idx="353">
                  <c:v>15.420000037248862</c:v>
                </c:pt>
                <c:pt idx="354">
                  <c:v>15.420000037248862</c:v>
                </c:pt>
                <c:pt idx="355">
                  <c:v>15.420000037248862</c:v>
                </c:pt>
                <c:pt idx="356">
                  <c:v>15.420000037248862</c:v>
                </c:pt>
                <c:pt idx="357">
                  <c:v>15.420000037248862</c:v>
                </c:pt>
                <c:pt idx="358">
                  <c:v>15.420000037248862</c:v>
                </c:pt>
                <c:pt idx="359">
                  <c:v>15.420000037248862</c:v>
                </c:pt>
                <c:pt idx="360">
                  <c:v>15.420000037248862</c:v>
                </c:pt>
                <c:pt idx="361">
                  <c:v>15.420000037248862</c:v>
                </c:pt>
                <c:pt idx="362">
                  <c:v>15.420000037248862</c:v>
                </c:pt>
                <c:pt idx="363">
                  <c:v>15.420000037248862</c:v>
                </c:pt>
                <c:pt idx="364">
                  <c:v>15.420000037248862</c:v>
                </c:pt>
                <c:pt idx="365">
                  <c:v>15.420000037248862</c:v>
                </c:pt>
                <c:pt idx="366">
                  <c:v>15.420000037248862</c:v>
                </c:pt>
                <c:pt idx="367">
                  <c:v>15.420000037248862</c:v>
                </c:pt>
                <c:pt idx="368">
                  <c:v>15.420000037248862</c:v>
                </c:pt>
                <c:pt idx="369">
                  <c:v>15.420000037248862</c:v>
                </c:pt>
                <c:pt idx="370">
                  <c:v>15.420000037248862</c:v>
                </c:pt>
                <c:pt idx="371">
                  <c:v>15.420000037248862</c:v>
                </c:pt>
                <c:pt idx="372">
                  <c:v>15.420000037248862</c:v>
                </c:pt>
                <c:pt idx="373">
                  <c:v>15.420000037248862</c:v>
                </c:pt>
                <c:pt idx="374">
                  <c:v>15.420000037248862</c:v>
                </c:pt>
                <c:pt idx="375">
                  <c:v>15.420000037248862</c:v>
                </c:pt>
                <c:pt idx="376">
                  <c:v>15.420000037248862</c:v>
                </c:pt>
                <c:pt idx="377">
                  <c:v>15.420000037248862</c:v>
                </c:pt>
                <c:pt idx="378">
                  <c:v>15.420000037248862</c:v>
                </c:pt>
                <c:pt idx="379">
                  <c:v>15.420000037248862</c:v>
                </c:pt>
                <c:pt idx="380">
                  <c:v>15.420000037248862</c:v>
                </c:pt>
                <c:pt idx="381">
                  <c:v>15.420000037248862</c:v>
                </c:pt>
                <c:pt idx="382">
                  <c:v>15.420000037248862</c:v>
                </c:pt>
                <c:pt idx="383">
                  <c:v>15.420000037248862</c:v>
                </c:pt>
                <c:pt idx="384">
                  <c:v>15.420000037248862</c:v>
                </c:pt>
                <c:pt idx="385">
                  <c:v>15.420000037248862</c:v>
                </c:pt>
                <c:pt idx="386">
                  <c:v>15.420000037248862</c:v>
                </c:pt>
                <c:pt idx="387">
                  <c:v>15.420000037248862</c:v>
                </c:pt>
                <c:pt idx="388">
                  <c:v>15.420000037248862</c:v>
                </c:pt>
                <c:pt idx="389">
                  <c:v>15.420000037248862</c:v>
                </c:pt>
                <c:pt idx="390">
                  <c:v>15.420000037248862</c:v>
                </c:pt>
                <c:pt idx="391">
                  <c:v>15.420000037248862</c:v>
                </c:pt>
                <c:pt idx="392">
                  <c:v>15.420000037248862</c:v>
                </c:pt>
                <c:pt idx="393">
                  <c:v>15.420000037248862</c:v>
                </c:pt>
                <c:pt idx="394">
                  <c:v>15.420000037248862</c:v>
                </c:pt>
                <c:pt idx="395">
                  <c:v>15.420000037248862</c:v>
                </c:pt>
                <c:pt idx="396">
                  <c:v>15.420000037248862</c:v>
                </c:pt>
                <c:pt idx="397">
                  <c:v>15.420000037248862</c:v>
                </c:pt>
                <c:pt idx="398">
                  <c:v>15.420000037248862</c:v>
                </c:pt>
                <c:pt idx="399">
                  <c:v>15.420000037248862</c:v>
                </c:pt>
                <c:pt idx="400">
                  <c:v>15.420000037248862</c:v>
                </c:pt>
                <c:pt idx="401">
                  <c:v>15.420000037248862</c:v>
                </c:pt>
                <c:pt idx="402">
                  <c:v>15.420000037248862</c:v>
                </c:pt>
                <c:pt idx="403">
                  <c:v>15.420000037248862</c:v>
                </c:pt>
                <c:pt idx="404">
                  <c:v>15.420000037248862</c:v>
                </c:pt>
                <c:pt idx="405">
                  <c:v>15.420000037248862</c:v>
                </c:pt>
                <c:pt idx="406">
                  <c:v>15.420000037248862</c:v>
                </c:pt>
                <c:pt idx="407">
                  <c:v>15.420000037248862</c:v>
                </c:pt>
                <c:pt idx="408">
                  <c:v>15.420000037248862</c:v>
                </c:pt>
                <c:pt idx="409">
                  <c:v>15.420000037248862</c:v>
                </c:pt>
                <c:pt idx="410">
                  <c:v>15.420000037248862</c:v>
                </c:pt>
                <c:pt idx="411">
                  <c:v>15.420000037248862</c:v>
                </c:pt>
                <c:pt idx="412">
                  <c:v>15.420000037248862</c:v>
                </c:pt>
                <c:pt idx="413">
                  <c:v>15.420000037248862</c:v>
                </c:pt>
                <c:pt idx="414">
                  <c:v>15.420000037248862</c:v>
                </c:pt>
                <c:pt idx="415">
                  <c:v>15.420000037248862</c:v>
                </c:pt>
                <c:pt idx="416">
                  <c:v>15.420000037248862</c:v>
                </c:pt>
                <c:pt idx="417">
                  <c:v>15.420000037248862</c:v>
                </c:pt>
                <c:pt idx="418">
                  <c:v>15.420000037248862</c:v>
                </c:pt>
                <c:pt idx="419">
                  <c:v>15.420000037248862</c:v>
                </c:pt>
                <c:pt idx="420">
                  <c:v>15.420000037248862</c:v>
                </c:pt>
                <c:pt idx="421">
                  <c:v>15.420000037248862</c:v>
                </c:pt>
                <c:pt idx="422">
                  <c:v>15.420000037248862</c:v>
                </c:pt>
                <c:pt idx="423">
                  <c:v>15.420000037248862</c:v>
                </c:pt>
                <c:pt idx="424">
                  <c:v>15.420000037248862</c:v>
                </c:pt>
                <c:pt idx="425">
                  <c:v>15.420000037248862</c:v>
                </c:pt>
                <c:pt idx="426">
                  <c:v>15.420000037248862</c:v>
                </c:pt>
                <c:pt idx="427">
                  <c:v>15.420000037248862</c:v>
                </c:pt>
                <c:pt idx="428">
                  <c:v>15.420000037248862</c:v>
                </c:pt>
                <c:pt idx="429">
                  <c:v>15.420000037248862</c:v>
                </c:pt>
                <c:pt idx="430">
                  <c:v>15.420000037248862</c:v>
                </c:pt>
                <c:pt idx="431">
                  <c:v>15.420000037248862</c:v>
                </c:pt>
                <c:pt idx="432">
                  <c:v>15.420000037248862</c:v>
                </c:pt>
                <c:pt idx="433">
                  <c:v>15.420000037248862</c:v>
                </c:pt>
                <c:pt idx="434">
                  <c:v>15.420000037248862</c:v>
                </c:pt>
                <c:pt idx="435">
                  <c:v>15.420000037248862</c:v>
                </c:pt>
                <c:pt idx="436">
                  <c:v>15.420000037248862</c:v>
                </c:pt>
                <c:pt idx="437">
                  <c:v>15.420000037248862</c:v>
                </c:pt>
                <c:pt idx="438">
                  <c:v>15.420000037248862</c:v>
                </c:pt>
                <c:pt idx="439">
                  <c:v>15.420000037248862</c:v>
                </c:pt>
                <c:pt idx="440">
                  <c:v>15.420000037248862</c:v>
                </c:pt>
                <c:pt idx="441">
                  <c:v>15.420000037248862</c:v>
                </c:pt>
                <c:pt idx="442">
                  <c:v>15.420000037248862</c:v>
                </c:pt>
                <c:pt idx="443">
                  <c:v>15.420000037248862</c:v>
                </c:pt>
                <c:pt idx="444">
                  <c:v>15.420000037248862</c:v>
                </c:pt>
                <c:pt idx="445">
                  <c:v>15.420000037248862</c:v>
                </c:pt>
                <c:pt idx="446">
                  <c:v>15.420000037248862</c:v>
                </c:pt>
                <c:pt idx="447">
                  <c:v>15.420000037248862</c:v>
                </c:pt>
                <c:pt idx="448">
                  <c:v>15.420000037248862</c:v>
                </c:pt>
                <c:pt idx="449">
                  <c:v>15.420000037248862</c:v>
                </c:pt>
                <c:pt idx="450">
                  <c:v>15.420000037248862</c:v>
                </c:pt>
                <c:pt idx="451">
                  <c:v>15.420000037248862</c:v>
                </c:pt>
                <c:pt idx="452">
                  <c:v>15.420000037248862</c:v>
                </c:pt>
                <c:pt idx="453">
                  <c:v>15.420000037248862</c:v>
                </c:pt>
                <c:pt idx="454">
                  <c:v>15.420000037248862</c:v>
                </c:pt>
                <c:pt idx="455">
                  <c:v>15.420000037248862</c:v>
                </c:pt>
                <c:pt idx="456">
                  <c:v>15.420000037248862</c:v>
                </c:pt>
                <c:pt idx="457">
                  <c:v>15.420000037248862</c:v>
                </c:pt>
                <c:pt idx="458">
                  <c:v>15.420000037248862</c:v>
                </c:pt>
                <c:pt idx="459">
                  <c:v>15.420000037248862</c:v>
                </c:pt>
                <c:pt idx="460">
                  <c:v>15.420000037248862</c:v>
                </c:pt>
                <c:pt idx="461">
                  <c:v>15.420000037248862</c:v>
                </c:pt>
                <c:pt idx="462">
                  <c:v>15.420000037248862</c:v>
                </c:pt>
                <c:pt idx="463">
                  <c:v>15.420000037248862</c:v>
                </c:pt>
                <c:pt idx="464">
                  <c:v>15.420000037248862</c:v>
                </c:pt>
                <c:pt idx="465">
                  <c:v>15.420000037248862</c:v>
                </c:pt>
                <c:pt idx="466">
                  <c:v>15.420000037248862</c:v>
                </c:pt>
                <c:pt idx="467">
                  <c:v>15.420000037248862</c:v>
                </c:pt>
                <c:pt idx="468">
                  <c:v>15.420000037248862</c:v>
                </c:pt>
                <c:pt idx="469">
                  <c:v>15.420000037248862</c:v>
                </c:pt>
                <c:pt idx="470">
                  <c:v>15.420000037248862</c:v>
                </c:pt>
                <c:pt idx="471">
                  <c:v>15.420000037248862</c:v>
                </c:pt>
                <c:pt idx="472">
                  <c:v>15.420000037248862</c:v>
                </c:pt>
                <c:pt idx="473">
                  <c:v>15.420000037248862</c:v>
                </c:pt>
                <c:pt idx="474">
                  <c:v>15.420000037248862</c:v>
                </c:pt>
                <c:pt idx="475">
                  <c:v>15.420000037248862</c:v>
                </c:pt>
                <c:pt idx="476">
                  <c:v>15.420000037248862</c:v>
                </c:pt>
                <c:pt idx="477">
                  <c:v>15.420000037248862</c:v>
                </c:pt>
                <c:pt idx="478">
                  <c:v>15.420000037248862</c:v>
                </c:pt>
                <c:pt idx="479">
                  <c:v>15.420000037248862</c:v>
                </c:pt>
                <c:pt idx="480">
                  <c:v>15.420000037248862</c:v>
                </c:pt>
                <c:pt idx="481">
                  <c:v>15.420000037248862</c:v>
                </c:pt>
                <c:pt idx="482">
                  <c:v>15.420000037248862</c:v>
                </c:pt>
                <c:pt idx="483">
                  <c:v>15.420000037248862</c:v>
                </c:pt>
                <c:pt idx="484">
                  <c:v>15.420000037248862</c:v>
                </c:pt>
                <c:pt idx="485">
                  <c:v>15.420000037248862</c:v>
                </c:pt>
                <c:pt idx="486">
                  <c:v>15.420000037248862</c:v>
                </c:pt>
                <c:pt idx="487">
                  <c:v>15.420000037248862</c:v>
                </c:pt>
                <c:pt idx="488">
                  <c:v>15.420000037248862</c:v>
                </c:pt>
                <c:pt idx="489">
                  <c:v>15.420000037248862</c:v>
                </c:pt>
                <c:pt idx="490">
                  <c:v>15.420000037248862</c:v>
                </c:pt>
                <c:pt idx="491">
                  <c:v>15.420000037248862</c:v>
                </c:pt>
                <c:pt idx="492">
                  <c:v>15.420000037248862</c:v>
                </c:pt>
                <c:pt idx="493">
                  <c:v>15.420000037248862</c:v>
                </c:pt>
                <c:pt idx="494">
                  <c:v>15.420000037248862</c:v>
                </c:pt>
                <c:pt idx="495">
                  <c:v>15.420000037248862</c:v>
                </c:pt>
                <c:pt idx="496">
                  <c:v>15.420000037248862</c:v>
                </c:pt>
                <c:pt idx="497">
                  <c:v>15.420000037248862</c:v>
                </c:pt>
                <c:pt idx="498">
                  <c:v>15.420000037248862</c:v>
                </c:pt>
                <c:pt idx="499">
                  <c:v>15.420000037248862</c:v>
                </c:pt>
              </c:numCache>
            </c:numRef>
          </c:val>
          <c:smooth val="0"/>
          <c:extLst>
            <c:ext xmlns:c16="http://schemas.microsoft.com/office/drawing/2014/chart" uri="{C3380CC4-5D6E-409C-BE32-E72D297353CC}">
              <c16:uniqueId val="{00000001-7DC3-42CC-826D-387680A8B18A}"/>
            </c:ext>
          </c:extLst>
        </c:ser>
        <c:ser>
          <c:idx val="2"/>
          <c:order val="2"/>
          <c:tx>
            <c:strRef>
              <c:f>Summary!$R$86</c:f>
              <c:strCache>
                <c:ptCount val="1"/>
                <c:pt idx="0">
                  <c:v>Large Cap EV/revenue</c:v>
                </c:pt>
              </c:strCache>
            </c:strRef>
          </c:tx>
          <c:spPr>
            <a:ln w="28575" cap="rnd">
              <a:solidFill>
                <a:schemeClr val="accent1"/>
              </a:solidFill>
              <a:round/>
            </a:ln>
            <a:effectLst/>
          </c:spPr>
          <c:marker>
            <c:symbol val="none"/>
          </c:marker>
          <c:cat>
            <c:numRef>
              <c:f>Summary!$B$87:$B$586</c:f>
              <c:numCache>
                <c:formatCode>m/d/yyyy</c:formatCode>
                <c:ptCount val="500"/>
                <c:pt idx="0">
                  <c:v>42741</c:v>
                </c:pt>
                <c:pt idx="1">
                  <c:v>42748</c:v>
                </c:pt>
                <c:pt idx="2">
                  <c:v>42755</c:v>
                </c:pt>
                <c:pt idx="3">
                  <c:v>42762</c:v>
                </c:pt>
                <c:pt idx="4">
                  <c:v>42769</c:v>
                </c:pt>
                <c:pt idx="5">
                  <c:v>42776</c:v>
                </c:pt>
                <c:pt idx="6">
                  <c:v>42783</c:v>
                </c:pt>
                <c:pt idx="7">
                  <c:v>42790</c:v>
                </c:pt>
                <c:pt idx="8">
                  <c:v>42797</c:v>
                </c:pt>
                <c:pt idx="9">
                  <c:v>42804</c:v>
                </c:pt>
                <c:pt idx="10">
                  <c:v>42811</c:v>
                </c:pt>
                <c:pt idx="11">
                  <c:v>42818</c:v>
                </c:pt>
                <c:pt idx="12">
                  <c:v>42825</c:v>
                </c:pt>
                <c:pt idx="13">
                  <c:v>42832</c:v>
                </c:pt>
                <c:pt idx="14">
                  <c:v>42839</c:v>
                </c:pt>
                <c:pt idx="15">
                  <c:v>42846</c:v>
                </c:pt>
                <c:pt idx="16">
                  <c:v>42853</c:v>
                </c:pt>
                <c:pt idx="17">
                  <c:v>42860</c:v>
                </c:pt>
                <c:pt idx="18">
                  <c:v>42867</c:v>
                </c:pt>
                <c:pt idx="19">
                  <c:v>42874</c:v>
                </c:pt>
                <c:pt idx="20">
                  <c:v>42881</c:v>
                </c:pt>
                <c:pt idx="21">
                  <c:v>42888</c:v>
                </c:pt>
                <c:pt idx="22">
                  <c:v>42895</c:v>
                </c:pt>
                <c:pt idx="23">
                  <c:v>42902</c:v>
                </c:pt>
                <c:pt idx="24">
                  <c:v>42909</c:v>
                </c:pt>
                <c:pt idx="25">
                  <c:v>42916</c:v>
                </c:pt>
                <c:pt idx="26">
                  <c:v>42923</c:v>
                </c:pt>
                <c:pt idx="27">
                  <c:v>42930</c:v>
                </c:pt>
                <c:pt idx="28">
                  <c:v>42937</c:v>
                </c:pt>
                <c:pt idx="29">
                  <c:v>42944</c:v>
                </c:pt>
                <c:pt idx="30">
                  <c:v>42951</c:v>
                </c:pt>
                <c:pt idx="31">
                  <c:v>42958</c:v>
                </c:pt>
                <c:pt idx="32">
                  <c:v>42965</c:v>
                </c:pt>
                <c:pt idx="33">
                  <c:v>42972</c:v>
                </c:pt>
                <c:pt idx="34">
                  <c:v>42979</c:v>
                </c:pt>
                <c:pt idx="35">
                  <c:v>42986</c:v>
                </c:pt>
                <c:pt idx="36">
                  <c:v>42993</c:v>
                </c:pt>
                <c:pt idx="37">
                  <c:v>43000</c:v>
                </c:pt>
                <c:pt idx="38">
                  <c:v>43007</c:v>
                </c:pt>
                <c:pt idx="39">
                  <c:v>43014</c:v>
                </c:pt>
                <c:pt idx="40">
                  <c:v>43021</c:v>
                </c:pt>
                <c:pt idx="41">
                  <c:v>43028</c:v>
                </c:pt>
                <c:pt idx="42">
                  <c:v>43035</c:v>
                </c:pt>
                <c:pt idx="43">
                  <c:v>43042</c:v>
                </c:pt>
                <c:pt idx="44">
                  <c:v>43049</c:v>
                </c:pt>
                <c:pt idx="45">
                  <c:v>43056</c:v>
                </c:pt>
                <c:pt idx="46">
                  <c:v>43063</c:v>
                </c:pt>
                <c:pt idx="47">
                  <c:v>43070</c:v>
                </c:pt>
                <c:pt idx="48">
                  <c:v>43077</c:v>
                </c:pt>
                <c:pt idx="49">
                  <c:v>43084</c:v>
                </c:pt>
                <c:pt idx="50">
                  <c:v>43091</c:v>
                </c:pt>
                <c:pt idx="51">
                  <c:v>43098</c:v>
                </c:pt>
                <c:pt idx="52">
                  <c:v>43105</c:v>
                </c:pt>
                <c:pt idx="53">
                  <c:v>43112</c:v>
                </c:pt>
                <c:pt idx="54">
                  <c:v>43119</c:v>
                </c:pt>
                <c:pt idx="55">
                  <c:v>43126</c:v>
                </c:pt>
                <c:pt idx="56">
                  <c:v>43133</c:v>
                </c:pt>
                <c:pt idx="57">
                  <c:v>43140</c:v>
                </c:pt>
                <c:pt idx="58">
                  <c:v>43147</c:v>
                </c:pt>
                <c:pt idx="59">
                  <c:v>43154</c:v>
                </c:pt>
                <c:pt idx="60">
                  <c:v>43161</c:v>
                </c:pt>
                <c:pt idx="61">
                  <c:v>43168</c:v>
                </c:pt>
                <c:pt idx="62">
                  <c:v>43175</c:v>
                </c:pt>
                <c:pt idx="63">
                  <c:v>43182</c:v>
                </c:pt>
                <c:pt idx="64">
                  <c:v>43189</c:v>
                </c:pt>
                <c:pt idx="65">
                  <c:v>43196</c:v>
                </c:pt>
                <c:pt idx="66">
                  <c:v>43203</c:v>
                </c:pt>
                <c:pt idx="67">
                  <c:v>43210</c:v>
                </c:pt>
                <c:pt idx="68">
                  <c:v>43217</c:v>
                </c:pt>
                <c:pt idx="69">
                  <c:v>43224</c:v>
                </c:pt>
                <c:pt idx="70">
                  <c:v>43231</c:v>
                </c:pt>
                <c:pt idx="71">
                  <c:v>43238</c:v>
                </c:pt>
                <c:pt idx="72">
                  <c:v>43245</c:v>
                </c:pt>
                <c:pt idx="73">
                  <c:v>43252</c:v>
                </c:pt>
                <c:pt idx="74">
                  <c:v>43259</c:v>
                </c:pt>
                <c:pt idx="75">
                  <c:v>43266</c:v>
                </c:pt>
                <c:pt idx="76">
                  <c:v>43273</c:v>
                </c:pt>
                <c:pt idx="77">
                  <c:v>43280</c:v>
                </c:pt>
                <c:pt idx="78">
                  <c:v>43287</c:v>
                </c:pt>
                <c:pt idx="79">
                  <c:v>43294</c:v>
                </c:pt>
                <c:pt idx="80">
                  <c:v>43301</c:v>
                </c:pt>
                <c:pt idx="81">
                  <c:v>43308</c:v>
                </c:pt>
                <c:pt idx="82">
                  <c:v>43315</c:v>
                </c:pt>
                <c:pt idx="83">
                  <c:v>43322</c:v>
                </c:pt>
                <c:pt idx="84">
                  <c:v>43329</c:v>
                </c:pt>
                <c:pt idx="85">
                  <c:v>43336</c:v>
                </c:pt>
                <c:pt idx="86">
                  <c:v>43343</c:v>
                </c:pt>
                <c:pt idx="87">
                  <c:v>43350</c:v>
                </c:pt>
                <c:pt idx="88">
                  <c:v>43357</c:v>
                </c:pt>
                <c:pt idx="89">
                  <c:v>43364</c:v>
                </c:pt>
                <c:pt idx="90">
                  <c:v>43371</c:v>
                </c:pt>
                <c:pt idx="91">
                  <c:v>43378</c:v>
                </c:pt>
                <c:pt idx="92">
                  <c:v>43385</c:v>
                </c:pt>
                <c:pt idx="93">
                  <c:v>43392</c:v>
                </c:pt>
                <c:pt idx="94">
                  <c:v>43399</c:v>
                </c:pt>
                <c:pt idx="95">
                  <c:v>43406</c:v>
                </c:pt>
                <c:pt idx="96">
                  <c:v>43413</c:v>
                </c:pt>
                <c:pt idx="97">
                  <c:v>43420</c:v>
                </c:pt>
                <c:pt idx="98">
                  <c:v>43427</c:v>
                </c:pt>
                <c:pt idx="99">
                  <c:v>43434</c:v>
                </c:pt>
                <c:pt idx="100">
                  <c:v>43441</c:v>
                </c:pt>
                <c:pt idx="101">
                  <c:v>43448</c:v>
                </c:pt>
                <c:pt idx="102">
                  <c:v>43455</c:v>
                </c:pt>
                <c:pt idx="103">
                  <c:v>43462</c:v>
                </c:pt>
                <c:pt idx="104">
                  <c:v>43469</c:v>
                </c:pt>
                <c:pt idx="105">
                  <c:v>43476</c:v>
                </c:pt>
                <c:pt idx="106">
                  <c:v>43483</c:v>
                </c:pt>
                <c:pt idx="107">
                  <c:v>43490</c:v>
                </c:pt>
                <c:pt idx="108">
                  <c:v>43497</c:v>
                </c:pt>
                <c:pt idx="109">
                  <c:v>43504</c:v>
                </c:pt>
                <c:pt idx="110">
                  <c:v>43511</c:v>
                </c:pt>
                <c:pt idx="111">
                  <c:v>43518</c:v>
                </c:pt>
                <c:pt idx="112">
                  <c:v>43525</c:v>
                </c:pt>
                <c:pt idx="113">
                  <c:v>43532</c:v>
                </c:pt>
                <c:pt idx="114">
                  <c:v>43539</c:v>
                </c:pt>
                <c:pt idx="115">
                  <c:v>43546</c:v>
                </c:pt>
                <c:pt idx="116">
                  <c:v>43553</c:v>
                </c:pt>
                <c:pt idx="117">
                  <c:v>43560</c:v>
                </c:pt>
                <c:pt idx="118">
                  <c:v>43567</c:v>
                </c:pt>
                <c:pt idx="119">
                  <c:v>43574</c:v>
                </c:pt>
                <c:pt idx="120">
                  <c:v>43581</c:v>
                </c:pt>
                <c:pt idx="121">
                  <c:v>43588</c:v>
                </c:pt>
                <c:pt idx="122">
                  <c:v>43595</c:v>
                </c:pt>
                <c:pt idx="123">
                  <c:v>43602</c:v>
                </c:pt>
                <c:pt idx="124">
                  <c:v>43609</c:v>
                </c:pt>
                <c:pt idx="125">
                  <c:v>43616</c:v>
                </c:pt>
                <c:pt idx="126">
                  <c:v>43623</c:v>
                </c:pt>
                <c:pt idx="127">
                  <c:v>43630</c:v>
                </c:pt>
                <c:pt idx="128">
                  <c:v>43637</c:v>
                </c:pt>
                <c:pt idx="129">
                  <c:v>43644</c:v>
                </c:pt>
                <c:pt idx="130">
                  <c:v>43651</c:v>
                </c:pt>
                <c:pt idx="131">
                  <c:v>43658</c:v>
                </c:pt>
                <c:pt idx="132">
                  <c:v>43665</c:v>
                </c:pt>
                <c:pt idx="133">
                  <c:v>43672</c:v>
                </c:pt>
                <c:pt idx="134">
                  <c:v>43679</c:v>
                </c:pt>
                <c:pt idx="135">
                  <c:v>43686</c:v>
                </c:pt>
                <c:pt idx="136">
                  <c:v>43693</c:v>
                </c:pt>
                <c:pt idx="137">
                  <c:v>43700</c:v>
                </c:pt>
                <c:pt idx="138">
                  <c:v>43707</c:v>
                </c:pt>
                <c:pt idx="139">
                  <c:v>43714</c:v>
                </c:pt>
                <c:pt idx="140">
                  <c:v>43721</c:v>
                </c:pt>
                <c:pt idx="141">
                  <c:v>43728</c:v>
                </c:pt>
                <c:pt idx="142">
                  <c:v>43735</c:v>
                </c:pt>
                <c:pt idx="143">
                  <c:v>43742</c:v>
                </c:pt>
                <c:pt idx="144">
                  <c:v>43749</c:v>
                </c:pt>
                <c:pt idx="145">
                  <c:v>43756</c:v>
                </c:pt>
                <c:pt idx="146">
                  <c:v>43763</c:v>
                </c:pt>
                <c:pt idx="147">
                  <c:v>43770</c:v>
                </c:pt>
                <c:pt idx="148">
                  <c:v>43777</c:v>
                </c:pt>
                <c:pt idx="149">
                  <c:v>43784</c:v>
                </c:pt>
                <c:pt idx="150">
                  <c:v>43791</c:v>
                </c:pt>
                <c:pt idx="151">
                  <c:v>43798</c:v>
                </c:pt>
                <c:pt idx="152">
                  <c:v>43805</c:v>
                </c:pt>
                <c:pt idx="153">
                  <c:v>43812</c:v>
                </c:pt>
                <c:pt idx="154">
                  <c:v>43819</c:v>
                </c:pt>
                <c:pt idx="155">
                  <c:v>43826</c:v>
                </c:pt>
                <c:pt idx="156">
                  <c:v>43833</c:v>
                </c:pt>
                <c:pt idx="157">
                  <c:v>43840</c:v>
                </c:pt>
                <c:pt idx="158">
                  <c:v>43847</c:v>
                </c:pt>
                <c:pt idx="159">
                  <c:v>43854</c:v>
                </c:pt>
                <c:pt idx="160">
                  <c:v>43861</c:v>
                </c:pt>
                <c:pt idx="161">
                  <c:v>43868</c:v>
                </c:pt>
                <c:pt idx="162">
                  <c:v>43875</c:v>
                </c:pt>
                <c:pt idx="163">
                  <c:v>43882</c:v>
                </c:pt>
                <c:pt idx="164">
                  <c:v>43889</c:v>
                </c:pt>
                <c:pt idx="165">
                  <c:v>43896</c:v>
                </c:pt>
                <c:pt idx="166">
                  <c:v>43903</c:v>
                </c:pt>
                <c:pt idx="167">
                  <c:v>43910</c:v>
                </c:pt>
                <c:pt idx="168">
                  <c:v>43917</c:v>
                </c:pt>
                <c:pt idx="169">
                  <c:v>43924</c:v>
                </c:pt>
                <c:pt idx="170">
                  <c:v>43931</c:v>
                </c:pt>
                <c:pt idx="171">
                  <c:v>43938</c:v>
                </c:pt>
                <c:pt idx="172">
                  <c:v>43945</c:v>
                </c:pt>
                <c:pt idx="173">
                  <c:v>43952</c:v>
                </c:pt>
                <c:pt idx="174">
                  <c:v>43959</c:v>
                </c:pt>
                <c:pt idx="175">
                  <c:v>43966</c:v>
                </c:pt>
                <c:pt idx="176">
                  <c:v>43973</c:v>
                </c:pt>
                <c:pt idx="177">
                  <c:v>43980</c:v>
                </c:pt>
                <c:pt idx="178">
                  <c:v>43987</c:v>
                </c:pt>
                <c:pt idx="179">
                  <c:v>43994</c:v>
                </c:pt>
                <c:pt idx="180">
                  <c:v>44001</c:v>
                </c:pt>
                <c:pt idx="181">
                  <c:v>44008</c:v>
                </c:pt>
                <c:pt idx="182">
                  <c:v>44015</c:v>
                </c:pt>
                <c:pt idx="183">
                  <c:v>44022</c:v>
                </c:pt>
                <c:pt idx="184">
                  <c:v>44029</c:v>
                </c:pt>
                <c:pt idx="185">
                  <c:v>44036</c:v>
                </c:pt>
                <c:pt idx="186">
                  <c:v>44043</c:v>
                </c:pt>
                <c:pt idx="187">
                  <c:v>44050</c:v>
                </c:pt>
                <c:pt idx="188">
                  <c:v>44057</c:v>
                </c:pt>
                <c:pt idx="189">
                  <c:v>44064</c:v>
                </c:pt>
                <c:pt idx="190">
                  <c:v>44071</c:v>
                </c:pt>
                <c:pt idx="191">
                  <c:v>44078</c:v>
                </c:pt>
                <c:pt idx="192">
                  <c:v>44085</c:v>
                </c:pt>
                <c:pt idx="193">
                  <c:v>44092</c:v>
                </c:pt>
                <c:pt idx="194">
                  <c:v>44099</c:v>
                </c:pt>
                <c:pt idx="195">
                  <c:v>44106</c:v>
                </c:pt>
                <c:pt idx="196">
                  <c:v>44113</c:v>
                </c:pt>
                <c:pt idx="197">
                  <c:v>44120</c:v>
                </c:pt>
                <c:pt idx="198">
                  <c:v>44127</c:v>
                </c:pt>
                <c:pt idx="199">
                  <c:v>44134</c:v>
                </c:pt>
                <c:pt idx="200">
                  <c:v>44141</c:v>
                </c:pt>
                <c:pt idx="201">
                  <c:v>44148</c:v>
                </c:pt>
                <c:pt idx="202">
                  <c:v>44155</c:v>
                </c:pt>
                <c:pt idx="203">
                  <c:v>44162</c:v>
                </c:pt>
                <c:pt idx="204">
                  <c:v>44169</c:v>
                </c:pt>
                <c:pt idx="205">
                  <c:v>44176</c:v>
                </c:pt>
                <c:pt idx="206">
                  <c:v>44183</c:v>
                </c:pt>
                <c:pt idx="207">
                  <c:v>44190</c:v>
                </c:pt>
                <c:pt idx="208">
                  <c:v>44197</c:v>
                </c:pt>
                <c:pt idx="209">
                  <c:v>44204</c:v>
                </c:pt>
                <c:pt idx="210">
                  <c:v>44211</c:v>
                </c:pt>
                <c:pt idx="211">
                  <c:v>44218</c:v>
                </c:pt>
                <c:pt idx="212">
                  <c:v>44225</c:v>
                </c:pt>
                <c:pt idx="213">
                  <c:v>44232</c:v>
                </c:pt>
                <c:pt idx="214">
                  <c:v>44239</c:v>
                </c:pt>
                <c:pt idx="215">
                  <c:v>44246</c:v>
                </c:pt>
                <c:pt idx="216">
                  <c:v>44253</c:v>
                </c:pt>
                <c:pt idx="217">
                  <c:v>44260</c:v>
                </c:pt>
                <c:pt idx="218">
                  <c:v>44267</c:v>
                </c:pt>
                <c:pt idx="219">
                  <c:v>44274</c:v>
                </c:pt>
                <c:pt idx="220">
                  <c:v>44281</c:v>
                </c:pt>
                <c:pt idx="221">
                  <c:v>44288</c:v>
                </c:pt>
                <c:pt idx="222">
                  <c:v>44295</c:v>
                </c:pt>
                <c:pt idx="223">
                  <c:v>44302</c:v>
                </c:pt>
                <c:pt idx="224">
                  <c:v>44309</c:v>
                </c:pt>
                <c:pt idx="225">
                  <c:v>44316</c:v>
                </c:pt>
                <c:pt idx="226">
                  <c:v>44323</c:v>
                </c:pt>
                <c:pt idx="227">
                  <c:v>44330</c:v>
                </c:pt>
                <c:pt idx="228">
                  <c:v>44337</c:v>
                </c:pt>
                <c:pt idx="229">
                  <c:v>44344</c:v>
                </c:pt>
                <c:pt idx="230">
                  <c:v>44351</c:v>
                </c:pt>
                <c:pt idx="231">
                  <c:v>44358</c:v>
                </c:pt>
                <c:pt idx="232">
                  <c:v>44365</c:v>
                </c:pt>
                <c:pt idx="233">
                  <c:v>44372</c:v>
                </c:pt>
                <c:pt idx="234">
                  <c:v>44379</c:v>
                </c:pt>
                <c:pt idx="235">
                  <c:v>44386</c:v>
                </c:pt>
                <c:pt idx="236">
                  <c:v>44393</c:v>
                </c:pt>
                <c:pt idx="237">
                  <c:v>44400</c:v>
                </c:pt>
                <c:pt idx="238">
                  <c:v>44407</c:v>
                </c:pt>
                <c:pt idx="239">
                  <c:v>44414</c:v>
                </c:pt>
                <c:pt idx="240">
                  <c:v>44421</c:v>
                </c:pt>
                <c:pt idx="241">
                  <c:v>44428</c:v>
                </c:pt>
                <c:pt idx="242">
                  <c:v>44435</c:v>
                </c:pt>
                <c:pt idx="243">
                  <c:v>44442</c:v>
                </c:pt>
                <c:pt idx="244">
                  <c:v>44449</c:v>
                </c:pt>
                <c:pt idx="245">
                  <c:v>44456</c:v>
                </c:pt>
                <c:pt idx="246">
                  <c:v>44463</c:v>
                </c:pt>
                <c:pt idx="247">
                  <c:v>44470</c:v>
                </c:pt>
                <c:pt idx="248">
                  <c:v>44477</c:v>
                </c:pt>
                <c:pt idx="249">
                  <c:v>44484</c:v>
                </c:pt>
                <c:pt idx="250">
                  <c:v>44491</c:v>
                </c:pt>
                <c:pt idx="251">
                  <c:v>44498</c:v>
                </c:pt>
                <c:pt idx="252">
                  <c:v>44505</c:v>
                </c:pt>
                <c:pt idx="253">
                  <c:v>44512</c:v>
                </c:pt>
                <c:pt idx="254">
                  <c:v>44519</c:v>
                </c:pt>
                <c:pt idx="255">
                  <c:v>44526</c:v>
                </c:pt>
                <c:pt idx="256">
                  <c:v>44533</c:v>
                </c:pt>
                <c:pt idx="257">
                  <c:v>44540</c:v>
                </c:pt>
                <c:pt idx="258">
                  <c:v>44547</c:v>
                </c:pt>
                <c:pt idx="259">
                  <c:v>44554</c:v>
                </c:pt>
                <c:pt idx="260">
                  <c:v>44561</c:v>
                </c:pt>
                <c:pt idx="261">
                  <c:v>44568</c:v>
                </c:pt>
                <c:pt idx="262">
                  <c:v>44575</c:v>
                </c:pt>
                <c:pt idx="263">
                  <c:v>44582</c:v>
                </c:pt>
                <c:pt idx="264">
                  <c:v>44589</c:v>
                </c:pt>
                <c:pt idx="265">
                  <c:v>44596</c:v>
                </c:pt>
                <c:pt idx="266">
                  <c:v>44603</c:v>
                </c:pt>
                <c:pt idx="267">
                  <c:v>44610</c:v>
                </c:pt>
                <c:pt idx="268">
                  <c:v>44617</c:v>
                </c:pt>
                <c:pt idx="269">
                  <c:v>44624</c:v>
                </c:pt>
                <c:pt idx="270">
                  <c:v>44631</c:v>
                </c:pt>
                <c:pt idx="271">
                  <c:v>44638</c:v>
                </c:pt>
                <c:pt idx="272">
                  <c:v>44645</c:v>
                </c:pt>
                <c:pt idx="273">
                  <c:v>44652</c:v>
                </c:pt>
                <c:pt idx="274">
                  <c:v>44659</c:v>
                </c:pt>
                <c:pt idx="275">
                  <c:v>44666</c:v>
                </c:pt>
                <c:pt idx="276">
                  <c:v>44673</c:v>
                </c:pt>
                <c:pt idx="277">
                  <c:v>44680</c:v>
                </c:pt>
                <c:pt idx="278">
                  <c:v>44687</c:v>
                </c:pt>
                <c:pt idx="279">
                  <c:v>44694</c:v>
                </c:pt>
                <c:pt idx="280">
                  <c:v>44701</c:v>
                </c:pt>
                <c:pt idx="281">
                  <c:v>44708</c:v>
                </c:pt>
                <c:pt idx="282">
                  <c:v>44715</c:v>
                </c:pt>
                <c:pt idx="283">
                  <c:v>44722</c:v>
                </c:pt>
                <c:pt idx="284">
                  <c:v>44729</c:v>
                </c:pt>
                <c:pt idx="285">
                  <c:v>44736</c:v>
                </c:pt>
                <c:pt idx="286">
                  <c:v>44743</c:v>
                </c:pt>
                <c:pt idx="287">
                  <c:v>44750</c:v>
                </c:pt>
                <c:pt idx="288">
                  <c:v>44757</c:v>
                </c:pt>
                <c:pt idx="289">
                  <c:v>44764</c:v>
                </c:pt>
                <c:pt idx="290">
                  <c:v>44771</c:v>
                </c:pt>
                <c:pt idx="291">
                  <c:v>44778</c:v>
                </c:pt>
                <c:pt idx="292">
                  <c:v>44785</c:v>
                </c:pt>
                <c:pt idx="293">
                  <c:v>44792</c:v>
                </c:pt>
                <c:pt idx="294">
                  <c:v>44799</c:v>
                </c:pt>
                <c:pt idx="295">
                  <c:v>44806</c:v>
                </c:pt>
                <c:pt idx="296">
                  <c:v>44813</c:v>
                </c:pt>
                <c:pt idx="297">
                  <c:v>44820</c:v>
                </c:pt>
                <c:pt idx="298">
                  <c:v>44827</c:v>
                </c:pt>
                <c:pt idx="299">
                  <c:v>44834</c:v>
                </c:pt>
                <c:pt idx="300">
                  <c:v>44841</c:v>
                </c:pt>
                <c:pt idx="301">
                  <c:v>44848</c:v>
                </c:pt>
                <c:pt idx="302">
                  <c:v>44855</c:v>
                </c:pt>
                <c:pt idx="303">
                  <c:v>44862</c:v>
                </c:pt>
                <c:pt idx="304">
                  <c:v>44869</c:v>
                </c:pt>
                <c:pt idx="305">
                  <c:v>44876</c:v>
                </c:pt>
                <c:pt idx="306">
                  <c:v>44883</c:v>
                </c:pt>
                <c:pt idx="307">
                  <c:v>44890</c:v>
                </c:pt>
                <c:pt idx="308">
                  <c:v>44897</c:v>
                </c:pt>
                <c:pt idx="309">
                  <c:v>44904</c:v>
                </c:pt>
                <c:pt idx="310">
                  <c:v>44911</c:v>
                </c:pt>
                <c:pt idx="311">
                  <c:v>44918</c:v>
                </c:pt>
                <c:pt idx="312">
                  <c:v>44925</c:v>
                </c:pt>
                <c:pt idx="313">
                  <c:v>44932</c:v>
                </c:pt>
                <c:pt idx="314">
                  <c:v>44939</c:v>
                </c:pt>
                <c:pt idx="315">
                  <c:v>44946</c:v>
                </c:pt>
                <c:pt idx="316">
                  <c:v>44953</c:v>
                </c:pt>
                <c:pt idx="317">
                  <c:v>44960</c:v>
                </c:pt>
                <c:pt idx="318">
                  <c:v>44967</c:v>
                </c:pt>
                <c:pt idx="319">
                  <c:v>44974</c:v>
                </c:pt>
                <c:pt idx="320">
                  <c:v>44981</c:v>
                </c:pt>
                <c:pt idx="321">
                  <c:v>44988</c:v>
                </c:pt>
                <c:pt idx="322">
                  <c:v>44995</c:v>
                </c:pt>
                <c:pt idx="323">
                  <c:v>45002</c:v>
                </c:pt>
                <c:pt idx="324">
                  <c:v>45009</c:v>
                </c:pt>
                <c:pt idx="325">
                  <c:v>45016</c:v>
                </c:pt>
                <c:pt idx="326">
                  <c:v>45023</c:v>
                </c:pt>
                <c:pt idx="327">
                  <c:v>45030</c:v>
                </c:pt>
                <c:pt idx="328">
                  <c:v>45037</c:v>
                </c:pt>
                <c:pt idx="329">
                  <c:v>45044</c:v>
                </c:pt>
                <c:pt idx="330">
                  <c:v>45051</c:v>
                </c:pt>
                <c:pt idx="331">
                  <c:v>45058</c:v>
                </c:pt>
                <c:pt idx="332">
                  <c:v>45065</c:v>
                </c:pt>
                <c:pt idx="333">
                  <c:v>45072</c:v>
                </c:pt>
                <c:pt idx="334">
                  <c:v>45079</c:v>
                </c:pt>
                <c:pt idx="335">
                  <c:v>45086</c:v>
                </c:pt>
                <c:pt idx="336">
                  <c:v>45093</c:v>
                </c:pt>
                <c:pt idx="337">
                  <c:v>45100</c:v>
                </c:pt>
                <c:pt idx="338">
                  <c:v>45107</c:v>
                </c:pt>
                <c:pt idx="339">
                  <c:v>45114</c:v>
                </c:pt>
                <c:pt idx="340">
                  <c:v>45121</c:v>
                </c:pt>
                <c:pt idx="341">
                  <c:v>45128</c:v>
                </c:pt>
                <c:pt idx="342">
                  <c:v>45135</c:v>
                </c:pt>
                <c:pt idx="343">
                  <c:v>45142</c:v>
                </c:pt>
                <c:pt idx="344">
                  <c:v>45149</c:v>
                </c:pt>
                <c:pt idx="345">
                  <c:v>45156</c:v>
                </c:pt>
                <c:pt idx="346">
                  <c:v>45163</c:v>
                </c:pt>
                <c:pt idx="347">
                  <c:v>45170</c:v>
                </c:pt>
                <c:pt idx="348">
                  <c:v>45177</c:v>
                </c:pt>
                <c:pt idx="349">
                  <c:v>45184</c:v>
                </c:pt>
                <c:pt idx="350">
                  <c:v>45191</c:v>
                </c:pt>
                <c:pt idx="351">
                  <c:v>45198</c:v>
                </c:pt>
                <c:pt idx="352">
                  <c:v>45205</c:v>
                </c:pt>
                <c:pt idx="353">
                  <c:v>45212</c:v>
                </c:pt>
                <c:pt idx="354">
                  <c:v>45219</c:v>
                </c:pt>
                <c:pt idx="355">
                  <c:v>45226</c:v>
                </c:pt>
                <c:pt idx="356">
                  <c:v>45233</c:v>
                </c:pt>
                <c:pt idx="357">
                  <c:v>45240</c:v>
                </c:pt>
                <c:pt idx="358">
                  <c:v>45247</c:v>
                </c:pt>
                <c:pt idx="359">
                  <c:v>45254</c:v>
                </c:pt>
                <c:pt idx="360">
                  <c:v>45261</c:v>
                </c:pt>
                <c:pt idx="361">
                  <c:v>45268</c:v>
                </c:pt>
                <c:pt idx="362">
                  <c:v>45275</c:v>
                </c:pt>
                <c:pt idx="363">
                  <c:v>45282</c:v>
                </c:pt>
                <c:pt idx="364">
                  <c:v>45289</c:v>
                </c:pt>
                <c:pt idx="365">
                  <c:v>45296</c:v>
                </c:pt>
                <c:pt idx="366">
                  <c:v>45303</c:v>
                </c:pt>
                <c:pt idx="367">
                  <c:v>45310</c:v>
                </c:pt>
                <c:pt idx="368">
                  <c:v>45317</c:v>
                </c:pt>
                <c:pt idx="369">
                  <c:v>45324</c:v>
                </c:pt>
                <c:pt idx="370">
                  <c:v>45331</c:v>
                </c:pt>
                <c:pt idx="371">
                  <c:v>45338</c:v>
                </c:pt>
                <c:pt idx="372">
                  <c:v>45345</c:v>
                </c:pt>
                <c:pt idx="373">
                  <c:v>45352</c:v>
                </c:pt>
                <c:pt idx="374">
                  <c:v>45359</c:v>
                </c:pt>
                <c:pt idx="375">
                  <c:v>45366</c:v>
                </c:pt>
                <c:pt idx="376">
                  <c:v>45373</c:v>
                </c:pt>
                <c:pt idx="377">
                  <c:v>45380</c:v>
                </c:pt>
                <c:pt idx="378">
                  <c:v>45387</c:v>
                </c:pt>
                <c:pt idx="379">
                  <c:v>45394</c:v>
                </c:pt>
                <c:pt idx="380">
                  <c:v>45401</c:v>
                </c:pt>
                <c:pt idx="381">
                  <c:v>45408</c:v>
                </c:pt>
                <c:pt idx="382">
                  <c:v>45415</c:v>
                </c:pt>
                <c:pt idx="383">
                  <c:v>45422</c:v>
                </c:pt>
                <c:pt idx="384">
                  <c:v>45429</c:v>
                </c:pt>
                <c:pt idx="385">
                  <c:v>45436</c:v>
                </c:pt>
                <c:pt idx="386">
                  <c:v>45443</c:v>
                </c:pt>
                <c:pt idx="387">
                  <c:v>45450</c:v>
                </c:pt>
                <c:pt idx="388">
                  <c:v>45457</c:v>
                </c:pt>
                <c:pt idx="389">
                  <c:v>45464</c:v>
                </c:pt>
                <c:pt idx="390">
                  <c:v>45471</c:v>
                </c:pt>
                <c:pt idx="391">
                  <c:v>45478</c:v>
                </c:pt>
                <c:pt idx="392">
                  <c:v>45485</c:v>
                </c:pt>
                <c:pt idx="393">
                  <c:v>45492</c:v>
                </c:pt>
                <c:pt idx="394">
                  <c:v>45499</c:v>
                </c:pt>
                <c:pt idx="395">
                  <c:v>45506</c:v>
                </c:pt>
                <c:pt idx="396">
                  <c:v>45513</c:v>
                </c:pt>
                <c:pt idx="397">
                  <c:v>45520</c:v>
                </c:pt>
                <c:pt idx="398">
                  <c:v>45527</c:v>
                </c:pt>
                <c:pt idx="399">
                  <c:v>45534</c:v>
                </c:pt>
                <c:pt idx="400">
                  <c:v>45541</c:v>
                </c:pt>
                <c:pt idx="401">
                  <c:v>45548</c:v>
                </c:pt>
                <c:pt idx="402">
                  <c:v>45555</c:v>
                </c:pt>
                <c:pt idx="403">
                  <c:v>45562</c:v>
                </c:pt>
                <c:pt idx="404">
                  <c:v>45569</c:v>
                </c:pt>
                <c:pt idx="405">
                  <c:v>45576</c:v>
                </c:pt>
                <c:pt idx="406">
                  <c:v>45583</c:v>
                </c:pt>
                <c:pt idx="407">
                  <c:v>45590</c:v>
                </c:pt>
                <c:pt idx="408">
                  <c:v>45597</c:v>
                </c:pt>
                <c:pt idx="409">
                  <c:v>45604</c:v>
                </c:pt>
                <c:pt idx="410">
                  <c:v>45611</c:v>
                </c:pt>
                <c:pt idx="411">
                  <c:v>45618</c:v>
                </c:pt>
                <c:pt idx="412">
                  <c:v>45625</c:v>
                </c:pt>
                <c:pt idx="413">
                  <c:v>45632</c:v>
                </c:pt>
                <c:pt idx="414">
                  <c:v>45639</c:v>
                </c:pt>
                <c:pt idx="415">
                  <c:v>45646</c:v>
                </c:pt>
                <c:pt idx="416">
                  <c:v>45653</c:v>
                </c:pt>
                <c:pt idx="417">
                  <c:v>45660</c:v>
                </c:pt>
                <c:pt idx="418">
                  <c:v>45667</c:v>
                </c:pt>
                <c:pt idx="419">
                  <c:v>45674</c:v>
                </c:pt>
                <c:pt idx="420">
                  <c:v>45681</c:v>
                </c:pt>
                <c:pt idx="421">
                  <c:v>45688</c:v>
                </c:pt>
                <c:pt idx="422">
                  <c:v>45695</c:v>
                </c:pt>
                <c:pt idx="423">
                  <c:v>45702</c:v>
                </c:pt>
                <c:pt idx="424">
                  <c:v>45709</c:v>
                </c:pt>
                <c:pt idx="425">
                  <c:v>45716</c:v>
                </c:pt>
                <c:pt idx="426">
                  <c:v>45723</c:v>
                </c:pt>
                <c:pt idx="427">
                  <c:v>45730</c:v>
                </c:pt>
                <c:pt idx="428">
                  <c:v>45737</c:v>
                </c:pt>
                <c:pt idx="429">
                  <c:v>45744</c:v>
                </c:pt>
                <c:pt idx="430">
                  <c:v>45751</c:v>
                </c:pt>
                <c:pt idx="431">
                  <c:v>45758</c:v>
                </c:pt>
                <c:pt idx="432">
                  <c:v>45765</c:v>
                </c:pt>
                <c:pt idx="433">
                  <c:v>45772</c:v>
                </c:pt>
                <c:pt idx="434">
                  <c:v>45779</c:v>
                </c:pt>
                <c:pt idx="435">
                  <c:v>45786</c:v>
                </c:pt>
                <c:pt idx="436">
                  <c:v>45793</c:v>
                </c:pt>
                <c:pt idx="437">
                  <c:v>45800</c:v>
                </c:pt>
                <c:pt idx="438">
                  <c:v>45807</c:v>
                </c:pt>
                <c:pt idx="439">
                  <c:v>45814</c:v>
                </c:pt>
                <c:pt idx="440">
                  <c:v>45821</c:v>
                </c:pt>
                <c:pt idx="441">
                  <c:v>45828</c:v>
                </c:pt>
                <c:pt idx="442">
                  <c:v>45835</c:v>
                </c:pt>
                <c:pt idx="443">
                  <c:v>45842</c:v>
                </c:pt>
                <c:pt idx="444">
                  <c:v>45849</c:v>
                </c:pt>
                <c:pt idx="445">
                  <c:v>45856</c:v>
                </c:pt>
                <c:pt idx="446">
                  <c:v>45863</c:v>
                </c:pt>
                <c:pt idx="447">
                  <c:v>45870</c:v>
                </c:pt>
                <c:pt idx="448">
                  <c:v>45877</c:v>
                </c:pt>
                <c:pt idx="449">
                  <c:v>45884</c:v>
                </c:pt>
                <c:pt idx="450">
                  <c:v>45891</c:v>
                </c:pt>
                <c:pt idx="451">
                  <c:v>45898</c:v>
                </c:pt>
                <c:pt idx="452">
                  <c:v>45905</c:v>
                </c:pt>
                <c:pt idx="453">
                  <c:v>45912</c:v>
                </c:pt>
                <c:pt idx="454">
                  <c:v>45919</c:v>
                </c:pt>
                <c:pt idx="455">
                  <c:v>45926</c:v>
                </c:pt>
                <c:pt idx="456">
                  <c:v>45933</c:v>
                </c:pt>
                <c:pt idx="457">
                  <c:v>45940</c:v>
                </c:pt>
                <c:pt idx="458">
                  <c:v>45947</c:v>
                </c:pt>
                <c:pt idx="459">
                  <c:v>45954</c:v>
                </c:pt>
                <c:pt idx="460">
                  <c:v>45961</c:v>
                </c:pt>
                <c:pt idx="461">
                  <c:v>45968</c:v>
                </c:pt>
                <c:pt idx="462">
                  <c:v>45975</c:v>
                </c:pt>
                <c:pt idx="463">
                  <c:v>45982</c:v>
                </c:pt>
                <c:pt idx="464">
                  <c:v>45989</c:v>
                </c:pt>
                <c:pt idx="465">
                  <c:v>45996</c:v>
                </c:pt>
                <c:pt idx="466">
                  <c:v>46003</c:v>
                </c:pt>
                <c:pt idx="467">
                  <c:v>46010</c:v>
                </c:pt>
                <c:pt idx="468">
                  <c:v>46017</c:v>
                </c:pt>
                <c:pt idx="469">
                  <c:v>46024</c:v>
                </c:pt>
                <c:pt idx="470">
                  <c:v>46031</c:v>
                </c:pt>
                <c:pt idx="471">
                  <c:v>46038</c:v>
                </c:pt>
                <c:pt idx="472">
                  <c:v>46045</c:v>
                </c:pt>
                <c:pt idx="473">
                  <c:v>46052</c:v>
                </c:pt>
                <c:pt idx="474">
                  <c:v>46059</c:v>
                </c:pt>
                <c:pt idx="475">
                  <c:v>46066</c:v>
                </c:pt>
                <c:pt idx="476">
                  <c:v>46073</c:v>
                </c:pt>
                <c:pt idx="477">
                  <c:v>46080</c:v>
                </c:pt>
                <c:pt idx="478">
                  <c:v>46087</c:v>
                </c:pt>
                <c:pt idx="479">
                  <c:v>46094</c:v>
                </c:pt>
                <c:pt idx="480">
                  <c:v>46101</c:v>
                </c:pt>
                <c:pt idx="481">
                  <c:v>46108</c:v>
                </c:pt>
                <c:pt idx="482">
                  <c:v>46115</c:v>
                </c:pt>
                <c:pt idx="483">
                  <c:v>46122</c:v>
                </c:pt>
                <c:pt idx="484">
                  <c:v>46129</c:v>
                </c:pt>
                <c:pt idx="485">
                  <c:v>46136</c:v>
                </c:pt>
                <c:pt idx="486">
                  <c:v>46143</c:v>
                </c:pt>
                <c:pt idx="487">
                  <c:v>46150</c:v>
                </c:pt>
                <c:pt idx="488">
                  <c:v>46157</c:v>
                </c:pt>
                <c:pt idx="489">
                  <c:v>46164</c:v>
                </c:pt>
                <c:pt idx="490">
                  <c:v>46171</c:v>
                </c:pt>
                <c:pt idx="491">
                  <c:v>46178</c:v>
                </c:pt>
                <c:pt idx="492">
                  <c:v>46185</c:v>
                </c:pt>
                <c:pt idx="493">
                  <c:v>46192</c:v>
                </c:pt>
                <c:pt idx="494">
                  <c:v>46199</c:v>
                </c:pt>
                <c:pt idx="495">
                  <c:v>46206</c:v>
                </c:pt>
                <c:pt idx="496">
                  <c:v>46213</c:v>
                </c:pt>
                <c:pt idx="497">
                  <c:v>46220</c:v>
                </c:pt>
                <c:pt idx="498">
                  <c:v>46227</c:v>
                </c:pt>
                <c:pt idx="499">
                  <c:v>46234</c:v>
                </c:pt>
              </c:numCache>
            </c:numRef>
          </c:cat>
          <c:val>
            <c:numRef>
              <c:f>Summary!$R$87:$R$586</c:f>
              <c:numCache>
                <c:formatCode>0.0\x_);\(0.0\x\)</c:formatCode>
                <c:ptCount val="500"/>
                <c:pt idx="0">
                  <c:v>4.8660453449736876</c:v>
                </c:pt>
                <c:pt idx="1">
                  <c:v>4.9573668089740153</c:v>
                </c:pt>
                <c:pt idx="2">
                  <c:v>4.9545266101461198</c:v>
                </c:pt>
                <c:pt idx="3">
                  <c:v>5.0694265020108942</c:v>
                </c:pt>
                <c:pt idx="4">
                  <c:v>4.957456600940529</c:v>
                </c:pt>
                <c:pt idx="5">
                  <c:v>5.0557867458033785</c:v>
                </c:pt>
                <c:pt idx="6">
                  <c:v>5.100238213309491</c:v>
                </c:pt>
                <c:pt idx="7">
                  <c:v>5.1305183818606519</c:v>
                </c:pt>
                <c:pt idx="8">
                  <c:v>7.0047704758256648</c:v>
                </c:pt>
                <c:pt idx="9">
                  <c:v>6.6075678560916717</c:v>
                </c:pt>
                <c:pt idx="10">
                  <c:v>6.3950224093417312</c:v>
                </c:pt>
                <c:pt idx="11">
                  <c:v>6.5219656113656335</c:v>
                </c:pt>
                <c:pt idx="12">
                  <c:v>6.3944821693721758</c:v>
                </c:pt>
                <c:pt idx="13">
                  <c:v>6.220116818564227</c:v>
                </c:pt>
                <c:pt idx="14">
                  <c:v>6.1571215241987867</c:v>
                </c:pt>
                <c:pt idx="15">
                  <c:v>6.2823945832220316</c:v>
                </c:pt>
                <c:pt idx="16">
                  <c:v>6.5639204586742599</c:v>
                </c:pt>
                <c:pt idx="17">
                  <c:v>6.7723181239908197</c:v>
                </c:pt>
                <c:pt idx="18">
                  <c:v>6.7031109633614419</c:v>
                </c:pt>
                <c:pt idx="19">
                  <c:v>6.5968018192337947</c:v>
                </c:pt>
                <c:pt idx="20">
                  <c:v>6.8299667720481807</c:v>
                </c:pt>
                <c:pt idx="21">
                  <c:v>6.9906903306839459</c:v>
                </c:pt>
                <c:pt idx="22">
                  <c:v>6.5274923719124054</c:v>
                </c:pt>
                <c:pt idx="23">
                  <c:v>6.3718736066794284</c:v>
                </c:pt>
                <c:pt idx="24">
                  <c:v>6.6692923389751693</c:v>
                </c:pt>
                <c:pt idx="25">
                  <c:v>6.6894989920811527</c:v>
                </c:pt>
                <c:pt idx="26">
                  <c:v>6.6224482047333737</c:v>
                </c:pt>
                <c:pt idx="27">
                  <c:v>6.6822468139350555</c:v>
                </c:pt>
                <c:pt idx="28">
                  <c:v>6.6606589188141161</c:v>
                </c:pt>
                <c:pt idx="29">
                  <c:v>6.6347835590358892</c:v>
                </c:pt>
                <c:pt idx="30">
                  <c:v>6.5179225532920837</c:v>
                </c:pt>
                <c:pt idx="31">
                  <c:v>6.1990236371440659</c:v>
                </c:pt>
                <c:pt idx="32">
                  <c:v>6.2379210783557815</c:v>
                </c:pt>
                <c:pt idx="33">
                  <c:v>6.3647264287475531</c:v>
                </c:pt>
                <c:pt idx="34">
                  <c:v>6.5440005887849217</c:v>
                </c:pt>
                <c:pt idx="35">
                  <c:v>6.6226107031353454</c:v>
                </c:pt>
                <c:pt idx="36">
                  <c:v>6.7593669065750568</c:v>
                </c:pt>
                <c:pt idx="37">
                  <c:v>6.6072752542590569</c:v>
                </c:pt>
                <c:pt idx="38">
                  <c:v>6.767176738041484</c:v>
                </c:pt>
                <c:pt idx="39">
                  <c:v>6.7250125954978719</c:v>
                </c:pt>
                <c:pt idx="40">
                  <c:v>6.8198148926842217</c:v>
                </c:pt>
                <c:pt idx="41">
                  <c:v>6.719992001097836</c:v>
                </c:pt>
                <c:pt idx="42">
                  <c:v>6.7240283657335063</c:v>
                </c:pt>
                <c:pt idx="43">
                  <c:v>6.5788521335504955</c:v>
                </c:pt>
                <c:pt idx="44">
                  <c:v>6.2438150541806241</c:v>
                </c:pt>
                <c:pt idx="45">
                  <c:v>6.3167262708136427</c:v>
                </c:pt>
                <c:pt idx="46">
                  <c:v>6.4416912249935399</c:v>
                </c:pt>
                <c:pt idx="47">
                  <c:v>6.2437714075432496</c:v>
                </c:pt>
                <c:pt idx="48">
                  <c:v>6.3169838099382787</c:v>
                </c:pt>
                <c:pt idx="49">
                  <c:v>6.4965580903338642</c:v>
                </c:pt>
                <c:pt idx="50">
                  <c:v>6.3627329756260842</c:v>
                </c:pt>
                <c:pt idx="51">
                  <c:v>6.0837273323920584</c:v>
                </c:pt>
                <c:pt idx="52">
                  <c:v>6.3896713817577782</c:v>
                </c:pt>
                <c:pt idx="53">
                  <c:v>6.4208745006806138</c:v>
                </c:pt>
                <c:pt idx="54">
                  <c:v>6.3693052790583105</c:v>
                </c:pt>
                <c:pt idx="55">
                  <c:v>6.7467215332214918</c:v>
                </c:pt>
                <c:pt idx="56">
                  <c:v>6.499242281788721</c:v>
                </c:pt>
                <c:pt idx="57">
                  <c:v>6.4843288055585511</c:v>
                </c:pt>
                <c:pt idx="58">
                  <c:v>6.938525353810177</c:v>
                </c:pt>
                <c:pt idx="59">
                  <c:v>6.8554742932032902</c:v>
                </c:pt>
                <c:pt idx="60">
                  <c:v>6.8644880106941537</c:v>
                </c:pt>
                <c:pt idx="61">
                  <c:v>7.2453965411789021</c:v>
                </c:pt>
                <c:pt idx="62">
                  <c:v>7.1045291248521831</c:v>
                </c:pt>
                <c:pt idx="63">
                  <c:v>6.5863082102705697</c:v>
                </c:pt>
                <c:pt idx="64">
                  <c:v>6.4640839979721383</c:v>
                </c:pt>
                <c:pt idx="65">
                  <c:v>5.9144625993869147</c:v>
                </c:pt>
                <c:pt idx="66">
                  <c:v>6.0170069129485428</c:v>
                </c:pt>
                <c:pt idx="67">
                  <c:v>6.1800770634633997</c:v>
                </c:pt>
                <c:pt idx="68">
                  <c:v>5.8962924623525756</c:v>
                </c:pt>
                <c:pt idx="69">
                  <c:v>5.8414572054972034</c:v>
                </c:pt>
                <c:pt idx="70">
                  <c:v>6.1256705550708936</c:v>
                </c:pt>
                <c:pt idx="71">
                  <c:v>6.0802093483417368</c:v>
                </c:pt>
                <c:pt idx="72">
                  <c:v>6.1597973043498948</c:v>
                </c:pt>
                <c:pt idx="73">
                  <c:v>6.4057249585811364</c:v>
                </c:pt>
                <c:pt idx="74">
                  <c:v>6.6451992151581472</c:v>
                </c:pt>
                <c:pt idx="75">
                  <c:v>6.87535534607657</c:v>
                </c:pt>
                <c:pt idx="76">
                  <c:v>6.7839124758880232</c:v>
                </c:pt>
                <c:pt idx="77">
                  <c:v>6.5510621545116505</c:v>
                </c:pt>
                <c:pt idx="78">
                  <c:v>6.791086396396083</c:v>
                </c:pt>
                <c:pt idx="79">
                  <c:v>6.8589035171964845</c:v>
                </c:pt>
                <c:pt idx="80">
                  <c:v>6.7753324457072219</c:v>
                </c:pt>
                <c:pt idx="81">
                  <c:v>6.4640093899967006</c:v>
                </c:pt>
                <c:pt idx="82">
                  <c:v>6.2072758798373995</c:v>
                </c:pt>
                <c:pt idx="83">
                  <c:v>6.4752238717401118</c:v>
                </c:pt>
                <c:pt idx="84">
                  <c:v>6.179659297351269</c:v>
                </c:pt>
                <c:pt idx="85">
                  <c:v>6.3730415112681982</c:v>
                </c:pt>
                <c:pt idx="86">
                  <c:v>6.4065405515870504</c:v>
                </c:pt>
                <c:pt idx="87">
                  <c:v>6.0782054222138138</c:v>
                </c:pt>
                <c:pt idx="88">
                  <c:v>6.1876682147403885</c:v>
                </c:pt>
                <c:pt idx="89">
                  <c:v>6.1181275191534974</c:v>
                </c:pt>
                <c:pt idx="90">
                  <c:v>6.2551068812945525</c:v>
                </c:pt>
                <c:pt idx="91">
                  <c:v>5.7364275922349028</c:v>
                </c:pt>
                <c:pt idx="92">
                  <c:v>5.385947434570892</c:v>
                </c:pt>
                <c:pt idx="93">
                  <c:v>5.208714231271026</c:v>
                </c:pt>
                <c:pt idx="94">
                  <c:v>4.9575589532575055</c:v>
                </c:pt>
                <c:pt idx="95">
                  <c:v>5.2827192155567735</c:v>
                </c:pt>
                <c:pt idx="96">
                  <c:v>5.0695935650941415</c:v>
                </c:pt>
                <c:pt idx="97">
                  <c:v>4.9753261333644909</c:v>
                </c:pt>
                <c:pt idx="98">
                  <c:v>4.6573307989218753</c:v>
                </c:pt>
                <c:pt idx="99">
                  <c:v>5.1921960206652429</c:v>
                </c:pt>
                <c:pt idx="100">
                  <c:v>4.9141364418184033</c:v>
                </c:pt>
                <c:pt idx="101">
                  <c:v>4.8451768272779407</c:v>
                </c:pt>
                <c:pt idx="102">
                  <c:v>4.1535995093347919</c:v>
                </c:pt>
                <c:pt idx="103">
                  <c:v>4.4637799955436614</c:v>
                </c:pt>
                <c:pt idx="104">
                  <c:v>4.60549850454544</c:v>
                </c:pt>
                <c:pt idx="105">
                  <c:v>4.8682279768969643</c:v>
                </c:pt>
                <c:pt idx="106">
                  <c:v>5.0566236745072111</c:v>
                </c:pt>
                <c:pt idx="107">
                  <c:v>5.07983948495552</c:v>
                </c:pt>
                <c:pt idx="108">
                  <c:v>5.2880878703498633</c:v>
                </c:pt>
                <c:pt idx="109">
                  <c:v>5.485590522714511</c:v>
                </c:pt>
                <c:pt idx="110">
                  <c:v>5.6106620507991094</c:v>
                </c:pt>
                <c:pt idx="111">
                  <c:v>5.8962297666002108</c:v>
                </c:pt>
                <c:pt idx="112">
                  <c:v>5.8166484805453385</c:v>
                </c:pt>
                <c:pt idx="113">
                  <c:v>5.734436026447395</c:v>
                </c:pt>
                <c:pt idx="114">
                  <c:v>6.0221467564714866</c:v>
                </c:pt>
                <c:pt idx="115">
                  <c:v>5.8878227845822089</c:v>
                </c:pt>
                <c:pt idx="116">
                  <c:v>6.0721132804363087</c:v>
                </c:pt>
                <c:pt idx="117">
                  <c:v>6.1069404307287183</c:v>
                </c:pt>
                <c:pt idx="118">
                  <c:v>6.1173778488051589</c:v>
                </c:pt>
                <c:pt idx="119">
                  <c:v>6.5634029139122632</c:v>
                </c:pt>
                <c:pt idx="120">
                  <c:v>6.8408737796594847</c:v>
                </c:pt>
                <c:pt idx="121">
                  <c:v>7.0943830927971163</c:v>
                </c:pt>
                <c:pt idx="122">
                  <c:v>6.4788370868555738</c:v>
                </c:pt>
                <c:pt idx="123">
                  <c:v>6.5693122957324759</c:v>
                </c:pt>
                <c:pt idx="124">
                  <c:v>6.4752160516280552</c:v>
                </c:pt>
                <c:pt idx="125">
                  <c:v>6.3822268501806798</c:v>
                </c:pt>
                <c:pt idx="126">
                  <c:v>6.9698840981980998</c:v>
                </c:pt>
                <c:pt idx="127">
                  <c:v>6.950509517335723</c:v>
                </c:pt>
                <c:pt idx="128">
                  <c:v>7.1751228045824442</c:v>
                </c:pt>
                <c:pt idx="129">
                  <c:v>6.424963222596217</c:v>
                </c:pt>
                <c:pt idx="130">
                  <c:v>6.5595764487384205</c:v>
                </c:pt>
                <c:pt idx="131">
                  <c:v>6.5917416672670823</c:v>
                </c:pt>
                <c:pt idx="132">
                  <c:v>6.3974171254066654</c:v>
                </c:pt>
                <c:pt idx="133">
                  <c:v>6.85543336552188</c:v>
                </c:pt>
                <c:pt idx="134">
                  <c:v>6.5971793064733664</c:v>
                </c:pt>
                <c:pt idx="135">
                  <c:v>6.6803932923571772</c:v>
                </c:pt>
                <c:pt idx="136">
                  <c:v>6.3270877876953628</c:v>
                </c:pt>
                <c:pt idx="137">
                  <c:v>6.3163966649169341</c:v>
                </c:pt>
                <c:pt idx="138">
                  <c:v>6.3495940704678633</c:v>
                </c:pt>
                <c:pt idx="139">
                  <c:v>6.1735285023711892</c:v>
                </c:pt>
                <c:pt idx="140">
                  <c:v>5.8637492674345726</c:v>
                </c:pt>
                <c:pt idx="141">
                  <c:v>5.7743519078294021</c:v>
                </c:pt>
                <c:pt idx="142">
                  <c:v>5.3586722067806027</c:v>
                </c:pt>
                <c:pt idx="143">
                  <c:v>5.5434588527667596</c:v>
                </c:pt>
                <c:pt idx="144">
                  <c:v>5.5637808882969999</c:v>
                </c:pt>
                <c:pt idx="145">
                  <c:v>5.4338540149220362</c:v>
                </c:pt>
                <c:pt idx="146">
                  <c:v>5.5312511819853878</c:v>
                </c:pt>
                <c:pt idx="147">
                  <c:v>5.4576888014346316</c:v>
                </c:pt>
                <c:pt idx="148">
                  <c:v>5.2158086806408797</c:v>
                </c:pt>
                <c:pt idx="149">
                  <c:v>5.3656273851458423</c:v>
                </c:pt>
                <c:pt idx="150">
                  <c:v>5.4828811789749636</c:v>
                </c:pt>
                <c:pt idx="151">
                  <c:v>5.6719050147740804</c:v>
                </c:pt>
                <c:pt idx="152">
                  <c:v>5.6332640024243199</c:v>
                </c:pt>
                <c:pt idx="153">
                  <c:v>5.6885568687277246</c:v>
                </c:pt>
                <c:pt idx="154">
                  <c:v>5.8951390789754914</c:v>
                </c:pt>
                <c:pt idx="155">
                  <c:v>5.9825700323757154</c:v>
                </c:pt>
                <c:pt idx="156">
                  <c:v>5.7747755845385047</c:v>
                </c:pt>
                <c:pt idx="157">
                  <c:v>5.9759970614935458</c:v>
                </c:pt>
                <c:pt idx="158">
                  <c:v>6.2053657253326291</c:v>
                </c:pt>
                <c:pt idx="159">
                  <c:v>6.2135435967055042</c:v>
                </c:pt>
                <c:pt idx="160">
                  <c:v>6.0191408659278247</c:v>
                </c:pt>
                <c:pt idx="161">
                  <c:v>6.2729770061379755</c:v>
                </c:pt>
                <c:pt idx="162">
                  <c:v>6.4565758282183028</c:v>
                </c:pt>
                <c:pt idx="163">
                  <c:v>6.336732923036954</c:v>
                </c:pt>
                <c:pt idx="164">
                  <c:v>5.6602368745414662</c:v>
                </c:pt>
                <c:pt idx="165">
                  <c:v>5.4215092347426177</c:v>
                </c:pt>
                <c:pt idx="166">
                  <c:v>4.5539749473038444</c:v>
                </c:pt>
                <c:pt idx="167">
                  <c:v>4.0315869842477543</c:v>
                </c:pt>
                <c:pt idx="168">
                  <c:v>4.7676951044166938</c:v>
                </c:pt>
                <c:pt idx="169">
                  <c:v>4.551200526746368</c:v>
                </c:pt>
                <c:pt idx="170">
                  <c:v>5.4668102758725121</c:v>
                </c:pt>
                <c:pt idx="171">
                  <c:v>6.3034308725387458</c:v>
                </c:pt>
                <c:pt idx="172">
                  <c:v>6.8428368970423588</c:v>
                </c:pt>
                <c:pt idx="173">
                  <c:v>6.853204313474027</c:v>
                </c:pt>
                <c:pt idx="174">
                  <c:v>7.642820097496811</c:v>
                </c:pt>
                <c:pt idx="175">
                  <c:v>7.6100409801146194</c:v>
                </c:pt>
                <c:pt idx="176">
                  <c:v>8.0957428713119715</c:v>
                </c:pt>
                <c:pt idx="177">
                  <c:v>7.9376693865686798</c:v>
                </c:pt>
                <c:pt idx="178">
                  <c:v>8.2284395758664512</c:v>
                </c:pt>
                <c:pt idx="179">
                  <c:v>8.0636419746238754</c:v>
                </c:pt>
                <c:pt idx="180">
                  <c:v>8.9166181090676808</c:v>
                </c:pt>
                <c:pt idx="181">
                  <c:v>8.8681742545901958</c:v>
                </c:pt>
                <c:pt idx="182">
                  <c:v>9.7739060967242697</c:v>
                </c:pt>
                <c:pt idx="183">
                  <c:v>10.128374232679388</c:v>
                </c:pt>
                <c:pt idx="184">
                  <c:v>9.412045960468193</c:v>
                </c:pt>
                <c:pt idx="185">
                  <c:v>9.1572503654860142</c:v>
                </c:pt>
                <c:pt idx="186">
                  <c:v>9.3307901998916485</c:v>
                </c:pt>
                <c:pt idx="187">
                  <c:v>9.551782086210979</c:v>
                </c:pt>
                <c:pt idx="188">
                  <c:v>9.2035069771516973</c:v>
                </c:pt>
                <c:pt idx="189">
                  <c:v>9.2963732219726243</c:v>
                </c:pt>
                <c:pt idx="190">
                  <c:v>9.6202636937153496</c:v>
                </c:pt>
                <c:pt idx="191">
                  <c:v>9.0897843181187348</c:v>
                </c:pt>
                <c:pt idx="192">
                  <c:v>8.7643836686883425</c:v>
                </c:pt>
                <c:pt idx="193">
                  <c:v>8.7389197009607074</c:v>
                </c:pt>
                <c:pt idx="194">
                  <c:v>9.0500483714033368</c:v>
                </c:pt>
                <c:pt idx="195">
                  <c:v>10.090849159594006</c:v>
                </c:pt>
                <c:pt idx="196">
                  <c:v>10.500977505094284</c:v>
                </c:pt>
                <c:pt idx="197">
                  <c:v>10.281578121921427</c:v>
                </c:pt>
                <c:pt idx="198">
                  <c:v>10.847260763938623</c:v>
                </c:pt>
                <c:pt idx="199">
                  <c:v>9.7727508614523959</c:v>
                </c:pt>
                <c:pt idx="200">
                  <c:v>11.470412594985021</c:v>
                </c:pt>
                <c:pt idx="201">
                  <c:v>10.719099532098957</c:v>
                </c:pt>
                <c:pt idx="202">
                  <c:v>11.193945260805096</c:v>
                </c:pt>
                <c:pt idx="203">
                  <c:v>11.607679850037899</c:v>
                </c:pt>
                <c:pt idx="204">
                  <c:v>11.875500366974219</c:v>
                </c:pt>
                <c:pt idx="205">
                  <c:v>12.6160329451428</c:v>
                </c:pt>
                <c:pt idx="206">
                  <c:v>13.046957780510944</c:v>
                </c:pt>
                <c:pt idx="207">
                  <c:v>12.8776803754568</c:v>
                </c:pt>
                <c:pt idx="208">
                  <c:v>11.815431034144682</c:v>
                </c:pt>
                <c:pt idx="209">
                  <c:v>12.120627593948797</c:v>
                </c:pt>
                <c:pt idx="210">
                  <c:v>12.03272745127601</c:v>
                </c:pt>
                <c:pt idx="211">
                  <c:v>12.401136191334523</c:v>
                </c:pt>
                <c:pt idx="212">
                  <c:v>11.755040040900198</c:v>
                </c:pt>
                <c:pt idx="213">
                  <c:v>12.923474949036111</c:v>
                </c:pt>
                <c:pt idx="214">
                  <c:v>13.563881292239337</c:v>
                </c:pt>
                <c:pt idx="215">
                  <c:v>13.332264206935671</c:v>
                </c:pt>
                <c:pt idx="216">
                  <c:v>12.308655293366293</c:v>
                </c:pt>
                <c:pt idx="217">
                  <c:v>11.0081826836226</c:v>
                </c:pt>
                <c:pt idx="218">
                  <c:v>11.599562636830104</c:v>
                </c:pt>
                <c:pt idx="219">
                  <c:v>11.227505027392777</c:v>
                </c:pt>
                <c:pt idx="220">
                  <c:v>10.496144053955721</c:v>
                </c:pt>
                <c:pt idx="221">
                  <c:v>11.311013589216667</c:v>
                </c:pt>
                <c:pt idx="222">
                  <c:v>11.763213809661471</c:v>
                </c:pt>
                <c:pt idx="223">
                  <c:v>11.616871211473526</c:v>
                </c:pt>
                <c:pt idx="224">
                  <c:v>11.264010019109547</c:v>
                </c:pt>
                <c:pt idx="225">
                  <c:v>11.006998329693054</c:v>
                </c:pt>
                <c:pt idx="226">
                  <c:v>10.019153708919408</c:v>
                </c:pt>
                <c:pt idx="227">
                  <c:v>9.3563182924177326</c:v>
                </c:pt>
                <c:pt idx="228">
                  <c:v>9.6251694432355972</c:v>
                </c:pt>
                <c:pt idx="229">
                  <c:v>10.044446864548235</c:v>
                </c:pt>
                <c:pt idx="230">
                  <c:v>9.8326033593673987</c:v>
                </c:pt>
                <c:pt idx="231">
                  <c:v>10.07805547646573</c:v>
                </c:pt>
                <c:pt idx="232">
                  <c:v>10.549222932824449</c:v>
                </c:pt>
                <c:pt idx="233">
                  <c:v>11.10238596336621</c:v>
                </c:pt>
                <c:pt idx="234">
                  <c:v>11.317057633253434</c:v>
                </c:pt>
                <c:pt idx="235">
                  <c:v>11.2033259012342</c:v>
                </c:pt>
                <c:pt idx="236">
                  <c:v>10.421208601569923</c:v>
                </c:pt>
                <c:pt idx="237">
                  <c:v>11.437173258667782</c:v>
                </c:pt>
                <c:pt idx="238">
                  <c:v>10.667392113312598</c:v>
                </c:pt>
                <c:pt idx="239">
                  <c:v>10.556556920562933</c:v>
                </c:pt>
                <c:pt idx="240">
                  <c:v>10.29144623133087</c:v>
                </c:pt>
                <c:pt idx="241">
                  <c:v>9.8813712512005907</c:v>
                </c:pt>
                <c:pt idx="242">
                  <c:v>10.283062685612572</c:v>
                </c:pt>
                <c:pt idx="243">
                  <c:v>10.354874103724139</c:v>
                </c:pt>
                <c:pt idx="244">
                  <c:v>10.231395681045033</c:v>
                </c:pt>
                <c:pt idx="245">
                  <c:v>10.213087546214409</c:v>
                </c:pt>
                <c:pt idx="246">
                  <c:v>10.428381965519884</c:v>
                </c:pt>
                <c:pt idx="247">
                  <c:v>10.0582846724555</c:v>
                </c:pt>
                <c:pt idx="248">
                  <c:v>10.053496144692192</c:v>
                </c:pt>
                <c:pt idx="249">
                  <c:v>10.308365424134619</c:v>
                </c:pt>
                <c:pt idx="250">
                  <c:v>9.9843008353640919</c:v>
                </c:pt>
                <c:pt idx="251">
                  <c:v>9.7815727563396653</c:v>
                </c:pt>
                <c:pt idx="252">
                  <c:v>9.980400703246147</c:v>
                </c:pt>
                <c:pt idx="253">
                  <c:v>10.74255699697375</c:v>
                </c:pt>
                <c:pt idx="254">
                  <c:v>10.558351176014506</c:v>
                </c:pt>
                <c:pt idx="255">
                  <c:v>9.88244530818565</c:v>
                </c:pt>
                <c:pt idx="256">
                  <c:v>8.9285485850178041</c:v>
                </c:pt>
                <c:pt idx="257">
                  <c:v>9.2949985165714253</c:v>
                </c:pt>
                <c:pt idx="258">
                  <c:v>8.7262695732052595</c:v>
                </c:pt>
                <c:pt idx="259">
                  <c:v>9.2534819215887456</c:v>
                </c:pt>
                <c:pt idx="260">
                  <c:v>8.8425338120795658</c:v>
                </c:pt>
                <c:pt idx="261">
                  <c:v>7.9915191952756537</c:v>
                </c:pt>
                <c:pt idx="262">
                  <c:v>7.7451224090512607</c:v>
                </c:pt>
                <c:pt idx="263">
                  <c:v>6.6795079136111823</c:v>
                </c:pt>
                <c:pt idx="264">
                  <c:v>6.4936580470930831</c:v>
                </c:pt>
                <c:pt idx="265">
                  <c:v>6.8745078137441737</c:v>
                </c:pt>
                <c:pt idx="266">
                  <c:v>6.8530759242334458</c:v>
                </c:pt>
                <c:pt idx="267">
                  <c:v>6.5359075412519827</c:v>
                </c:pt>
                <c:pt idx="268">
                  <c:v>6.5753130215151021</c:v>
                </c:pt>
                <c:pt idx="269">
                  <c:v>5.8949935691855631</c:v>
                </c:pt>
                <c:pt idx="270">
                  <c:v>5.3497753678739475</c:v>
                </c:pt>
                <c:pt idx="271">
                  <c:v>6.3281036190888749</c:v>
                </c:pt>
                <c:pt idx="272">
                  <c:v>6.1595135811186603</c:v>
                </c:pt>
                <c:pt idx="273">
                  <c:v>6.2941876598545168</c:v>
                </c:pt>
                <c:pt idx="274">
                  <c:v>5.805504940879846</c:v>
                </c:pt>
                <c:pt idx="275">
                  <c:v>5.63393719556748</c:v>
                </c:pt>
                <c:pt idx="276">
                  <c:v>4.9621565866710871</c:v>
                </c:pt>
                <c:pt idx="277">
                  <c:v>4.8267194194557375</c:v>
                </c:pt>
                <c:pt idx="278">
                  <c:v>4.3163943686559989</c:v>
                </c:pt>
                <c:pt idx="279">
                  <c:v>4.2966465384721078</c:v>
                </c:pt>
                <c:pt idx="280">
                  <c:v>4.14365541248638</c:v>
                </c:pt>
                <c:pt idx="281">
                  <c:v>4.1554874685153598</c:v>
                </c:pt>
                <c:pt idx="282">
                  <c:v>4.062480953674493</c:v>
                </c:pt>
                <c:pt idx="283">
                  <c:v>3.7882474194598879</c:v>
                </c:pt>
                <c:pt idx="284">
                  <c:v>3.5049416659133836</c:v>
                </c:pt>
                <c:pt idx="285">
                  <c:v>3.8927047151206358</c:v>
                </c:pt>
                <c:pt idx="286">
                  <c:v>3.440914093342363</c:v>
                </c:pt>
                <c:pt idx="287">
                  <c:v>3.7027336310896817</c:v>
                </c:pt>
                <c:pt idx="288">
                  <c:v>3.4934377084293322</c:v>
                </c:pt>
                <c:pt idx="289">
                  <c:v>3.723830931227381</c:v>
                </c:pt>
                <c:pt idx="290">
                  <c:v>3.7813038890964807</c:v>
                </c:pt>
                <c:pt idx="291">
                  <c:v>4.1646046443862899</c:v>
                </c:pt>
                <c:pt idx="292">
                  <c:v>4.6234310695008203</c:v>
                </c:pt>
                <c:pt idx="293">
                  <c:v>4.1861985901162582</c:v>
                </c:pt>
                <c:pt idx="294">
                  <c:v>4.0051306631494148</c:v>
                </c:pt>
                <c:pt idx="295">
                  <c:v>3.8931645421969296</c:v>
                </c:pt>
                <c:pt idx="296">
                  <c:v>4.2719965203432428</c:v>
                </c:pt>
                <c:pt idx="297">
                  <c:v>3.9520493185684487</c:v>
                </c:pt>
                <c:pt idx="298">
                  <c:v>3.551073938763543</c:v>
                </c:pt>
                <c:pt idx="299">
                  <c:v>3.6332374013759385</c:v>
                </c:pt>
                <c:pt idx="300">
                  <c:v>3.6516561496904583</c:v>
                </c:pt>
                <c:pt idx="301">
                  <c:v>3.3897398764854847</c:v>
                </c:pt>
                <c:pt idx="302">
                  <c:v>3.6849385893514981</c:v>
                </c:pt>
                <c:pt idx="303">
                  <c:v>3.7291103818514366</c:v>
                </c:pt>
                <c:pt idx="304">
                  <c:v>3.4108218389797913</c:v>
                </c:pt>
                <c:pt idx="305">
                  <c:v>3.8980389555594694</c:v>
                </c:pt>
                <c:pt idx="306">
                  <c:v>3.7325387434702657</c:v>
                </c:pt>
                <c:pt idx="307">
                  <c:v>3.7259440119479894</c:v>
                </c:pt>
                <c:pt idx="308">
                  <c:v>3.9791733244523604</c:v>
                </c:pt>
                <c:pt idx="309">
                  <c:v>3.657608055111726</c:v>
                </c:pt>
                <c:pt idx="310">
                  <c:v>3.5300547074646635</c:v>
                </c:pt>
                <c:pt idx="311">
                  <c:v>3.429539588713709</c:v>
                </c:pt>
                <c:pt idx="312">
                  <c:v>3.4507563217235226</c:v>
                </c:pt>
                <c:pt idx="313">
                  <c:v>3.5524331642844058</c:v>
                </c:pt>
                <c:pt idx="314">
                  <c:v>3.8974819279359108</c:v>
                </c:pt>
                <c:pt idx="315">
                  <c:v>3.9663646820280665</c:v>
                </c:pt>
                <c:pt idx="316">
                  <c:v>4.3218834879830137</c:v>
                </c:pt>
                <c:pt idx="317">
                  <c:v>4.4727801255291686</c:v>
                </c:pt>
                <c:pt idx="318">
                  <c:v>4.1317350237989032</c:v>
                </c:pt>
                <c:pt idx="319">
                  <c:v>4.3407436356349027</c:v>
                </c:pt>
                <c:pt idx="320">
                  <c:v>4.0342435660715559</c:v>
                </c:pt>
                <c:pt idx="321">
                  <c:v>4.2047990348083122</c:v>
                </c:pt>
                <c:pt idx="322">
                  <c:v>3.9008240947295167</c:v>
                </c:pt>
                <c:pt idx="323">
                  <c:v>4.1276774110655632</c:v>
                </c:pt>
                <c:pt idx="324">
                  <c:v>4.2496946304022742</c:v>
                </c:pt>
                <c:pt idx="325">
                  <c:v>4.3504228806337402</c:v>
                </c:pt>
                <c:pt idx="326">
                  <c:v>4.2358142963280487</c:v>
                </c:pt>
                <c:pt idx="327">
                  <c:v>4.2812917895193214</c:v>
                </c:pt>
                <c:pt idx="328">
                  <c:v>4.2661026190062632</c:v>
                </c:pt>
                <c:pt idx="329">
                  <c:v>4.2419114794106569</c:v>
                </c:pt>
                <c:pt idx="330">
                  <c:v>4.283709497243307</c:v>
                </c:pt>
                <c:pt idx="331">
                  <c:v>4.2216854838961329</c:v>
                </c:pt>
                <c:pt idx="332">
                  <c:v>4.3854646421440338</c:v>
                </c:pt>
                <c:pt idx="333">
                  <c:v>4.4303176431540585</c:v>
                </c:pt>
                <c:pt idx="334">
                  <c:v>4.615636474014801</c:v>
                </c:pt>
                <c:pt idx="335">
                  <c:v>4.6552324805474061</c:v>
                </c:pt>
                <c:pt idx="336">
                  <c:v>4.8278441166154566</c:v>
                </c:pt>
                <c:pt idx="337">
                  <c:v>4.7791556058981435</c:v>
                </c:pt>
                <c:pt idx="338">
                  <c:v>4.8734365751930913</c:v>
                </c:pt>
                <c:pt idx="339">
                  <c:v>4.8029016180801909</c:v>
                </c:pt>
                <c:pt idx="340">
                  <c:v>5.2662719898093071</c:v>
                </c:pt>
                <c:pt idx="341">
                  <c:v>5.1348848297488248</c:v>
                </c:pt>
                <c:pt idx="342">
                  <c:v>5.2514617947610978</c:v>
                </c:pt>
                <c:pt idx="343">
                  <c:v>4.9184410913245484</c:v>
                </c:pt>
                <c:pt idx="344">
                  <c:v>4.691157606856617</c:v>
                </c:pt>
                <c:pt idx="345">
                  <c:v>4.4852821154494569</c:v>
                </c:pt>
                <c:pt idx="346">
                  <c:v>4.5565556074130464</c:v>
                </c:pt>
                <c:pt idx="347">
                  <c:v>4.8799579722136315</c:v>
                </c:pt>
                <c:pt idx="348">
                  <c:v>4.8782992251883863</c:v>
                </c:pt>
                <c:pt idx="349">
                  <c:v>4.7735158041766326</c:v>
                </c:pt>
                <c:pt idx="350">
                  <c:v>4.4477107632139967</c:v>
                </c:pt>
                <c:pt idx="351">
                  <c:v>4.5106809940943187</c:v>
                </c:pt>
                <c:pt idx="352">
                  <c:v>4.5085845251656274</c:v>
                </c:pt>
                <c:pt idx="353">
                  <c:v>4.3739864303322822</c:v>
                </c:pt>
                <c:pt idx="354">
                  <c:v>4.2237742664425495</c:v>
                </c:pt>
                <c:pt idx="355">
                  <c:v>3.9912795199741384</c:v>
                </c:pt>
                <c:pt idx="356">
                  <c:v>4.5352236426164607</c:v>
                </c:pt>
                <c:pt idx="357">
                  <c:v>4.4175169622919874</c:v>
                </c:pt>
                <c:pt idx="358">
                  <c:v>4.6375389487013798</c:v>
                </c:pt>
                <c:pt idx="359">
                  <c:v>4.6976560152384383</c:v>
                </c:pt>
                <c:pt idx="360">
                  <c:v>4.8749819814097268</c:v>
                </c:pt>
                <c:pt idx="361">
                  <c:v>4.9400977191072677</c:v>
                </c:pt>
                <c:pt idx="362">
                  <c:v>5.1987384974210853</c:v>
                </c:pt>
                <c:pt idx="363">
                  <c:v>5.2302204027010752</c:v>
                </c:pt>
                <c:pt idx="364">
                  <c:v>5.173550919851964</c:v>
                </c:pt>
                <c:pt idx="365">
                  <c:v>4.9648540501127307</c:v>
                </c:pt>
                <c:pt idx="366">
                  <c:v>5.1187259105550407</c:v>
                </c:pt>
                <c:pt idx="367">
                  <c:v>5.1471440165619988</c:v>
                </c:pt>
                <c:pt idx="368">
                  <c:v>5.3068106803349719</c:v>
                </c:pt>
                <c:pt idx="369">
                  <c:v>5.398815035115863</c:v>
                </c:pt>
                <c:pt idx="370">
                  <c:v>5.3733636850595472</c:v>
                </c:pt>
                <c:pt idx="371">
                  <c:v>5.4875222504397625</c:v>
                </c:pt>
                <c:pt idx="372">
                  <c:v>5.3552783517203668</c:v>
                </c:pt>
                <c:pt idx="373">
                  <c:v>5.4851468994303936</c:v>
                </c:pt>
                <c:pt idx="374">
                  <c:v>5.4595426267380862</c:v>
                </c:pt>
                <c:pt idx="375">
                  <c:v>5.2689376165118977</c:v>
                </c:pt>
                <c:pt idx="376">
                  <c:v>5.5318250377926228</c:v>
                </c:pt>
                <c:pt idx="377">
                  <c:v>5.4377506968739819</c:v>
                </c:pt>
                <c:pt idx="378">
                  <c:v>5.4272188436296283</c:v>
                </c:pt>
                <c:pt idx="379">
                  <c:v>5.3131936429745066</c:v>
                </c:pt>
                <c:pt idx="380">
                  <c:v>4.9932932719310319</c:v>
                </c:pt>
                <c:pt idx="381">
                  <c:v>5.2177665836841376</c:v>
                </c:pt>
                <c:pt idx="382">
                  <c:v>5.2941039619980153</c:v>
                </c:pt>
                <c:pt idx="383">
                  <c:v>5.1699542826397966</c:v>
                </c:pt>
                <c:pt idx="384">
                  <c:v>5.2623733357836198</c:v>
                </c:pt>
                <c:pt idx="385">
                  <c:v>5.1887775508313529</c:v>
                </c:pt>
                <c:pt idx="386">
                  <c:v>5.1478861694609011</c:v>
                </c:pt>
                <c:pt idx="387">
                  <c:v>5.2864325568383537</c:v>
                </c:pt>
                <c:pt idx="388">
                  <c:v>5.3844866721864539</c:v>
                </c:pt>
                <c:pt idx="389">
                  <c:v>5.4195078027610739</c:v>
                </c:pt>
                <c:pt idx="390">
                  <c:v>5.424403758165858</c:v>
                </c:pt>
                <c:pt idx="391">
                  <c:v>5.4869529585915782</c:v>
                </c:pt>
                <c:pt idx="392">
                  <c:v>5.3594279953285886</c:v>
                </c:pt>
                <c:pt idx="393">
                  <c:v>5.2372423944119255</c:v>
                </c:pt>
                <c:pt idx="394">
                  <c:v>5.0272462726182514</c:v>
                </c:pt>
                <c:pt idx="395">
                  <c:v>4.6581507897633729</c:v>
                </c:pt>
                <c:pt idx="396">
                  <c:v>4.9877783085967762</c:v>
                </c:pt>
                <c:pt idx="397">
                  <c:v>5.1440823723973494</c:v>
                </c:pt>
                <c:pt idx="398">
                  <c:v>5.269791484552603</c:v>
                </c:pt>
                <c:pt idx="399">
                  <c:v>5.2333837588218968</c:v>
                </c:pt>
                <c:pt idx="400">
                  <c:v>4.9443711983077403</c:v>
                </c:pt>
                <c:pt idx="401">
                  <c:v>5.2041101885141385</c:v>
                </c:pt>
                <c:pt idx="402">
                  <c:v>5.478045014280454</c:v>
                </c:pt>
                <c:pt idx="403">
                  <c:v>5.5290566514321142</c:v>
                </c:pt>
                <c:pt idx="404">
                  <c:v>5.5967487661162583</c:v>
                </c:pt>
                <c:pt idx="405">
                  <c:v>5.7043084882175261</c:v>
                </c:pt>
                <c:pt idx="406">
                  <c:v>5.7006435760267902</c:v>
                </c:pt>
                <c:pt idx="407">
                  <c:v>5.6128940042527073</c:v>
                </c:pt>
                <c:pt idx="408">
                  <c:v>5.6345769738028268</c:v>
                </c:pt>
                <c:pt idx="409">
                  <c:v>5.8902328224671621</c:v>
                </c:pt>
                <c:pt idx="410">
                  <c:v>5.9150772359168506</c:v>
                </c:pt>
                <c:pt idx="411">
                  <c:v>6.1696800204002731</c:v>
                </c:pt>
                <c:pt idx="412">
                  <c:v>6.2467746223524259</c:v>
                </c:pt>
                <c:pt idx="413">
                  <c:v>6.4628700203443135</c:v>
                </c:pt>
                <c:pt idx="414">
                  <c:v>6.2638407051272758</c:v>
                </c:pt>
                <c:pt idx="415">
                  <c:v>6.0729290795643465</c:v>
                </c:pt>
                <c:pt idx="416">
                  <c:v>6.0326070850995404</c:v>
                </c:pt>
                <c:pt idx="417">
                  <c:v>6.0289722301362714</c:v>
                </c:pt>
                <c:pt idx="418">
                  <c:v>5.8744708823090699</c:v>
                </c:pt>
                <c:pt idx="419">
                  <c:v>6.014159732342347</c:v>
                </c:pt>
                <c:pt idx="420">
                  <c:v>6.0996928528545222</c:v>
                </c:pt>
                <c:pt idx="421">
                  <c:v>6.243907039679871</c:v>
                </c:pt>
                <c:pt idx="422">
                  <c:v>6.4037895425755345</c:v>
                </c:pt>
                <c:pt idx="423">
                  <c:v>6.255104258603196</c:v>
                </c:pt>
                <c:pt idx="424">
                  <c:v>5.8456498682863396</c:v>
                </c:pt>
                <c:pt idx="425">
                  <c:v>5.7068993718473404</c:v>
                </c:pt>
                <c:pt idx="426">
                  <c:v>5.3178710561396274</c:v>
                </c:pt>
                <c:pt idx="427">
                  <c:v>5.0320903696992918</c:v>
                </c:pt>
                <c:pt idx="428">
                  <c:v>5.2012321098490757</c:v>
                </c:pt>
                <c:pt idx="429">
                  <c:v>4.9961599356617903</c:v>
                </c:pt>
                <c:pt idx="430">
                  <c:v>4.3788147803358211</c:v>
                </c:pt>
                <c:pt idx="431">
                  <c:v>4.6431617308487736</c:v>
                </c:pt>
                <c:pt idx="432">
                  <c:v>4.6469023469122117</c:v>
                </c:pt>
                <c:pt idx="433">
                  <c:v>5.0302708706937507</c:v>
                </c:pt>
                <c:pt idx="434">
                  <c:v>5.2307125881501486</c:v>
                </c:pt>
                <c:pt idx="435">
                  <c:v>5.2502540468255656</c:v>
                </c:pt>
                <c:pt idx="436">
                  <c:v>5.6718635560594057</c:v>
                </c:pt>
                <c:pt idx="437">
                  <c:v>5.4776325936114594</c:v>
                </c:pt>
                <c:pt idx="438">
                  <c:v>5.5814692196109634</c:v>
                </c:pt>
                <c:pt idx="439">
                  <c:v>5.7812256224476553</c:v>
                </c:pt>
                <c:pt idx="440">
                  <c:v>5.6014616189135706</c:v>
                </c:pt>
                <c:pt idx="441">
                  <c:v>5.5776505119848645</c:v>
                </c:pt>
                <c:pt idx="442">
                  <c:v>5.8838769363104655</c:v>
                </c:pt>
                <c:pt idx="443">
                  <c:v>5.9121231156968275</c:v>
                </c:pt>
                <c:pt idx="444">
                  <c:v>5.8713574151372798</c:v>
                </c:pt>
                <c:pt idx="445">
                  <c:v>5.9796510575634327</c:v>
                </c:pt>
                <c:pt idx="446">
                  <c:v>6.0466164072619675</c:v>
                </c:pt>
                <c:pt idx="447">
                  <c:v>5.8633088270160059</c:v>
                </c:pt>
                <c:pt idx="448">
                  <c:v>5.781636990616418</c:v>
                </c:pt>
                <c:pt idx="449">
                  <c:v>5.8075031536921617</c:v>
                </c:pt>
                <c:pt idx="450">
                  <c:v>5.7967136012996683</c:v>
                </c:pt>
                <c:pt idx="451">
                  <c:v>5.7403500212916336</c:v>
                </c:pt>
                <c:pt idx="452">
                  <c:v>5.8250048726291803</c:v>
                </c:pt>
                <c:pt idx="453">
                  <c:v>5.7081864162893829</c:v>
                </c:pt>
                <c:pt idx="454">
                  <c:v>5.8800811721762454</c:v>
                </c:pt>
                <c:pt idx="455">
                  <c:v>5.6832280367148202</c:v>
                </c:pt>
                <c:pt idx="456">
                  <c:v>5.7306618945818526</c:v>
                </c:pt>
                <c:pt idx="457">
                  <c:v>5.557812816181734</c:v>
                </c:pt>
                <c:pt idx="458">
                  <c:v>5.6174603840446631</c:v>
                </c:pt>
                <c:pt idx="459">
                  <c:v>5.7329571768867966</c:v>
                </c:pt>
                <c:pt idx="460">
                  <c:v>5.6294972273584465</c:v>
                </c:pt>
                <c:pt idx="461">
                  <c:v>5.2039967016555249</c:v>
                </c:pt>
                <c:pt idx="462">
                  <c:v>5.1381699768182179</c:v>
                </c:pt>
                <c:pt idx="463">
                  <c:v>4.9530472857992969</c:v>
                </c:pt>
                <c:pt idx="464">
                  <c:v>5.1762428941791025</c:v>
                </c:pt>
                <c:pt idx="465">
                  <c:v>5.2322041485468302</c:v>
                </c:pt>
                <c:pt idx="466">
                  <c:v>5.1556735903281048</c:v>
                </c:pt>
                <c:pt idx="467">
                  <c:v>5.169403795033344</c:v>
                </c:pt>
                <c:pt idx="468">
                  <c:v>5.1988838560126274</c:v>
                </c:pt>
                <c:pt idx="469">
                  <c:v>5.0422262644822542</c:v>
                </c:pt>
                <c:pt idx="470">
                  <c:v>5.135662192122501</c:v>
                </c:pt>
                <c:pt idx="471">
                  <c:v>4.9355285112077194</c:v>
                </c:pt>
                <c:pt idx="472">
                  <c:v>4.8410152624057572</c:v>
                </c:pt>
                <c:pt idx="473">
                  <c:v>4.6595300787364602</c:v>
                </c:pt>
                <c:pt idx="474">
                  <c:v>4.2048268329015013</c:v>
                </c:pt>
                <c:pt idx="475">
                  <c:v>3.923751039120015</c:v>
                </c:pt>
                <c:pt idx="476">
                  <c:v>4.103235624315877</c:v>
                </c:pt>
                <c:pt idx="477">
                  <c:v>4.1770744332944245</c:v>
                </c:pt>
                <c:pt idx="478">
                  <c:v>4.3344040562768598</c:v>
                </c:pt>
                <c:pt idx="479">
                  <c:v>4.1091705182350715</c:v>
                </c:pt>
                <c:pt idx="480">
                  <c:v>4.0042051647579964</c:v>
                </c:pt>
                <c:pt idx="481">
                  <c:v>3.7782743353154919</c:v>
                </c:pt>
                <c:pt idx="482">
                  <c:v>3.9595263993069185</c:v>
                </c:pt>
                <c:pt idx="483">
                  <c:v>3.9984166137115844</c:v>
                </c:pt>
                <c:pt idx="484">
                  <c:v>4.4136355914793679</c:v>
                </c:pt>
                <c:pt idx="485">
                  <c:v>4.3051946680047699</c:v>
                </c:pt>
                <c:pt idx="486">
                  <c:v>4.2756641283957144</c:v>
                </c:pt>
                <c:pt idx="487">
                  <c:v>4.0773961800979528</c:v>
                </c:pt>
                <c:pt idx="488">
                  <c:v>3.9282495901013479</c:v>
                </c:pt>
                <c:pt idx="489">
                  <c:v>3.9694918222425111</c:v>
                </c:pt>
                <c:pt idx="490">
                  <c:v>4.0125576686397029</c:v>
                </c:pt>
                <c:pt idx="491">
                  <c:v>3.8775404717732775</c:v>
                </c:pt>
                <c:pt idx="492">
                  <c:v>3.764421334153111</c:v>
                </c:pt>
                <c:pt idx="493">
                  <c:v>3.8153734499336687</c:v>
                </c:pt>
                <c:pt idx="494">
                  <c:v>3.8199108535236466</c:v>
                </c:pt>
                <c:pt idx="495">
                  <c:v>3.9816504101020112</c:v>
                </c:pt>
                <c:pt idx="496">
                  <c:v>3.9912476772597136</c:v>
                </c:pt>
                <c:pt idx="497">
                  <c:v>3.9204700113494138</c:v>
                </c:pt>
                <c:pt idx="498">
                  <c:v>3.7086946311038296</c:v>
                </c:pt>
                <c:pt idx="499">
                  <c:v>3.9293215439869229</c:v>
                </c:pt>
              </c:numCache>
            </c:numRef>
          </c:val>
          <c:smooth val="0"/>
          <c:extLst>
            <c:ext xmlns:c16="http://schemas.microsoft.com/office/drawing/2014/chart" uri="{C3380CC4-5D6E-409C-BE32-E72D297353CC}">
              <c16:uniqueId val="{00000002-7DC3-42CC-826D-387680A8B18A}"/>
            </c:ext>
          </c:extLst>
        </c:ser>
        <c:ser>
          <c:idx val="3"/>
          <c:order val="3"/>
          <c:tx>
            <c:strRef>
              <c:f>Summary!$S$86</c:f>
              <c:strCache>
                <c:ptCount val="1"/>
                <c:pt idx="0">
                  <c:v>Large Cap Mean</c:v>
                </c:pt>
              </c:strCache>
            </c:strRef>
          </c:tx>
          <c:spPr>
            <a:ln w="28575" cap="rnd">
              <a:solidFill>
                <a:schemeClr val="accent1">
                  <a:lumMod val="75000"/>
                </a:schemeClr>
              </a:solidFill>
              <a:prstDash val="dash"/>
              <a:round/>
            </a:ln>
            <a:effectLst/>
          </c:spPr>
          <c:marker>
            <c:symbol val="none"/>
          </c:marker>
          <c:cat>
            <c:numRef>
              <c:f>Summary!$B$87:$B$586</c:f>
              <c:numCache>
                <c:formatCode>m/d/yyyy</c:formatCode>
                <c:ptCount val="500"/>
                <c:pt idx="0">
                  <c:v>42741</c:v>
                </c:pt>
                <c:pt idx="1">
                  <c:v>42748</c:v>
                </c:pt>
                <c:pt idx="2">
                  <c:v>42755</c:v>
                </c:pt>
                <c:pt idx="3">
                  <c:v>42762</c:v>
                </c:pt>
                <c:pt idx="4">
                  <c:v>42769</c:v>
                </c:pt>
                <c:pt idx="5">
                  <c:v>42776</c:v>
                </c:pt>
                <c:pt idx="6">
                  <c:v>42783</c:v>
                </c:pt>
                <c:pt idx="7">
                  <c:v>42790</c:v>
                </c:pt>
                <c:pt idx="8">
                  <c:v>42797</c:v>
                </c:pt>
                <c:pt idx="9">
                  <c:v>42804</c:v>
                </c:pt>
                <c:pt idx="10">
                  <c:v>42811</c:v>
                </c:pt>
                <c:pt idx="11">
                  <c:v>42818</c:v>
                </c:pt>
                <c:pt idx="12">
                  <c:v>42825</c:v>
                </c:pt>
                <c:pt idx="13">
                  <c:v>42832</c:v>
                </c:pt>
                <c:pt idx="14">
                  <c:v>42839</c:v>
                </c:pt>
                <c:pt idx="15">
                  <c:v>42846</c:v>
                </c:pt>
                <c:pt idx="16">
                  <c:v>42853</c:v>
                </c:pt>
                <c:pt idx="17">
                  <c:v>42860</c:v>
                </c:pt>
                <c:pt idx="18">
                  <c:v>42867</c:v>
                </c:pt>
                <c:pt idx="19">
                  <c:v>42874</c:v>
                </c:pt>
                <c:pt idx="20">
                  <c:v>42881</c:v>
                </c:pt>
                <c:pt idx="21">
                  <c:v>42888</c:v>
                </c:pt>
                <c:pt idx="22">
                  <c:v>42895</c:v>
                </c:pt>
                <c:pt idx="23">
                  <c:v>42902</c:v>
                </c:pt>
                <c:pt idx="24">
                  <c:v>42909</c:v>
                </c:pt>
                <c:pt idx="25">
                  <c:v>42916</c:v>
                </c:pt>
                <c:pt idx="26">
                  <c:v>42923</c:v>
                </c:pt>
                <c:pt idx="27">
                  <c:v>42930</c:v>
                </c:pt>
                <c:pt idx="28">
                  <c:v>42937</c:v>
                </c:pt>
                <c:pt idx="29">
                  <c:v>42944</c:v>
                </c:pt>
                <c:pt idx="30">
                  <c:v>42951</c:v>
                </c:pt>
                <c:pt idx="31">
                  <c:v>42958</c:v>
                </c:pt>
                <c:pt idx="32">
                  <c:v>42965</c:v>
                </c:pt>
                <c:pt idx="33">
                  <c:v>42972</c:v>
                </c:pt>
                <c:pt idx="34">
                  <c:v>42979</c:v>
                </c:pt>
                <c:pt idx="35">
                  <c:v>42986</c:v>
                </c:pt>
                <c:pt idx="36">
                  <c:v>42993</c:v>
                </c:pt>
                <c:pt idx="37">
                  <c:v>43000</c:v>
                </c:pt>
                <c:pt idx="38">
                  <c:v>43007</c:v>
                </c:pt>
                <c:pt idx="39">
                  <c:v>43014</c:v>
                </c:pt>
                <c:pt idx="40">
                  <c:v>43021</c:v>
                </c:pt>
                <c:pt idx="41">
                  <c:v>43028</c:v>
                </c:pt>
                <c:pt idx="42">
                  <c:v>43035</c:v>
                </c:pt>
                <c:pt idx="43">
                  <c:v>43042</c:v>
                </c:pt>
                <c:pt idx="44">
                  <c:v>43049</c:v>
                </c:pt>
                <c:pt idx="45">
                  <c:v>43056</c:v>
                </c:pt>
                <c:pt idx="46">
                  <c:v>43063</c:v>
                </c:pt>
                <c:pt idx="47">
                  <c:v>43070</c:v>
                </c:pt>
                <c:pt idx="48">
                  <c:v>43077</c:v>
                </c:pt>
                <c:pt idx="49">
                  <c:v>43084</c:v>
                </c:pt>
                <c:pt idx="50">
                  <c:v>43091</c:v>
                </c:pt>
                <c:pt idx="51">
                  <c:v>43098</c:v>
                </c:pt>
                <c:pt idx="52">
                  <c:v>43105</c:v>
                </c:pt>
                <c:pt idx="53">
                  <c:v>43112</c:v>
                </c:pt>
                <c:pt idx="54">
                  <c:v>43119</c:v>
                </c:pt>
                <c:pt idx="55">
                  <c:v>43126</c:v>
                </c:pt>
                <c:pt idx="56">
                  <c:v>43133</c:v>
                </c:pt>
                <c:pt idx="57">
                  <c:v>43140</c:v>
                </c:pt>
                <c:pt idx="58">
                  <c:v>43147</c:v>
                </c:pt>
                <c:pt idx="59">
                  <c:v>43154</c:v>
                </c:pt>
                <c:pt idx="60">
                  <c:v>43161</c:v>
                </c:pt>
                <c:pt idx="61">
                  <c:v>43168</c:v>
                </c:pt>
                <c:pt idx="62">
                  <c:v>43175</c:v>
                </c:pt>
                <c:pt idx="63">
                  <c:v>43182</c:v>
                </c:pt>
                <c:pt idx="64">
                  <c:v>43189</c:v>
                </c:pt>
                <c:pt idx="65">
                  <c:v>43196</c:v>
                </c:pt>
                <c:pt idx="66">
                  <c:v>43203</c:v>
                </c:pt>
                <c:pt idx="67">
                  <c:v>43210</c:v>
                </c:pt>
                <c:pt idx="68">
                  <c:v>43217</c:v>
                </c:pt>
                <c:pt idx="69">
                  <c:v>43224</c:v>
                </c:pt>
                <c:pt idx="70">
                  <c:v>43231</c:v>
                </c:pt>
                <c:pt idx="71">
                  <c:v>43238</c:v>
                </c:pt>
                <c:pt idx="72">
                  <c:v>43245</c:v>
                </c:pt>
                <c:pt idx="73">
                  <c:v>43252</c:v>
                </c:pt>
                <c:pt idx="74">
                  <c:v>43259</c:v>
                </c:pt>
                <c:pt idx="75">
                  <c:v>43266</c:v>
                </c:pt>
                <c:pt idx="76">
                  <c:v>43273</c:v>
                </c:pt>
                <c:pt idx="77">
                  <c:v>43280</c:v>
                </c:pt>
                <c:pt idx="78">
                  <c:v>43287</c:v>
                </c:pt>
                <c:pt idx="79">
                  <c:v>43294</c:v>
                </c:pt>
                <c:pt idx="80">
                  <c:v>43301</c:v>
                </c:pt>
                <c:pt idx="81">
                  <c:v>43308</c:v>
                </c:pt>
                <c:pt idx="82">
                  <c:v>43315</c:v>
                </c:pt>
                <c:pt idx="83">
                  <c:v>43322</c:v>
                </c:pt>
                <c:pt idx="84">
                  <c:v>43329</c:v>
                </c:pt>
                <c:pt idx="85">
                  <c:v>43336</c:v>
                </c:pt>
                <c:pt idx="86">
                  <c:v>43343</c:v>
                </c:pt>
                <c:pt idx="87">
                  <c:v>43350</c:v>
                </c:pt>
                <c:pt idx="88">
                  <c:v>43357</c:v>
                </c:pt>
                <c:pt idx="89">
                  <c:v>43364</c:v>
                </c:pt>
                <c:pt idx="90">
                  <c:v>43371</c:v>
                </c:pt>
                <c:pt idx="91">
                  <c:v>43378</c:v>
                </c:pt>
                <c:pt idx="92">
                  <c:v>43385</c:v>
                </c:pt>
                <c:pt idx="93">
                  <c:v>43392</c:v>
                </c:pt>
                <c:pt idx="94">
                  <c:v>43399</c:v>
                </c:pt>
                <c:pt idx="95">
                  <c:v>43406</c:v>
                </c:pt>
                <c:pt idx="96">
                  <c:v>43413</c:v>
                </c:pt>
                <c:pt idx="97">
                  <c:v>43420</c:v>
                </c:pt>
                <c:pt idx="98">
                  <c:v>43427</c:v>
                </c:pt>
                <c:pt idx="99">
                  <c:v>43434</c:v>
                </c:pt>
                <c:pt idx="100">
                  <c:v>43441</c:v>
                </c:pt>
                <c:pt idx="101">
                  <c:v>43448</c:v>
                </c:pt>
                <c:pt idx="102">
                  <c:v>43455</c:v>
                </c:pt>
                <c:pt idx="103">
                  <c:v>43462</c:v>
                </c:pt>
                <c:pt idx="104">
                  <c:v>43469</c:v>
                </c:pt>
                <c:pt idx="105">
                  <c:v>43476</c:v>
                </c:pt>
                <c:pt idx="106">
                  <c:v>43483</c:v>
                </c:pt>
                <c:pt idx="107">
                  <c:v>43490</c:v>
                </c:pt>
                <c:pt idx="108">
                  <c:v>43497</c:v>
                </c:pt>
                <c:pt idx="109">
                  <c:v>43504</c:v>
                </c:pt>
                <c:pt idx="110">
                  <c:v>43511</c:v>
                </c:pt>
                <c:pt idx="111">
                  <c:v>43518</c:v>
                </c:pt>
                <c:pt idx="112">
                  <c:v>43525</c:v>
                </c:pt>
                <c:pt idx="113">
                  <c:v>43532</c:v>
                </c:pt>
                <c:pt idx="114">
                  <c:v>43539</c:v>
                </c:pt>
                <c:pt idx="115">
                  <c:v>43546</c:v>
                </c:pt>
                <c:pt idx="116">
                  <c:v>43553</c:v>
                </c:pt>
                <c:pt idx="117">
                  <c:v>43560</c:v>
                </c:pt>
                <c:pt idx="118">
                  <c:v>43567</c:v>
                </c:pt>
                <c:pt idx="119">
                  <c:v>43574</c:v>
                </c:pt>
                <c:pt idx="120">
                  <c:v>43581</c:v>
                </c:pt>
                <c:pt idx="121">
                  <c:v>43588</c:v>
                </c:pt>
                <c:pt idx="122">
                  <c:v>43595</c:v>
                </c:pt>
                <c:pt idx="123">
                  <c:v>43602</c:v>
                </c:pt>
                <c:pt idx="124">
                  <c:v>43609</c:v>
                </c:pt>
                <c:pt idx="125">
                  <c:v>43616</c:v>
                </c:pt>
                <c:pt idx="126">
                  <c:v>43623</c:v>
                </c:pt>
                <c:pt idx="127">
                  <c:v>43630</c:v>
                </c:pt>
                <c:pt idx="128">
                  <c:v>43637</c:v>
                </c:pt>
                <c:pt idx="129">
                  <c:v>43644</c:v>
                </c:pt>
                <c:pt idx="130">
                  <c:v>43651</c:v>
                </c:pt>
                <c:pt idx="131">
                  <c:v>43658</c:v>
                </c:pt>
                <c:pt idx="132">
                  <c:v>43665</c:v>
                </c:pt>
                <c:pt idx="133">
                  <c:v>43672</c:v>
                </c:pt>
                <c:pt idx="134">
                  <c:v>43679</c:v>
                </c:pt>
                <c:pt idx="135">
                  <c:v>43686</c:v>
                </c:pt>
                <c:pt idx="136">
                  <c:v>43693</c:v>
                </c:pt>
                <c:pt idx="137">
                  <c:v>43700</c:v>
                </c:pt>
                <c:pt idx="138">
                  <c:v>43707</c:v>
                </c:pt>
                <c:pt idx="139">
                  <c:v>43714</c:v>
                </c:pt>
                <c:pt idx="140">
                  <c:v>43721</c:v>
                </c:pt>
                <c:pt idx="141">
                  <c:v>43728</c:v>
                </c:pt>
                <c:pt idx="142">
                  <c:v>43735</c:v>
                </c:pt>
                <c:pt idx="143">
                  <c:v>43742</c:v>
                </c:pt>
                <c:pt idx="144">
                  <c:v>43749</c:v>
                </c:pt>
                <c:pt idx="145">
                  <c:v>43756</c:v>
                </c:pt>
                <c:pt idx="146">
                  <c:v>43763</c:v>
                </c:pt>
                <c:pt idx="147">
                  <c:v>43770</c:v>
                </c:pt>
                <c:pt idx="148">
                  <c:v>43777</c:v>
                </c:pt>
                <c:pt idx="149">
                  <c:v>43784</c:v>
                </c:pt>
                <c:pt idx="150">
                  <c:v>43791</c:v>
                </c:pt>
                <c:pt idx="151">
                  <c:v>43798</c:v>
                </c:pt>
                <c:pt idx="152">
                  <c:v>43805</c:v>
                </c:pt>
                <c:pt idx="153">
                  <c:v>43812</c:v>
                </c:pt>
                <c:pt idx="154">
                  <c:v>43819</c:v>
                </c:pt>
                <c:pt idx="155">
                  <c:v>43826</c:v>
                </c:pt>
                <c:pt idx="156">
                  <c:v>43833</c:v>
                </c:pt>
                <c:pt idx="157">
                  <c:v>43840</c:v>
                </c:pt>
                <c:pt idx="158">
                  <c:v>43847</c:v>
                </c:pt>
                <c:pt idx="159">
                  <c:v>43854</c:v>
                </c:pt>
                <c:pt idx="160">
                  <c:v>43861</c:v>
                </c:pt>
                <c:pt idx="161">
                  <c:v>43868</c:v>
                </c:pt>
                <c:pt idx="162">
                  <c:v>43875</c:v>
                </c:pt>
                <c:pt idx="163">
                  <c:v>43882</c:v>
                </c:pt>
                <c:pt idx="164">
                  <c:v>43889</c:v>
                </c:pt>
                <c:pt idx="165">
                  <c:v>43896</c:v>
                </c:pt>
                <c:pt idx="166">
                  <c:v>43903</c:v>
                </c:pt>
                <c:pt idx="167">
                  <c:v>43910</c:v>
                </c:pt>
                <c:pt idx="168">
                  <c:v>43917</c:v>
                </c:pt>
                <c:pt idx="169">
                  <c:v>43924</c:v>
                </c:pt>
                <c:pt idx="170">
                  <c:v>43931</c:v>
                </c:pt>
                <c:pt idx="171">
                  <c:v>43938</c:v>
                </c:pt>
                <c:pt idx="172">
                  <c:v>43945</c:v>
                </c:pt>
                <c:pt idx="173">
                  <c:v>43952</c:v>
                </c:pt>
                <c:pt idx="174">
                  <c:v>43959</c:v>
                </c:pt>
                <c:pt idx="175">
                  <c:v>43966</c:v>
                </c:pt>
                <c:pt idx="176">
                  <c:v>43973</c:v>
                </c:pt>
                <c:pt idx="177">
                  <c:v>43980</c:v>
                </c:pt>
                <c:pt idx="178">
                  <c:v>43987</c:v>
                </c:pt>
                <c:pt idx="179">
                  <c:v>43994</c:v>
                </c:pt>
                <c:pt idx="180">
                  <c:v>44001</c:v>
                </c:pt>
                <c:pt idx="181">
                  <c:v>44008</c:v>
                </c:pt>
                <c:pt idx="182">
                  <c:v>44015</c:v>
                </c:pt>
                <c:pt idx="183">
                  <c:v>44022</c:v>
                </c:pt>
                <c:pt idx="184">
                  <c:v>44029</c:v>
                </c:pt>
                <c:pt idx="185">
                  <c:v>44036</c:v>
                </c:pt>
                <c:pt idx="186">
                  <c:v>44043</c:v>
                </c:pt>
                <c:pt idx="187">
                  <c:v>44050</c:v>
                </c:pt>
                <c:pt idx="188">
                  <c:v>44057</c:v>
                </c:pt>
                <c:pt idx="189">
                  <c:v>44064</c:v>
                </c:pt>
                <c:pt idx="190">
                  <c:v>44071</c:v>
                </c:pt>
                <c:pt idx="191">
                  <c:v>44078</c:v>
                </c:pt>
                <c:pt idx="192">
                  <c:v>44085</c:v>
                </c:pt>
                <c:pt idx="193">
                  <c:v>44092</c:v>
                </c:pt>
                <c:pt idx="194">
                  <c:v>44099</c:v>
                </c:pt>
                <c:pt idx="195">
                  <c:v>44106</c:v>
                </c:pt>
                <c:pt idx="196">
                  <c:v>44113</c:v>
                </c:pt>
                <c:pt idx="197">
                  <c:v>44120</c:v>
                </c:pt>
                <c:pt idx="198">
                  <c:v>44127</c:v>
                </c:pt>
                <c:pt idx="199">
                  <c:v>44134</c:v>
                </c:pt>
                <c:pt idx="200">
                  <c:v>44141</c:v>
                </c:pt>
                <c:pt idx="201">
                  <c:v>44148</c:v>
                </c:pt>
                <c:pt idx="202">
                  <c:v>44155</c:v>
                </c:pt>
                <c:pt idx="203">
                  <c:v>44162</c:v>
                </c:pt>
                <c:pt idx="204">
                  <c:v>44169</c:v>
                </c:pt>
                <c:pt idx="205">
                  <c:v>44176</c:v>
                </c:pt>
                <c:pt idx="206">
                  <c:v>44183</c:v>
                </c:pt>
                <c:pt idx="207">
                  <c:v>44190</c:v>
                </c:pt>
                <c:pt idx="208">
                  <c:v>44197</c:v>
                </c:pt>
                <c:pt idx="209">
                  <c:v>44204</c:v>
                </c:pt>
                <c:pt idx="210">
                  <c:v>44211</c:v>
                </c:pt>
                <c:pt idx="211">
                  <c:v>44218</c:v>
                </c:pt>
                <c:pt idx="212">
                  <c:v>44225</c:v>
                </c:pt>
                <c:pt idx="213">
                  <c:v>44232</c:v>
                </c:pt>
                <c:pt idx="214">
                  <c:v>44239</c:v>
                </c:pt>
                <c:pt idx="215">
                  <c:v>44246</c:v>
                </c:pt>
                <c:pt idx="216">
                  <c:v>44253</c:v>
                </c:pt>
                <c:pt idx="217">
                  <c:v>44260</c:v>
                </c:pt>
                <c:pt idx="218">
                  <c:v>44267</c:v>
                </c:pt>
                <c:pt idx="219">
                  <c:v>44274</c:v>
                </c:pt>
                <c:pt idx="220">
                  <c:v>44281</c:v>
                </c:pt>
                <c:pt idx="221">
                  <c:v>44288</c:v>
                </c:pt>
                <c:pt idx="222">
                  <c:v>44295</c:v>
                </c:pt>
                <c:pt idx="223">
                  <c:v>44302</c:v>
                </c:pt>
                <c:pt idx="224">
                  <c:v>44309</c:v>
                </c:pt>
                <c:pt idx="225">
                  <c:v>44316</c:v>
                </c:pt>
                <c:pt idx="226">
                  <c:v>44323</c:v>
                </c:pt>
                <c:pt idx="227">
                  <c:v>44330</c:v>
                </c:pt>
                <c:pt idx="228">
                  <c:v>44337</c:v>
                </c:pt>
                <c:pt idx="229">
                  <c:v>44344</c:v>
                </c:pt>
                <c:pt idx="230">
                  <c:v>44351</c:v>
                </c:pt>
                <c:pt idx="231">
                  <c:v>44358</c:v>
                </c:pt>
                <c:pt idx="232">
                  <c:v>44365</c:v>
                </c:pt>
                <c:pt idx="233">
                  <c:v>44372</c:v>
                </c:pt>
                <c:pt idx="234">
                  <c:v>44379</c:v>
                </c:pt>
                <c:pt idx="235">
                  <c:v>44386</c:v>
                </c:pt>
                <c:pt idx="236">
                  <c:v>44393</c:v>
                </c:pt>
                <c:pt idx="237">
                  <c:v>44400</c:v>
                </c:pt>
                <c:pt idx="238">
                  <c:v>44407</c:v>
                </c:pt>
                <c:pt idx="239">
                  <c:v>44414</c:v>
                </c:pt>
                <c:pt idx="240">
                  <c:v>44421</c:v>
                </c:pt>
                <c:pt idx="241">
                  <c:v>44428</c:v>
                </c:pt>
                <c:pt idx="242">
                  <c:v>44435</c:v>
                </c:pt>
                <c:pt idx="243">
                  <c:v>44442</c:v>
                </c:pt>
                <c:pt idx="244">
                  <c:v>44449</c:v>
                </c:pt>
                <c:pt idx="245">
                  <c:v>44456</c:v>
                </c:pt>
                <c:pt idx="246">
                  <c:v>44463</c:v>
                </c:pt>
                <c:pt idx="247">
                  <c:v>44470</c:v>
                </c:pt>
                <c:pt idx="248">
                  <c:v>44477</c:v>
                </c:pt>
                <c:pt idx="249">
                  <c:v>44484</c:v>
                </c:pt>
                <c:pt idx="250">
                  <c:v>44491</c:v>
                </c:pt>
                <c:pt idx="251">
                  <c:v>44498</c:v>
                </c:pt>
                <c:pt idx="252">
                  <c:v>44505</c:v>
                </c:pt>
                <c:pt idx="253">
                  <c:v>44512</c:v>
                </c:pt>
                <c:pt idx="254">
                  <c:v>44519</c:v>
                </c:pt>
                <c:pt idx="255">
                  <c:v>44526</c:v>
                </c:pt>
                <c:pt idx="256">
                  <c:v>44533</c:v>
                </c:pt>
                <c:pt idx="257">
                  <c:v>44540</c:v>
                </c:pt>
                <c:pt idx="258">
                  <c:v>44547</c:v>
                </c:pt>
                <c:pt idx="259">
                  <c:v>44554</c:v>
                </c:pt>
                <c:pt idx="260">
                  <c:v>44561</c:v>
                </c:pt>
                <c:pt idx="261">
                  <c:v>44568</c:v>
                </c:pt>
                <c:pt idx="262">
                  <c:v>44575</c:v>
                </c:pt>
                <c:pt idx="263">
                  <c:v>44582</c:v>
                </c:pt>
                <c:pt idx="264">
                  <c:v>44589</c:v>
                </c:pt>
                <c:pt idx="265">
                  <c:v>44596</c:v>
                </c:pt>
                <c:pt idx="266">
                  <c:v>44603</c:v>
                </c:pt>
                <c:pt idx="267">
                  <c:v>44610</c:v>
                </c:pt>
                <c:pt idx="268">
                  <c:v>44617</c:v>
                </c:pt>
                <c:pt idx="269">
                  <c:v>44624</c:v>
                </c:pt>
                <c:pt idx="270">
                  <c:v>44631</c:v>
                </c:pt>
                <c:pt idx="271">
                  <c:v>44638</c:v>
                </c:pt>
                <c:pt idx="272">
                  <c:v>44645</c:v>
                </c:pt>
                <c:pt idx="273">
                  <c:v>44652</c:v>
                </c:pt>
                <c:pt idx="274">
                  <c:v>44659</c:v>
                </c:pt>
                <c:pt idx="275">
                  <c:v>44666</c:v>
                </c:pt>
                <c:pt idx="276">
                  <c:v>44673</c:v>
                </c:pt>
                <c:pt idx="277">
                  <c:v>44680</c:v>
                </c:pt>
                <c:pt idx="278">
                  <c:v>44687</c:v>
                </c:pt>
                <c:pt idx="279">
                  <c:v>44694</c:v>
                </c:pt>
                <c:pt idx="280">
                  <c:v>44701</c:v>
                </c:pt>
                <c:pt idx="281">
                  <c:v>44708</c:v>
                </c:pt>
                <c:pt idx="282">
                  <c:v>44715</c:v>
                </c:pt>
                <c:pt idx="283">
                  <c:v>44722</c:v>
                </c:pt>
                <c:pt idx="284">
                  <c:v>44729</c:v>
                </c:pt>
                <c:pt idx="285">
                  <c:v>44736</c:v>
                </c:pt>
                <c:pt idx="286">
                  <c:v>44743</c:v>
                </c:pt>
                <c:pt idx="287">
                  <c:v>44750</c:v>
                </c:pt>
                <c:pt idx="288">
                  <c:v>44757</c:v>
                </c:pt>
                <c:pt idx="289">
                  <c:v>44764</c:v>
                </c:pt>
                <c:pt idx="290">
                  <c:v>44771</c:v>
                </c:pt>
                <c:pt idx="291">
                  <c:v>44778</c:v>
                </c:pt>
                <c:pt idx="292">
                  <c:v>44785</c:v>
                </c:pt>
                <c:pt idx="293">
                  <c:v>44792</c:v>
                </c:pt>
                <c:pt idx="294">
                  <c:v>44799</c:v>
                </c:pt>
                <c:pt idx="295">
                  <c:v>44806</c:v>
                </c:pt>
                <c:pt idx="296">
                  <c:v>44813</c:v>
                </c:pt>
                <c:pt idx="297">
                  <c:v>44820</c:v>
                </c:pt>
                <c:pt idx="298">
                  <c:v>44827</c:v>
                </c:pt>
                <c:pt idx="299">
                  <c:v>44834</c:v>
                </c:pt>
                <c:pt idx="300">
                  <c:v>44841</c:v>
                </c:pt>
                <c:pt idx="301">
                  <c:v>44848</c:v>
                </c:pt>
                <c:pt idx="302">
                  <c:v>44855</c:v>
                </c:pt>
                <c:pt idx="303">
                  <c:v>44862</c:v>
                </c:pt>
                <c:pt idx="304">
                  <c:v>44869</c:v>
                </c:pt>
                <c:pt idx="305">
                  <c:v>44876</c:v>
                </c:pt>
                <c:pt idx="306">
                  <c:v>44883</c:v>
                </c:pt>
                <c:pt idx="307">
                  <c:v>44890</c:v>
                </c:pt>
                <c:pt idx="308">
                  <c:v>44897</c:v>
                </c:pt>
                <c:pt idx="309">
                  <c:v>44904</c:v>
                </c:pt>
                <c:pt idx="310">
                  <c:v>44911</c:v>
                </c:pt>
                <c:pt idx="311">
                  <c:v>44918</c:v>
                </c:pt>
                <c:pt idx="312">
                  <c:v>44925</c:v>
                </c:pt>
                <c:pt idx="313">
                  <c:v>44932</c:v>
                </c:pt>
                <c:pt idx="314">
                  <c:v>44939</c:v>
                </c:pt>
                <c:pt idx="315">
                  <c:v>44946</c:v>
                </c:pt>
                <c:pt idx="316">
                  <c:v>44953</c:v>
                </c:pt>
                <c:pt idx="317">
                  <c:v>44960</c:v>
                </c:pt>
                <c:pt idx="318">
                  <c:v>44967</c:v>
                </c:pt>
                <c:pt idx="319">
                  <c:v>44974</c:v>
                </c:pt>
                <c:pt idx="320">
                  <c:v>44981</c:v>
                </c:pt>
                <c:pt idx="321">
                  <c:v>44988</c:v>
                </c:pt>
                <c:pt idx="322">
                  <c:v>44995</c:v>
                </c:pt>
                <c:pt idx="323">
                  <c:v>45002</c:v>
                </c:pt>
                <c:pt idx="324">
                  <c:v>45009</c:v>
                </c:pt>
                <c:pt idx="325">
                  <c:v>45016</c:v>
                </c:pt>
                <c:pt idx="326">
                  <c:v>45023</c:v>
                </c:pt>
                <c:pt idx="327">
                  <c:v>45030</c:v>
                </c:pt>
                <c:pt idx="328">
                  <c:v>45037</c:v>
                </c:pt>
                <c:pt idx="329">
                  <c:v>45044</c:v>
                </c:pt>
                <c:pt idx="330">
                  <c:v>45051</c:v>
                </c:pt>
                <c:pt idx="331">
                  <c:v>45058</c:v>
                </c:pt>
                <c:pt idx="332">
                  <c:v>45065</c:v>
                </c:pt>
                <c:pt idx="333">
                  <c:v>45072</c:v>
                </c:pt>
                <c:pt idx="334">
                  <c:v>45079</c:v>
                </c:pt>
                <c:pt idx="335">
                  <c:v>45086</c:v>
                </c:pt>
                <c:pt idx="336">
                  <c:v>45093</c:v>
                </c:pt>
                <c:pt idx="337">
                  <c:v>45100</c:v>
                </c:pt>
                <c:pt idx="338">
                  <c:v>45107</c:v>
                </c:pt>
                <c:pt idx="339">
                  <c:v>45114</c:v>
                </c:pt>
                <c:pt idx="340">
                  <c:v>45121</c:v>
                </c:pt>
                <c:pt idx="341">
                  <c:v>45128</c:v>
                </c:pt>
                <c:pt idx="342">
                  <c:v>45135</c:v>
                </c:pt>
                <c:pt idx="343">
                  <c:v>45142</c:v>
                </c:pt>
                <c:pt idx="344">
                  <c:v>45149</c:v>
                </c:pt>
                <c:pt idx="345">
                  <c:v>45156</c:v>
                </c:pt>
                <c:pt idx="346">
                  <c:v>45163</c:v>
                </c:pt>
                <c:pt idx="347">
                  <c:v>45170</c:v>
                </c:pt>
                <c:pt idx="348">
                  <c:v>45177</c:v>
                </c:pt>
                <c:pt idx="349">
                  <c:v>45184</c:v>
                </c:pt>
                <c:pt idx="350">
                  <c:v>45191</c:v>
                </c:pt>
                <c:pt idx="351">
                  <c:v>45198</c:v>
                </c:pt>
                <c:pt idx="352">
                  <c:v>45205</c:v>
                </c:pt>
                <c:pt idx="353">
                  <c:v>45212</c:v>
                </c:pt>
                <c:pt idx="354">
                  <c:v>45219</c:v>
                </c:pt>
                <c:pt idx="355">
                  <c:v>45226</c:v>
                </c:pt>
                <c:pt idx="356">
                  <c:v>45233</c:v>
                </c:pt>
                <c:pt idx="357">
                  <c:v>45240</c:v>
                </c:pt>
                <c:pt idx="358">
                  <c:v>45247</c:v>
                </c:pt>
                <c:pt idx="359">
                  <c:v>45254</c:v>
                </c:pt>
                <c:pt idx="360">
                  <c:v>45261</c:v>
                </c:pt>
                <c:pt idx="361">
                  <c:v>45268</c:v>
                </c:pt>
                <c:pt idx="362">
                  <c:v>45275</c:v>
                </c:pt>
                <c:pt idx="363">
                  <c:v>45282</c:v>
                </c:pt>
                <c:pt idx="364">
                  <c:v>45289</c:v>
                </c:pt>
                <c:pt idx="365">
                  <c:v>45296</c:v>
                </c:pt>
                <c:pt idx="366">
                  <c:v>45303</c:v>
                </c:pt>
                <c:pt idx="367">
                  <c:v>45310</c:v>
                </c:pt>
                <c:pt idx="368">
                  <c:v>45317</c:v>
                </c:pt>
                <c:pt idx="369">
                  <c:v>45324</c:v>
                </c:pt>
                <c:pt idx="370">
                  <c:v>45331</c:v>
                </c:pt>
                <c:pt idx="371">
                  <c:v>45338</c:v>
                </c:pt>
                <c:pt idx="372">
                  <c:v>45345</c:v>
                </c:pt>
                <c:pt idx="373">
                  <c:v>45352</c:v>
                </c:pt>
                <c:pt idx="374">
                  <c:v>45359</c:v>
                </c:pt>
                <c:pt idx="375">
                  <c:v>45366</c:v>
                </c:pt>
                <c:pt idx="376">
                  <c:v>45373</c:v>
                </c:pt>
                <c:pt idx="377">
                  <c:v>45380</c:v>
                </c:pt>
                <c:pt idx="378">
                  <c:v>45387</c:v>
                </c:pt>
                <c:pt idx="379">
                  <c:v>45394</c:v>
                </c:pt>
                <c:pt idx="380">
                  <c:v>45401</c:v>
                </c:pt>
                <c:pt idx="381">
                  <c:v>45408</c:v>
                </c:pt>
                <c:pt idx="382">
                  <c:v>45415</c:v>
                </c:pt>
                <c:pt idx="383">
                  <c:v>45422</c:v>
                </c:pt>
                <c:pt idx="384">
                  <c:v>45429</c:v>
                </c:pt>
                <c:pt idx="385">
                  <c:v>45436</c:v>
                </c:pt>
                <c:pt idx="386">
                  <c:v>45443</c:v>
                </c:pt>
                <c:pt idx="387">
                  <c:v>45450</c:v>
                </c:pt>
                <c:pt idx="388">
                  <c:v>45457</c:v>
                </c:pt>
                <c:pt idx="389">
                  <c:v>45464</c:v>
                </c:pt>
                <c:pt idx="390">
                  <c:v>45471</c:v>
                </c:pt>
                <c:pt idx="391">
                  <c:v>45478</c:v>
                </c:pt>
                <c:pt idx="392">
                  <c:v>45485</c:v>
                </c:pt>
                <c:pt idx="393">
                  <c:v>45492</c:v>
                </c:pt>
                <c:pt idx="394">
                  <c:v>45499</c:v>
                </c:pt>
                <c:pt idx="395">
                  <c:v>45506</c:v>
                </c:pt>
                <c:pt idx="396">
                  <c:v>45513</c:v>
                </c:pt>
                <c:pt idx="397">
                  <c:v>45520</c:v>
                </c:pt>
                <c:pt idx="398">
                  <c:v>45527</c:v>
                </c:pt>
                <c:pt idx="399">
                  <c:v>45534</c:v>
                </c:pt>
                <c:pt idx="400">
                  <c:v>45541</c:v>
                </c:pt>
                <c:pt idx="401">
                  <c:v>45548</c:v>
                </c:pt>
                <c:pt idx="402">
                  <c:v>45555</c:v>
                </c:pt>
                <c:pt idx="403">
                  <c:v>45562</c:v>
                </c:pt>
                <c:pt idx="404">
                  <c:v>45569</c:v>
                </c:pt>
                <c:pt idx="405">
                  <c:v>45576</c:v>
                </c:pt>
                <c:pt idx="406">
                  <c:v>45583</c:v>
                </c:pt>
                <c:pt idx="407">
                  <c:v>45590</c:v>
                </c:pt>
                <c:pt idx="408">
                  <c:v>45597</c:v>
                </c:pt>
                <c:pt idx="409">
                  <c:v>45604</c:v>
                </c:pt>
                <c:pt idx="410">
                  <c:v>45611</c:v>
                </c:pt>
                <c:pt idx="411">
                  <c:v>45618</c:v>
                </c:pt>
                <c:pt idx="412">
                  <c:v>45625</c:v>
                </c:pt>
                <c:pt idx="413">
                  <c:v>45632</c:v>
                </c:pt>
                <c:pt idx="414">
                  <c:v>45639</c:v>
                </c:pt>
                <c:pt idx="415">
                  <c:v>45646</c:v>
                </c:pt>
                <c:pt idx="416">
                  <c:v>45653</c:v>
                </c:pt>
                <c:pt idx="417">
                  <c:v>45660</c:v>
                </c:pt>
                <c:pt idx="418">
                  <c:v>45667</c:v>
                </c:pt>
                <c:pt idx="419">
                  <c:v>45674</c:v>
                </c:pt>
                <c:pt idx="420">
                  <c:v>45681</c:v>
                </c:pt>
                <c:pt idx="421">
                  <c:v>45688</c:v>
                </c:pt>
                <c:pt idx="422">
                  <c:v>45695</c:v>
                </c:pt>
                <c:pt idx="423">
                  <c:v>45702</c:v>
                </c:pt>
                <c:pt idx="424">
                  <c:v>45709</c:v>
                </c:pt>
                <c:pt idx="425">
                  <c:v>45716</c:v>
                </c:pt>
                <c:pt idx="426">
                  <c:v>45723</c:v>
                </c:pt>
                <c:pt idx="427">
                  <c:v>45730</c:v>
                </c:pt>
                <c:pt idx="428">
                  <c:v>45737</c:v>
                </c:pt>
                <c:pt idx="429">
                  <c:v>45744</c:v>
                </c:pt>
                <c:pt idx="430">
                  <c:v>45751</c:v>
                </c:pt>
                <c:pt idx="431">
                  <c:v>45758</c:v>
                </c:pt>
                <c:pt idx="432">
                  <c:v>45765</c:v>
                </c:pt>
                <c:pt idx="433">
                  <c:v>45772</c:v>
                </c:pt>
                <c:pt idx="434">
                  <c:v>45779</c:v>
                </c:pt>
                <c:pt idx="435">
                  <c:v>45786</c:v>
                </c:pt>
                <c:pt idx="436">
                  <c:v>45793</c:v>
                </c:pt>
                <c:pt idx="437">
                  <c:v>45800</c:v>
                </c:pt>
                <c:pt idx="438">
                  <c:v>45807</c:v>
                </c:pt>
                <c:pt idx="439">
                  <c:v>45814</c:v>
                </c:pt>
                <c:pt idx="440">
                  <c:v>45821</c:v>
                </c:pt>
                <c:pt idx="441">
                  <c:v>45828</c:v>
                </c:pt>
                <c:pt idx="442">
                  <c:v>45835</c:v>
                </c:pt>
                <c:pt idx="443">
                  <c:v>45842</c:v>
                </c:pt>
                <c:pt idx="444">
                  <c:v>45849</c:v>
                </c:pt>
                <c:pt idx="445">
                  <c:v>45856</c:v>
                </c:pt>
                <c:pt idx="446">
                  <c:v>45863</c:v>
                </c:pt>
                <c:pt idx="447">
                  <c:v>45870</c:v>
                </c:pt>
                <c:pt idx="448">
                  <c:v>45877</c:v>
                </c:pt>
                <c:pt idx="449">
                  <c:v>45884</c:v>
                </c:pt>
                <c:pt idx="450">
                  <c:v>45891</c:v>
                </c:pt>
                <c:pt idx="451">
                  <c:v>45898</c:v>
                </c:pt>
                <c:pt idx="452">
                  <c:v>45905</c:v>
                </c:pt>
                <c:pt idx="453">
                  <c:v>45912</c:v>
                </c:pt>
                <c:pt idx="454">
                  <c:v>45919</c:v>
                </c:pt>
                <c:pt idx="455">
                  <c:v>45926</c:v>
                </c:pt>
                <c:pt idx="456">
                  <c:v>45933</c:v>
                </c:pt>
                <c:pt idx="457">
                  <c:v>45940</c:v>
                </c:pt>
                <c:pt idx="458">
                  <c:v>45947</c:v>
                </c:pt>
                <c:pt idx="459">
                  <c:v>45954</c:v>
                </c:pt>
                <c:pt idx="460">
                  <c:v>45961</c:v>
                </c:pt>
                <c:pt idx="461">
                  <c:v>45968</c:v>
                </c:pt>
                <c:pt idx="462">
                  <c:v>45975</c:v>
                </c:pt>
                <c:pt idx="463">
                  <c:v>45982</c:v>
                </c:pt>
                <c:pt idx="464">
                  <c:v>45989</c:v>
                </c:pt>
                <c:pt idx="465">
                  <c:v>45996</c:v>
                </c:pt>
                <c:pt idx="466">
                  <c:v>46003</c:v>
                </c:pt>
                <c:pt idx="467">
                  <c:v>46010</c:v>
                </c:pt>
                <c:pt idx="468">
                  <c:v>46017</c:v>
                </c:pt>
                <c:pt idx="469">
                  <c:v>46024</c:v>
                </c:pt>
                <c:pt idx="470">
                  <c:v>46031</c:v>
                </c:pt>
                <c:pt idx="471">
                  <c:v>46038</c:v>
                </c:pt>
                <c:pt idx="472">
                  <c:v>46045</c:v>
                </c:pt>
                <c:pt idx="473">
                  <c:v>46052</c:v>
                </c:pt>
                <c:pt idx="474">
                  <c:v>46059</c:v>
                </c:pt>
                <c:pt idx="475">
                  <c:v>46066</c:v>
                </c:pt>
                <c:pt idx="476">
                  <c:v>46073</c:v>
                </c:pt>
                <c:pt idx="477">
                  <c:v>46080</c:v>
                </c:pt>
                <c:pt idx="478">
                  <c:v>46087</c:v>
                </c:pt>
                <c:pt idx="479">
                  <c:v>46094</c:v>
                </c:pt>
                <c:pt idx="480">
                  <c:v>46101</c:v>
                </c:pt>
                <c:pt idx="481">
                  <c:v>46108</c:v>
                </c:pt>
                <c:pt idx="482">
                  <c:v>46115</c:v>
                </c:pt>
                <c:pt idx="483">
                  <c:v>46122</c:v>
                </c:pt>
                <c:pt idx="484">
                  <c:v>46129</c:v>
                </c:pt>
                <c:pt idx="485">
                  <c:v>46136</c:v>
                </c:pt>
                <c:pt idx="486">
                  <c:v>46143</c:v>
                </c:pt>
                <c:pt idx="487">
                  <c:v>46150</c:v>
                </c:pt>
                <c:pt idx="488">
                  <c:v>46157</c:v>
                </c:pt>
                <c:pt idx="489">
                  <c:v>46164</c:v>
                </c:pt>
                <c:pt idx="490">
                  <c:v>46171</c:v>
                </c:pt>
                <c:pt idx="491">
                  <c:v>46178</c:v>
                </c:pt>
                <c:pt idx="492">
                  <c:v>46185</c:v>
                </c:pt>
                <c:pt idx="493">
                  <c:v>46192</c:v>
                </c:pt>
                <c:pt idx="494">
                  <c:v>46199</c:v>
                </c:pt>
                <c:pt idx="495">
                  <c:v>46206</c:v>
                </c:pt>
                <c:pt idx="496">
                  <c:v>46213</c:v>
                </c:pt>
                <c:pt idx="497">
                  <c:v>46220</c:v>
                </c:pt>
                <c:pt idx="498">
                  <c:v>46227</c:v>
                </c:pt>
                <c:pt idx="499">
                  <c:v>46234</c:v>
                </c:pt>
              </c:numCache>
            </c:numRef>
          </c:cat>
          <c:val>
            <c:numRef>
              <c:f>Summary!$S$87:$S$586</c:f>
              <c:numCache>
                <c:formatCode>0.0\x_);\(0.0\x\)</c:formatCode>
                <c:ptCount val="500"/>
                <c:pt idx="0">
                  <c:v>6.2754980846405033</c:v>
                </c:pt>
                <c:pt idx="1">
                  <c:v>6.2754980846405033</c:v>
                </c:pt>
                <c:pt idx="2">
                  <c:v>6.2754980846405033</c:v>
                </c:pt>
                <c:pt idx="3">
                  <c:v>6.2754980846405033</c:v>
                </c:pt>
                <c:pt idx="4">
                  <c:v>6.2754980846405033</c:v>
                </c:pt>
                <c:pt idx="5">
                  <c:v>6.2754980846405033</c:v>
                </c:pt>
                <c:pt idx="6">
                  <c:v>6.2754980846405033</c:v>
                </c:pt>
                <c:pt idx="7">
                  <c:v>6.2754980846405033</c:v>
                </c:pt>
                <c:pt idx="8">
                  <c:v>6.2754980846405033</c:v>
                </c:pt>
                <c:pt idx="9">
                  <c:v>6.2754980846405033</c:v>
                </c:pt>
                <c:pt idx="10">
                  <c:v>6.2754980846405033</c:v>
                </c:pt>
                <c:pt idx="11">
                  <c:v>6.2754980846405033</c:v>
                </c:pt>
                <c:pt idx="12">
                  <c:v>6.2754980846405033</c:v>
                </c:pt>
                <c:pt idx="13">
                  <c:v>6.2754980846405033</c:v>
                </c:pt>
                <c:pt idx="14">
                  <c:v>6.2754980846405033</c:v>
                </c:pt>
                <c:pt idx="15">
                  <c:v>6.2754980846405033</c:v>
                </c:pt>
                <c:pt idx="16">
                  <c:v>6.2754980846405033</c:v>
                </c:pt>
                <c:pt idx="17">
                  <c:v>6.2754980846405033</c:v>
                </c:pt>
                <c:pt idx="18">
                  <c:v>6.2754980846405033</c:v>
                </c:pt>
                <c:pt idx="19">
                  <c:v>6.2754980846405033</c:v>
                </c:pt>
                <c:pt idx="20">
                  <c:v>6.2754980846405033</c:v>
                </c:pt>
                <c:pt idx="21">
                  <c:v>6.2754980846405033</c:v>
                </c:pt>
                <c:pt idx="22">
                  <c:v>6.2754980846405033</c:v>
                </c:pt>
                <c:pt idx="23">
                  <c:v>6.2754980846405033</c:v>
                </c:pt>
                <c:pt idx="24">
                  <c:v>6.2754980846405033</c:v>
                </c:pt>
                <c:pt idx="25">
                  <c:v>6.2754980846405033</c:v>
                </c:pt>
                <c:pt idx="26">
                  <c:v>6.2754980846405033</c:v>
                </c:pt>
                <c:pt idx="27">
                  <c:v>6.2754980846405033</c:v>
                </c:pt>
                <c:pt idx="28">
                  <c:v>6.2754980846405033</c:v>
                </c:pt>
                <c:pt idx="29">
                  <c:v>6.2754980846405033</c:v>
                </c:pt>
                <c:pt idx="30">
                  <c:v>6.2754980846405033</c:v>
                </c:pt>
                <c:pt idx="31">
                  <c:v>6.2754980846405033</c:v>
                </c:pt>
                <c:pt idx="32">
                  <c:v>6.2754980846405033</c:v>
                </c:pt>
                <c:pt idx="33">
                  <c:v>6.2754980846405033</c:v>
                </c:pt>
                <c:pt idx="34">
                  <c:v>6.2754980846405033</c:v>
                </c:pt>
                <c:pt idx="35">
                  <c:v>6.2754980846405033</c:v>
                </c:pt>
                <c:pt idx="36">
                  <c:v>6.2754980846405033</c:v>
                </c:pt>
                <c:pt idx="37">
                  <c:v>6.2754980846405033</c:v>
                </c:pt>
                <c:pt idx="38">
                  <c:v>6.2754980846405033</c:v>
                </c:pt>
                <c:pt idx="39">
                  <c:v>6.2754980846405033</c:v>
                </c:pt>
                <c:pt idx="40">
                  <c:v>6.2754980846405033</c:v>
                </c:pt>
                <c:pt idx="41">
                  <c:v>6.2754980846405033</c:v>
                </c:pt>
                <c:pt idx="42">
                  <c:v>6.2754980846405033</c:v>
                </c:pt>
                <c:pt idx="43">
                  <c:v>6.2754980846405033</c:v>
                </c:pt>
                <c:pt idx="44">
                  <c:v>6.2754980846405033</c:v>
                </c:pt>
                <c:pt idx="45">
                  <c:v>6.2754980846405033</c:v>
                </c:pt>
                <c:pt idx="46">
                  <c:v>6.2754980846405033</c:v>
                </c:pt>
                <c:pt idx="47">
                  <c:v>6.2754980846405033</c:v>
                </c:pt>
                <c:pt idx="48">
                  <c:v>6.2754980846405033</c:v>
                </c:pt>
                <c:pt idx="49">
                  <c:v>6.2754980846405033</c:v>
                </c:pt>
                <c:pt idx="50">
                  <c:v>6.2754980846405033</c:v>
                </c:pt>
                <c:pt idx="51">
                  <c:v>6.2754980846405033</c:v>
                </c:pt>
                <c:pt idx="52">
                  <c:v>6.2754980846405033</c:v>
                </c:pt>
                <c:pt idx="53">
                  <c:v>6.2754980846405033</c:v>
                </c:pt>
                <c:pt idx="54">
                  <c:v>6.2754980846405033</c:v>
                </c:pt>
                <c:pt idx="55">
                  <c:v>6.2754980846405033</c:v>
                </c:pt>
                <c:pt idx="56">
                  <c:v>6.2754980846405033</c:v>
                </c:pt>
                <c:pt idx="57">
                  <c:v>6.2754980846405033</c:v>
                </c:pt>
                <c:pt idx="58">
                  <c:v>6.2754980846405033</c:v>
                </c:pt>
                <c:pt idx="59">
                  <c:v>6.2754980846405033</c:v>
                </c:pt>
                <c:pt idx="60">
                  <c:v>6.2754980846405033</c:v>
                </c:pt>
                <c:pt idx="61">
                  <c:v>6.2754980846405033</c:v>
                </c:pt>
                <c:pt idx="62">
                  <c:v>6.2754980846405033</c:v>
                </c:pt>
                <c:pt idx="63">
                  <c:v>6.2754980846405033</c:v>
                </c:pt>
                <c:pt idx="64">
                  <c:v>6.2754980846405033</c:v>
                </c:pt>
                <c:pt idx="65">
                  <c:v>6.2754980846405033</c:v>
                </c:pt>
                <c:pt idx="66">
                  <c:v>6.2754980846405033</c:v>
                </c:pt>
                <c:pt idx="67">
                  <c:v>6.2754980846405033</c:v>
                </c:pt>
                <c:pt idx="68">
                  <c:v>6.2754980846405033</c:v>
                </c:pt>
                <c:pt idx="69">
                  <c:v>6.2754980846405033</c:v>
                </c:pt>
                <c:pt idx="70">
                  <c:v>6.2754980846405033</c:v>
                </c:pt>
                <c:pt idx="71">
                  <c:v>6.2754980846405033</c:v>
                </c:pt>
                <c:pt idx="72">
                  <c:v>6.2754980846405033</c:v>
                </c:pt>
                <c:pt idx="73">
                  <c:v>6.2754980846405033</c:v>
                </c:pt>
                <c:pt idx="74">
                  <c:v>6.2754980846405033</c:v>
                </c:pt>
                <c:pt idx="75">
                  <c:v>6.2754980846405033</c:v>
                </c:pt>
                <c:pt idx="76">
                  <c:v>6.2754980846405033</c:v>
                </c:pt>
                <c:pt idx="77">
                  <c:v>6.2754980846405033</c:v>
                </c:pt>
                <c:pt idx="78">
                  <c:v>6.2754980846405033</c:v>
                </c:pt>
                <c:pt idx="79">
                  <c:v>6.2754980846405033</c:v>
                </c:pt>
                <c:pt idx="80">
                  <c:v>6.2754980846405033</c:v>
                </c:pt>
                <c:pt idx="81">
                  <c:v>6.2754980846405033</c:v>
                </c:pt>
                <c:pt idx="82">
                  <c:v>6.2754980846405033</c:v>
                </c:pt>
                <c:pt idx="83">
                  <c:v>6.2754980846405033</c:v>
                </c:pt>
                <c:pt idx="84">
                  <c:v>6.2754980846405033</c:v>
                </c:pt>
                <c:pt idx="85">
                  <c:v>6.2754980846405033</c:v>
                </c:pt>
                <c:pt idx="86">
                  <c:v>6.2754980846405033</c:v>
                </c:pt>
                <c:pt idx="87">
                  <c:v>6.2754980846405033</c:v>
                </c:pt>
                <c:pt idx="88">
                  <c:v>6.2754980846405033</c:v>
                </c:pt>
                <c:pt idx="89">
                  <c:v>6.2754980846405033</c:v>
                </c:pt>
                <c:pt idx="90">
                  <c:v>6.2754980846405033</c:v>
                </c:pt>
                <c:pt idx="91">
                  <c:v>6.2754980846405033</c:v>
                </c:pt>
                <c:pt idx="92">
                  <c:v>6.2754980846405033</c:v>
                </c:pt>
                <c:pt idx="93">
                  <c:v>6.2754980846405033</c:v>
                </c:pt>
                <c:pt idx="94">
                  <c:v>6.2754980846405033</c:v>
                </c:pt>
                <c:pt idx="95">
                  <c:v>6.2754980846405033</c:v>
                </c:pt>
                <c:pt idx="96">
                  <c:v>6.2754980846405033</c:v>
                </c:pt>
                <c:pt idx="97">
                  <c:v>6.2754980846405033</c:v>
                </c:pt>
                <c:pt idx="98">
                  <c:v>6.2754980846405033</c:v>
                </c:pt>
                <c:pt idx="99">
                  <c:v>6.2754980846405033</c:v>
                </c:pt>
                <c:pt idx="100">
                  <c:v>6.2754980846405033</c:v>
                </c:pt>
                <c:pt idx="101">
                  <c:v>6.2754980846405033</c:v>
                </c:pt>
                <c:pt idx="102">
                  <c:v>6.2754980846405033</c:v>
                </c:pt>
                <c:pt idx="103">
                  <c:v>6.2754980846405033</c:v>
                </c:pt>
                <c:pt idx="104">
                  <c:v>6.2754980846405033</c:v>
                </c:pt>
                <c:pt idx="105">
                  <c:v>6.2754980846405033</c:v>
                </c:pt>
                <c:pt idx="106">
                  <c:v>6.2754980846405033</c:v>
                </c:pt>
                <c:pt idx="107">
                  <c:v>6.2754980846405033</c:v>
                </c:pt>
                <c:pt idx="108">
                  <c:v>6.2754980846405033</c:v>
                </c:pt>
                <c:pt idx="109">
                  <c:v>6.2754980846405033</c:v>
                </c:pt>
                <c:pt idx="110">
                  <c:v>6.2754980846405033</c:v>
                </c:pt>
                <c:pt idx="111">
                  <c:v>6.2754980846405033</c:v>
                </c:pt>
                <c:pt idx="112">
                  <c:v>6.2754980846405033</c:v>
                </c:pt>
                <c:pt idx="113">
                  <c:v>6.2754980846405033</c:v>
                </c:pt>
                <c:pt idx="114">
                  <c:v>6.2754980846405033</c:v>
                </c:pt>
                <c:pt idx="115">
                  <c:v>6.2754980846405033</c:v>
                </c:pt>
                <c:pt idx="116">
                  <c:v>6.2754980846405033</c:v>
                </c:pt>
                <c:pt idx="117">
                  <c:v>6.2754980846405033</c:v>
                </c:pt>
                <c:pt idx="118">
                  <c:v>6.2754980846405033</c:v>
                </c:pt>
                <c:pt idx="119">
                  <c:v>6.2754980846405033</c:v>
                </c:pt>
                <c:pt idx="120">
                  <c:v>6.2754980846405033</c:v>
                </c:pt>
                <c:pt idx="121">
                  <c:v>6.2754980846405033</c:v>
                </c:pt>
                <c:pt idx="122">
                  <c:v>6.2754980846405033</c:v>
                </c:pt>
                <c:pt idx="123">
                  <c:v>6.2754980846405033</c:v>
                </c:pt>
                <c:pt idx="124">
                  <c:v>6.2754980846405033</c:v>
                </c:pt>
                <c:pt idx="125">
                  <c:v>6.2754980846405033</c:v>
                </c:pt>
                <c:pt idx="126">
                  <c:v>6.2754980846405033</c:v>
                </c:pt>
                <c:pt idx="127">
                  <c:v>6.2754980846405033</c:v>
                </c:pt>
                <c:pt idx="128">
                  <c:v>6.2754980846405033</c:v>
                </c:pt>
                <c:pt idx="129">
                  <c:v>6.2754980846405033</c:v>
                </c:pt>
                <c:pt idx="130">
                  <c:v>6.2754980846405033</c:v>
                </c:pt>
                <c:pt idx="131">
                  <c:v>6.2754980846405033</c:v>
                </c:pt>
                <c:pt idx="132">
                  <c:v>6.2754980846405033</c:v>
                </c:pt>
                <c:pt idx="133">
                  <c:v>6.2754980846405033</c:v>
                </c:pt>
                <c:pt idx="134">
                  <c:v>6.2754980846405033</c:v>
                </c:pt>
                <c:pt idx="135">
                  <c:v>6.2754980846405033</c:v>
                </c:pt>
                <c:pt idx="136">
                  <c:v>6.2754980846405033</c:v>
                </c:pt>
                <c:pt idx="137">
                  <c:v>6.2754980846405033</c:v>
                </c:pt>
                <c:pt idx="138">
                  <c:v>6.2754980846405033</c:v>
                </c:pt>
                <c:pt idx="139">
                  <c:v>6.2754980846405033</c:v>
                </c:pt>
                <c:pt idx="140">
                  <c:v>6.2754980846405033</c:v>
                </c:pt>
                <c:pt idx="141">
                  <c:v>6.2754980846405033</c:v>
                </c:pt>
                <c:pt idx="142">
                  <c:v>6.2754980846405033</c:v>
                </c:pt>
                <c:pt idx="143">
                  <c:v>6.2754980846405033</c:v>
                </c:pt>
                <c:pt idx="144">
                  <c:v>6.2754980846405033</c:v>
                </c:pt>
                <c:pt idx="145">
                  <c:v>6.2754980846405033</c:v>
                </c:pt>
                <c:pt idx="146">
                  <c:v>6.2754980846405033</c:v>
                </c:pt>
                <c:pt idx="147">
                  <c:v>6.2754980846405033</c:v>
                </c:pt>
                <c:pt idx="148">
                  <c:v>6.2754980846405033</c:v>
                </c:pt>
                <c:pt idx="149">
                  <c:v>6.2754980846405033</c:v>
                </c:pt>
                <c:pt idx="150">
                  <c:v>6.2754980846405033</c:v>
                </c:pt>
                <c:pt idx="151">
                  <c:v>6.2754980846405033</c:v>
                </c:pt>
                <c:pt idx="152">
                  <c:v>6.2754980846405033</c:v>
                </c:pt>
                <c:pt idx="153">
                  <c:v>6.2754980846405033</c:v>
                </c:pt>
                <c:pt idx="154">
                  <c:v>6.2754980846405033</c:v>
                </c:pt>
                <c:pt idx="155">
                  <c:v>6.2754980846405033</c:v>
                </c:pt>
                <c:pt idx="156">
                  <c:v>6.2754980846405033</c:v>
                </c:pt>
                <c:pt idx="157">
                  <c:v>6.2754980846405033</c:v>
                </c:pt>
                <c:pt idx="158">
                  <c:v>6.2754980846405033</c:v>
                </c:pt>
                <c:pt idx="159">
                  <c:v>6.2754980846405033</c:v>
                </c:pt>
                <c:pt idx="160">
                  <c:v>6.2754980846405033</c:v>
                </c:pt>
                <c:pt idx="161">
                  <c:v>6.2754980846405033</c:v>
                </c:pt>
                <c:pt idx="162">
                  <c:v>6.2754980846405033</c:v>
                </c:pt>
                <c:pt idx="163">
                  <c:v>6.2754980846405033</c:v>
                </c:pt>
                <c:pt idx="164">
                  <c:v>6.2754980846405033</c:v>
                </c:pt>
                <c:pt idx="165">
                  <c:v>6.2754980846405033</c:v>
                </c:pt>
                <c:pt idx="166">
                  <c:v>6.2754980846405033</c:v>
                </c:pt>
                <c:pt idx="167">
                  <c:v>6.2754980846405033</c:v>
                </c:pt>
                <c:pt idx="168">
                  <c:v>6.2754980846405033</c:v>
                </c:pt>
                <c:pt idx="169">
                  <c:v>6.2754980846405033</c:v>
                </c:pt>
                <c:pt idx="170">
                  <c:v>6.2754980846405033</c:v>
                </c:pt>
                <c:pt idx="171">
                  <c:v>6.2754980846405033</c:v>
                </c:pt>
                <c:pt idx="172">
                  <c:v>6.2754980846405033</c:v>
                </c:pt>
                <c:pt idx="173">
                  <c:v>6.2754980846405033</c:v>
                </c:pt>
                <c:pt idx="174">
                  <c:v>6.2754980846405033</c:v>
                </c:pt>
                <c:pt idx="175">
                  <c:v>6.2754980846405033</c:v>
                </c:pt>
                <c:pt idx="176">
                  <c:v>6.2754980846405033</c:v>
                </c:pt>
                <c:pt idx="177">
                  <c:v>6.2754980846405033</c:v>
                </c:pt>
                <c:pt idx="178">
                  <c:v>6.2754980846405033</c:v>
                </c:pt>
                <c:pt idx="179">
                  <c:v>6.2754980846405033</c:v>
                </c:pt>
                <c:pt idx="180">
                  <c:v>6.2754980846405033</c:v>
                </c:pt>
                <c:pt idx="181">
                  <c:v>6.2754980846405033</c:v>
                </c:pt>
                <c:pt idx="182">
                  <c:v>6.2754980846405033</c:v>
                </c:pt>
                <c:pt idx="183">
                  <c:v>6.2754980846405033</c:v>
                </c:pt>
                <c:pt idx="184">
                  <c:v>6.2754980846405033</c:v>
                </c:pt>
                <c:pt idx="185">
                  <c:v>6.2754980846405033</c:v>
                </c:pt>
                <c:pt idx="186">
                  <c:v>6.2754980846405033</c:v>
                </c:pt>
                <c:pt idx="187">
                  <c:v>6.2754980846405033</c:v>
                </c:pt>
                <c:pt idx="188">
                  <c:v>6.2754980846405033</c:v>
                </c:pt>
                <c:pt idx="189">
                  <c:v>6.2754980846405033</c:v>
                </c:pt>
                <c:pt idx="190">
                  <c:v>6.2754980846405033</c:v>
                </c:pt>
                <c:pt idx="191">
                  <c:v>6.2754980846405033</c:v>
                </c:pt>
                <c:pt idx="192">
                  <c:v>6.2754980846405033</c:v>
                </c:pt>
                <c:pt idx="193">
                  <c:v>6.2754980846405033</c:v>
                </c:pt>
                <c:pt idx="194">
                  <c:v>6.2754980846405033</c:v>
                </c:pt>
                <c:pt idx="195">
                  <c:v>6.2754980846405033</c:v>
                </c:pt>
                <c:pt idx="196">
                  <c:v>6.2754980846405033</c:v>
                </c:pt>
                <c:pt idx="197">
                  <c:v>6.2754980846405033</c:v>
                </c:pt>
                <c:pt idx="198">
                  <c:v>6.2754980846405033</c:v>
                </c:pt>
                <c:pt idx="199">
                  <c:v>6.2754980846405033</c:v>
                </c:pt>
                <c:pt idx="200">
                  <c:v>6.2754980846405033</c:v>
                </c:pt>
                <c:pt idx="201">
                  <c:v>6.2754980846405033</c:v>
                </c:pt>
                <c:pt idx="202">
                  <c:v>6.2754980846405033</c:v>
                </c:pt>
                <c:pt idx="203">
                  <c:v>6.2754980846405033</c:v>
                </c:pt>
                <c:pt idx="204">
                  <c:v>6.2754980846405033</c:v>
                </c:pt>
                <c:pt idx="205">
                  <c:v>6.2754980846405033</c:v>
                </c:pt>
                <c:pt idx="206">
                  <c:v>6.2754980846405033</c:v>
                </c:pt>
                <c:pt idx="207">
                  <c:v>6.2754980846405033</c:v>
                </c:pt>
                <c:pt idx="208">
                  <c:v>6.2754980846405033</c:v>
                </c:pt>
                <c:pt idx="209">
                  <c:v>6.2754980846405033</c:v>
                </c:pt>
                <c:pt idx="210">
                  <c:v>6.2754980846405033</c:v>
                </c:pt>
                <c:pt idx="211">
                  <c:v>6.2754980846405033</c:v>
                </c:pt>
                <c:pt idx="212">
                  <c:v>6.2754980846405033</c:v>
                </c:pt>
                <c:pt idx="213">
                  <c:v>6.2754980846405033</c:v>
                </c:pt>
                <c:pt idx="214">
                  <c:v>6.2754980846405033</c:v>
                </c:pt>
                <c:pt idx="215">
                  <c:v>6.2754980846405033</c:v>
                </c:pt>
                <c:pt idx="216">
                  <c:v>6.2754980846405033</c:v>
                </c:pt>
                <c:pt idx="217">
                  <c:v>6.2754980846405033</c:v>
                </c:pt>
                <c:pt idx="218">
                  <c:v>6.2754980846405033</c:v>
                </c:pt>
                <c:pt idx="219">
                  <c:v>6.2754980846405033</c:v>
                </c:pt>
                <c:pt idx="220">
                  <c:v>6.2754980846405033</c:v>
                </c:pt>
                <c:pt idx="221">
                  <c:v>6.2754980846405033</c:v>
                </c:pt>
                <c:pt idx="222">
                  <c:v>6.2754980846405033</c:v>
                </c:pt>
                <c:pt idx="223">
                  <c:v>6.2754980846405033</c:v>
                </c:pt>
                <c:pt idx="224">
                  <c:v>6.2754980846405033</c:v>
                </c:pt>
                <c:pt idx="225">
                  <c:v>6.2754980846405033</c:v>
                </c:pt>
                <c:pt idx="226">
                  <c:v>6.2754980846405033</c:v>
                </c:pt>
                <c:pt idx="227">
                  <c:v>6.2754980846405033</c:v>
                </c:pt>
                <c:pt idx="228">
                  <c:v>6.2754980846405033</c:v>
                </c:pt>
                <c:pt idx="229">
                  <c:v>6.2754980846405033</c:v>
                </c:pt>
                <c:pt idx="230">
                  <c:v>6.2754980846405033</c:v>
                </c:pt>
                <c:pt idx="231">
                  <c:v>6.2754980846405033</c:v>
                </c:pt>
                <c:pt idx="232">
                  <c:v>6.2754980846405033</c:v>
                </c:pt>
                <c:pt idx="233">
                  <c:v>6.2754980846405033</c:v>
                </c:pt>
                <c:pt idx="234">
                  <c:v>6.2754980846405033</c:v>
                </c:pt>
                <c:pt idx="235">
                  <c:v>6.2754980846405033</c:v>
                </c:pt>
                <c:pt idx="236">
                  <c:v>6.2754980846405033</c:v>
                </c:pt>
                <c:pt idx="237">
                  <c:v>6.2754980846405033</c:v>
                </c:pt>
                <c:pt idx="238">
                  <c:v>6.2754980846405033</c:v>
                </c:pt>
                <c:pt idx="239">
                  <c:v>6.2754980846405033</c:v>
                </c:pt>
                <c:pt idx="240">
                  <c:v>6.2754980846405033</c:v>
                </c:pt>
                <c:pt idx="241">
                  <c:v>6.2754980846405033</c:v>
                </c:pt>
                <c:pt idx="242">
                  <c:v>6.2754980846405033</c:v>
                </c:pt>
                <c:pt idx="243">
                  <c:v>6.2754980846405033</c:v>
                </c:pt>
                <c:pt idx="244">
                  <c:v>6.2754980846405033</c:v>
                </c:pt>
                <c:pt idx="245">
                  <c:v>6.2754980846405033</c:v>
                </c:pt>
                <c:pt idx="246">
                  <c:v>6.2754980846405033</c:v>
                </c:pt>
                <c:pt idx="247">
                  <c:v>6.2754980846405033</c:v>
                </c:pt>
                <c:pt idx="248">
                  <c:v>6.2754980846405033</c:v>
                </c:pt>
                <c:pt idx="249">
                  <c:v>6.2754980846405033</c:v>
                </c:pt>
                <c:pt idx="250">
                  <c:v>6.2754980846405033</c:v>
                </c:pt>
                <c:pt idx="251">
                  <c:v>6.2754980846405033</c:v>
                </c:pt>
                <c:pt idx="252">
                  <c:v>6.2754980846405033</c:v>
                </c:pt>
                <c:pt idx="253">
                  <c:v>6.2754980846405033</c:v>
                </c:pt>
                <c:pt idx="254">
                  <c:v>6.2754980846405033</c:v>
                </c:pt>
                <c:pt idx="255">
                  <c:v>6.2754980846405033</c:v>
                </c:pt>
                <c:pt idx="256">
                  <c:v>6.2754980846405033</c:v>
                </c:pt>
                <c:pt idx="257">
                  <c:v>6.2754980846405033</c:v>
                </c:pt>
                <c:pt idx="258">
                  <c:v>6.2754980846405033</c:v>
                </c:pt>
                <c:pt idx="259">
                  <c:v>6.2754980846405033</c:v>
                </c:pt>
                <c:pt idx="260">
                  <c:v>6.2754980846405033</c:v>
                </c:pt>
                <c:pt idx="261">
                  <c:v>6.2754980846405033</c:v>
                </c:pt>
                <c:pt idx="262">
                  <c:v>6.2754980846405033</c:v>
                </c:pt>
                <c:pt idx="263">
                  <c:v>6.2754980846405033</c:v>
                </c:pt>
                <c:pt idx="264">
                  <c:v>6.2754980846405033</c:v>
                </c:pt>
                <c:pt idx="265">
                  <c:v>6.2754980846405033</c:v>
                </c:pt>
                <c:pt idx="266">
                  <c:v>6.2754980846405033</c:v>
                </c:pt>
                <c:pt idx="267">
                  <c:v>6.2754980846405033</c:v>
                </c:pt>
                <c:pt idx="268">
                  <c:v>6.2754980846405033</c:v>
                </c:pt>
                <c:pt idx="269">
                  <c:v>6.2754980846405033</c:v>
                </c:pt>
                <c:pt idx="270">
                  <c:v>6.2754980846405033</c:v>
                </c:pt>
                <c:pt idx="271">
                  <c:v>6.2754980846405033</c:v>
                </c:pt>
                <c:pt idx="272">
                  <c:v>6.2754980846405033</c:v>
                </c:pt>
                <c:pt idx="273">
                  <c:v>6.2754980846405033</c:v>
                </c:pt>
                <c:pt idx="274">
                  <c:v>6.2754980846405033</c:v>
                </c:pt>
                <c:pt idx="275">
                  <c:v>6.2754980846405033</c:v>
                </c:pt>
                <c:pt idx="276">
                  <c:v>6.2754980846405033</c:v>
                </c:pt>
                <c:pt idx="277">
                  <c:v>6.2754980846405033</c:v>
                </c:pt>
                <c:pt idx="278">
                  <c:v>6.2754980846405033</c:v>
                </c:pt>
                <c:pt idx="279">
                  <c:v>6.2754980846405033</c:v>
                </c:pt>
                <c:pt idx="280">
                  <c:v>6.2754980846405033</c:v>
                </c:pt>
                <c:pt idx="281">
                  <c:v>6.2754980846405033</c:v>
                </c:pt>
                <c:pt idx="282">
                  <c:v>6.2754980846405033</c:v>
                </c:pt>
                <c:pt idx="283">
                  <c:v>6.2754980846405033</c:v>
                </c:pt>
                <c:pt idx="284">
                  <c:v>6.2754980846405033</c:v>
                </c:pt>
                <c:pt idx="285">
                  <c:v>6.2754980846405033</c:v>
                </c:pt>
                <c:pt idx="286">
                  <c:v>6.2754980846405033</c:v>
                </c:pt>
                <c:pt idx="287">
                  <c:v>6.2754980846405033</c:v>
                </c:pt>
                <c:pt idx="288">
                  <c:v>6.2754980846405033</c:v>
                </c:pt>
                <c:pt idx="289">
                  <c:v>6.2754980846405033</c:v>
                </c:pt>
                <c:pt idx="290">
                  <c:v>6.2754980846405033</c:v>
                </c:pt>
                <c:pt idx="291">
                  <c:v>6.2754980846405033</c:v>
                </c:pt>
                <c:pt idx="292">
                  <c:v>6.2754980846405033</c:v>
                </c:pt>
                <c:pt idx="293">
                  <c:v>6.2754980846405033</c:v>
                </c:pt>
                <c:pt idx="294">
                  <c:v>6.2754980846405033</c:v>
                </c:pt>
                <c:pt idx="295">
                  <c:v>6.2754980846405033</c:v>
                </c:pt>
                <c:pt idx="296">
                  <c:v>6.2754980846405033</c:v>
                </c:pt>
                <c:pt idx="297">
                  <c:v>6.2754980846405033</c:v>
                </c:pt>
                <c:pt idx="298">
                  <c:v>6.2754980846405033</c:v>
                </c:pt>
                <c:pt idx="299">
                  <c:v>6.2754980846405033</c:v>
                </c:pt>
                <c:pt idx="300">
                  <c:v>6.2754980846405033</c:v>
                </c:pt>
                <c:pt idx="301">
                  <c:v>6.2754980846405033</c:v>
                </c:pt>
                <c:pt idx="302">
                  <c:v>6.2754980846405033</c:v>
                </c:pt>
                <c:pt idx="303">
                  <c:v>6.2754980846405033</c:v>
                </c:pt>
                <c:pt idx="304">
                  <c:v>6.2754980846405033</c:v>
                </c:pt>
                <c:pt idx="305">
                  <c:v>6.2754980846405033</c:v>
                </c:pt>
                <c:pt idx="306">
                  <c:v>6.2754980846405033</c:v>
                </c:pt>
                <c:pt idx="307">
                  <c:v>6.2754980846405033</c:v>
                </c:pt>
                <c:pt idx="308">
                  <c:v>6.2754980846405033</c:v>
                </c:pt>
                <c:pt idx="309">
                  <c:v>6.2754980846405033</c:v>
                </c:pt>
                <c:pt idx="310">
                  <c:v>6.2754980846405033</c:v>
                </c:pt>
                <c:pt idx="311">
                  <c:v>6.2754980846405033</c:v>
                </c:pt>
                <c:pt idx="312">
                  <c:v>6.2754980846405033</c:v>
                </c:pt>
                <c:pt idx="313">
                  <c:v>6.2754980846405033</c:v>
                </c:pt>
                <c:pt idx="314">
                  <c:v>6.2754980846405033</c:v>
                </c:pt>
                <c:pt idx="315">
                  <c:v>6.2754980846405033</c:v>
                </c:pt>
                <c:pt idx="316">
                  <c:v>6.2754980846405033</c:v>
                </c:pt>
                <c:pt idx="317">
                  <c:v>6.2754980846405033</c:v>
                </c:pt>
                <c:pt idx="318">
                  <c:v>6.2754980846405033</c:v>
                </c:pt>
                <c:pt idx="319">
                  <c:v>6.2754980846405033</c:v>
                </c:pt>
                <c:pt idx="320">
                  <c:v>6.2754980846405033</c:v>
                </c:pt>
                <c:pt idx="321">
                  <c:v>6.2754980846405033</c:v>
                </c:pt>
                <c:pt idx="322">
                  <c:v>6.2754980846405033</c:v>
                </c:pt>
                <c:pt idx="323">
                  <c:v>6.2754980846405033</c:v>
                </c:pt>
                <c:pt idx="324">
                  <c:v>6.2754980846405033</c:v>
                </c:pt>
                <c:pt idx="325">
                  <c:v>6.2754980846405033</c:v>
                </c:pt>
                <c:pt idx="326">
                  <c:v>6.2754980846405033</c:v>
                </c:pt>
                <c:pt idx="327">
                  <c:v>6.2754980846405033</c:v>
                </c:pt>
                <c:pt idx="328">
                  <c:v>6.2754980846405033</c:v>
                </c:pt>
                <c:pt idx="329">
                  <c:v>6.2754980846405033</c:v>
                </c:pt>
                <c:pt idx="330">
                  <c:v>6.2754980846405033</c:v>
                </c:pt>
                <c:pt idx="331">
                  <c:v>6.2754980846405033</c:v>
                </c:pt>
                <c:pt idx="332">
                  <c:v>6.2754980846405033</c:v>
                </c:pt>
                <c:pt idx="333">
                  <c:v>6.2754980846405033</c:v>
                </c:pt>
                <c:pt idx="334">
                  <c:v>6.2754980846405033</c:v>
                </c:pt>
                <c:pt idx="335">
                  <c:v>6.2754980846405033</c:v>
                </c:pt>
                <c:pt idx="336">
                  <c:v>6.2754980846405033</c:v>
                </c:pt>
                <c:pt idx="337">
                  <c:v>6.2754980846405033</c:v>
                </c:pt>
                <c:pt idx="338">
                  <c:v>6.2754980846405033</c:v>
                </c:pt>
                <c:pt idx="339">
                  <c:v>6.2754980846405033</c:v>
                </c:pt>
                <c:pt idx="340">
                  <c:v>6.2754980846405033</c:v>
                </c:pt>
                <c:pt idx="341">
                  <c:v>6.2754980846405033</c:v>
                </c:pt>
                <c:pt idx="342">
                  <c:v>6.2754980846405033</c:v>
                </c:pt>
                <c:pt idx="343">
                  <c:v>6.2754980846405033</c:v>
                </c:pt>
                <c:pt idx="344">
                  <c:v>6.2754980846405033</c:v>
                </c:pt>
                <c:pt idx="345">
                  <c:v>6.2754980846405033</c:v>
                </c:pt>
                <c:pt idx="346">
                  <c:v>6.2754980846405033</c:v>
                </c:pt>
                <c:pt idx="347">
                  <c:v>6.2754980846405033</c:v>
                </c:pt>
                <c:pt idx="348">
                  <c:v>6.2754980846405033</c:v>
                </c:pt>
                <c:pt idx="349">
                  <c:v>6.2754980846405033</c:v>
                </c:pt>
                <c:pt idx="350">
                  <c:v>6.2754980846405033</c:v>
                </c:pt>
                <c:pt idx="351">
                  <c:v>6.2754980846405033</c:v>
                </c:pt>
                <c:pt idx="352">
                  <c:v>6.2754980846405033</c:v>
                </c:pt>
                <c:pt idx="353">
                  <c:v>6.2754980846405033</c:v>
                </c:pt>
                <c:pt idx="354">
                  <c:v>6.2754980846405033</c:v>
                </c:pt>
                <c:pt idx="355">
                  <c:v>6.2754980846405033</c:v>
                </c:pt>
                <c:pt idx="356">
                  <c:v>6.2754980846405033</c:v>
                </c:pt>
                <c:pt idx="357">
                  <c:v>6.2754980846405033</c:v>
                </c:pt>
                <c:pt idx="358">
                  <c:v>6.2754980846405033</c:v>
                </c:pt>
                <c:pt idx="359">
                  <c:v>6.2754980846405033</c:v>
                </c:pt>
                <c:pt idx="360">
                  <c:v>6.2754980846405033</c:v>
                </c:pt>
                <c:pt idx="361">
                  <c:v>6.2754980846405033</c:v>
                </c:pt>
                <c:pt idx="362">
                  <c:v>6.2754980846405033</c:v>
                </c:pt>
                <c:pt idx="363">
                  <c:v>6.2754980846405033</c:v>
                </c:pt>
                <c:pt idx="364">
                  <c:v>6.2754980846405033</c:v>
                </c:pt>
                <c:pt idx="365">
                  <c:v>6.2754980846405033</c:v>
                </c:pt>
                <c:pt idx="366">
                  <c:v>6.2754980846405033</c:v>
                </c:pt>
                <c:pt idx="367">
                  <c:v>6.2754980846405033</c:v>
                </c:pt>
                <c:pt idx="368">
                  <c:v>6.2754980846405033</c:v>
                </c:pt>
                <c:pt idx="369">
                  <c:v>6.2754980846405033</c:v>
                </c:pt>
                <c:pt idx="370">
                  <c:v>6.2754980846405033</c:v>
                </c:pt>
                <c:pt idx="371">
                  <c:v>6.2754980846405033</c:v>
                </c:pt>
                <c:pt idx="372">
                  <c:v>6.2754980846405033</c:v>
                </c:pt>
                <c:pt idx="373">
                  <c:v>6.2754980846405033</c:v>
                </c:pt>
                <c:pt idx="374">
                  <c:v>6.2754980846405033</c:v>
                </c:pt>
                <c:pt idx="375">
                  <c:v>6.2754980846405033</c:v>
                </c:pt>
                <c:pt idx="376">
                  <c:v>6.2754980846405033</c:v>
                </c:pt>
                <c:pt idx="377">
                  <c:v>6.2754980846405033</c:v>
                </c:pt>
                <c:pt idx="378">
                  <c:v>6.2754980846405033</c:v>
                </c:pt>
                <c:pt idx="379">
                  <c:v>6.2754980846405033</c:v>
                </c:pt>
                <c:pt idx="380">
                  <c:v>6.2754980846405033</c:v>
                </c:pt>
                <c:pt idx="381">
                  <c:v>6.2754980846405033</c:v>
                </c:pt>
                <c:pt idx="382">
                  <c:v>6.2754980846405033</c:v>
                </c:pt>
                <c:pt idx="383">
                  <c:v>6.2754980846405033</c:v>
                </c:pt>
                <c:pt idx="384">
                  <c:v>6.2754980846405033</c:v>
                </c:pt>
                <c:pt idx="385">
                  <c:v>6.2754980846405033</c:v>
                </c:pt>
                <c:pt idx="386">
                  <c:v>6.2754980846405033</c:v>
                </c:pt>
                <c:pt idx="387">
                  <c:v>6.2754980846405033</c:v>
                </c:pt>
                <c:pt idx="388">
                  <c:v>6.2754980846405033</c:v>
                </c:pt>
                <c:pt idx="389">
                  <c:v>6.2754980846405033</c:v>
                </c:pt>
                <c:pt idx="390">
                  <c:v>6.2754980846405033</c:v>
                </c:pt>
                <c:pt idx="391">
                  <c:v>6.2754980846405033</c:v>
                </c:pt>
                <c:pt idx="392">
                  <c:v>6.2754980846405033</c:v>
                </c:pt>
                <c:pt idx="393">
                  <c:v>6.2754980846405033</c:v>
                </c:pt>
                <c:pt idx="394">
                  <c:v>6.2754980846405033</c:v>
                </c:pt>
                <c:pt idx="395">
                  <c:v>6.2754980846405033</c:v>
                </c:pt>
                <c:pt idx="396">
                  <c:v>6.2754980846405033</c:v>
                </c:pt>
                <c:pt idx="397">
                  <c:v>6.2754980846405033</c:v>
                </c:pt>
                <c:pt idx="398">
                  <c:v>6.2754980846405033</c:v>
                </c:pt>
                <c:pt idx="399">
                  <c:v>6.2754980846405033</c:v>
                </c:pt>
                <c:pt idx="400">
                  <c:v>6.2754980846405033</c:v>
                </c:pt>
                <c:pt idx="401">
                  <c:v>6.2754980846405033</c:v>
                </c:pt>
                <c:pt idx="402">
                  <c:v>6.2754980846405033</c:v>
                </c:pt>
                <c:pt idx="403">
                  <c:v>6.2754980846405033</c:v>
                </c:pt>
                <c:pt idx="404">
                  <c:v>6.2754980846405033</c:v>
                </c:pt>
                <c:pt idx="405">
                  <c:v>6.2754980846405033</c:v>
                </c:pt>
                <c:pt idx="406">
                  <c:v>6.2754980846405033</c:v>
                </c:pt>
                <c:pt idx="407">
                  <c:v>6.2754980846405033</c:v>
                </c:pt>
                <c:pt idx="408">
                  <c:v>6.2754980846405033</c:v>
                </c:pt>
                <c:pt idx="409">
                  <c:v>6.2754980846405033</c:v>
                </c:pt>
                <c:pt idx="410">
                  <c:v>6.2754980846405033</c:v>
                </c:pt>
                <c:pt idx="411">
                  <c:v>6.2754980846405033</c:v>
                </c:pt>
                <c:pt idx="412">
                  <c:v>6.2754980846405033</c:v>
                </c:pt>
                <c:pt idx="413">
                  <c:v>6.2754980846405033</c:v>
                </c:pt>
                <c:pt idx="414">
                  <c:v>6.2754980846405033</c:v>
                </c:pt>
                <c:pt idx="415">
                  <c:v>6.2754980846405033</c:v>
                </c:pt>
                <c:pt idx="416">
                  <c:v>6.2754980846405033</c:v>
                </c:pt>
                <c:pt idx="417">
                  <c:v>6.2754980846405033</c:v>
                </c:pt>
                <c:pt idx="418">
                  <c:v>6.2754980846405033</c:v>
                </c:pt>
                <c:pt idx="419">
                  <c:v>6.2754980846405033</c:v>
                </c:pt>
                <c:pt idx="420">
                  <c:v>6.2754980846405033</c:v>
                </c:pt>
                <c:pt idx="421">
                  <c:v>6.2754980846405033</c:v>
                </c:pt>
                <c:pt idx="422">
                  <c:v>6.2754980846405033</c:v>
                </c:pt>
                <c:pt idx="423">
                  <c:v>6.2754980846405033</c:v>
                </c:pt>
                <c:pt idx="424">
                  <c:v>6.2754980846405033</c:v>
                </c:pt>
                <c:pt idx="425">
                  <c:v>6.2754980846405033</c:v>
                </c:pt>
                <c:pt idx="426">
                  <c:v>6.2754980846405033</c:v>
                </c:pt>
                <c:pt idx="427">
                  <c:v>6.2754980846405033</c:v>
                </c:pt>
                <c:pt idx="428">
                  <c:v>6.2754980846405033</c:v>
                </c:pt>
                <c:pt idx="429">
                  <c:v>6.2754980846405033</c:v>
                </c:pt>
                <c:pt idx="430">
                  <c:v>6.2754980846405033</c:v>
                </c:pt>
                <c:pt idx="431">
                  <c:v>6.2754980846405033</c:v>
                </c:pt>
                <c:pt idx="432">
                  <c:v>6.2754980846405033</c:v>
                </c:pt>
                <c:pt idx="433">
                  <c:v>6.2754980846405033</c:v>
                </c:pt>
                <c:pt idx="434">
                  <c:v>6.2754980846405033</c:v>
                </c:pt>
                <c:pt idx="435">
                  <c:v>6.2754980846405033</c:v>
                </c:pt>
                <c:pt idx="436">
                  <c:v>6.2754980846405033</c:v>
                </c:pt>
                <c:pt idx="437">
                  <c:v>6.2754980846405033</c:v>
                </c:pt>
                <c:pt idx="438">
                  <c:v>6.2754980846405033</c:v>
                </c:pt>
                <c:pt idx="439">
                  <c:v>6.2754980846405033</c:v>
                </c:pt>
                <c:pt idx="440">
                  <c:v>6.2754980846405033</c:v>
                </c:pt>
                <c:pt idx="441">
                  <c:v>6.2754980846405033</c:v>
                </c:pt>
                <c:pt idx="442">
                  <c:v>6.2754980846405033</c:v>
                </c:pt>
                <c:pt idx="443">
                  <c:v>6.2754980846405033</c:v>
                </c:pt>
                <c:pt idx="444">
                  <c:v>6.2754980846405033</c:v>
                </c:pt>
                <c:pt idx="445">
                  <c:v>6.2754980846405033</c:v>
                </c:pt>
                <c:pt idx="446">
                  <c:v>6.2754980846405033</c:v>
                </c:pt>
                <c:pt idx="447">
                  <c:v>6.2754980846405033</c:v>
                </c:pt>
                <c:pt idx="448">
                  <c:v>6.2754980846405033</c:v>
                </c:pt>
                <c:pt idx="449">
                  <c:v>6.2754980846405033</c:v>
                </c:pt>
                <c:pt idx="450">
                  <c:v>6.2754980846405033</c:v>
                </c:pt>
                <c:pt idx="451">
                  <c:v>6.2754980846405033</c:v>
                </c:pt>
                <c:pt idx="452">
                  <c:v>6.2754980846405033</c:v>
                </c:pt>
                <c:pt idx="453">
                  <c:v>6.2754980846405033</c:v>
                </c:pt>
                <c:pt idx="454">
                  <c:v>6.2754980846405033</c:v>
                </c:pt>
                <c:pt idx="455">
                  <c:v>6.2754980846405033</c:v>
                </c:pt>
                <c:pt idx="456">
                  <c:v>6.2754980846405033</c:v>
                </c:pt>
                <c:pt idx="457">
                  <c:v>6.2754980846405033</c:v>
                </c:pt>
                <c:pt idx="458">
                  <c:v>6.2754980846405033</c:v>
                </c:pt>
                <c:pt idx="459">
                  <c:v>6.2754980846405033</c:v>
                </c:pt>
                <c:pt idx="460">
                  <c:v>6.2754980846405033</c:v>
                </c:pt>
                <c:pt idx="461">
                  <c:v>6.2754980846405033</c:v>
                </c:pt>
                <c:pt idx="462">
                  <c:v>6.2754980846405033</c:v>
                </c:pt>
                <c:pt idx="463">
                  <c:v>6.2754980846405033</c:v>
                </c:pt>
                <c:pt idx="464">
                  <c:v>6.2754980846405033</c:v>
                </c:pt>
                <c:pt idx="465">
                  <c:v>6.2754980846405033</c:v>
                </c:pt>
                <c:pt idx="466">
                  <c:v>6.2754980846405033</c:v>
                </c:pt>
                <c:pt idx="467">
                  <c:v>6.2754980846405033</c:v>
                </c:pt>
                <c:pt idx="468">
                  <c:v>6.2754980846405033</c:v>
                </c:pt>
                <c:pt idx="469">
                  <c:v>6.2754980846405033</c:v>
                </c:pt>
                <c:pt idx="470">
                  <c:v>6.2754980846405033</c:v>
                </c:pt>
                <c:pt idx="471">
                  <c:v>6.2754980846405033</c:v>
                </c:pt>
                <c:pt idx="472">
                  <c:v>6.2754980846405033</c:v>
                </c:pt>
                <c:pt idx="473">
                  <c:v>6.2754980846405033</c:v>
                </c:pt>
                <c:pt idx="474">
                  <c:v>6.2754980846405033</c:v>
                </c:pt>
                <c:pt idx="475">
                  <c:v>6.2754980846405033</c:v>
                </c:pt>
                <c:pt idx="476">
                  <c:v>6.2754980846405033</c:v>
                </c:pt>
                <c:pt idx="477">
                  <c:v>6.2754980846405033</c:v>
                </c:pt>
                <c:pt idx="478">
                  <c:v>6.2754980846405033</c:v>
                </c:pt>
                <c:pt idx="479">
                  <c:v>6.2754980846405033</c:v>
                </c:pt>
                <c:pt idx="480">
                  <c:v>6.2754980846405033</c:v>
                </c:pt>
                <c:pt idx="481">
                  <c:v>6.2754980846405033</c:v>
                </c:pt>
                <c:pt idx="482">
                  <c:v>6.2754980846405033</c:v>
                </c:pt>
                <c:pt idx="483">
                  <c:v>6.2754980846405033</c:v>
                </c:pt>
                <c:pt idx="484">
                  <c:v>6.2754980846405033</c:v>
                </c:pt>
                <c:pt idx="485">
                  <c:v>6.2754980846405033</c:v>
                </c:pt>
                <c:pt idx="486">
                  <c:v>6.2754980846405033</c:v>
                </c:pt>
                <c:pt idx="487">
                  <c:v>6.2754980846405033</c:v>
                </c:pt>
                <c:pt idx="488">
                  <c:v>6.2754980846405033</c:v>
                </c:pt>
                <c:pt idx="489">
                  <c:v>6.2754980846405033</c:v>
                </c:pt>
                <c:pt idx="490">
                  <c:v>6.2754980846405033</c:v>
                </c:pt>
                <c:pt idx="491">
                  <c:v>6.2754980846405033</c:v>
                </c:pt>
                <c:pt idx="492">
                  <c:v>6.2754980846405033</c:v>
                </c:pt>
                <c:pt idx="493">
                  <c:v>6.2754980846405033</c:v>
                </c:pt>
                <c:pt idx="494">
                  <c:v>6.2754980846405033</c:v>
                </c:pt>
                <c:pt idx="495">
                  <c:v>6.2754980846405033</c:v>
                </c:pt>
                <c:pt idx="496">
                  <c:v>6.2754980846405033</c:v>
                </c:pt>
                <c:pt idx="497">
                  <c:v>6.2754980846405033</c:v>
                </c:pt>
                <c:pt idx="498">
                  <c:v>6.2754980846405033</c:v>
                </c:pt>
                <c:pt idx="499">
                  <c:v>6.2754980846405033</c:v>
                </c:pt>
              </c:numCache>
            </c:numRef>
          </c:val>
          <c:smooth val="0"/>
          <c:extLst>
            <c:ext xmlns:c16="http://schemas.microsoft.com/office/drawing/2014/chart" uri="{C3380CC4-5D6E-409C-BE32-E72D297353CC}">
              <c16:uniqueId val="{00000000-5F0B-447C-9E07-7A2FD1EB889A}"/>
            </c:ext>
          </c:extLst>
        </c:ser>
        <c:dLbls>
          <c:showLegendKey val="0"/>
          <c:showVal val="0"/>
          <c:showCatName val="0"/>
          <c:showSerName val="0"/>
          <c:showPercent val="0"/>
          <c:showBubbleSize val="0"/>
        </c:dLbls>
        <c:smooth val="0"/>
        <c:axId val="1683816912"/>
        <c:axId val="1683822672"/>
      </c:lineChart>
      <c:dateAx>
        <c:axId val="1683816912"/>
        <c:scaling>
          <c:orientation val="minMax"/>
        </c:scaling>
        <c:delete val="0"/>
        <c:axPos val="b"/>
        <c:numFmt formatCode="yyyy"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83822672"/>
        <c:crosses val="autoZero"/>
        <c:auto val="1"/>
        <c:lblOffset val="100"/>
        <c:baseTimeUnit val="days"/>
        <c:majorUnit val="1"/>
        <c:majorTimeUnit val="years"/>
      </c:dateAx>
      <c:valAx>
        <c:axId val="1683822672"/>
        <c:scaling>
          <c:orientation val="minMax"/>
        </c:scaling>
        <c:delete val="0"/>
        <c:axPos val="l"/>
        <c:majorGridlines>
          <c:spPr>
            <a:ln w="9525" cap="flat" cmpd="sng" algn="ctr">
              <a:solidFill>
                <a:schemeClr val="tx1">
                  <a:lumMod val="15000"/>
                  <a:lumOff val="85000"/>
                </a:schemeClr>
              </a:solidFill>
              <a:round/>
            </a:ln>
            <a:effectLst/>
          </c:spPr>
        </c:majorGridlines>
        <c:numFmt formatCode="0\x;\(0\x\)"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838169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3.0204592991116382E-2"/>
          <c:y val="5.8422818104298738E-2"/>
          <c:w val="0.94158692594183901"/>
          <c:h val="0.80019145287135396"/>
        </c:manualLayout>
      </c:layout>
      <c:barChart>
        <c:barDir val="col"/>
        <c:grouping val="clustered"/>
        <c:varyColors val="0"/>
        <c:ser>
          <c:idx val="0"/>
          <c:order val="0"/>
          <c:tx>
            <c:strRef>
              <c:f>Charts!$E$62</c:f>
              <c:strCache>
                <c:ptCount val="1"/>
                <c:pt idx="0">
                  <c:v>General and Administrative</c:v>
                </c:pt>
              </c:strCache>
            </c:strRef>
          </c:tx>
          <c:spPr>
            <a:solidFill>
              <a:schemeClr val="accent1"/>
            </a:solidFill>
            <a:ln>
              <a:noFill/>
            </a:ln>
            <a:effectLst/>
          </c:spPr>
          <c:invertIfNegative val="0"/>
          <c:dLbls>
            <c:numFmt formatCode="&quot;$&quot;0.0,&quot;B&quot;;\(&quot;$&quot;0.0,&quot;B&quot;\);&quot;-&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Charts!$CT$38:$DE$38</c:f>
              <c:numCache>
                <c:formatCode>General</c:formatCode>
                <c:ptCount val="12"/>
              </c:numCache>
            </c:numRef>
          </c:cat>
          <c:val>
            <c:numRef>
              <c:f>Charts!$CT$62:$DE$62</c:f>
              <c:numCache>
                <c:formatCode>0.0</c:formatCode>
                <c:ptCount val="12"/>
                <c:pt idx="0">
                  <c:v>43.11</c:v>
                </c:pt>
                <c:pt idx="1">
                  <c:v>67.719000000000008</c:v>
                </c:pt>
                <c:pt idx="2">
                  <c:v>107.44400000000002</c:v>
                </c:pt>
                <c:pt idx="3">
                  <c:v>153.76499999999999</c:v>
                </c:pt>
                <c:pt idx="4">
                  <c:v>245.34300000000002</c:v>
                </c:pt>
                <c:pt idx="5">
                  <c:v>374.84399999999994</c:v>
                </c:pt>
                <c:pt idx="6">
                  <c:v>707.7650000000001</c:v>
                </c:pt>
                <c:pt idx="7">
                  <c:v>491</c:v>
                </c:pt>
                <c:pt idx="8">
                  <c:v>410</c:v>
                </c:pt>
                <c:pt idx="9">
                  <c:v>#N/A</c:v>
                </c:pt>
                <c:pt idx="10">
                  <c:v>511.32405244498887</c:v>
                </c:pt>
                <c:pt idx="11">
                  <c:v>605.41388362903967</c:v>
                </c:pt>
              </c:numCache>
            </c:numRef>
          </c:val>
          <c:extLst>
            <c:ext xmlns:c16="http://schemas.microsoft.com/office/drawing/2014/chart" uri="{C3380CC4-5D6E-409C-BE32-E72D297353CC}">
              <c16:uniqueId val="{00000000-95CD-4672-A3EA-DF62D571BBDA}"/>
            </c:ext>
          </c:extLst>
        </c:ser>
        <c:dLbls>
          <c:showLegendKey val="0"/>
          <c:showVal val="0"/>
          <c:showCatName val="0"/>
          <c:showSerName val="0"/>
          <c:showPercent val="0"/>
          <c:showBubbleSize val="0"/>
        </c:dLbls>
        <c:gapWidth val="20"/>
        <c:axId val="965551856"/>
        <c:axId val="965550416"/>
      </c:barChart>
      <c:lineChart>
        <c:grouping val="standard"/>
        <c:varyColors val="0"/>
        <c:ser>
          <c:idx val="1"/>
          <c:order val="1"/>
          <c:tx>
            <c:strRef>
              <c:f>Charts!$E$63</c:f>
              <c:strCache>
                <c:ptCount val="1"/>
                <c:pt idx="0">
                  <c:v>% of revenue </c:v>
                </c:pt>
              </c:strCache>
            </c:strRef>
          </c:tx>
          <c:spPr>
            <a:ln w="28575" cap="rnd">
              <a:solidFill>
                <a:schemeClr val="accent3"/>
              </a:solidFill>
              <a:round/>
            </a:ln>
            <a:effectLst/>
          </c:spPr>
          <c:marker>
            <c:symbol val="none"/>
          </c:marker>
          <c:dLbls>
            <c:dLbl>
              <c:idx val="6"/>
              <c:layout>
                <c:manualLayout>
                  <c:x val="-4.2163114979473192E-2"/>
                  <c:y val="0.10153497146600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CFA-4089-A0C6-D85A7E3124C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Charts!$CT$4:$DA$4</c:f>
              <c:strCache>
                <c:ptCount val="8"/>
                <c:pt idx="0">
                  <c:v>2016A</c:v>
                </c:pt>
                <c:pt idx="1">
                  <c:v>2017A</c:v>
                </c:pt>
                <c:pt idx="2">
                  <c:v>2018A</c:v>
                </c:pt>
                <c:pt idx="3">
                  <c:v>2019A</c:v>
                </c:pt>
                <c:pt idx="4">
                  <c:v>2020A</c:v>
                </c:pt>
                <c:pt idx="5">
                  <c:v>2021A</c:v>
                </c:pt>
                <c:pt idx="6">
                  <c:v>2022A</c:v>
                </c:pt>
                <c:pt idx="7">
                  <c:v>2023A</c:v>
                </c:pt>
              </c:strCache>
            </c:strRef>
          </c:cat>
          <c:val>
            <c:numRef>
              <c:f>Charts!$CT$63:$DE$63</c:f>
              <c:numCache>
                <c:formatCode>0.0%_);\(0.0%\);0.0%_);@_)</c:formatCode>
                <c:ptCount val="12"/>
                <c:pt idx="0">
                  <c:v>0.11072868774561426</c:v>
                </c:pt>
                <c:pt idx="1">
                  <c:v>0.10057715385620761</c:v>
                </c:pt>
                <c:pt idx="2">
                  <c:v>0.10011283705527901</c:v>
                </c:pt>
                <c:pt idx="3">
                  <c:v>9.7432284039835934E-2</c:v>
                </c:pt>
                <c:pt idx="4">
                  <c:v>8.37493612371569E-2</c:v>
                </c:pt>
                <c:pt idx="5">
                  <c:v>8.1278340000208144E-2</c:v>
                </c:pt>
                <c:pt idx="6">
                  <c:v>0.12638967660643188</c:v>
                </c:pt>
                <c:pt idx="7">
                  <c:v>6.9546742209631723E-2</c:v>
                </c:pt>
                <c:pt idx="8">
                  <c:v>4.6171171171171171E-2</c:v>
                </c:pt>
                <c:pt idx="9">
                  <c:v>#N/A</c:v>
                </c:pt>
                <c:pt idx="10">
                  <c:v>3.3613898449714665E-2</c:v>
                </c:pt>
                <c:pt idx="11">
                  <c:v>3.1640275789565811E-2</c:v>
                </c:pt>
              </c:numCache>
            </c:numRef>
          </c:val>
          <c:smooth val="1"/>
          <c:extLst>
            <c:ext xmlns:c16="http://schemas.microsoft.com/office/drawing/2014/chart" uri="{C3380CC4-5D6E-409C-BE32-E72D297353CC}">
              <c16:uniqueId val="{00000001-95CD-4672-A3EA-DF62D571BBDA}"/>
            </c:ext>
          </c:extLst>
        </c:ser>
        <c:dLbls>
          <c:showLegendKey val="0"/>
          <c:showVal val="0"/>
          <c:showCatName val="0"/>
          <c:showSerName val="0"/>
          <c:showPercent val="0"/>
          <c:showBubbleSize val="0"/>
        </c:dLbls>
        <c:marker val="1"/>
        <c:smooth val="0"/>
        <c:axId val="1316696208"/>
        <c:axId val="1316699568"/>
      </c:lineChart>
      <c:catAx>
        <c:axId val="96555185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65550416"/>
        <c:crosses val="autoZero"/>
        <c:auto val="1"/>
        <c:lblAlgn val="ctr"/>
        <c:lblOffset val="100"/>
        <c:noMultiLvlLbl val="0"/>
      </c:catAx>
      <c:valAx>
        <c:axId val="965550416"/>
        <c:scaling>
          <c:orientation val="minMax"/>
        </c:scaling>
        <c:delete val="0"/>
        <c:axPos val="l"/>
        <c:numFmt formatCode="&quot;$&quot;#,##0.0,&quot;B&quot;;\(&quot;$&quot;#,##0.0,&quot;B&quot;\);&quot;$&quot;0,&quot;B&quot;" sourceLinked="0"/>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65551856"/>
        <c:crosses val="autoZero"/>
        <c:crossBetween val="between"/>
      </c:valAx>
      <c:valAx>
        <c:axId val="1316699568"/>
        <c:scaling>
          <c:orientation val="minMax"/>
        </c:scaling>
        <c:delete val="0"/>
        <c:axPos val="r"/>
        <c:numFmt formatCode="0%_);\(0%\);0%_);@_)" sourceLinked="0"/>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6696208"/>
        <c:crosses val="max"/>
        <c:crossBetween val="between"/>
      </c:valAx>
      <c:catAx>
        <c:axId val="1316696208"/>
        <c:scaling>
          <c:orientation val="minMax"/>
        </c:scaling>
        <c:delete val="1"/>
        <c:axPos val="b"/>
        <c:numFmt formatCode="General" sourceLinked="1"/>
        <c:majorTickMark val="none"/>
        <c:minorTickMark val="none"/>
        <c:tickLblPos val="nextTo"/>
        <c:crossAx val="1316699568"/>
        <c:crosses val="autoZero"/>
        <c:auto val="1"/>
        <c:lblAlgn val="ctr"/>
        <c:lblOffset val="100"/>
        <c:noMultiLvlLbl val="0"/>
      </c:catAx>
      <c:spPr>
        <a:noFill/>
        <a:ln>
          <a:noFill/>
        </a:ln>
        <a:effectLst/>
      </c:spPr>
    </c:plotArea>
    <c:legend>
      <c:legendPos val="b"/>
      <c:layout>
        <c:manualLayout>
          <c:xMode val="edge"/>
          <c:yMode val="edge"/>
          <c:x val="0.57269507372212858"/>
          <c:y val="2.3340048931010726E-2"/>
          <c:w val="0.35132648856680443"/>
          <c:h val="0.2093184856003333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309530221448139E-2"/>
          <c:y val="5.0666527097135428E-2"/>
          <c:w val="0.91861145701550695"/>
          <c:h val="0.86308631590944007"/>
        </c:manualLayout>
      </c:layout>
      <c:barChart>
        <c:barDir val="col"/>
        <c:grouping val="clustered"/>
        <c:varyColors val="0"/>
        <c:ser>
          <c:idx val="0"/>
          <c:order val="0"/>
          <c:tx>
            <c:strRef>
              <c:f>Charts!$E$62</c:f>
              <c:strCache>
                <c:ptCount val="1"/>
                <c:pt idx="0">
                  <c:v>General and Administrative</c:v>
                </c:pt>
              </c:strCache>
            </c:strRef>
          </c:tx>
          <c:spPr>
            <a:solidFill>
              <a:schemeClr val="accent1"/>
            </a:solidFill>
            <a:ln>
              <a:noFill/>
            </a:ln>
            <a:effectLst/>
          </c:spPr>
          <c:invertIfNegative val="0"/>
          <c:dPt>
            <c:idx val="1"/>
            <c:invertIfNegative val="0"/>
            <c:bubble3D val="0"/>
            <c:extLst>
              <c:ext xmlns:c16="http://schemas.microsoft.com/office/drawing/2014/chart" uri="{C3380CC4-5D6E-409C-BE32-E72D297353CC}">
                <c16:uniqueId val="{00000000-AE0B-4ED7-A5E1-D729C991A4CB}"/>
              </c:ext>
            </c:extLst>
          </c:dPt>
          <c:dPt>
            <c:idx val="2"/>
            <c:invertIfNegative val="0"/>
            <c:bubble3D val="0"/>
            <c:extLst>
              <c:ext xmlns:c16="http://schemas.microsoft.com/office/drawing/2014/chart" uri="{C3380CC4-5D6E-409C-BE32-E72D297353CC}">
                <c16:uniqueId val="{00000001-AE0B-4ED7-A5E1-D729C991A4CB}"/>
              </c:ext>
            </c:extLst>
          </c:dPt>
          <c:dPt>
            <c:idx val="8"/>
            <c:invertIfNegative val="0"/>
            <c:bubble3D val="0"/>
            <c:extLst>
              <c:ext xmlns:c16="http://schemas.microsoft.com/office/drawing/2014/chart" uri="{C3380CC4-5D6E-409C-BE32-E72D297353CC}">
                <c16:uniqueId val="{00000002-AE0B-4ED7-A5E1-D729C991A4CB}"/>
              </c:ext>
            </c:extLst>
          </c:dPt>
          <c:dPt>
            <c:idx val="9"/>
            <c:invertIfNegative val="0"/>
            <c:bubble3D val="0"/>
            <c:extLst>
              <c:ext xmlns:c16="http://schemas.microsoft.com/office/drawing/2014/chart" uri="{C3380CC4-5D6E-409C-BE32-E72D297353CC}">
                <c16:uniqueId val="{00000003-AE0B-4ED7-A5E1-D729C991A4CB}"/>
              </c:ext>
            </c:extLst>
          </c:dPt>
          <c:cat>
            <c:numRef>
              <c:f>Charts!$V$38:$BA$38</c:f>
              <c:numCache>
                <c:formatCode>General</c:formatCode>
                <c:ptCount val="32"/>
              </c:numCache>
            </c:numRef>
          </c:cat>
          <c:val>
            <c:numRef>
              <c:f>Charts!$V$62:$BA$62</c:f>
              <c:numCache>
                <c:formatCode>0.0</c:formatCode>
                <c:ptCount val="32"/>
                <c:pt idx="0">
                  <c:v>44.841999999999999</c:v>
                </c:pt>
                <c:pt idx="1">
                  <c:v>83.307000000000002</c:v>
                </c:pt>
                <c:pt idx="2">
                  <c:v>51.798999999999999</c:v>
                </c:pt>
                <c:pt idx="3">
                  <c:v>65.394999999999996</c:v>
                </c:pt>
                <c:pt idx="4">
                  <c:v>67.102000000000004</c:v>
                </c:pt>
                <c:pt idx="5">
                  <c:v>77.965999999999994</c:v>
                </c:pt>
                <c:pt idx="6">
                  <c:v>128.72200000000001</c:v>
                </c:pt>
                <c:pt idx="7">
                  <c:v>101.054</c:v>
                </c:pt>
                <c:pt idx="8">
                  <c:v>108.08799999999999</c:v>
                </c:pt>
                <c:pt idx="9">
                  <c:v>129.90100000000001</c:v>
                </c:pt>
                <c:pt idx="10">
                  <c:v>255.125</c:v>
                </c:pt>
                <c:pt idx="11">
                  <c:v>214.65100000000001</c:v>
                </c:pt>
                <c:pt idx="12">
                  <c:v>123</c:v>
                </c:pt>
                <c:pt idx="13">
                  <c:v>131</c:v>
                </c:pt>
                <c:pt idx="14">
                  <c:v>137</c:v>
                </c:pt>
                <c:pt idx="15">
                  <c:v>100</c:v>
                </c:pt>
                <c:pt idx="16">
                  <c:v>124</c:v>
                </c:pt>
                <c:pt idx="17">
                  <c:v>60</c:v>
                </c:pt>
                <c:pt idx="18">
                  <c:v>114</c:v>
                </c:pt>
                <c:pt idx="19">
                  <c:v>112</c:v>
                </c:pt>
                <c:pt idx="20">
                  <c:v>109</c:v>
                </c:pt>
                <c:pt idx="21">
                  <c:v>122</c:v>
                </c:pt>
                <c:pt idx="22">
                  <c:v>115</c:v>
                </c:pt>
                <c:pt idx="23">
                  <c:v>125</c:v>
                </c:pt>
                <c:pt idx="24">
                  <c:v>115</c:v>
                </c:pt>
                <c:pt idx="25">
                  <c:v>136</c:v>
                </c:pt>
                <c:pt idx="26">
                  <c:v>112.88481885681146</c:v>
                </c:pt>
                <c:pt idx="27">
                  <c:v>147.43923358817739</c:v>
                </c:pt>
                <c:pt idx="28">
                  <c:v>138.31429313757377</c:v>
                </c:pt>
                <c:pt idx="29">
                  <c:v>163.30761808105811</c:v>
                </c:pt>
                <c:pt idx="30">
                  <c:v>131.99072203521388</c:v>
                </c:pt>
                <c:pt idx="31">
                  <c:v>171.80125037519383</c:v>
                </c:pt>
              </c:numCache>
            </c:numRef>
          </c:val>
          <c:extLst>
            <c:ext xmlns:c16="http://schemas.microsoft.com/office/drawing/2014/chart" uri="{C3380CC4-5D6E-409C-BE32-E72D297353CC}">
              <c16:uniqueId val="{00000004-AE0B-4ED7-A5E1-D729C991A4CB}"/>
            </c:ext>
          </c:extLst>
        </c:ser>
        <c:dLbls>
          <c:showLegendKey val="0"/>
          <c:showVal val="0"/>
          <c:showCatName val="0"/>
          <c:showSerName val="0"/>
          <c:showPercent val="0"/>
          <c:showBubbleSize val="0"/>
        </c:dLbls>
        <c:gapWidth val="30"/>
        <c:axId val="945418624"/>
        <c:axId val="945420160"/>
      </c:barChart>
      <c:lineChart>
        <c:grouping val="standard"/>
        <c:varyColors val="0"/>
        <c:ser>
          <c:idx val="1"/>
          <c:order val="1"/>
          <c:tx>
            <c:strRef>
              <c:f>Charts!$E$63</c:f>
              <c:strCache>
                <c:ptCount val="1"/>
                <c:pt idx="0">
                  <c:v>% of revenue </c:v>
                </c:pt>
              </c:strCache>
            </c:strRef>
          </c:tx>
          <c:spPr>
            <a:ln w="19050" cap="rnd" cmpd="sng" algn="ctr">
              <a:solidFill>
                <a:schemeClr val="accent3"/>
              </a:solidFill>
              <a:prstDash val="solid"/>
              <a:round/>
            </a:ln>
            <a:effectLst/>
          </c:spPr>
          <c:marker>
            <c:symbol val="none"/>
          </c:marker>
          <c:cat>
            <c:numRef>
              <c:f>Charts!$R$38:$AK$38</c:f>
              <c:numCache>
                <c:formatCode>General</c:formatCode>
                <c:ptCount val="20"/>
              </c:numCache>
            </c:numRef>
          </c:cat>
          <c:val>
            <c:numRef>
              <c:f>Charts!$V$63:$BA$63</c:f>
              <c:numCache>
                <c:formatCode>0.0%_);\(0.0%\);0.0%_);@_)</c:formatCode>
                <c:ptCount val="32"/>
                <c:pt idx="0">
                  <c:v>9.5408307641898643E-2</c:v>
                </c:pt>
                <c:pt idx="1">
                  <c:v>0.11662077355212706</c:v>
                </c:pt>
                <c:pt idx="2">
                  <c:v>6.7498908659703802E-2</c:v>
                </c:pt>
                <c:pt idx="3">
                  <c:v>6.6883560522999888E-2</c:v>
                </c:pt>
                <c:pt idx="4">
                  <c:v>6.7872557141224324E-2</c:v>
                </c:pt>
                <c:pt idx="5">
                  <c:v>6.9647012582127743E-2</c:v>
                </c:pt>
                <c:pt idx="6">
                  <c:v>0.11454784914659975</c:v>
                </c:pt>
                <c:pt idx="7">
                  <c:v>7.3226262731662634E-2</c:v>
                </c:pt>
                <c:pt idx="8">
                  <c:v>8.9802205507870811E-2</c:v>
                </c:pt>
                <c:pt idx="9">
                  <c:v>0.1003047728180019</c:v>
                </c:pt>
                <c:pt idx="10">
                  <c:v>0.18674059434929</c:v>
                </c:pt>
                <c:pt idx="11">
                  <c:v>0.12371972439996358</c:v>
                </c:pt>
                <c:pt idx="12">
                  <c:v>8.1564986737400536E-2</c:v>
                </c:pt>
                <c:pt idx="13">
                  <c:v>7.7331759149940962E-2</c:v>
                </c:pt>
                <c:pt idx="14">
                  <c:v>7.9929988331388563E-2</c:v>
                </c:pt>
                <c:pt idx="15">
                  <c:v>4.6641791044776122E-2</c:v>
                </c:pt>
                <c:pt idx="16">
                  <c:v>6.6630843632455666E-2</c:v>
                </c:pt>
                <c:pt idx="17">
                  <c:v>2.9339853300733496E-2</c:v>
                </c:pt>
                <c:pt idx="18">
                  <c:v>5.2728954671600367E-2</c:v>
                </c:pt>
                <c:pt idx="19">
                  <c:v>3.9829302987197723E-2</c:v>
                </c:pt>
                <c:pt idx="20">
                  <c:v>4.6186440677966102E-2</c:v>
                </c:pt>
                <c:pt idx="21">
                  <c:v>4.5522388059701491E-2</c:v>
                </c:pt>
                <c:pt idx="22">
                  <c:v>4.0436005625879047E-2</c:v>
                </c:pt>
                <c:pt idx="23">
                  <c:v>3.4041394335511982E-2</c:v>
                </c:pt>
                <c:pt idx="24">
                  <c:v>3.6277602523659309E-2</c:v>
                </c:pt>
                <c:pt idx="25">
                  <c:v>3.7957019257605355E-2</c:v>
                </c:pt>
                <c:pt idx="26">
                  <c:v>3.0436005625879045E-2</c:v>
                </c:pt>
                <c:pt idx="27">
                  <c:v>3.1041394335511983E-2</c:v>
                </c:pt>
                <c:pt idx="28">
                  <c:v>3.4277602523659308E-2</c:v>
                </c:pt>
                <c:pt idx="29">
                  <c:v>3.5957019257605354E-2</c:v>
                </c:pt>
                <c:pt idx="30">
                  <c:v>2.8436005625879043E-2</c:v>
                </c:pt>
                <c:pt idx="31">
                  <c:v>2.9041394335511984E-2</c:v>
                </c:pt>
              </c:numCache>
            </c:numRef>
          </c:val>
          <c:smooth val="1"/>
          <c:extLst>
            <c:ext xmlns:c16="http://schemas.microsoft.com/office/drawing/2014/chart" uri="{C3380CC4-5D6E-409C-BE32-E72D297353CC}">
              <c16:uniqueId val="{00000005-AE0B-4ED7-A5E1-D729C991A4CB}"/>
            </c:ext>
          </c:extLst>
        </c:ser>
        <c:dLbls>
          <c:showLegendKey val="0"/>
          <c:showVal val="0"/>
          <c:showCatName val="0"/>
          <c:showSerName val="0"/>
          <c:showPercent val="0"/>
          <c:showBubbleSize val="0"/>
        </c:dLbls>
        <c:marker val="1"/>
        <c:smooth val="0"/>
        <c:axId val="200588160"/>
        <c:axId val="227166032"/>
      </c:lineChart>
      <c:catAx>
        <c:axId val="945418624"/>
        <c:scaling>
          <c:orientation val="minMax"/>
        </c:scaling>
        <c:delete val="0"/>
        <c:axPos val="b"/>
        <c:majorGridlines>
          <c:spPr>
            <a:ln w="3175" cap="sq" cmpd="sng" algn="ctr">
              <a:noFill/>
              <a:prstDash val="dot"/>
              <a:round/>
            </a:ln>
            <a:effectLst/>
          </c:spPr>
        </c:majorGridlines>
        <c:numFmt formatCode="General" sourceLinked="0"/>
        <c:majorTickMark val="out"/>
        <c:minorTickMark val="none"/>
        <c:tickLblPos val="nextTo"/>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rot="-3000000" spcFirstLastPara="1" vertOverflow="ellipsis"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945420160"/>
        <c:crosses val="autoZero"/>
        <c:auto val="1"/>
        <c:lblAlgn val="ctr"/>
        <c:lblOffset val="100"/>
        <c:noMultiLvlLbl val="0"/>
      </c:catAx>
      <c:valAx>
        <c:axId val="945420160"/>
        <c:scaling>
          <c:orientation val="minMax"/>
        </c:scaling>
        <c:delete val="0"/>
        <c:axPos val="l"/>
        <c:majorGridlines>
          <c:spPr>
            <a:ln w="3175" cap="sq" cmpd="sng" algn="ctr">
              <a:solidFill>
                <a:srgbClr val="C0C0C0"/>
              </a:solidFill>
              <a:prstDash val="dot"/>
              <a:round/>
            </a:ln>
            <a:effectLst/>
          </c:spPr>
        </c:majorGridlines>
        <c:numFmt formatCode="#,##0" sourceLinked="0"/>
        <c:majorTickMark val="out"/>
        <c:minorTickMark val="none"/>
        <c:tickLblPos val="nextTo"/>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rot="-6000000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945418624"/>
        <c:crosses val="autoZero"/>
        <c:crossBetween val="between"/>
      </c:valAx>
      <c:valAx>
        <c:axId val="227166032"/>
        <c:scaling>
          <c:orientation val="minMax"/>
        </c:scaling>
        <c:delete val="0"/>
        <c:axPos val="r"/>
        <c:numFmt formatCode="0.0%_);\(0.0%\);0.0%_);@_)"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200588160"/>
        <c:crosses val="max"/>
        <c:crossBetween val="between"/>
        <c:majorUnit val="2.5000000000000005E-2"/>
      </c:valAx>
      <c:catAx>
        <c:axId val="200588160"/>
        <c:scaling>
          <c:orientation val="minMax"/>
        </c:scaling>
        <c:delete val="1"/>
        <c:axPos val="b"/>
        <c:numFmt formatCode="General" sourceLinked="1"/>
        <c:majorTickMark val="out"/>
        <c:minorTickMark val="none"/>
        <c:tickLblPos val="nextTo"/>
        <c:crossAx val="227166032"/>
        <c:crosses val="autoZero"/>
        <c:auto val="1"/>
        <c:lblAlgn val="ctr"/>
        <c:lblOffset val="100"/>
        <c:noMultiLvlLbl val="0"/>
      </c:catAx>
      <c:spPr>
        <a:noFill/>
        <a:ln>
          <a:noFill/>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a:noFill/>
              <a:round/>
            </a14:hiddenLine>
          </a:ext>
        </a:extLst>
      </c:spPr>
    </c:plotArea>
    <c:legend>
      <c:legendPos val="t"/>
      <c:layout>
        <c:manualLayout>
          <c:xMode val="edge"/>
          <c:yMode val="edge"/>
          <c:x val="0.49319581177537969"/>
          <c:y val="8.8670869287062887E-2"/>
          <c:w val="0.37745964771697904"/>
          <c:h val="0.21057468753413328"/>
        </c:manualLayout>
      </c:layout>
      <c:overlay val="1"/>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legend>
    <c:plotVisOnly val="1"/>
    <c:dispBlanksAs val="gap"/>
    <c:showDLblsOverMax val="0"/>
  </c:chart>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a:lstStyle/>
    <a:p>
      <a:pPr>
        <a:defRPr sz="800">
          <a:latin typeface="Roboto" panose="02000000000000000000" pitchFamily="2" charset="0"/>
          <a:ea typeface="Roboto" panose="02000000000000000000" pitchFamily="2" charset="0"/>
          <a:cs typeface="Roboto" panose="02000000000000000000" pitchFamily="2" charset="0"/>
        </a:defRPr>
      </a:pPr>
      <a:endParaRPr lang="en-US"/>
    </a:p>
  </c:txPr>
  <c:printSettings>
    <c:headerFooter/>
    <c:pageMargins b="0.75" l="0.7" r="0.7" t="0.75" header="0.3" footer="0.3"/>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2.9014784866231078E-2"/>
          <c:y val="5.8422818104298738E-2"/>
          <c:w val="0.94345102312739526"/>
          <c:h val="0.85595724167262066"/>
        </c:manualLayout>
      </c:layout>
      <c:barChart>
        <c:barDir val="col"/>
        <c:grouping val="clustered"/>
        <c:varyColors val="0"/>
        <c:ser>
          <c:idx val="0"/>
          <c:order val="0"/>
          <c:tx>
            <c:strRef>
              <c:f>Charts!$E$64</c:f>
              <c:strCache>
                <c:ptCount val="1"/>
                <c:pt idx="0">
                  <c:v>Transaction and loan losses</c:v>
                </c:pt>
              </c:strCache>
            </c:strRef>
          </c:tx>
          <c:spPr>
            <a:solidFill>
              <a:schemeClr val="accent1"/>
            </a:solidFill>
            <a:ln>
              <a:noFill/>
            </a:ln>
            <a:effectLst/>
          </c:spPr>
          <c:invertIfNegative val="0"/>
          <c:dLbls>
            <c:numFmt formatCode="&quot;$&quot;0.0,&quot;B&quot;;\(&quot;$&quot;0.0,&quot;B&quot;\);&quot;-&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Charts!$CT$38:$DE$38</c:f>
              <c:numCache>
                <c:formatCode>General</c:formatCode>
                <c:ptCount val="12"/>
              </c:numCache>
            </c:numRef>
          </c:cat>
          <c:val>
            <c:numRef>
              <c:f>Charts!$CT$64:$DE$64</c:f>
              <c:numCache>
                <c:formatCode>0.0</c:formatCode>
                <c:ptCount val="12"/>
                <c:pt idx="0">
                  <c:v>0</c:v>
                </c:pt>
                <c:pt idx="1">
                  <c:v>0</c:v>
                </c:pt>
                <c:pt idx="2">
                  <c:v>0</c:v>
                </c:pt>
                <c:pt idx="3">
                  <c:v>25.169</c:v>
                </c:pt>
                <c:pt idx="4">
                  <c:v>51.848999999999997</c:v>
                </c:pt>
                <c:pt idx="5">
                  <c:v>81.716999999999999</c:v>
                </c:pt>
                <c:pt idx="6">
                  <c:v>134.929</c:v>
                </c:pt>
                <c:pt idx="7">
                  <c:v>152</c:v>
                </c:pt>
                <c:pt idx="8">
                  <c:v>227</c:v>
                </c:pt>
                <c:pt idx="9">
                  <c:v>#N/A</c:v>
                </c:pt>
                <c:pt idx="10">
                  <c:v>589.87040436827397</c:v>
                </c:pt>
                <c:pt idx="11">
                  <c:v>752.98169796943796</c:v>
                </c:pt>
              </c:numCache>
            </c:numRef>
          </c:val>
          <c:extLst>
            <c:ext xmlns:c16="http://schemas.microsoft.com/office/drawing/2014/chart" uri="{C3380CC4-5D6E-409C-BE32-E72D297353CC}">
              <c16:uniqueId val="{00000000-95CD-4672-A3EA-DF62D571BBDA}"/>
            </c:ext>
          </c:extLst>
        </c:ser>
        <c:dLbls>
          <c:showLegendKey val="0"/>
          <c:showVal val="0"/>
          <c:showCatName val="0"/>
          <c:showSerName val="0"/>
          <c:showPercent val="0"/>
          <c:showBubbleSize val="0"/>
        </c:dLbls>
        <c:gapWidth val="20"/>
        <c:axId val="965551856"/>
        <c:axId val="965550416"/>
      </c:barChart>
      <c:lineChart>
        <c:grouping val="standard"/>
        <c:varyColors val="0"/>
        <c:ser>
          <c:idx val="1"/>
          <c:order val="1"/>
          <c:tx>
            <c:strRef>
              <c:f>Charts!$E$65</c:f>
              <c:strCache>
                <c:ptCount val="1"/>
                <c:pt idx="0">
                  <c:v>% of revenue </c:v>
                </c:pt>
              </c:strCache>
            </c:strRef>
          </c:tx>
          <c:spPr>
            <a:ln w="28575" cap="rnd">
              <a:solidFill>
                <a:schemeClr val="accent3"/>
              </a:solidFill>
              <a:round/>
            </a:ln>
            <a:effectLst/>
          </c:spPr>
          <c:marker>
            <c:symbol val="none"/>
          </c:marker>
          <c:dLbls>
            <c:dLbl>
              <c:idx val="11"/>
              <c:layout>
                <c:manualLayout>
                  <c:x val="-3.9641207148384379E-2"/>
                  <c:y val="4.222262507927327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F90-4325-BA3C-E8DB86C4728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Charts!$CT$38:$DA$38</c:f>
              <c:numCache>
                <c:formatCode>General</c:formatCode>
                <c:ptCount val="8"/>
              </c:numCache>
            </c:numRef>
          </c:cat>
          <c:val>
            <c:numRef>
              <c:f>Charts!$CT$65:$DE$65</c:f>
              <c:numCache>
                <c:formatCode>0.0%_);\(0.0%\);0.0%_);@_)</c:formatCode>
                <c:ptCount val="12"/>
                <c:pt idx="0">
                  <c:v>0</c:v>
                </c:pt>
                <c:pt idx="1">
                  <c:v>0</c:v>
                </c:pt>
                <c:pt idx="2">
                  <c:v>0</c:v>
                </c:pt>
                <c:pt idx="3">
                  <c:v>1.5948188189761198E-2</c:v>
                </c:pt>
                <c:pt idx="4">
                  <c:v>1.7698979105926591E-2</c:v>
                </c:pt>
                <c:pt idx="5">
                  <c:v>1.7718896687147215E-2</c:v>
                </c:pt>
                <c:pt idx="6">
                  <c:v>2.4095049451200955E-2</c:v>
                </c:pt>
                <c:pt idx="7">
                  <c:v>2.1529745042492918E-2</c:v>
                </c:pt>
                <c:pt idx="8">
                  <c:v>2.5563063063063062E-2</c:v>
                </c:pt>
                <c:pt idx="9">
                  <c:v>#N/A</c:v>
                </c:pt>
                <c:pt idx="10">
                  <c:v>3.8777451942886017E-2</c:v>
                </c:pt>
                <c:pt idx="11">
                  <c:v>3.9352497906782032E-2</c:v>
                </c:pt>
              </c:numCache>
            </c:numRef>
          </c:val>
          <c:smooth val="1"/>
          <c:extLst>
            <c:ext xmlns:c16="http://schemas.microsoft.com/office/drawing/2014/chart" uri="{C3380CC4-5D6E-409C-BE32-E72D297353CC}">
              <c16:uniqueId val="{00000001-95CD-4672-A3EA-DF62D571BBDA}"/>
            </c:ext>
          </c:extLst>
        </c:ser>
        <c:dLbls>
          <c:showLegendKey val="0"/>
          <c:showVal val="0"/>
          <c:showCatName val="0"/>
          <c:showSerName val="0"/>
          <c:showPercent val="0"/>
          <c:showBubbleSize val="0"/>
        </c:dLbls>
        <c:marker val="1"/>
        <c:smooth val="0"/>
        <c:axId val="1316696208"/>
        <c:axId val="1316699568"/>
      </c:lineChart>
      <c:catAx>
        <c:axId val="96555185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65550416"/>
        <c:crosses val="autoZero"/>
        <c:auto val="1"/>
        <c:lblAlgn val="ctr"/>
        <c:lblOffset val="100"/>
        <c:noMultiLvlLbl val="0"/>
      </c:catAx>
      <c:valAx>
        <c:axId val="965550416"/>
        <c:scaling>
          <c:orientation val="minMax"/>
        </c:scaling>
        <c:delete val="0"/>
        <c:axPos val="l"/>
        <c:numFmt formatCode="&quot;$&quot;0.0,&quot;B&quot;;\(&quot;$&quot;0.0,&quot;B&quot;\);&quot;-&quot;" sourceLinked="0"/>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65551856"/>
        <c:crosses val="autoZero"/>
        <c:crossBetween val="between"/>
      </c:valAx>
      <c:valAx>
        <c:axId val="1316699568"/>
        <c:scaling>
          <c:orientation val="minMax"/>
        </c:scaling>
        <c:delete val="0"/>
        <c:axPos val="r"/>
        <c:numFmt formatCode="#,##0.0%;\(#,##0.0%\);0.0%;@" sourceLinked="0"/>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6696208"/>
        <c:crosses val="max"/>
        <c:crossBetween val="between"/>
      </c:valAx>
      <c:catAx>
        <c:axId val="1316696208"/>
        <c:scaling>
          <c:orientation val="minMax"/>
        </c:scaling>
        <c:delete val="1"/>
        <c:axPos val="b"/>
        <c:numFmt formatCode="General" sourceLinked="1"/>
        <c:majorTickMark val="none"/>
        <c:minorTickMark val="none"/>
        <c:tickLblPos val="nextTo"/>
        <c:crossAx val="1316699568"/>
        <c:crosses val="autoZero"/>
        <c:auto val="1"/>
        <c:lblAlgn val="ctr"/>
        <c:lblOffset val="100"/>
        <c:noMultiLvlLbl val="0"/>
      </c:catAx>
      <c:spPr>
        <a:noFill/>
        <a:ln>
          <a:noFill/>
        </a:ln>
        <a:effectLst/>
      </c:spPr>
    </c:plotArea>
    <c:legend>
      <c:legendPos val="b"/>
      <c:layout>
        <c:manualLayout>
          <c:xMode val="edge"/>
          <c:yMode val="edge"/>
          <c:x val="0.10442462512424075"/>
          <c:y val="5.6248585954518884E-2"/>
          <c:w val="0.5261185886826516"/>
          <c:h val="8.865380360983594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309530221448139E-2"/>
          <c:y val="5.0666527097135428E-2"/>
          <c:w val="0.91861145701550695"/>
          <c:h val="0.86308631590944007"/>
        </c:manualLayout>
      </c:layout>
      <c:barChart>
        <c:barDir val="col"/>
        <c:grouping val="clustered"/>
        <c:varyColors val="0"/>
        <c:ser>
          <c:idx val="0"/>
          <c:order val="0"/>
          <c:tx>
            <c:strRef>
              <c:f>Charts!$E$64</c:f>
              <c:strCache>
                <c:ptCount val="1"/>
                <c:pt idx="0">
                  <c:v>Transaction and loan losses</c:v>
                </c:pt>
              </c:strCache>
            </c:strRef>
          </c:tx>
          <c:spPr>
            <a:solidFill>
              <a:schemeClr val="accent1"/>
            </a:solidFill>
            <a:ln>
              <a:noFill/>
            </a:ln>
            <a:effectLst/>
          </c:spPr>
          <c:invertIfNegative val="0"/>
          <c:dPt>
            <c:idx val="1"/>
            <c:invertIfNegative val="0"/>
            <c:bubble3D val="0"/>
            <c:extLst>
              <c:ext xmlns:c16="http://schemas.microsoft.com/office/drawing/2014/chart" uri="{C3380CC4-5D6E-409C-BE32-E72D297353CC}">
                <c16:uniqueId val="{00000000-6465-43DB-8726-107EB1B1F440}"/>
              </c:ext>
            </c:extLst>
          </c:dPt>
          <c:dPt>
            <c:idx val="2"/>
            <c:invertIfNegative val="0"/>
            <c:bubble3D val="0"/>
            <c:extLst>
              <c:ext xmlns:c16="http://schemas.microsoft.com/office/drawing/2014/chart" uri="{C3380CC4-5D6E-409C-BE32-E72D297353CC}">
                <c16:uniqueId val="{00000001-6465-43DB-8726-107EB1B1F440}"/>
              </c:ext>
            </c:extLst>
          </c:dPt>
          <c:dPt>
            <c:idx val="8"/>
            <c:invertIfNegative val="0"/>
            <c:bubble3D val="0"/>
            <c:extLst>
              <c:ext xmlns:c16="http://schemas.microsoft.com/office/drawing/2014/chart" uri="{C3380CC4-5D6E-409C-BE32-E72D297353CC}">
                <c16:uniqueId val="{00000002-6465-43DB-8726-107EB1B1F440}"/>
              </c:ext>
            </c:extLst>
          </c:dPt>
          <c:dPt>
            <c:idx val="9"/>
            <c:invertIfNegative val="0"/>
            <c:bubble3D val="0"/>
            <c:extLst>
              <c:ext xmlns:c16="http://schemas.microsoft.com/office/drawing/2014/chart" uri="{C3380CC4-5D6E-409C-BE32-E72D297353CC}">
                <c16:uniqueId val="{00000003-6465-43DB-8726-107EB1B1F440}"/>
              </c:ext>
            </c:extLst>
          </c:dPt>
          <c:cat>
            <c:numRef>
              <c:f>Charts!$V$38:$BA$38</c:f>
              <c:numCache>
                <c:formatCode>General</c:formatCode>
                <c:ptCount val="32"/>
              </c:numCache>
            </c:numRef>
          </c:cat>
          <c:val>
            <c:numRef>
              <c:f>Charts!$V$64:$BA$64</c:f>
              <c:numCache>
                <c:formatCode>0.0</c:formatCode>
                <c:ptCount val="32"/>
                <c:pt idx="0">
                  <c:v>14.083</c:v>
                </c:pt>
                <c:pt idx="1">
                  <c:v>13.366</c:v>
                </c:pt>
                <c:pt idx="2">
                  <c:v>11.753</c:v>
                </c:pt>
                <c:pt idx="3">
                  <c:v>12.647</c:v>
                </c:pt>
                <c:pt idx="4">
                  <c:v>10.606</c:v>
                </c:pt>
                <c:pt idx="5">
                  <c:v>17.986000000000001</c:v>
                </c:pt>
                <c:pt idx="6">
                  <c:v>25.311</c:v>
                </c:pt>
                <c:pt idx="7">
                  <c:v>27.814</c:v>
                </c:pt>
                <c:pt idx="8">
                  <c:v>20.492999999999999</c:v>
                </c:pt>
                <c:pt idx="9">
                  <c:v>42.38</c:v>
                </c:pt>
                <c:pt idx="10">
                  <c:v>37.738</c:v>
                </c:pt>
                <c:pt idx="11">
                  <c:v>34.317999999999998</c:v>
                </c:pt>
                <c:pt idx="12">
                  <c:v>42</c:v>
                </c:pt>
                <c:pt idx="13">
                  <c:v>31</c:v>
                </c:pt>
                <c:pt idx="14">
                  <c:v>34</c:v>
                </c:pt>
                <c:pt idx="15">
                  <c:v>45</c:v>
                </c:pt>
                <c:pt idx="16">
                  <c:v>51</c:v>
                </c:pt>
                <c:pt idx="17">
                  <c:v>42</c:v>
                </c:pt>
                <c:pt idx="18">
                  <c:v>58</c:v>
                </c:pt>
                <c:pt idx="19">
                  <c:v>76</c:v>
                </c:pt>
                <c:pt idx="20">
                  <c:v>75</c:v>
                </c:pt>
                <c:pt idx="21">
                  <c:v>80</c:v>
                </c:pt>
                <c:pt idx="22">
                  <c:v>148</c:v>
                </c:pt>
                <c:pt idx="23">
                  <c:v>114</c:v>
                </c:pt>
                <c:pt idx="24">
                  <c:v>116</c:v>
                </c:pt>
                <c:pt idx="25">
                  <c:v>141</c:v>
                </c:pt>
                <c:pt idx="26">
                  <c:v>145.9554073019672</c:v>
                </c:pt>
                <c:pt idx="27">
                  <c:v>186.91499706630685</c:v>
                </c:pt>
                <c:pt idx="28">
                  <c:v>158.79211293781401</c:v>
                </c:pt>
                <c:pt idx="29">
                  <c:v>178.72901679237773</c:v>
                </c:pt>
                <c:pt idx="30">
                  <c:v>182.66154117926803</c:v>
                </c:pt>
                <c:pt idx="31">
                  <c:v>232.79902705997813</c:v>
                </c:pt>
              </c:numCache>
            </c:numRef>
          </c:val>
          <c:extLst>
            <c:ext xmlns:c16="http://schemas.microsoft.com/office/drawing/2014/chart" uri="{C3380CC4-5D6E-409C-BE32-E72D297353CC}">
              <c16:uniqueId val="{00000004-6465-43DB-8726-107EB1B1F440}"/>
            </c:ext>
          </c:extLst>
        </c:ser>
        <c:dLbls>
          <c:showLegendKey val="0"/>
          <c:showVal val="0"/>
          <c:showCatName val="0"/>
          <c:showSerName val="0"/>
          <c:showPercent val="0"/>
          <c:showBubbleSize val="0"/>
        </c:dLbls>
        <c:gapWidth val="30"/>
        <c:axId val="945418624"/>
        <c:axId val="945420160"/>
      </c:barChart>
      <c:lineChart>
        <c:grouping val="standard"/>
        <c:varyColors val="0"/>
        <c:ser>
          <c:idx val="1"/>
          <c:order val="1"/>
          <c:tx>
            <c:strRef>
              <c:f>Charts!$E$65</c:f>
              <c:strCache>
                <c:ptCount val="1"/>
                <c:pt idx="0">
                  <c:v>% of revenue </c:v>
                </c:pt>
              </c:strCache>
            </c:strRef>
          </c:tx>
          <c:spPr>
            <a:ln w="19050" cap="rnd" cmpd="sng" algn="ctr">
              <a:solidFill>
                <a:schemeClr val="accent3"/>
              </a:solidFill>
              <a:prstDash val="solid"/>
              <a:round/>
            </a:ln>
            <a:effectLst/>
          </c:spPr>
          <c:marker>
            <c:symbol val="none"/>
          </c:marker>
          <c:cat>
            <c:numRef>
              <c:f>Charts!$R$38:$AK$38</c:f>
              <c:numCache>
                <c:formatCode>General</c:formatCode>
                <c:ptCount val="20"/>
              </c:numCache>
            </c:numRef>
          </c:cat>
          <c:val>
            <c:numRef>
              <c:f>Charts!$V$65:$BA$65</c:f>
              <c:numCache>
                <c:formatCode>0.0%_);\(0.0%\);0.0%_);@_)</c:formatCode>
                <c:ptCount val="32"/>
                <c:pt idx="0">
                  <c:v>2.9963766034540353E-2</c:v>
                </c:pt>
                <c:pt idx="1">
                  <c:v>1.8710951772332819E-2</c:v>
                </c:pt>
                <c:pt idx="2">
                  <c:v>1.5315250747649547E-2</c:v>
                </c:pt>
                <c:pt idx="3">
                  <c:v>1.29348786594446E-2</c:v>
                </c:pt>
                <c:pt idx="4">
                  <c:v>1.0727792629725272E-2</c:v>
                </c:pt>
                <c:pt idx="5">
                  <c:v>1.6066890289384472E-2</c:v>
                </c:pt>
                <c:pt idx="6">
                  <c:v>2.252389342730525E-2</c:v>
                </c:pt>
                <c:pt idx="7">
                  <c:v>2.0154721946864691E-2</c:v>
                </c:pt>
                <c:pt idx="8">
                  <c:v>1.7026095380364117E-2</c:v>
                </c:pt>
                <c:pt idx="9">
                  <c:v>3.2724276734027613E-2</c:v>
                </c:pt>
                <c:pt idx="10">
                  <c:v>2.7622602839994143E-2</c:v>
                </c:pt>
                <c:pt idx="11">
                  <c:v>1.9780077903005108E-2</c:v>
                </c:pt>
                <c:pt idx="12">
                  <c:v>2.7851458885941646E-2</c:v>
                </c:pt>
                <c:pt idx="13">
                  <c:v>1.8299881936245571E-2</c:v>
                </c:pt>
                <c:pt idx="14">
                  <c:v>1.9836639439906652E-2</c:v>
                </c:pt>
                <c:pt idx="15">
                  <c:v>2.0988805970149255E-2</c:v>
                </c:pt>
                <c:pt idx="16">
                  <c:v>2.7404621171413217E-2</c:v>
                </c:pt>
                <c:pt idx="17">
                  <c:v>2.0537897310513448E-2</c:v>
                </c:pt>
                <c:pt idx="18">
                  <c:v>2.6827012025901941E-2</c:v>
                </c:pt>
                <c:pt idx="19">
                  <c:v>2.7027027027027029E-2</c:v>
                </c:pt>
                <c:pt idx="20">
                  <c:v>3.1779661016949151E-2</c:v>
                </c:pt>
                <c:pt idx="21">
                  <c:v>2.9850746268656716E-2</c:v>
                </c:pt>
                <c:pt idx="22">
                  <c:v>5.2039381153305204E-2</c:v>
                </c:pt>
                <c:pt idx="23">
                  <c:v>3.1045751633986929E-2</c:v>
                </c:pt>
                <c:pt idx="24">
                  <c:v>3.659305993690852E-2</c:v>
                </c:pt>
                <c:pt idx="25">
                  <c:v>3.9352497906782025E-2</c:v>
                </c:pt>
                <c:pt idx="26">
                  <c:v>3.9352497906782025E-2</c:v>
                </c:pt>
                <c:pt idx="27">
                  <c:v>3.9352497906782025E-2</c:v>
                </c:pt>
                <c:pt idx="28">
                  <c:v>3.9352497906782025E-2</c:v>
                </c:pt>
                <c:pt idx="29">
                  <c:v>3.9352497906782025E-2</c:v>
                </c:pt>
                <c:pt idx="30">
                  <c:v>3.9352497906782025E-2</c:v>
                </c:pt>
                <c:pt idx="31">
                  <c:v>3.9352497906782025E-2</c:v>
                </c:pt>
              </c:numCache>
            </c:numRef>
          </c:val>
          <c:smooth val="1"/>
          <c:extLst>
            <c:ext xmlns:c16="http://schemas.microsoft.com/office/drawing/2014/chart" uri="{C3380CC4-5D6E-409C-BE32-E72D297353CC}">
              <c16:uniqueId val="{00000005-6465-43DB-8726-107EB1B1F440}"/>
            </c:ext>
          </c:extLst>
        </c:ser>
        <c:dLbls>
          <c:showLegendKey val="0"/>
          <c:showVal val="0"/>
          <c:showCatName val="0"/>
          <c:showSerName val="0"/>
          <c:showPercent val="0"/>
          <c:showBubbleSize val="0"/>
        </c:dLbls>
        <c:marker val="1"/>
        <c:smooth val="0"/>
        <c:axId val="200588160"/>
        <c:axId val="227166032"/>
      </c:lineChart>
      <c:catAx>
        <c:axId val="945418624"/>
        <c:scaling>
          <c:orientation val="minMax"/>
        </c:scaling>
        <c:delete val="0"/>
        <c:axPos val="b"/>
        <c:majorGridlines>
          <c:spPr>
            <a:ln w="3175" cap="sq" cmpd="sng" algn="ctr">
              <a:noFill/>
              <a:prstDash val="dot"/>
              <a:round/>
            </a:ln>
            <a:effectLst/>
          </c:spPr>
        </c:majorGridlines>
        <c:numFmt formatCode="General" sourceLinked="0"/>
        <c:majorTickMark val="out"/>
        <c:minorTickMark val="none"/>
        <c:tickLblPos val="nextTo"/>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rot="-3720000" spcFirstLastPara="1" vertOverflow="ellipsis"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945420160"/>
        <c:crosses val="autoZero"/>
        <c:auto val="1"/>
        <c:lblAlgn val="ctr"/>
        <c:lblOffset val="100"/>
        <c:noMultiLvlLbl val="0"/>
      </c:catAx>
      <c:valAx>
        <c:axId val="945420160"/>
        <c:scaling>
          <c:orientation val="minMax"/>
        </c:scaling>
        <c:delete val="0"/>
        <c:axPos val="l"/>
        <c:majorGridlines>
          <c:spPr>
            <a:ln w="3175" cap="sq" cmpd="sng" algn="ctr">
              <a:solidFill>
                <a:srgbClr val="C0C0C0"/>
              </a:solidFill>
              <a:prstDash val="dot"/>
              <a:round/>
            </a:ln>
            <a:effectLst/>
          </c:spPr>
        </c:majorGridlines>
        <c:numFmt formatCode="#,##0" sourceLinked="0"/>
        <c:majorTickMark val="out"/>
        <c:minorTickMark val="none"/>
        <c:tickLblPos val="nextTo"/>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rot="-6000000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945418624"/>
        <c:crosses val="autoZero"/>
        <c:crossBetween val="between"/>
      </c:valAx>
      <c:valAx>
        <c:axId val="227166032"/>
        <c:scaling>
          <c:orientation val="minMax"/>
        </c:scaling>
        <c:delete val="0"/>
        <c:axPos val="r"/>
        <c:numFmt formatCode="0.0%_);\(0.0%\);0.0%_);@_)" sourceLinked="1"/>
        <c:majorTickMark val="out"/>
        <c:minorTickMark val="none"/>
        <c:tickLblPos val="nextTo"/>
        <c:spPr>
          <a:noFill/>
          <a:ln w="6350" cap="flat" cmpd="sng" algn="ctr">
            <a:solidFill>
              <a:schemeClr val="tx1">
                <a:tint val="7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200588160"/>
        <c:crosses val="max"/>
        <c:crossBetween val="between"/>
        <c:majorUnit val="1.0000000000000002E-2"/>
      </c:valAx>
      <c:catAx>
        <c:axId val="200588160"/>
        <c:scaling>
          <c:orientation val="minMax"/>
        </c:scaling>
        <c:delete val="1"/>
        <c:axPos val="b"/>
        <c:numFmt formatCode="General" sourceLinked="1"/>
        <c:majorTickMark val="out"/>
        <c:minorTickMark val="none"/>
        <c:tickLblPos val="nextTo"/>
        <c:crossAx val="227166032"/>
        <c:crosses val="autoZero"/>
        <c:auto val="1"/>
        <c:lblAlgn val="ctr"/>
        <c:lblOffset val="100"/>
        <c:noMultiLvlLbl val="0"/>
      </c:catAx>
      <c:spPr>
        <a:noFill/>
        <a:ln>
          <a:noFill/>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a:noFill/>
              <a:round/>
            </a14:hiddenLine>
          </a:ext>
        </a:extLst>
      </c:spPr>
    </c:plotArea>
    <c:legend>
      <c:legendPos val="t"/>
      <c:layout>
        <c:manualLayout>
          <c:xMode val="edge"/>
          <c:yMode val="edge"/>
          <c:x val="0.4263653014875754"/>
          <c:y val="5.966307623334087E-2"/>
          <c:w val="0.37745964771697904"/>
          <c:h val="0.13432917050105461"/>
        </c:manualLayout>
      </c:layout>
      <c:overlay val="1"/>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legend>
    <c:plotVisOnly val="1"/>
    <c:dispBlanksAs val="gap"/>
    <c:showDLblsOverMax val="0"/>
  </c:chart>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a:lstStyle/>
    <a:p>
      <a:pPr>
        <a:defRPr sz="800">
          <a:latin typeface="Roboto" panose="02000000000000000000" pitchFamily="2" charset="0"/>
          <a:ea typeface="Roboto" panose="02000000000000000000" pitchFamily="2" charset="0"/>
          <a:cs typeface="Roboto" panose="02000000000000000000" pitchFamily="2" charset="0"/>
        </a:defRPr>
      </a:pPr>
      <a:endParaRPr lang="en-US"/>
    </a:p>
  </c:txPr>
  <c:printSettings>
    <c:headerFooter/>
    <c:pageMargins b="0.75" l="0.7" r="0.7" t="0.75" header="0.3" footer="0.3"/>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8293653092918944E-2"/>
          <c:y val="5.4609675619501766E-2"/>
          <c:w val="0.91861145701550695"/>
          <c:h val="0.86308631590944007"/>
        </c:manualLayout>
      </c:layout>
      <c:barChart>
        <c:barDir val="col"/>
        <c:grouping val="stacked"/>
        <c:varyColors val="0"/>
        <c:ser>
          <c:idx val="0"/>
          <c:order val="0"/>
          <c:tx>
            <c:strRef>
              <c:f>Charts!$E$49</c:f>
              <c:strCache>
                <c:ptCount val="1"/>
                <c:pt idx="0">
                  <c:v>Merchant Solutions Gross Profit</c:v>
                </c:pt>
              </c:strCache>
            </c:strRef>
          </c:tx>
          <c:spPr>
            <a:solidFill>
              <a:schemeClr val="accent1"/>
            </a:solidFill>
            <a:ln>
              <a:noFill/>
            </a:ln>
            <a:effectLst/>
          </c:spPr>
          <c:invertIfNegative val="0"/>
          <c:dPt>
            <c:idx val="1"/>
            <c:invertIfNegative val="0"/>
            <c:bubble3D val="0"/>
            <c:extLst>
              <c:ext xmlns:c16="http://schemas.microsoft.com/office/drawing/2014/chart" uri="{C3380CC4-5D6E-409C-BE32-E72D297353CC}">
                <c16:uniqueId val="{00000000-770A-4D71-B105-14D971190069}"/>
              </c:ext>
            </c:extLst>
          </c:dPt>
          <c:dPt>
            <c:idx val="2"/>
            <c:invertIfNegative val="0"/>
            <c:bubble3D val="0"/>
            <c:extLst>
              <c:ext xmlns:c16="http://schemas.microsoft.com/office/drawing/2014/chart" uri="{C3380CC4-5D6E-409C-BE32-E72D297353CC}">
                <c16:uniqueId val="{00000001-770A-4D71-B105-14D971190069}"/>
              </c:ext>
            </c:extLst>
          </c:dPt>
          <c:dPt>
            <c:idx val="8"/>
            <c:invertIfNegative val="0"/>
            <c:bubble3D val="0"/>
            <c:extLst>
              <c:ext xmlns:c16="http://schemas.microsoft.com/office/drawing/2014/chart" uri="{C3380CC4-5D6E-409C-BE32-E72D297353CC}">
                <c16:uniqueId val="{00000002-770A-4D71-B105-14D971190069}"/>
              </c:ext>
            </c:extLst>
          </c:dPt>
          <c:dPt>
            <c:idx val="9"/>
            <c:invertIfNegative val="0"/>
            <c:bubble3D val="0"/>
            <c:extLst>
              <c:ext xmlns:c16="http://schemas.microsoft.com/office/drawing/2014/chart" uri="{C3380CC4-5D6E-409C-BE32-E72D297353CC}">
                <c16:uniqueId val="{00000003-770A-4D71-B105-14D971190069}"/>
              </c:ext>
            </c:extLst>
          </c:dPt>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Charts!$CT$38:$DE$38</c:f>
              <c:numCache>
                <c:formatCode>General</c:formatCode>
                <c:ptCount val="12"/>
              </c:numCache>
            </c:numRef>
          </c:cat>
          <c:val>
            <c:numRef>
              <c:f>Charts!$CT$49:$DE$49</c:f>
              <c:numCache>
                <c:formatCode>"$"#,##0.0,"B"_);\("$"#,##0.0"B"\);"$"#,##0.00_);@_)</c:formatCode>
                <c:ptCount val="12"/>
                <c:pt idx="0">
                  <c:v>60.36699999999999</c:v>
                </c:pt>
                <c:pt idx="1">
                  <c:v>131.48899999999998</c:v>
                </c:pt>
                <c:pt idx="2">
                  <c:v>232.261</c:v>
                </c:pt>
                <c:pt idx="3">
                  <c:v>351.55700000000002</c:v>
                </c:pt>
                <c:pt idx="4">
                  <c:v>826.29499999999996</c:v>
                </c:pt>
                <c:pt idx="5">
                  <c:v>1403.1610000000001</c:v>
                </c:pt>
                <c:pt idx="6">
                  <c:v>1597.2269999999999</c:v>
                </c:pt>
                <c:pt idx="7">
                  <c:v>2032</c:v>
                </c:pt>
                <c:pt idx="8">
                  <c:v>2556</c:v>
                </c:pt>
                <c:pt idx="9">
                  <c:v>#N/A</c:v>
                </c:pt>
                <c:pt idx="10">
                  <c:v>4517.1066834489739</c:v>
                </c:pt>
                <c:pt idx="11">
                  <c:v>5760.7553362939634</c:v>
                </c:pt>
              </c:numCache>
            </c:numRef>
          </c:val>
          <c:extLst>
            <c:ext xmlns:c16="http://schemas.microsoft.com/office/drawing/2014/chart" uri="{C3380CC4-5D6E-409C-BE32-E72D297353CC}">
              <c16:uniqueId val="{00000005-770A-4D71-B105-14D971190069}"/>
            </c:ext>
          </c:extLst>
        </c:ser>
        <c:ser>
          <c:idx val="1"/>
          <c:order val="1"/>
          <c:tx>
            <c:strRef>
              <c:f>Charts!$E$48</c:f>
              <c:strCache>
                <c:ptCount val="1"/>
                <c:pt idx="0">
                  <c:v>Subscription Solution Gross Profit</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Charts!$CT$38:$DE$38</c:f>
              <c:numCache>
                <c:formatCode>General</c:formatCode>
                <c:ptCount val="12"/>
              </c:numCache>
            </c:numRef>
          </c:cat>
          <c:val>
            <c:numRef>
              <c:f>Charts!$CT$48:$DE$48</c:f>
              <c:numCache>
                <c:formatCode>"$"#,##0.0,"B"_);\("$"#,##0.0"B"\);"$"#,##0.00_);@_)</c:formatCode>
                <c:ptCount val="12"/>
                <c:pt idx="0">
                  <c:v>149.12799999999999</c:v>
                </c:pt>
                <c:pt idx="1">
                  <c:v>248.76400000000001</c:v>
                </c:pt>
                <c:pt idx="2">
                  <c:v>364.00600000000003</c:v>
                </c:pt>
                <c:pt idx="3">
                  <c:v>514.08600000000001</c:v>
                </c:pt>
                <c:pt idx="4">
                  <c:v>715.22499999999991</c:v>
                </c:pt>
                <c:pt idx="5">
                  <c:v>1077.9830000000002</c:v>
                </c:pt>
                <c:pt idx="6">
                  <c:v>1156.8920000000001</c:v>
                </c:pt>
                <c:pt idx="7">
                  <c:v>1483</c:v>
                </c:pt>
                <c:pt idx="8">
                  <c:v>1916</c:v>
                </c:pt>
                <c:pt idx="9">
                  <c:v>#N/A</c:v>
                </c:pt>
                <c:pt idx="10">
                  <c:v>2698.5019930165327</c:v>
                </c:pt>
                <c:pt idx="11">
                  <c:v>3241.7946141415728</c:v>
                </c:pt>
              </c:numCache>
            </c:numRef>
          </c:val>
          <c:extLst>
            <c:ext xmlns:c16="http://schemas.microsoft.com/office/drawing/2014/chart" uri="{C3380CC4-5D6E-409C-BE32-E72D297353CC}">
              <c16:uniqueId val="{00000007-770A-4D71-B105-14D971190069}"/>
            </c:ext>
          </c:extLst>
        </c:ser>
        <c:dLbls>
          <c:showLegendKey val="0"/>
          <c:showVal val="0"/>
          <c:showCatName val="0"/>
          <c:showSerName val="0"/>
          <c:showPercent val="0"/>
          <c:showBubbleSize val="0"/>
        </c:dLbls>
        <c:gapWidth val="30"/>
        <c:overlap val="100"/>
        <c:axId val="945418624"/>
        <c:axId val="945420160"/>
      </c:barChart>
      <c:lineChart>
        <c:grouping val="standard"/>
        <c:varyColors val="0"/>
        <c:ser>
          <c:idx val="2"/>
          <c:order val="2"/>
          <c:tx>
            <c:strRef>
              <c:f>Charts!$E$55</c:f>
              <c:strCache>
                <c:ptCount val="1"/>
                <c:pt idx="0">
                  <c:v>Total Gross Margin</c:v>
                </c:pt>
              </c:strCache>
            </c:strRef>
          </c:tx>
          <c:spPr>
            <a:ln w="19050" cap="rnd" cmpd="sng" algn="ctr">
              <a:solidFill>
                <a:schemeClr val="accent5"/>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val>
            <c:numRef>
              <c:f>Charts!$CT$55:$DE$55</c:f>
              <c:numCache>
                <c:formatCode>0.0%_);\(0.0%\);0.0%_);@_)</c:formatCode>
                <c:ptCount val="12"/>
                <c:pt idx="0">
                  <c:v>0.53809107954691393</c:v>
                </c:pt>
                <c:pt idx="1">
                  <c:v>0.5647567814835498</c:v>
                </c:pt>
                <c:pt idx="2">
                  <c:v>0.55558226622649964</c:v>
                </c:pt>
                <c:pt idx="3">
                  <c:v>0.54850957404543099</c:v>
                </c:pt>
                <c:pt idx="4">
                  <c:v>0.52620745378634048</c:v>
                </c:pt>
                <c:pt idx="5">
                  <c:v>0.53799251320943231</c:v>
                </c:pt>
                <c:pt idx="6">
                  <c:v>0.4918189084592054</c:v>
                </c:pt>
                <c:pt idx="7">
                  <c:v>0.49787535410764872</c:v>
                </c:pt>
                <c:pt idx="8">
                  <c:v>0.50360360360360357</c:v>
                </c:pt>
                <c:pt idx="9">
                  <c:v>#N/A</c:v>
                </c:pt>
                <c:pt idx="10">
                  <c:v>0.47434642697487006</c:v>
                </c:pt>
                <c:pt idx="11">
                  <c:v>0.47049327896757775</c:v>
                </c:pt>
              </c:numCache>
            </c:numRef>
          </c:val>
          <c:smooth val="1"/>
          <c:extLst>
            <c:ext xmlns:c16="http://schemas.microsoft.com/office/drawing/2014/chart" uri="{C3380CC4-5D6E-409C-BE32-E72D297353CC}">
              <c16:uniqueId val="{00000010-770A-4D71-B105-14D971190069}"/>
            </c:ext>
          </c:extLst>
        </c:ser>
        <c:dLbls>
          <c:showLegendKey val="0"/>
          <c:showVal val="0"/>
          <c:showCatName val="0"/>
          <c:showSerName val="0"/>
          <c:showPercent val="0"/>
          <c:showBubbleSize val="0"/>
        </c:dLbls>
        <c:marker val="1"/>
        <c:smooth val="0"/>
        <c:axId val="852823664"/>
        <c:axId val="214573408"/>
      </c:lineChart>
      <c:catAx>
        <c:axId val="945418624"/>
        <c:scaling>
          <c:orientation val="minMax"/>
        </c:scaling>
        <c:delete val="0"/>
        <c:axPos val="b"/>
        <c:majorGridlines>
          <c:spPr>
            <a:ln w="3175" cap="sq" cmpd="sng" algn="ctr">
              <a:noFill/>
              <a:prstDash val="dot"/>
              <a:round/>
            </a:ln>
            <a:effectLst/>
          </c:spPr>
        </c:majorGridlines>
        <c:numFmt formatCode="General" sourceLinked="0"/>
        <c:majorTickMark val="out"/>
        <c:minorTickMark val="none"/>
        <c:tickLblPos val="nextTo"/>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rot="-6000000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945420160"/>
        <c:crosses val="autoZero"/>
        <c:auto val="1"/>
        <c:lblAlgn val="ctr"/>
        <c:lblOffset val="100"/>
        <c:noMultiLvlLbl val="0"/>
      </c:catAx>
      <c:valAx>
        <c:axId val="945420160"/>
        <c:scaling>
          <c:orientation val="minMax"/>
        </c:scaling>
        <c:delete val="0"/>
        <c:axPos val="l"/>
        <c:majorGridlines>
          <c:spPr>
            <a:ln w="3175" cap="sq" cmpd="sng" algn="ctr">
              <a:solidFill>
                <a:srgbClr val="C0C0C0"/>
              </a:solidFill>
              <a:prstDash val="dot"/>
              <a:round/>
            </a:ln>
            <a:effectLst/>
          </c:spPr>
        </c:majorGridlines>
        <c:numFmt formatCode="#,##0" sourceLinked="0"/>
        <c:majorTickMark val="out"/>
        <c:minorTickMark val="none"/>
        <c:tickLblPos val="nextTo"/>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rot="-6000000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945418624"/>
        <c:crosses val="autoZero"/>
        <c:crossBetween val="between"/>
      </c:valAx>
      <c:valAx>
        <c:axId val="214573408"/>
        <c:scaling>
          <c:orientation val="minMax"/>
        </c:scaling>
        <c:delete val="0"/>
        <c:axPos val="r"/>
        <c:numFmt formatCode="0.0%_);\(0.0%\);0.0%_);@_)" sourceLinked="1"/>
        <c:majorTickMark val="none"/>
        <c:minorTickMark val="none"/>
        <c:tickLblPos val="none"/>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852823664"/>
        <c:crosses val="max"/>
        <c:crossBetween val="between"/>
      </c:valAx>
      <c:catAx>
        <c:axId val="852823664"/>
        <c:scaling>
          <c:orientation val="minMax"/>
        </c:scaling>
        <c:delete val="1"/>
        <c:axPos val="b"/>
        <c:majorTickMark val="out"/>
        <c:minorTickMark val="none"/>
        <c:tickLblPos val="nextTo"/>
        <c:crossAx val="214573408"/>
        <c:crosses val="autoZero"/>
        <c:auto val="1"/>
        <c:lblAlgn val="ctr"/>
        <c:lblOffset val="100"/>
        <c:noMultiLvlLbl val="0"/>
      </c:catAx>
      <c:spPr>
        <a:noFill/>
        <a:ln>
          <a:noFill/>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a:noFill/>
              <a:round/>
            </a14:hiddenLine>
          </a:ext>
        </a:extLst>
      </c:spPr>
    </c:plotArea>
    <c:legend>
      <c:legendPos val="t"/>
      <c:layout>
        <c:manualLayout>
          <c:xMode val="edge"/>
          <c:yMode val="edge"/>
          <c:x val="0.43147164092503404"/>
          <c:y val="5.7763034228968738E-2"/>
          <c:w val="0.32160270308045863"/>
          <c:h val="0.17010217462740196"/>
        </c:manualLayout>
      </c:layout>
      <c:overlay val="1"/>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legend>
    <c:plotVisOnly val="1"/>
    <c:dispBlanksAs val="gap"/>
    <c:showDLblsOverMax val="0"/>
  </c:chart>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a:lstStyle/>
    <a:p>
      <a:pPr>
        <a:defRPr sz="800">
          <a:latin typeface="Roboto" panose="02000000000000000000" pitchFamily="2" charset="0"/>
          <a:ea typeface="Roboto" panose="02000000000000000000" pitchFamily="2" charset="0"/>
          <a:cs typeface="Roboto" panose="02000000000000000000" pitchFamily="2" charset="0"/>
        </a:defRPr>
      </a:pPr>
      <a:endParaRPr lang="en-US"/>
    </a:p>
  </c:txPr>
  <c:printSettings>
    <c:headerFooter/>
    <c:pageMargins b="0.75" l="0.7" r="0.7" t="0.75" header="0.3" footer="0.3"/>
    <c:pageSetup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8293653092918944E-2"/>
          <c:y val="5.4609675619501766E-2"/>
          <c:w val="0.85746340121949294"/>
          <c:h val="0.86308631590944007"/>
        </c:manualLayout>
      </c:layout>
      <c:barChart>
        <c:barDir val="col"/>
        <c:grouping val="stacked"/>
        <c:varyColors val="0"/>
        <c:ser>
          <c:idx val="0"/>
          <c:order val="0"/>
          <c:tx>
            <c:strRef>
              <c:f>Charts!$E$49</c:f>
              <c:strCache>
                <c:ptCount val="1"/>
                <c:pt idx="0">
                  <c:v>Merchant Solutions Gross Profit</c:v>
                </c:pt>
              </c:strCache>
            </c:strRef>
          </c:tx>
          <c:spPr>
            <a:solidFill>
              <a:schemeClr val="accent1"/>
            </a:solidFill>
            <a:ln>
              <a:noFill/>
            </a:ln>
            <a:effectLst/>
          </c:spPr>
          <c:invertIfNegative val="0"/>
          <c:dPt>
            <c:idx val="1"/>
            <c:invertIfNegative val="0"/>
            <c:bubble3D val="0"/>
            <c:extLst>
              <c:ext xmlns:c16="http://schemas.microsoft.com/office/drawing/2014/chart" uri="{C3380CC4-5D6E-409C-BE32-E72D297353CC}">
                <c16:uniqueId val="{00000000-1020-4EE7-9F46-0E37F08AB9C1}"/>
              </c:ext>
            </c:extLst>
          </c:dPt>
          <c:dPt>
            <c:idx val="2"/>
            <c:invertIfNegative val="0"/>
            <c:bubble3D val="0"/>
            <c:extLst>
              <c:ext xmlns:c16="http://schemas.microsoft.com/office/drawing/2014/chart" uri="{C3380CC4-5D6E-409C-BE32-E72D297353CC}">
                <c16:uniqueId val="{00000001-1020-4EE7-9F46-0E37F08AB9C1}"/>
              </c:ext>
            </c:extLst>
          </c:dPt>
          <c:dPt>
            <c:idx val="8"/>
            <c:invertIfNegative val="0"/>
            <c:bubble3D val="0"/>
            <c:extLst>
              <c:ext xmlns:c16="http://schemas.microsoft.com/office/drawing/2014/chart" uri="{C3380CC4-5D6E-409C-BE32-E72D297353CC}">
                <c16:uniqueId val="{00000002-1020-4EE7-9F46-0E37F08AB9C1}"/>
              </c:ext>
            </c:extLst>
          </c:dPt>
          <c:dPt>
            <c:idx val="9"/>
            <c:invertIfNegative val="0"/>
            <c:bubble3D val="0"/>
            <c:extLst>
              <c:ext xmlns:c16="http://schemas.microsoft.com/office/drawing/2014/chart" uri="{C3380CC4-5D6E-409C-BE32-E72D297353CC}">
                <c16:uniqueId val="{00000003-1020-4EE7-9F46-0E37F08AB9C1}"/>
              </c:ext>
            </c:extLst>
          </c:dPt>
          <c:cat>
            <c:numRef>
              <c:f>Charts!$V$38:$BA$38</c:f>
              <c:numCache>
                <c:formatCode>General</c:formatCode>
                <c:ptCount val="32"/>
              </c:numCache>
            </c:numRef>
          </c:cat>
          <c:val>
            <c:numRef>
              <c:f>Charts!$V$49:$BA$49</c:f>
              <c:numCache>
                <c:formatCode>0.0</c:formatCode>
                <c:ptCount val="32"/>
                <c:pt idx="0">
                  <c:v>107.053</c:v>
                </c:pt>
                <c:pt idx="1">
                  <c:v>223.00000000000006</c:v>
                </c:pt>
                <c:pt idx="2">
                  <c:v>212.04399999999998</c:v>
                </c:pt>
                <c:pt idx="3">
                  <c:v>284.19799999999998</c:v>
                </c:pt>
                <c:pt idx="4">
                  <c:v>296.41700000000003</c:v>
                </c:pt>
                <c:pt idx="5">
                  <c:v>349.65</c:v>
                </c:pt>
                <c:pt idx="6">
                  <c:v>340.05600000000004</c:v>
                </c:pt>
                <c:pt idx="7">
                  <c:v>417.03800000000001</c:v>
                </c:pt>
                <c:pt idx="8">
                  <c:v>370.42099999999999</c:v>
                </c:pt>
                <c:pt idx="9">
                  <c:v>374.43700000000001</c:v>
                </c:pt>
                <c:pt idx="10">
                  <c:v>368.34400000000005</c:v>
                </c:pt>
                <c:pt idx="11">
                  <c:v>484.02499999999998</c:v>
                </c:pt>
                <c:pt idx="12">
                  <c:v>419</c:v>
                </c:pt>
                <c:pt idx="13">
                  <c:v>476</c:v>
                </c:pt>
                <c:pt idx="14">
                  <c:v>503</c:v>
                </c:pt>
                <c:pt idx="15">
                  <c:v>634</c:v>
                </c:pt>
                <c:pt idx="16">
                  <c:v>541</c:v>
                </c:pt>
                <c:pt idx="17">
                  <c:v>579</c:v>
                </c:pt>
                <c:pt idx="18">
                  <c:v>616</c:v>
                </c:pt>
                <c:pt idx="19">
                  <c:v>820</c:v>
                </c:pt>
                <c:pt idx="20">
                  <c:v>672</c:v>
                </c:pt>
                <c:pt idx="21">
                  <c:v>767</c:v>
                </c:pt>
                <c:pt idx="22">
                  <c:v>820</c:v>
                </c:pt>
                <c:pt idx="23">
                  <c:v>1064</c:v>
                </c:pt>
                <c:pt idx="24">
                  <c:v>944</c:v>
                </c:pt>
                <c:pt idx="25">
                  <c:v>1069</c:v>
                </c:pt>
                <c:pt idx="26">
                  <c:v>1094.5604532636366</c:v>
                </c:pt>
                <c:pt idx="27">
                  <c:v>1409.5462301853368</c:v>
                </c:pt>
                <c:pt idx="28">
                  <c:v>1224.9786114692231</c:v>
                </c:pt>
                <c:pt idx="29">
                  <c:v>1376.3432176343194</c:v>
                </c:pt>
                <c:pt idx="30">
                  <c:v>1387.2407774772728</c:v>
                </c:pt>
                <c:pt idx="31">
                  <c:v>1772.1927297131479</c:v>
                </c:pt>
              </c:numCache>
            </c:numRef>
          </c:val>
          <c:extLst>
            <c:ext xmlns:c16="http://schemas.microsoft.com/office/drawing/2014/chart" uri="{C3380CC4-5D6E-409C-BE32-E72D297353CC}">
              <c16:uniqueId val="{00000004-1020-4EE7-9F46-0E37F08AB9C1}"/>
            </c:ext>
          </c:extLst>
        </c:ser>
        <c:ser>
          <c:idx val="1"/>
          <c:order val="1"/>
          <c:tx>
            <c:strRef>
              <c:f>Charts!$E$48</c:f>
              <c:strCache>
                <c:ptCount val="1"/>
                <c:pt idx="0">
                  <c:v>Subscription Solution Gross Profit</c:v>
                </c:pt>
              </c:strCache>
            </c:strRef>
          </c:tx>
          <c:spPr>
            <a:solidFill>
              <a:schemeClr val="accent3"/>
            </a:solidFill>
            <a:ln>
              <a:noFill/>
            </a:ln>
            <a:effectLst/>
          </c:spPr>
          <c:invertIfNegative val="0"/>
          <c:cat>
            <c:numRef>
              <c:f>Charts!$V$38:$BA$38</c:f>
              <c:numCache>
                <c:formatCode>General</c:formatCode>
                <c:ptCount val="32"/>
              </c:numCache>
            </c:numRef>
          </c:cat>
          <c:val>
            <c:numRef>
              <c:f>Charts!$V$48:$BA$48</c:f>
              <c:numCache>
                <c:formatCode>0.0</c:formatCode>
                <c:ptCount val="32"/>
                <c:pt idx="0">
                  <c:v>149.89699999999999</c:v>
                </c:pt>
                <c:pt idx="1">
                  <c:v>152.03399999999999</c:v>
                </c:pt>
                <c:pt idx="2">
                  <c:v>193.10399999999998</c:v>
                </c:pt>
                <c:pt idx="3">
                  <c:v>220.19</c:v>
                </c:pt>
                <c:pt idx="4">
                  <c:v>262.29899999999998</c:v>
                </c:pt>
                <c:pt idx="5">
                  <c:v>271.21000000000004</c:v>
                </c:pt>
                <c:pt idx="6">
                  <c:v>268.85300000000001</c:v>
                </c:pt>
                <c:pt idx="7">
                  <c:v>275.62100000000004</c:v>
                </c:pt>
                <c:pt idx="8">
                  <c:v>267.21600000000001</c:v>
                </c:pt>
                <c:pt idx="9">
                  <c:v>281.20499999999998</c:v>
                </c:pt>
                <c:pt idx="10">
                  <c:v>293.988</c:v>
                </c:pt>
                <c:pt idx="11">
                  <c:v>314.483</c:v>
                </c:pt>
                <c:pt idx="12">
                  <c:v>298</c:v>
                </c:pt>
                <c:pt idx="13">
                  <c:v>359</c:v>
                </c:pt>
                <c:pt idx="14">
                  <c:v>398</c:v>
                </c:pt>
                <c:pt idx="15">
                  <c:v>428</c:v>
                </c:pt>
                <c:pt idx="16">
                  <c:v>416</c:v>
                </c:pt>
                <c:pt idx="17">
                  <c:v>466</c:v>
                </c:pt>
                <c:pt idx="18">
                  <c:v>502</c:v>
                </c:pt>
                <c:pt idx="19">
                  <c:v>532</c:v>
                </c:pt>
                <c:pt idx="20">
                  <c:v>497</c:v>
                </c:pt>
                <c:pt idx="21">
                  <c:v>535</c:v>
                </c:pt>
                <c:pt idx="22">
                  <c:v>571</c:v>
                </c:pt>
                <c:pt idx="23">
                  <c:v>629</c:v>
                </c:pt>
                <c:pt idx="24">
                  <c:v>602</c:v>
                </c:pt>
                <c:pt idx="25">
                  <c:v>639</c:v>
                </c:pt>
                <c:pt idx="26">
                  <c:v>701.7294457516241</c:v>
                </c:pt>
                <c:pt idx="27">
                  <c:v>755.77254726490867</c:v>
                </c:pt>
                <c:pt idx="28">
                  <c:v>720.11764464509383</c:v>
                </c:pt>
                <c:pt idx="29">
                  <c:v>768.57829453108673</c:v>
                </c:pt>
                <c:pt idx="30">
                  <c:v>844.05242656893051</c:v>
                </c:pt>
                <c:pt idx="31">
                  <c:v>909.04624839646158</c:v>
                </c:pt>
              </c:numCache>
            </c:numRef>
          </c:val>
          <c:extLst>
            <c:ext xmlns:c16="http://schemas.microsoft.com/office/drawing/2014/chart" uri="{C3380CC4-5D6E-409C-BE32-E72D297353CC}">
              <c16:uniqueId val="{0000000D-1020-4EE7-9F46-0E37F08AB9C1}"/>
            </c:ext>
          </c:extLst>
        </c:ser>
        <c:dLbls>
          <c:showLegendKey val="0"/>
          <c:showVal val="0"/>
          <c:showCatName val="0"/>
          <c:showSerName val="0"/>
          <c:showPercent val="0"/>
          <c:showBubbleSize val="0"/>
        </c:dLbls>
        <c:gapWidth val="30"/>
        <c:overlap val="100"/>
        <c:axId val="945418624"/>
        <c:axId val="945420160"/>
      </c:barChart>
      <c:lineChart>
        <c:grouping val="standard"/>
        <c:varyColors val="0"/>
        <c:ser>
          <c:idx val="2"/>
          <c:order val="2"/>
          <c:tx>
            <c:strRef>
              <c:f>Charts!$E$55</c:f>
              <c:strCache>
                <c:ptCount val="1"/>
                <c:pt idx="0">
                  <c:v>Total Gross Margin</c:v>
                </c:pt>
              </c:strCache>
            </c:strRef>
          </c:tx>
          <c:spPr>
            <a:ln w="19050" cap="rnd" cmpd="sng" algn="ctr">
              <a:solidFill>
                <a:schemeClr val="accent5"/>
              </a:solidFill>
              <a:prstDash val="solid"/>
              <a:round/>
            </a:ln>
            <a:effectLst/>
          </c:spPr>
          <c:marker>
            <c:symbol val="none"/>
          </c:marker>
          <c:val>
            <c:numRef>
              <c:f>Charts!$V$55:$BA$55</c:f>
              <c:numCache>
                <c:formatCode>0.0%_);\(0.0%\);0.0%_);@_)</c:formatCode>
                <c:ptCount val="32"/>
                <c:pt idx="0">
                  <c:v>0.546700964466033</c:v>
                </c:pt>
                <c:pt idx="1">
                  <c:v>0.52500696446095074</c:v>
                </c:pt>
                <c:pt idx="2">
                  <c:v>0.52794547859344154</c:v>
                </c:pt>
                <c:pt idx="3">
                  <c:v>0.51586918457183062</c:v>
                </c:pt>
                <c:pt idx="4">
                  <c:v>0.56513194294829194</c:v>
                </c:pt>
                <c:pt idx="5">
                  <c:v>0.55461411681681538</c:v>
                </c:pt>
                <c:pt idx="6">
                  <c:v>0.54185932689056182</c:v>
                </c:pt>
                <c:pt idx="7">
                  <c:v>0.501918082584071</c:v>
                </c:pt>
                <c:pt idx="8">
                  <c:v>0.52976471868683139</c:v>
                </c:pt>
                <c:pt idx="9">
                  <c:v>0.50626262969446278</c:v>
                </c:pt>
                <c:pt idx="10">
                  <c:v>0.48479871175523354</c:v>
                </c:pt>
                <c:pt idx="11">
                  <c:v>0.46024099441030381</c:v>
                </c:pt>
                <c:pt idx="12">
                  <c:v>0.47546419098143233</c:v>
                </c:pt>
                <c:pt idx="13">
                  <c:v>0.49291617473435656</c:v>
                </c:pt>
                <c:pt idx="14">
                  <c:v>0.52567094515752621</c:v>
                </c:pt>
                <c:pt idx="15">
                  <c:v>0.49533582089552236</c:v>
                </c:pt>
                <c:pt idx="16">
                  <c:v>0.51423965609887157</c:v>
                </c:pt>
                <c:pt idx="17">
                  <c:v>0.51100244498777503</c:v>
                </c:pt>
                <c:pt idx="18">
                  <c:v>0.51711378353376503</c:v>
                </c:pt>
                <c:pt idx="19">
                  <c:v>0.48079658605974396</c:v>
                </c:pt>
                <c:pt idx="20">
                  <c:v>0.49533898305084745</c:v>
                </c:pt>
                <c:pt idx="21">
                  <c:v>0.48582089552238805</c:v>
                </c:pt>
                <c:pt idx="22">
                  <c:v>0.48909985935302391</c:v>
                </c:pt>
                <c:pt idx="23">
                  <c:v>0.46105664488017428</c:v>
                </c:pt>
                <c:pt idx="24">
                  <c:v>0.48769716088328074</c:v>
                </c:pt>
                <c:pt idx="25">
                  <c:v>0.47669550655874965</c:v>
                </c:pt>
                <c:pt idx="26">
                  <c:v>0.48431569475685332</c:v>
                </c:pt>
                <c:pt idx="27">
                  <c:v>0.45587943179807378</c:v>
                </c:pt>
                <c:pt idx="28">
                  <c:v>0.48204155062288551</c:v>
                </c:pt>
                <c:pt idx="29">
                  <c:v>0.47226813436653242</c:v>
                </c:pt>
                <c:pt idx="30">
                  <c:v>0.48070853106111427</c:v>
                </c:pt>
                <c:pt idx="31">
                  <c:v>0.45323836876026286</c:v>
                </c:pt>
              </c:numCache>
            </c:numRef>
          </c:val>
          <c:smooth val="1"/>
          <c:extLst>
            <c:ext xmlns:c16="http://schemas.microsoft.com/office/drawing/2014/chart" uri="{C3380CC4-5D6E-409C-BE32-E72D297353CC}">
              <c16:uniqueId val="{0000000E-1020-4EE7-9F46-0E37F08AB9C1}"/>
            </c:ext>
          </c:extLst>
        </c:ser>
        <c:dLbls>
          <c:showLegendKey val="0"/>
          <c:showVal val="0"/>
          <c:showCatName val="0"/>
          <c:showSerName val="0"/>
          <c:showPercent val="0"/>
          <c:showBubbleSize val="0"/>
        </c:dLbls>
        <c:marker val="1"/>
        <c:smooth val="0"/>
        <c:axId val="852823664"/>
        <c:axId val="214573408"/>
      </c:lineChart>
      <c:catAx>
        <c:axId val="945418624"/>
        <c:scaling>
          <c:orientation val="minMax"/>
        </c:scaling>
        <c:delete val="0"/>
        <c:axPos val="b"/>
        <c:majorGridlines>
          <c:spPr>
            <a:ln w="3175" cap="sq" cmpd="sng" algn="ctr">
              <a:noFill/>
              <a:prstDash val="dot"/>
              <a:round/>
            </a:ln>
            <a:effectLst/>
          </c:spPr>
        </c:majorGridlines>
        <c:numFmt formatCode="General" sourceLinked="0"/>
        <c:majorTickMark val="out"/>
        <c:minorTickMark val="none"/>
        <c:tickLblPos val="nextTo"/>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rot="-6000000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945420160"/>
        <c:crosses val="autoZero"/>
        <c:auto val="1"/>
        <c:lblAlgn val="ctr"/>
        <c:lblOffset val="100"/>
        <c:noMultiLvlLbl val="0"/>
      </c:catAx>
      <c:valAx>
        <c:axId val="945420160"/>
        <c:scaling>
          <c:orientation val="minMax"/>
        </c:scaling>
        <c:delete val="0"/>
        <c:axPos val="l"/>
        <c:majorGridlines>
          <c:spPr>
            <a:ln w="3175" cap="sq" cmpd="sng" algn="ctr">
              <a:solidFill>
                <a:srgbClr val="C0C0C0"/>
              </a:solidFill>
              <a:prstDash val="dot"/>
              <a:round/>
            </a:ln>
            <a:effectLst/>
          </c:spPr>
        </c:majorGridlines>
        <c:numFmt formatCode="#,##0" sourceLinked="0"/>
        <c:majorTickMark val="out"/>
        <c:minorTickMark val="none"/>
        <c:tickLblPos val="nextTo"/>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rot="-6000000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945418624"/>
        <c:crosses val="autoZero"/>
        <c:crossBetween val="between"/>
      </c:valAx>
      <c:valAx>
        <c:axId val="214573408"/>
        <c:scaling>
          <c:orientation val="minMax"/>
        </c:scaling>
        <c:delete val="0"/>
        <c:axPos val="r"/>
        <c:numFmt formatCode="0%" sourceLinked="0"/>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852823664"/>
        <c:crosses val="max"/>
        <c:crossBetween val="between"/>
      </c:valAx>
      <c:catAx>
        <c:axId val="852823664"/>
        <c:scaling>
          <c:orientation val="minMax"/>
        </c:scaling>
        <c:delete val="1"/>
        <c:axPos val="b"/>
        <c:majorTickMark val="out"/>
        <c:minorTickMark val="none"/>
        <c:tickLblPos val="nextTo"/>
        <c:crossAx val="214573408"/>
        <c:crosses val="autoZero"/>
        <c:auto val="1"/>
        <c:lblAlgn val="ctr"/>
        <c:lblOffset val="100"/>
        <c:noMultiLvlLbl val="0"/>
      </c:catAx>
      <c:spPr>
        <a:noFill/>
        <a:ln>
          <a:noFill/>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a:noFill/>
              <a:round/>
            </a14:hiddenLine>
          </a:ext>
        </a:extLst>
      </c:spPr>
    </c:plotArea>
    <c:legend>
      <c:legendPos val="t"/>
      <c:layout>
        <c:manualLayout>
          <c:xMode val="edge"/>
          <c:yMode val="edge"/>
          <c:x val="7.6305854756706093E-2"/>
          <c:y val="0.30548628142793627"/>
          <c:w val="0.41890844856618731"/>
          <c:h val="0.17010217462740196"/>
        </c:manualLayout>
      </c:layout>
      <c:overlay val="1"/>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legend>
    <c:plotVisOnly val="1"/>
    <c:dispBlanksAs val="gap"/>
    <c:showDLblsOverMax val="0"/>
  </c:chart>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a:lstStyle/>
    <a:p>
      <a:pPr>
        <a:defRPr sz="800">
          <a:latin typeface="Roboto" panose="02000000000000000000" pitchFamily="2" charset="0"/>
          <a:ea typeface="Roboto" panose="02000000000000000000" pitchFamily="2" charset="0"/>
          <a:cs typeface="Roboto" panose="02000000000000000000" pitchFamily="2" charset="0"/>
        </a:defRPr>
      </a:pPr>
      <a:endParaRPr lang="en-US"/>
    </a:p>
  </c:txPr>
  <c:printSettings>
    <c:headerFooter/>
    <c:pageMargins b="0.75" l="0.7" r="0.7" t="0.75" header="0.3" footer="0.3"/>
    <c:pageSetup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8293653092918944E-2"/>
          <c:y val="5.4609675619501766E-2"/>
          <c:w val="0.91861145701550695"/>
          <c:h val="0.86308631590944007"/>
        </c:manualLayout>
      </c:layout>
      <c:barChart>
        <c:barDir val="col"/>
        <c:grouping val="stacked"/>
        <c:varyColors val="0"/>
        <c:ser>
          <c:idx val="0"/>
          <c:order val="0"/>
          <c:tx>
            <c:strRef>
              <c:f>Charts!$E$44</c:f>
              <c:strCache>
                <c:ptCount val="1"/>
                <c:pt idx="0">
                  <c:v>Total Cost of Revenue</c:v>
                </c:pt>
              </c:strCache>
            </c:strRef>
          </c:tx>
          <c:spPr>
            <a:solidFill>
              <a:schemeClr val="accent4">
                <a:lumMod val="40000"/>
                <a:lumOff val="60000"/>
              </a:schemeClr>
            </a:solidFill>
            <a:ln>
              <a:noFill/>
            </a:ln>
            <a:effectLst/>
          </c:spPr>
          <c:invertIfNegative val="0"/>
          <c:dPt>
            <c:idx val="1"/>
            <c:invertIfNegative val="0"/>
            <c:bubble3D val="0"/>
            <c:extLst>
              <c:ext xmlns:c16="http://schemas.microsoft.com/office/drawing/2014/chart" uri="{C3380CC4-5D6E-409C-BE32-E72D297353CC}">
                <c16:uniqueId val="{00000000-C3A8-46DA-B002-B344E1BC1631}"/>
              </c:ext>
            </c:extLst>
          </c:dPt>
          <c:dPt>
            <c:idx val="2"/>
            <c:invertIfNegative val="0"/>
            <c:bubble3D val="0"/>
            <c:extLst>
              <c:ext xmlns:c16="http://schemas.microsoft.com/office/drawing/2014/chart" uri="{C3380CC4-5D6E-409C-BE32-E72D297353CC}">
                <c16:uniqueId val="{00000001-C3A8-46DA-B002-B344E1BC1631}"/>
              </c:ext>
            </c:extLst>
          </c:dPt>
          <c:dPt>
            <c:idx val="8"/>
            <c:invertIfNegative val="0"/>
            <c:bubble3D val="0"/>
            <c:extLst>
              <c:ext xmlns:c16="http://schemas.microsoft.com/office/drawing/2014/chart" uri="{C3380CC4-5D6E-409C-BE32-E72D297353CC}">
                <c16:uniqueId val="{00000002-C3A8-46DA-B002-B344E1BC1631}"/>
              </c:ext>
            </c:extLst>
          </c:dPt>
          <c:dPt>
            <c:idx val="9"/>
            <c:invertIfNegative val="0"/>
            <c:bubble3D val="0"/>
            <c:extLst>
              <c:ext xmlns:c16="http://schemas.microsoft.com/office/drawing/2014/chart" uri="{C3380CC4-5D6E-409C-BE32-E72D297353CC}">
                <c16:uniqueId val="{00000003-C3A8-46DA-B002-B344E1BC1631}"/>
              </c:ext>
            </c:extLst>
          </c:dPt>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Charts!$CT$38:$DE$38</c:f>
              <c:numCache>
                <c:formatCode>General</c:formatCode>
                <c:ptCount val="12"/>
              </c:numCache>
            </c:numRef>
          </c:cat>
          <c:val>
            <c:numRef>
              <c:f>Charts!$CT$44:$DE$44</c:f>
              <c:numCache>
                <c:formatCode>0.0</c:formatCode>
                <c:ptCount val="12"/>
                <c:pt idx="0">
                  <c:v>179.83499999999998</c:v>
                </c:pt>
                <c:pt idx="1">
                  <c:v>293.05099999999999</c:v>
                </c:pt>
                <c:pt idx="2">
                  <c:v>476.96199999999999</c:v>
                </c:pt>
                <c:pt idx="3">
                  <c:v>712.53</c:v>
                </c:pt>
                <c:pt idx="4">
                  <c:v>1387.9709999999998</c:v>
                </c:pt>
                <c:pt idx="5">
                  <c:v>2130.712</c:v>
                </c:pt>
                <c:pt idx="6">
                  <c:v>2845.7450000000003</c:v>
                </c:pt>
                <c:pt idx="7">
                  <c:v>3545</c:v>
                </c:pt>
                <c:pt idx="8">
                  <c:v>4408</c:v>
                </c:pt>
                <c:pt idx="9">
                  <c:v>#N/A</c:v>
                </c:pt>
                <c:pt idx="10">
                  <c:v>7996.0768473041817</c:v>
                </c:pt>
                <c:pt idx="11">
                  <c:v>10131.729651156633</c:v>
                </c:pt>
              </c:numCache>
            </c:numRef>
          </c:val>
          <c:extLst>
            <c:ext xmlns:c16="http://schemas.microsoft.com/office/drawing/2014/chart" uri="{C3380CC4-5D6E-409C-BE32-E72D297353CC}">
              <c16:uniqueId val="{00000004-C3A8-46DA-B002-B344E1BC1631}"/>
            </c:ext>
          </c:extLst>
        </c:ser>
        <c:dLbls>
          <c:showLegendKey val="0"/>
          <c:showVal val="0"/>
          <c:showCatName val="0"/>
          <c:showSerName val="0"/>
          <c:showPercent val="0"/>
          <c:showBubbleSize val="0"/>
        </c:dLbls>
        <c:gapWidth val="30"/>
        <c:overlap val="100"/>
        <c:axId val="945418624"/>
        <c:axId val="945420160"/>
      </c:barChart>
      <c:lineChart>
        <c:grouping val="standard"/>
        <c:varyColors val="0"/>
        <c:ser>
          <c:idx val="2"/>
          <c:order val="1"/>
          <c:tx>
            <c:strRef>
              <c:f>Charts!$E$45</c:f>
              <c:strCache>
                <c:ptCount val="1"/>
                <c:pt idx="0">
                  <c:v>% of total revenue </c:v>
                </c:pt>
              </c:strCache>
            </c:strRef>
          </c:tx>
          <c:spPr>
            <a:ln w="19050" cap="rnd" cmpd="sng" algn="ctr">
              <a:solidFill>
                <a:schemeClr val="accent5"/>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val>
            <c:numRef>
              <c:f>Charts!$CT$45:$DE$45</c:f>
              <c:numCache>
                <c:formatCode>0.0%_);\(0.0%\);0.0%_);@_)</c:formatCode>
                <c:ptCount val="12"/>
                <c:pt idx="0">
                  <c:v>0.46190892045308601</c:v>
                </c:pt>
                <c:pt idx="1">
                  <c:v>0.4352432185164502</c:v>
                </c:pt>
                <c:pt idx="2">
                  <c:v>0.44441773377350041</c:v>
                </c:pt>
                <c:pt idx="3">
                  <c:v>0.45149042595456895</c:v>
                </c:pt>
                <c:pt idx="4">
                  <c:v>0.47379254621365957</c:v>
                </c:pt>
                <c:pt idx="5">
                  <c:v>0.46200748679056763</c:v>
                </c:pt>
                <c:pt idx="6">
                  <c:v>0.5081810915407946</c:v>
                </c:pt>
                <c:pt idx="7">
                  <c:v>0.50212464589235128</c:v>
                </c:pt>
                <c:pt idx="8">
                  <c:v>0.49639639639639638</c:v>
                </c:pt>
                <c:pt idx="9">
                  <c:v>#N/A</c:v>
                </c:pt>
                <c:pt idx="10">
                  <c:v>0.52565357302512994</c:v>
                </c:pt>
                <c:pt idx="11">
                  <c:v>0.52950672103242225</c:v>
                </c:pt>
              </c:numCache>
            </c:numRef>
          </c:val>
          <c:smooth val="1"/>
          <c:extLst>
            <c:ext xmlns:c16="http://schemas.microsoft.com/office/drawing/2014/chart" uri="{C3380CC4-5D6E-409C-BE32-E72D297353CC}">
              <c16:uniqueId val="{0000000E-C3A8-46DA-B002-B344E1BC1631}"/>
            </c:ext>
          </c:extLst>
        </c:ser>
        <c:dLbls>
          <c:showLegendKey val="0"/>
          <c:showVal val="0"/>
          <c:showCatName val="0"/>
          <c:showSerName val="0"/>
          <c:showPercent val="0"/>
          <c:showBubbleSize val="0"/>
        </c:dLbls>
        <c:marker val="1"/>
        <c:smooth val="0"/>
        <c:axId val="852823664"/>
        <c:axId val="214573408"/>
      </c:lineChart>
      <c:catAx>
        <c:axId val="945418624"/>
        <c:scaling>
          <c:orientation val="minMax"/>
        </c:scaling>
        <c:delete val="0"/>
        <c:axPos val="b"/>
        <c:majorGridlines>
          <c:spPr>
            <a:ln w="3175" cap="sq" cmpd="sng" algn="ctr">
              <a:noFill/>
              <a:prstDash val="dot"/>
              <a:round/>
            </a:ln>
            <a:effectLst/>
          </c:spPr>
        </c:majorGridlines>
        <c:numFmt formatCode="General" sourceLinked="0"/>
        <c:majorTickMark val="out"/>
        <c:minorTickMark val="none"/>
        <c:tickLblPos val="nextTo"/>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rot="-6000000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945420160"/>
        <c:crosses val="autoZero"/>
        <c:auto val="1"/>
        <c:lblAlgn val="ctr"/>
        <c:lblOffset val="100"/>
        <c:noMultiLvlLbl val="0"/>
      </c:catAx>
      <c:valAx>
        <c:axId val="945420160"/>
        <c:scaling>
          <c:orientation val="minMax"/>
        </c:scaling>
        <c:delete val="0"/>
        <c:axPos val="l"/>
        <c:majorGridlines>
          <c:spPr>
            <a:ln w="3175" cap="sq" cmpd="sng" algn="ctr">
              <a:solidFill>
                <a:srgbClr val="C0C0C0"/>
              </a:solidFill>
              <a:prstDash val="dot"/>
              <a:round/>
            </a:ln>
            <a:effectLst/>
          </c:spPr>
        </c:majorGridlines>
        <c:numFmt formatCode="#,##0.0" sourceLinked="0"/>
        <c:majorTickMark val="out"/>
        <c:minorTickMark val="none"/>
        <c:tickLblPos val="none"/>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rot="-6000000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945418624"/>
        <c:crosses val="autoZero"/>
        <c:crossBetween val="between"/>
      </c:valAx>
      <c:valAx>
        <c:axId val="214573408"/>
        <c:scaling>
          <c:orientation val="minMax"/>
        </c:scaling>
        <c:delete val="0"/>
        <c:axPos val="r"/>
        <c:numFmt formatCode="0.0%_);\(0.0%\);0.0%_);@_)" sourceLinked="1"/>
        <c:majorTickMark val="out"/>
        <c:minorTickMark val="none"/>
        <c:tickLblPos val="none"/>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852823664"/>
        <c:crosses val="max"/>
        <c:crossBetween val="between"/>
      </c:valAx>
      <c:catAx>
        <c:axId val="852823664"/>
        <c:scaling>
          <c:orientation val="minMax"/>
        </c:scaling>
        <c:delete val="1"/>
        <c:axPos val="b"/>
        <c:majorTickMark val="out"/>
        <c:minorTickMark val="none"/>
        <c:tickLblPos val="nextTo"/>
        <c:crossAx val="214573408"/>
        <c:crosses val="autoZero"/>
        <c:auto val="1"/>
        <c:lblAlgn val="ctr"/>
        <c:lblOffset val="100"/>
        <c:noMultiLvlLbl val="0"/>
      </c:catAx>
      <c:spPr>
        <a:noFill/>
        <a:ln>
          <a:noFill/>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a:noFill/>
              <a:round/>
            </a14:hiddenLine>
          </a:ext>
        </a:extLst>
      </c:spPr>
    </c:plotArea>
    <c:legend>
      <c:legendPos val="t"/>
      <c:layout>
        <c:manualLayout>
          <c:xMode val="edge"/>
          <c:yMode val="edge"/>
          <c:x val="0.13947584473262947"/>
          <c:y val="5.7762955444089631E-2"/>
          <c:w val="0.32160270308045863"/>
          <c:h val="0.17010217462740196"/>
        </c:manualLayout>
      </c:layout>
      <c:overlay val="1"/>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legend>
    <c:plotVisOnly val="1"/>
    <c:dispBlanksAs val="gap"/>
    <c:showDLblsOverMax val="0"/>
  </c:chart>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a:lstStyle/>
    <a:p>
      <a:pPr>
        <a:defRPr sz="800">
          <a:latin typeface="Roboto" panose="02000000000000000000" pitchFamily="2" charset="0"/>
          <a:ea typeface="Roboto" panose="02000000000000000000" pitchFamily="2" charset="0"/>
          <a:cs typeface="Roboto" panose="02000000000000000000" pitchFamily="2" charset="0"/>
        </a:defRPr>
      </a:pPr>
      <a:endParaRPr lang="en-US"/>
    </a:p>
  </c:txPr>
  <c:printSettings>
    <c:headerFooter/>
    <c:pageMargins b="0.75" l="0.7" r="0.7" t="0.75" header="0.3" footer="0.3"/>
    <c:pageSetup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8293653092918944E-2"/>
          <c:y val="5.4609675619501766E-2"/>
          <c:w val="0.85746340121949294"/>
          <c:h val="0.86308631590944007"/>
        </c:manualLayout>
      </c:layout>
      <c:barChart>
        <c:barDir val="col"/>
        <c:grouping val="clustered"/>
        <c:varyColors val="0"/>
        <c:ser>
          <c:idx val="0"/>
          <c:order val="0"/>
          <c:tx>
            <c:strRef>
              <c:f>Charts!$E$44</c:f>
              <c:strCache>
                <c:ptCount val="1"/>
                <c:pt idx="0">
                  <c:v>Total Cost of Revenue</c:v>
                </c:pt>
              </c:strCache>
            </c:strRef>
          </c:tx>
          <c:spPr>
            <a:solidFill>
              <a:schemeClr val="accent3">
                <a:lumMod val="20000"/>
                <a:lumOff val="80000"/>
              </a:schemeClr>
            </a:solidFill>
            <a:ln>
              <a:noFill/>
            </a:ln>
            <a:effectLst/>
          </c:spPr>
          <c:invertIfNegative val="0"/>
          <c:dPt>
            <c:idx val="1"/>
            <c:invertIfNegative val="0"/>
            <c:bubble3D val="0"/>
            <c:extLst>
              <c:ext xmlns:c16="http://schemas.microsoft.com/office/drawing/2014/chart" uri="{C3380CC4-5D6E-409C-BE32-E72D297353CC}">
                <c16:uniqueId val="{00000000-9AC4-41C1-AE90-507A571B9372}"/>
              </c:ext>
            </c:extLst>
          </c:dPt>
          <c:dPt>
            <c:idx val="2"/>
            <c:invertIfNegative val="0"/>
            <c:bubble3D val="0"/>
            <c:extLst>
              <c:ext xmlns:c16="http://schemas.microsoft.com/office/drawing/2014/chart" uri="{C3380CC4-5D6E-409C-BE32-E72D297353CC}">
                <c16:uniqueId val="{00000001-9AC4-41C1-AE90-507A571B9372}"/>
              </c:ext>
            </c:extLst>
          </c:dPt>
          <c:dPt>
            <c:idx val="8"/>
            <c:invertIfNegative val="0"/>
            <c:bubble3D val="0"/>
            <c:extLst>
              <c:ext xmlns:c16="http://schemas.microsoft.com/office/drawing/2014/chart" uri="{C3380CC4-5D6E-409C-BE32-E72D297353CC}">
                <c16:uniqueId val="{00000002-9AC4-41C1-AE90-507A571B9372}"/>
              </c:ext>
            </c:extLst>
          </c:dPt>
          <c:dPt>
            <c:idx val="9"/>
            <c:invertIfNegative val="0"/>
            <c:bubble3D val="0"/>
            <c:extLst>
              <c:ext xmlns:c16="http://schemas.microsoft.com/office/drawing/2014/chart" uri="{C3380CC4-5D6E-409C-BE32-E72D297353CC}">
                <c16:uniqueId val="{00000003-9AC4-41C1-AE90-507A571B9372}"/>
              </c:ext>
            </c:extLst>
          </c:dPt>
          <c:dLbls>
            <c:dLbl>
              <c:idx val="0"/>
              <c:layout>
                <c:manualLayout>
                  <c:x val="0"/>
                  <c:y val="1.553174736032835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9AC4-41C1-AE90-507A571B9372}"/>
                </c:ext>
              </c:extLst>
            </c:dLbl>
            <c:dLbl>
              <c:idx val="1"/>
              <c:layout>
                <c:manualLayout>
                  <c:x val="0"/>
                  <c:y val="1.553174736032835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AC4-41C1-AE90-507A571B9372}"/>
                </c:ext>
              </c:extLst>
            </c:dLbl>
            <c:dLbl>
              <c:idx val="2"/>
              <c:layout>
                <c:manualLayout>
                  <c:x val="-3.5128134227011882E-17"/>
                  <c:y val="1.553174736032828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AC4-41C1-AE90-507A571B9372}"/>
                </c:ext>
              </c:extLst>
            </c:dLbl>
            <c:dLbl>
              <c:idx val="3"/>
              <c:layout>
                <c:manualLayout>
                  <c:x val="-3.5128134227011882E-17"/>
                  <c:y val="1.159471507666348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9AC4-41C1-AE90-507A571B9372}"/>
                </c:ext>
              </c:extLst>
            </c:dLbl>
            <c:dLbl>
              <c:idx val="4"/>
              <c:layout>
                <c:manualLayout>
                  <c:x val="-7.0256268454023765E-17"/>
                  <c:y val="7.657682792998830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9AC4-41C1-AE90-507A571B9372}"/>
                </c:ext>
              </c:extLst>
            </c:dLbl>
            <c:dLbl>
              <c:idx val="5"/>
              <c:layout>
                <c:manualLayout>
                  <c:x val="0"/>
                  <c:y val="1.159471507666355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9AC4-41C1-AE90-507A571B9372}"/>
                </c:ext>
              </c:extLst>
            </c:dLbl>
            <c:dLbl>
              <c:idx val="6"/>
              <c:layout>
                <c:manualLayout>
                  <c:x val="0"/>
                  <c:y val="7.657682792998902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9AC4-41C1-AE90-507A571B9372}"/>
                </c:ext>
              </c:extLst>
            </c:dLbl>
            <c:dLbl>
              <c:idx val="7"/>
              <c:layout>
                <c:manualLayout>
                  <c:x val="0"/>
                  <c:y val="1.553174736032828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9AC4-41C1-AE90-507A571B9372}"/>
                </c:ext>
              </c:extLst>
            </c:dLbl>
            <c:dLbl>
              <c:idx val="8"/>
              <c:layout>
                <c:manualLayout>
                  <c:x val="0"/>
                  <c:y val="1.159471507666362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AC4-41C1-AE90-507A571B9372}"/>
                </c:ext>
              </c:extLst>
            </c:dLbl>
            <c:dLbl>
              <c:idx val="9"/>
              <c:layout>
                <c:manualLayout>
                  <c:x val="-7.0256268454023765E-17"/>
                  <c:y val="1.159471507666362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AC4-41C1-AE90-507A571B9372}"/>
                </c:ext>
              </c:extLst>
            </c:dLbl>
            <c:dLbl>
              <c:idx val="10"/>
              <c:layout>
                <c:manualLayout>
                  <c:x val="0"/>
                  <c:y val="1.159471507666362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9AC4-41C1-AE90-507A571B9372}"/>
                </c:ext>
              </c:extLst>
            </c:dLbl>
            <c:dLbl>
              <c:idx val="11"/>
              <c:layout>
                <c:manualLayout>
                  <c:x val="0"/>
                  <c:y val="1.553174736032831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9AC4-41C1-AE90-507A571B9372}"/>
                </c:ext>
              </c:extLst>
            </c:dLbl>
            <c:dLbl>
              <c:idx val="12"/>
              <c:layout>
                <c:manualLayout>
                  <c:x val="0"/>
                  <c:y val="1.159471507666362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9AC4-41C1-AE90-507A571B9372}"/>
                </c:ext>
              </c:extLst>
            </c:dLbl>
            <c:dLbl>
              <c:idx val="13"/>
              <c:layout>
                <c:manualLayout>
                  <c:x val="0"/>
                  <c:y val="1.159471507666362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9AC4-41C1-AE90-507A571B9372}"/>
                </c:ext>
              </c:extLst>
            </c:dLbl>
            <c:dLbl>
              <c:idx val="14"/>
              <c:layout>
                <c:manualLayout>
                  <c:x val="-1.4051253690804753E-16"/>
                  <c:y val="1.553174736032831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9AC4-41C1-AE90-507A571B9372}"/>
                </c:ext>
              </c:extLst>
            </c:dLbl>
            <c:dLbl>
              <c:idx val="15"/>
              <c:layout>
                <c:manualLayout>
                  <c:x val="0"/>
                  <c:y val="1.553174736032835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9AC4-41C1-AE90-507A571B9372}"/>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Charts!$V$38:$AK$38</c:f>
              <c:numCache>
                <c:formatCode>General</c:formatCode>
                <c:ptCount val="16"/>
              </c:numCache>
            </c:numRef>
          </c:cat>
          <c:val>
            <c:numRef>
              <c:f>Charts!$V$44:$AK$44</c:f>
              <c:numCache>
                <c:formatCode>0.0</c:formatCode>
                <c:ptCount val="16"/>
                <c:pt idx="0">
                  <c:v>213.05099999999999</c:v>
                </c:pt>
                <c:pt idx="1">
                  <c:v>339.30699999999996</c:v>
                </c:pt>
                <c:pt idx="2">
                  <c:v>362.25700000000001</c:v>
                </c:pt>
                <c:pt idx="3">
                  <c:v>473.35599999999999</c:v>
                </c:pt>
                <c:pt idx="4">
                  <c:v>429.93099999999998</c:v>
                </c:pt>
                <c:pt idx="5">
                  <c:v>498.58499999999998</c:v>
                </c:pt>
                <c:pt idx="6">
                  <c:v>514.83100000000002</c:v>
                </c:pt>
                <c:pt idx="7">
                  <c:v>687.36500000000001</c:v>
                </c:pt>
                <c:pt idx="8">
                  <c:v>565.98599999999999</c:v>
                </c:pt>
                <c:pt idx="9">
                  <c:v>639.42100000000005</c:v>
                </c:pt>
                <c:pt idx="10">
                  <c:v>703.86799999999994</c:v>
                </c:pt>
                <c:pt idx="11">
                  <c:v>936.46999999999991</c:v>
                </c:pt>
                <c:pt idx="12">
                  <c:v>791</c:v>
                </c:pt>
                <c:pt idx="13">
                  <c:v>859</c:v>
                </c:pt>
                <c:pt idx="14">
                  <c:v>813</c:v>
                </c:pt>
                <c:pt idx="15">
                  <c:v>1082</c:v>
                </c:pt>
              </c:numCache>
            </c:numRef>
          </c:val>
          <c:extLst>
            <c:ext xmlns:c16="http://schemas.microsoft.com/office/drawing/2014/chart" uri="{C3380CC4-5D6E-409C-BE32-E72D297353CC}">
              <c16:uniqueId val="{00000004-9AC4-41C1-AE90-507A571B9372}"/>
            </c:ext>
          </c:extLst>
        </c:ser>
        <c:dLbls>
          <c:showLegendKey val="0"/>
          <c:showVal val="0"/>
          <c:showCatName val="0"/>
          <c:showSerName val="0"/>
          <c:showPercent val="0"/>
          <c:showBubbleSize val="0"/>
        </c:dLbls>
        <c:gapWidth val="30"/>
        <c:axId val="945418624"/>
        <c:axId val="945420160"/>
      </c:barChart>
      <c:lineChart>
        <c:grouping val="standard"/>
        <c:varyColors val="0"/>
        <c:ser>
          <c:idx val="2"/>
          <c:order val="1"/>
          <c:tx>
            <c:strRef>
              <c:f>Charts!$E$45</c:f>
              <c:strCache>
                <c:ptCount val="1"/>
                <c:pt idx="0">
                  <c:v>% of total revenue </c:v>
                </c:pt>
              </c:strCache>
            </c:strRef>
          </c:tx>
          <c:spPr>
            <a:ln w="19050" cap="rnd" cmpd="sng" algn="ctr">
              <a:solidFill>
                <a:schemeClr val="accent5"/>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val>
            <c:numRef>
              <c:f>Charts!$V$45:$AK$45</c:f>
              <c:numCache>
                <c:formatCode>0.0%_);\(0.0%\);0.0%_);@_)</c:formatCode>
                <c:ptCount val="16"/>
                <c:pt idx="0">
                  <c:v>0.45329903553396694</c:v>
                </c:pt>
                <c:pt idx="1">
                  <c:v>0.4749930355390492</c:v>
                </c:pt>
                <c:pt idx="2">
                  <c:v>0.47205452140655851</c:v>
                </c:pt>
                <c:pt idx="3">
                  <c:v>0.48413081542816938</c:v>
                </c:pt>
                <c:pt idx="4">
                  <c:v>0.43486805705170806</c:v>
                </c:pt>
                <c:pt idx="5">
                  <c:v>0.44538588318318451</c:v>
                </c:pt>
                <c:pt idx="6">
                  <c:v>0.45814067310943812</c:v>
                </c:pt>
                <c:pt idx="7">
                  <c:v>0.49808191741592894</c:v>
                </c:pt>
                <c:pt idx="8">
                  <c:v>0.47023528131316861</c:v>
                </c:pt>
                <c:pt idx="9">
                  <c:v>0.49373737030553727</c:v>
                </c:pt>
                <c:pt idx="10">
                  <c:v>0.51520128824476641</c:v>
                </c:pt>
                <c:pt idx="11">
                  <c:v>0.53975900558969614</c:v>
                </c:pt>
                <c:pt idx="12">
                  <c:v>0.52453580901856767</c:v>
                </c:pt>
                <c:pt idx="13">
                  <c:v>0.50708382526564344</c:v>
                </c:pt>
                <c:pt idx="14">
                  <c:v>0.47432905484247373</c:v>
                </c:pt>
                <c:pt idx="15">
                  <c:v>0.50466417910447758</c:v>
                </c:pt>
              </c:numCache>
            </c:numRef>
          </c:val>
          <c:smooth val="1"/>
          <c:extLst>
            <c:ext xmlns:c16="http://schemas.microsoft.com/office/drawing/2014/chart" uri="{C3380CC4-5D6E-409C-BE32-E72D297353CC}">
              <c16:uniqueId val="{00000016-9AC4-41C1-AE90-507A571B9372}"/>
            </c:ext>
          </c:extLst>
        </c:ser>
        <c:dLbls>
          <c:showLegendKey val="0"/>
          <c:showVal val="0"/>
          <c:showCatName val="0"/>
          <c:showSerName val="0"/>
          <c:showPercent val="0"/>
          <c:showBubbleSize val="0"/>
        </c:dLbls>
        <c:marker val="1"/>
        <c:smooth val="0"/>
        <c:axId val="852823664"/>
        <c:axId val="214573408"/>
      </c:lineChart>
      <c:catAx>
        <c:axId val="945418624"/>
        <c:scaling>
          <c:orientation val="minMax"/>
        </c:scaling>
        <c:delete val="0"/>
        <c:axPos val="b"/>
        <c:majorGridlines>
          <c:spPr>
            <a:ln w="3175" cap="sq" cmpd="sng" algn="ctr">
              <a:noFill/>
              <a:prstDash val="dot"/>
              <a:round/>
            </a:ln>
            <a:effectLst/>
          </c:spPr>
        </c:majorGridlines>
        <c:numFmt formatCode="General" sourceLinked="0"/>
        <c:majorTickMark val="out"/>
        <c:minorTickMark val="none"/>
        <c:tickLblPos val="nextTo"/>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rot="-2580000" spcFirstLastPara="1" vertOverflow="ellipsis"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945420160"/>
        <c:crosses val="autoZero"/>
        <c:auto val="1"/>
        <c:lblAlgn val="ctr"/>
        <c:lblOffset val="100"/>
        <c:noMultiLvlLbl val="0"/>
      </c:catAx>
      <c:valAx>
        <c:axId val="945420160"/>
        <c:scaling>
          <c:orientation val="minMax"/>
        </c:scaling>
        <c:delete val="0"/>
        <c:axPos val="l"/>
        <c:majorGridlines>
          <c:spPr>
            <a:ln w="3175" cap="sq" cmpd="sng" algn="ctr">
              <a:solidFill>
                <a:srgbClr val="C0C0C0"/>
              </a:solidFill>
              <a:prstDash val="dot"/>
              <a:round/>
            </a:ln>
            <a:effectLst/>
          </c:spPr>
        </c:majorGridlines>
        <c:numFmt formatCode="#,##0.0" sourceLinked="0"/>
        <c:majorTickMark val="out"/>
        <c:minorTickMark val="none"/>
        <c:tickLblPos val="nextTo"/>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rot="-6000000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945418624"/>
        <c:crosses val="autoZero"/>
        <c:crossBetween val="between"/>
      </c:valAx>
      <c:valAx>
        <c:axId val="214573408"/>
        <c:scaling>
          <c:orientation val="minMax"/>
        </c:scaling>
        <c:delete val="0"/>
        <c:axPos val="r"/>
        <c:numFmt formatCode="0.0%_);\(0.0%\);0.0%_);@_)" sourceLinked="1"/>
        <c:majorTickMark val="out"/>
        <c:minorTickMark val="none"/>
        <c:tickLblPos val="nextTo"/>
        <c:spPr>
          <a:noFill/>
          <a:ln w="6350" cap="flat" cmpd="sng" algn="ctr">
            <a:solidFill>
              <a:schemeClr val="tx1">
                <a:tint val="7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852823664"/>
        <c:crosses val="max"/>
        <c:crossBetween val="between"/>
      </c:valAx>
      <c:catAx>
        <c:axId val="852823664"/>
        <c:scaling>
          <c:orientation val="minMax"/>
        </c:scaling>
        <c:delete val="1"/>
        <c:axPos val="b"/>
        <c:majorTickMark val="out"/>
        <c:minorTickMark val="none"/>
        <c:tickLblPos val="nextTo"/>
        <c:crossAx val="214573408"/>
        <c:crosses val="autoZero"/>
        <c:auto val="1"/>
        <c:lblAlgn val="ctr"/>
        <c:lblOffset val="100"/>
        <c:noMultiLvlLbl val="0"/>
      </c:catAx>
      <c:spPr>
        <a:noFill/>
        <a:ln>
          <a:noFill/>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a:noFill/>
              <a:round/>
            </a14:hiddenLine>
          </a:ext>
        </a:extLst>
      </c:spPr>
    </c:plotArea>
    <c:legend>
      <c:legendPos val="t"/>
      <c:layout>
        <c:manualLayout>
          <c:xMode val="edge"/>
          <c:yMode val="edge"/>
          <c:x val="7.36180280216433E-2"/>
          <c:y val="4.2069511791252082E-2"/>
          <c:w val="0.53593219812874626"/>
          <c:h val="7.9863737018748382E-2"/>
        </c:manualLayout>
      </c:layout>
      <c:overlay val="1"/>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legend>
    <c:plotVisOnly val="1"/>
    <c:dispBlanksAs val="gap"/>
    <c:showDLblsOverMax val="0"/>
  </c:chart>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a:lstStyle/>
    <a:p>
      <a:pPr>
        <a:defRPr sz="800">
          <a:latin typeface="Roboto" panose="02000000000000000000" pitchFamily="2" charset="0"/>
          <a:ea typeface="Roboto" panose="02000000000000000000" pitchFamily="2" charset="0"/>
          <a:cs typeface="Roboto" panose="02000000000000000000" pitchFamily="2" charset="0"/>
        </a:defRPr>
      </a:pPr>
      <a:endParaRPr lang="en-US"/>
    </a:p>
  </c:txPr>
  <c:printSettings>
    <c:headerFooter/>
    <c:pageMargins b="0.75" l="0.7" r="0.7" t="0.75" header="0.3" footer="0.3"/>
    <c:pageSetup orientation="landscape"/>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3.6423653907702365E-2"/>
          <c:y val="9.4357157049403798E-2"/>
          <c:w val="0.93344938066475547"/>
          <c:h val="0.80602318656140204"/>
        </c:manualLayout>
      </c:layout>
      <c:barChart>
        <c:barDir val="col"/>
        <c:grouping val="clustered"/>
        <c:varyColors val="0"/>
        <c:ser>
          <c:idx val="0"/>
          <c:order val="0"/>
          <c:tx>
            <c:strRef>
              <c:f>Charts!$E$60</c:f>
              <c:strCache>
                <c:ptCount val="1"/>
                <c:pt idx="0">
                  <c:v>Research and Development</c:v>
                </c:pt>
              </c:strCache>
            </c:strRef>
          </c:tx>
          <c:spPr>
            <a:solidFill>
              <a:schemeClr val="accent1"/>
            </a:solidFill>
            <a:ln>
              <a:noFill/>
            </a:ln>
            <a:effectLst/>
          </c:spPr>
          <c:invertIfNegative val="0"/>
          <c:dLbls>
            <c:numFmt formatCode="&quot;$&quot;0.0,&quot;B&quot;;\(&quot;$&quot;0.0,&quot;B&quot;\);&quot;-&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Charts!$CT$38:$DE$38</c:f>
              <c:numCache>
                <c:formatCode>General</c:formatCode>
                <c:ptCount val="12"/>
              </c:numCache>
            </c:numRef>
          </c:cat>
          <c:val>
            <c:numRef>
              <c:f>Charts!$CT$60:$DE$60</c:f>
              <c:numCache>
                <c:formatCode>0.0</c:formatCode>
                <c:ptCount val="12"/>
                <c:pt idx="0">
                  <c:v>74.336000000000013</c:v>
                </c:pt>
                <c:pt idx="1">
                  <c:v>135.99700000000001</c:v>
                </c:pt>
                <c:pt idx="2">
                  <c:v>230.67400000000001</c:v>
                </c:pt>
                <c:pt idx="3">
                  <c:v>355.01499999999999</c:v>
                </c:pt>
                <c:pt idx="4">
                  <c:v>552.12699999999995</c:v>
                </c:pt>
                <c:pt idx="5">
                  <c:v>854.38300000000004</c:v>
                </c:pt>
                <c:pt idx="6">
                  <c:v>1503.2339999999999</c:v>
                </c:pt>
                <c:pt idx="7">
                  <c:v>1730</c:v>
                </c:pt>
                <c:pt idx="8">
                  <c:v>1367</c:v>
                </c:pt>
                <c:pt idx="9">
                  <c:v>#N/A</c:v>
                </c:pt>
                <c:pt idx="10">
                  <c:v>1842.8451832652768</c:v>
                </c:pt>
                <c:pt idx="11">
                  <c:v>2128.6255299999216</c:v>
                </c:pt>
              </c:numCache>
            </c:numRef>
          </c:val>
          <c:extLst>
            <c:ext xmlns:c16="http://schemas.microsoft.com/office/drawing/2014/chart" uri="{C3380CC4-5D6E-409C-BE32-E72D297353CC}">
              <c16:uniqueId val="{00000000-95CD-4672-A3EA-DF62D571BBDA}"/>
            </c:ext>
          </c:extLst>
        </c:ser>
        <c:dLbls>
          <c:showLegendKey val="0"/>
          <c:showVal val="0"/>
          <c:showCatName val="0"/>
          <c:showSerName val="0"/>
          <c:showPercent val="0"/>
          <c:showBubbleSize val="0"/>
        </c:dLbls>
        <c:gapWidth val="20"/>
        <c:axId val="965551856"/>
        <c:axId val="965550416"/>
      </c:barChart>
      <c:lineChart>
        <c:grouping val="standard"/>
        <c:varyColors val="0"/>
        <c:ser>
          <c:idx val="1"/>
          <c:order val="1"/>
          <c:tx>
            <c:strRef>
              <c:f>Charts!$E$61</c:f>
              <c:strCache>
                <c:ptCount val="1"/>
                <c:pt idx="0">
                  <c:v>% of revenue </c:v>
                </c:pt>
              </c:strCache>
            </c:strRef>
          </c:tx>
          <c:spPr>
            <a:ln w="28575" cap="rnd">
              <a:solidFill>
                <a:schemeClr val="accent3"/>
              </a:solidFill>
              <a:round/>
            </a:ln>
            <a:effectLst/>
          </c:spPr>
          <c:marker>
            <c:symbol val="none"/>
          </c:marker>
          <c:dLbls>
            <c:dLbl>
              <c:idx val="7"/>
              <c:layout>
                <c:manualLayout>
                  <c:x val="-3.5830705953653702E-2"/>
                  <c:y val="9.023493401676550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637-4E9F-BD2E-CC1BB222026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Charts!$CT$38:$DA$38</c:f>
              <c:numCache>
                <c:formatCode>General</c:formatCode>
                <c:ptCount val="8"/>
              </c:numCache>
            </c:numRef>
          </c:cat>
          <c:val>
            <c:numRef>
              <c:f>Charts!$CT$61:$DE$61</c:f>
              <c:numCache>
                <c:formatCode>0.0%_);\(0.0%\);0.0%_);@_)</c:formatCode>
                <c:ptCount val="12"/>
                <c:pt idx="0">
                  <c:v>0.19093314155086949</c:v>
                </c:pt>
                <c:pt idx="1">
                  <c:v>0.20198454190083531</c:v>
                </c:pt>
                <c:pt idx="2">
                  <c:v>0.21493455730324101</c:v>
                </c:pt>
                <c:pt idx="3">
                  <c:v>0.22495315786038667</c:v>
                </c:pt>
                <c:pt idx="4">
                  <c:v>0.18847199052668193</c:v>
                </c:pt>
                <c:pt idx="5">
                  <c:v>0.1852579525466537</c:v>
                </c:pt>
                <c:pt idx="6">
                  <c:v>0.26844116214250913</c:v>
                </c:pt>
                <c:pt idx="7">
                  <c:v>0.24504249291784702</c:v>
                </c:pt>
                <c:pt idx="8">
                  <c:v>0.15394144144144145</c:v>
                </c:pt>
                <c:pt idx="9">
                  <c:v>#N/A</c:v>
                </c:pt>
                <c:pt idx="10">
                  <c:v>0.12114667900448363</c:v>
                </c:pt>
                <c:pt idx="11">
                  <c:v>0.11124670352485065</c:v>
                </c:pt>
              </c:numCache>
            </c:numRef>
          </c:val>
          <c:smooth val="1"/>
          <c:extLst>
            <c:ext xmlns:c16="http://schemas.microsoft.com/office/drawing/2014/chart" uri="{C3380CC4-5D6E-409C-BE32-E72D297353CC}">
              <c16:uniqueId val="{00000001-95CD-4672-A3EA-DF62D571BBDA}"/>
            </c:ext>
          </c:extLst>
        </c:ser>
        <c:dLbls>
          <c:showLegendKey val="0"/>
          <c:showVal val="0"/>
          <c:showCatName val="0"/>
          <c:showSerName val="0"/>
          <c:showPercent val="0"/>
          <c:showBubbleSize val="0"/>
        </c:dLbls>
        <c:marker val="1"/>
        <c:smooth val="0"/>
        <c:axId val="1316696208"/>
        <c:axId val="1316699568"/>
      </c:lineChart>
      <c:catAx>
        <c:axId val="96555185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65550416"/>
        <c:crosses val="autoZero"/>
        <c:auto val="1"/>
        <c:lblAlgn val="ctr"/>
        <c:lblOffset val="100"/>
        <c:noMultiLvlLbl val="0"/>
      </c:catAx>
      <c:valAx>
        <c:axId val="965550416"/>
        <c:scaling>
          <c:orientation val="minMax"/>
        </c:scaling>
        <c:delete val="0"/>
        <c:axPos val="l"/>
        <c:numFmt formatCode="&quot;$&quot;0.0,&quot;B&quot;;\(&quot;$&quot;0.0,&quot;B&quot;\);&quot;-&quot;" sourceLinked="0"/>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65551856"/>
        <c:crosses val="autoZero"/>
        <c:crossBetween val="between"/>
      </c:valAx>
      <c:valAx>
        <c:axId val="1316699568"/>
        <c:scaling>
          <c:orientation val="minMax"/>
        </c:scaling>
        <c:delete val="0"/>
        <c:axPos val="r"/>
        <c:numFmt formatCode="0%_);\(0%\);0%_);@_)" sourceLinked="0"/>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6696208"/>
        <c:crosses val="max"/>
        <c:crossBetween val="between"/>
      </c:valAx>
      <c:catAx>
        <c:axId val="1316696208"/>
        <c:scaling>
          <c:orientation val="minMax"/>
        </c:scaling>
        <c:delete val="1"/>
        <c:axPos val="b"/>
        <c:numFmt formatCode="General" sourceLinked="1"/>
        <c:majorTickMark val="none"/>
        <c:minorTickMark val="none"/>
        <c:tickLblPos val="nextTo"/>
        <c:crossAx val="1316699568"/>
        <c:crosses val="autoZero"/>
        <c:auto val="1"/>
        <c:lblAlgn val="ctr"/>
        <c:lblOffset val="100"/>
        <c:noMultiLvlLbl val="0"/>
      </c:catAx>
      <c:spPr>
        <a:noFill/>
        <a:ln>
          <a:noFill/>
        </a:ln>
        <a:effectLst/>
      </c:spPr>
    </c:plotArea>
    <c:legend>
      <c:legendPos val="b"/>
      <c:layout>
        <c:manualLayout>
          <c:xMode val="edge"/>
          <c:yMode val="edge"/>
          <c:x val="4.6049226767267505E-2"/>
          <c:y val="2.6851982263626097E-2"/>
          <c:w val="0.5261185886826516"/>
          <c:h val="8.865380360983594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landscape"/>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309530221448139E-2"/>
          <c:y val="5.0666527097135428E-2"/>
          <c:w val="0.91861145701550695"/>
          <c:h val="0.86308631590944007"/>
        </c:manualLayout>
      </c:layout>
      <c:barChart>
        <c:barDir val="col"/>
        <c:grouping val="clustered"/>
        <c:varyColors val="0"/>
        <c:ser>
          <c:idx val="0"/>
          <c:order val="0"/>
          <c:tx>
            <c:strRef>
              <c:f>Charts!$E$60</c:f>
              <c:strCache>
                <c:ptCount val="1"/>
                <c:pt idx="0">
                  <c:v>Research and Development</c:v>
                </c:pt>
              </c:strCache>
            </c:strRef>
          </c:tx>
          <c:spPr>
            <a:solidFill>
              <a:schemeClr val="accent1"/>
            </a:solidFill>
            <a:ln>
              <a:noFill/>
            </a:ln>
            <a:effectLst/>
          </c:spPr>
          <c:invertIfNegative val="0"/>
          <c:cat>
            <c:numRef>
              <c:extLst>
                <c:ext xmlns:c15="http://schemas.microsoft.com/office/drawing/2012/chart" uri="{02D57815-91ED-43cb-92C2-25804820EDAC}">
                  <c15:fullRef>
                    <c15:sqref>Charts!$V$38:$BA$38</c15:sqref>
                  </c15:fullRef>
                </c:ext>
              </c:extLst>
              <c:f>Charts!$AH$38:$BA$38</c:f>
              <c:numCache>
                <c:formatCode>General</c:formatCode>
                <c:ptCount val="20"/>
              </c:numCache>
            </c:numRef>
          </c:cat>
          <c:val>
            <c:numRef>
              <c:extLst>
                <c:ext xmlns:c15="http://schemas.microsoft.com/office/drawing/2012/chart" uri="{02D57815-91ED-43cb-92C2-25804820EDAC}">
                  <c15:fullRef>
                    <c15:sqref>Charts!$V$60:$BA$60</c15:sqref>
                  </c15:fullRef>
                </c:ext>
              </c:extLst>
              <c:f>Charts!$AH$60:$BA$60</c:f>
              <c:numCache>
                <c:formatCode>0.0</c:formatCode>
                <c:ptCount val="20"/>
                <c:pt idx="0">
                  <c:v>458</c:v>
                </c:pt>
                <c:pt idx="1">
                  <c:v>648</c:v>
                </c:pt>
                <c:pt idx="2">
                  <c:v>313</c:v>
                </c:pt>
                <c:pt idx="3">
                  <c:v>311</c:v>
                </c:pt>
                <c:pt idx="4">
                  <c:v>335</c:v>
                </c:pt>
                <c:pt idx="5">
                  <c:v>349</c:v>
                </c:pt>
                <c:pt idx="6">
                  <c:v>332</c:v>
                </c:pt>
                <c:pt idx="7">
                  <c:v>351</c:v>
                </c:pt>
                <c:pt idx="8">
                  <c:v>377</c:v>
                </c:pt>
                <c:pt idx="9">
                  <c:v>394</c:v>
                </c:pt>
                <c:pt idx="10">
                  <c:v>375</c:v>
                </c:pt>
                <c:pt idx="11">
                  <c:v>390</c:v>
                </c:pt>
                <c:pt idx="12">
                  <c:v>437</c:v>
                </c:pt>
                <c:pt idx="13">
                  <c:v>445</c:v>
                </c:pt>
                <c:pt idx="14">
                  <c:v>485.86898859252665</c:v>
                </c:pt>
                <c:pt idx="15">
                  <c:v>474.97619467275001</c:v>
                </c:pt>
                <c:pt idx="16">
                  <c:v>515.91002216693028</c:v>
                </c:pt>
                <c:pt idx="17">
                  <c:v>518.65639575132764</c:v>
                </c:pt>
                <c:pt idx="18">
                  <c:v>561.64278402470507</c:v>
                </c:pt>
                <c:pt idx="19">
                  <c:v>532.4163280569586</c:v>
                </c:pt>
              </c:numCache>
            </c:numRef>
          </c:val>
          <c:extLst>
            <c:ext xmlns:c15="http://schemas.microsoft.com/office/drawing/2012/chart" uri="{02D57815-91ED-43cb-92C2-25804820EDAC}">
              <c15:categoryFilterExceptions>
                <c15:categoryFilterException>
                  <c15:sqref>Charts!$W$60</c15:sqref>
                  <c15:invertIfNegative val="0"/>
                  <c15:bubble3D val="0"/>
                </c15:categoryFilterException>
                <c15:categoryFilterException>
                  <c15:sqref>Charts!$X$60</c15:sqref>
                  <c15:invertIfNegative val="0"/>
                  <c15:bubble3D val="0"/>
                </c15:categoryFilterException>
                <c15:categoryFilterException>
                  <c15:sqref>Charts!$AD$60</c15:sqref>
                  <c15:invertIfNegative val="0"/>
                  <c15:bubble3D val="0"/>
                </c15:categoryFilterException>
                <c15:categoryFilterException>
                  <c15:sqref>Charts!$AE$60</c15:sqref>
                  <c15:invertIfNegative val="0"/>
                  <c15:bubble3D val="0"/>
                </c15:categoryFilterException>
              </c15:categoryFilterExceptions>
            </c:ext>
            <c:ext xmlns:c16="http://schemas.microsoft.com/office/drawing/2014/chart" uri="{C3380CC4-5D6E-409C-BE32-E72D297353CC}">
              <c16:uniqueId val="{00000004-378A-40E9-9040-02A47DFC4CD6}"/>
            </c:ext>
          </c:extLst>
        </c:ser>
        <c:dLbls>
          <c:showLegendKey val="0"/>
          <c:showVal val="0"/>
          <c:showCatName val="0"/>
          <c:showSerName val="0"/>
          <c:showPercent val="0"/>
          <c:showBubbleSize val="0"/>
        </c:dLbls>
        <c:gapWidth val="30"/>
        <c:axId val="945418624"/>
        <c:axId val="945420160"/>
      </c:barChart>
      <c:lineChart>
        <c:grouping val="standard"/>
        <c:varyColors val="0"/>
        <c:ser>
          <c:idx val="1"/>
          <c:order val="1"/>
          <c:tx>
            <c:strRef>
              <c:f>Charts!$E$61</c:f>
              <c:strCache>
                <c:ptCount val="1"/>
                <c:pt idx="0">
                  <c:v>% of revenue </c:v>
                </c:pt>
              </c:strCache>
            </c:strRef>
          </c:tx>
          <c:spPr>
            <a:ln w="19050" cap="rnd" cmpd="sng" algn="ctr">
              <a:solidFill>
                <a:schemeClr val="accent3"/>
              </a:solidFill>
              <a:prstDash val="solid"/>
              <a:round/>
            </a:ln>
            <a:effectLst/>
          </c:spPr>
          <c:marker>
            <c:symbol val="none"/>
          </c:marker>
          <c:cat>
            <c:numRef>
              <c:extLst>
                <c:ext xmlns:c15="http://schemas.microsoft.com/office/drawing/2012/chart" uri="{02D57815-91ED-43cb-92C2-25804820EDAC}">
                  <c15:fullRef>
                    <c15:sqref>Charts!$R$38:$BA$38</c15:sqref>
                  </c15:fullRef>
                </c:ext>
              </c:extLst>
              <c:f>Charts!$AD$38:$BA$38</c:f>
              <c:numCache>
                <c:formatCode>General</c:formatCode>
                <c:ptCount val="24"/>
              </c:numCache>
            </c:numRef>
          </c:cat>
          <c:val>
            <c:numRef>
              <c:extLst>
                <c:ext xmlns:c15="http://schemas.microsoft.com/office/drawing/2012/chart" uri="{02D57815-91ED-43cb-92C2-25804820EDAC}">
                  <c15:fullRef>
                    <c15:sqref>Charts!$V$61:$BA$61</c15:sqref>
                  </c15:fullRef>
                </c:ext>
              </c:extLst>
              <c:f>Charts!$AH$61:$BA$61</c:f>
              <c:numCache>
                <c:formatCode>0.0%_);\(0.0%\);0.0%_);@_)</c:formatCode>
                <c:ptCount val="20"/>
                <c:pt idx="0">
                  <c:v>0.30371352785145889</c:v>
                </c:pt>
                <c:pt idx="1">
                  <c:v>0.38252656434474619</c:v>
                </c:pt>
                <c:pt idx="2">
                  <c:v>0.18261376896149359</c:v>
                </c:pt>
                <c:pt idx="3">
                  <c:v>0.14505597014925373</c:v>
                </c:pt>
                <c:pt idx="4">
                  <c:v>0.18001074691026331</c:v>
                </c:pt>
                <c:pt idx="5">
                  <c:v>0.17066014669926649</c:v>
                </c:pt>
                <c:pt idx="6">
                  <c:v>0.15356151711378355</c:v>
                </c:pt>
                <c:pt idx="7">
                  <c:v>0.1248221906116643</c:v>
                </c:pt>
                <c:pt idx="8">
                  <c:v>0.15974576271186441</c:v>
                </c:pt>
                <c:pt idx="9">
                  <c:v>0.14701492537313432</c:v>
                </c:pt>
                <c:pt idx="10">
                  <c:v>0.13185654008438819</c:v>
                </c:pt>
                <c:pt idx="11">
                  <c:v>0.10620915032679738</c:v>
                </c:pt>
                <c:pt idx="12">
                  <c:v>0.13785488958990536</c:v>
                </c:pt>
                <c:pt idx="13">
                  <c:v>0.12419759977672341</c:v>
                </c:pt>
                <c:pt idx="14">
                  <c:v>0.13100000000000001</c:v>
                </c:pt>
                <c:pt idx="15">
                  <c:v>0.1</c:v>
                </c:pt>
                <c:pt idx="16">
                  <c:v>0.12785488958990535</c:v>
                </c:pt>
                <c:pt idx="17">
                  <c:v>0.11419759977672342</c:v>
                </c:pt>
                <c:pt idx="18">
                  <c:v>0.12100000000000001</c:v>
                </c:pt>
                <c:pt idx="19">
                  <c:v>9.0000000000000011E-2</c:v>
                </c:pt>
              </c:numCache>
            </c:numRef>
          </c:val>
          <c:smooth val="1"/>
          <c:extLst>
            <c:ext xmlns:c16="http://schemas.microsoft.com/office/drawing/2014/chart" uri="{C3380CC4-5D6E-409C-BE32-E72D297353CC}">
              <c16:uniqueId val="{00000005-378A-40E9-9040-02A47DFC4CD6}"/>
            </c:ext>
          </c:extLst>
        </c:ser>
        <c:dLbls>
          <c:showLegendKey val="0"/>
          <c:showVal val="0"/>
          <c:showCatName val="0"/>
          <c:showSerName val="0"/>
          <c:showPercent val="0"/>
          <c:showBubbleSize val="0"/>
        </c:dLbls>
        <c:marker val="1"/>
        <c:smooth val="0"/>
        <c:axId val="200588160"/>
        <c:axId val="227166032"/>
      </c:lineChart>
      <c:catAx>
        <c:axId val="945418624"/>
        <c:scaling>
          <c:orientation val="minMax"/>
        </c:scaling>
        <c:delete val="0"/>
        <c:axPos val="b"/>
        <c:majorGridlines>
          <c:spPr>
            <a:ln w="3175" cap="sq" cmpd="sng" algn="ctr">
              <a:noFill/>
              <a:prstDash val="dot"/>
              <a:round/>
            </a:ln>
            <a:effectLst/>
          </c:spPr>
        </c:majorGridlines>
        <c:numFmt formatCode="General" sourceLinked="0"/>
        <c:majorTickMark val="out"/>
        <c:minorTickMark val="none"/>
        <c:tickLblPos val="nextTo"/>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rot="-6000000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945420160"/>
        <c:crosses val="autoZero"/>
        <c:auto val="1"/>
        <c:lblAlgn val="ctr"/>
        <c:lblOffset val="100"/>
        <c:noMultiLvlLbl val="0"/>
      </c:catAx>
      <c:valAx>
        <c:axId val="945420160"/>
        <c:scaling>
          <c:orientation val="minMax"/>
        </c:scaling>
        <c:delete val="0"/>
        <c:axPos val="l"/>
        <c:majorGridlines>
          <c:spPr>
            <a:ln w="3175" cap="sq" cmpd="sng" algn="ctr">
              <a:solidFill>
                <a:srgbClr val="C0C0C0"/>
              </a:solidFill>
              <a:prstDash val="dot"/>
              <a:round/>
            </a:ln>
            <a:effectLst/>
          </c:spPr>
        </c:majorGridlines>
        <c:numFmt formatCode="#,##0" sourceLinked="0"/>
        <c:majorTickMark val="out"/>
        <c:minorTickMark val="none"/>
        <c:tickLblPos val="nextTo"/>
        <c:spPr>
          <a:solidFill>
            <a:srgbClr val="FFFFFF"/>
          </a:solid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rot="-6000000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945418624"/>
        <c:crosses val="autoZero"/>
        <c:crossBetween val="between"/>
      </c:valAx>
      <c:valAx>
        <c:axId val="227166032"/>
        <c:scaling>
          <c:orientation val="minMax"/>
          <c:min val="5.000000000000001E-2"/>
        </c:scaling>
        <c:delete val="0"/>
        <c:axPos val="r"/>
        <c:numFmt formatCode="0.0%_);\(0.0%\);0.0%_);@_)" sourceLinked="1"/>
        <c:majorTickMark val="out"/>
        <c:minorTickMark val="none"/>
        <c:tickLblPos val="nextTo"/>
        <c:spPr>
          <a:noFill/>
          <a:ln w="6350" cap="flat" cmpd="sng" algn="ctr">
            <a:solidFill>
              <a:schemeClr val="tx1">
                <a:tint val="7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200588160"/>
        <c:crosses val="max"/>
        <c:crossBetween val="between"/>
        <c:majorUnit val="2.5000000000000005E-2"/>
      </c:valAx>
      <c:catAx>
        <c:axId val="200588160"/>
        <c:scaling>
          <c:orientation val="minMax"/>
        </c:scaling>
        <c:delete val="1"/>
        <c:axPos val="b"/>
        <c:numFmt formatCode="General" sourceLinked="1"/>
        <c:majorTickMark val="out"/>
        <c:minorTickMark val="none"/>
        <c:tickLblPos val="nextTo"/>
        <c:crossAx val="227166032"/>
        <c:crosses val="autoZero"/>
        <c:auto val="1"/>
        <c:lblAlgn val="ctr"/>
        <c:lblOffset val="100"/>
        <c:noMultiLvlLbl val="0"/>
      </c:catAx>
      <c:spPr>
        <a:noFill/>
        <a:ln>
          <a:noFill/>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a:noFill/>
              <a:round/>
            </a14:hiddenLine>
          </a:ext>
        </a:extLst>
      </c:spPr>
    </c:plotArea>
    <c:legend>
      <c:legendPos val="t"/>
      <c:layout>
        <c:manualLayout>
          <c:xMode val="edge"/>
          <c:yMode val="edge"/>
          <c:x val="0.25412692789296432"/>
          <c:y val="7.8317199213916583E-2"/>
          <c:w val="0.37745964771697904"/>
          <c:h val="0.15916235380649019"/>
        </c:manualLayout>
      </c:layout>
      <c:overlay val="1"/>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legend>
    <c:plotVisOnly val="1"/>
    <c:dispBlanksAs val="gap"/>
    <c:showDLblsOverMax val="0"/>
  </c:chart>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a:lstStyle/>
    <a:p>
      <a:pPr>
        <a:defRPr sz="800">
          <a:latin typeface="Roboto" panose="02000000000000000000" pitchFamily="2" charset="0"/>
          <a:ea typeface="Roboto" panose="02000000000000000000" pitchFamily="2" charset="0"/>
          <a:cs typeface="Roboto" panose="02000000000000000000" pitchFamily="2" charset="0"/>
        </a:defRPr>
      </a:pPr>
      <a:endParaRPr lang="en-US"/>
    </a:p>
  </c:txPr>
  <c:printSettings>
    <c:headerFooter/>
    <c:pageMargins b="0.75" l="0.7" r="0.7" t="0.75" header="0.3" footer="0.3"/>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Summary!$T$86</c:f>
              <c:strCache>
                <c:ptCount val="1"/>
                <c:pt idx="0">
                  <c:v>SHOP EV/EBITDA</c:v>
                </c:pt>
              </c:strCache>
            </c:strRef>
          </c:tx>
          <c:spPr>
            <a:ln w="28575" cap="rnd">
              <a:solidFill>
                <a:schemeClr val="accent3"/>
              </a:solidFill>
              <a:round/>
            </a:ln>
            <a:effectLst/>
          </c:spPr>
          <c:marker>
            <c:symbol val="none"/>
          </c:marker>
          <c:cat>
            <c:numRef>
              <c:f>Summary!$B$452:$B$586</c:f>
              <c:numCache>
                <c:formatCode>m/d/yyyy</c:formatCode>
                <c:ptCount val="135"/>
                <c:pt idx="0">
                  <c:v>45296</c:v>
                </c:pt>
                <c:pt idx="1">
                  <c:v>45303</c:v>
                </c:pt>
                <c:pt idx="2">
                  <c:v>45310</c:v>
                </c:pt>
                <c:pt idx="3">
                  <c:v>45317</c:v>
                </c:pt>
                <c:pt idx="4">
                  <c:v>45324</c:v>
                </c:pt>
                <c:pt idx="5">
                  <c:v>45331</c:v>
                </c:pt>
                <c:pt idx="6">
                  <c:v>45338</c:v>
                </c:pt>
                <c:pt idx="7">
                  <c:v>45345</c:v>
                </c:pt>
                <c:pt idx="8">
                  <c:v>45352</c:v>
                </c:pt>
                <c:pt idx="9">
                  <c:v>45359</c:v>
                </c:pt>
                <c:pt idx="10">
                  <c:v>45366</c:v>
                </c:pt>
                <c:pt idx="11">
                  <c:v>45373</c:v>
                </c:pt>
                <c:pt idx="12">
                  <c:v>45380</c:v>
                </c:pt>
                <c:pt idx="13">
                  <c:v>45387</c:v>
                </c:pt>
                <c:pt idx="14">
                  <c:v>45394</c:v>
                </c:pt>
                <c:pt idx="15">
                  <c:v>45401</c:v>
                </c:pt>
                <c:pt idx="16">
                  <c:v>45408</c:v>
                </c:pt>
                <c:pt idx="17">
                  <c:v>45415</c:v>
                </c:pt>
                <c:pt idx="18">
                  <c:v>45422</c:v>
                </c:pt>
                <c:pt idx="19">
                  <c:v>45429</c:v>
                </c:pt>
                <c:pt idx="20">
                  <c:v>45436</c:v>
                </c:pt>
                <c:pt idx="21">
                  <c:v>45443</c:v>
                </c:pt>
                <c:pt idx="22">
                  <c:v>45450</c:v>
                </c:pt>
                <c:pt idx="23">
                  <c:v>45457</c:v>
                </c:pt>
                <c:pt idx="24">
                  <c:v>45464</c:v>
                </c:pt>
                <c:pt idx="25">
                  <c:v>45471</c:v>
                </c:pt>
                <c:pt idx="26">
                  <c:v>45478</c:v>
                </c:pt>
                <c:pt idx="27">
                  <c:v>45485</c:v>
                </c:pt>
                <c:pt idx="28">
                  <c:v>45492</c:v>
                </c:pt>
                <c:pt idx="29">
                  <c:v>45499</c:v>
                </c:pt>
                <c:pt idx="30">
                  <c:v>45506</c:v>
                </c:pt>
                <c:pt idx="31">
                  <c:v>45513</c:v>
                </c:pt>
                <c:pt idx="32">
                  <c:v>45520</c:v>
                </c:pt>
                <c:pt idx="33">
                  <c:v>45527</c:v>
                </c:pt>
                <c:pt idx="34">
                  <c:v>45534</c:v>
                </c:pt>
                <c:pt idx="35">
                  <c:v>45541</c:v>
                </c:pt>
                <c:pt idx="36">
                  <c:v>45548</c:v>
                </c:pt>
                <c:pt idx="37">
                  <c:v>45555</c:v>
                </c:pt>
                <c:pt idx="38">
                  <c:v>45562</c:v>
                </c:pt>
                <c:pt idx="39">
                  <c:v>45569</c:v>
                </c:pt>
                <c:pt idx="40">
                  <c:v>45576</c:v>
                </c:pt>
                <c:pt idx="41">
                  <c:v>45583</c:v>
                </c:pt>
                <c:pt idx="42">
                  <c:v>45590</c:v>
                </c:pt>
                <c:pt idx="43">
                  <c:v>45597</c:v>
                </c:pt>
                <c:pt idx="44">
                  <c:v>45604</c:v>
                </c:pt>
                <c:pt idx="45">
                  <c:v>45611</c:v>
                </c:pt>
                <c:pt idx="46">
                  <c:v>45618</c:v>
                </c:pt>
                <c:pt idx="47">
                  <c:v>45625</c:v>
                </c:pt>
                <c:pt idx="48">
                  <c:v>45632</c:v>
                </c:pt>
                <c:pt idx="49">
                  <c:v>45639</c:v>
                </c:pt>
                <c:pt idx="50">
                  <c:v>45646</c:v>
                </c:pt>
                <c:pt idx="51">
                  <c:v>45653</c:v>
                </c:pt>
                <c:pt idx="52">
                  <c:v>45660</c:v>
                </c:pt>
                <c:pt idx="53">
                  <c:v>45667</c:v>
                </c:pt>
                <c:pt idx="54">
                  <c:v>45674</c:v>
                </c:pt>
                <c:pt idx="55">
                  <c:v>45681</c:v>
                </c:pt>
                <c:pt idx="56">
                  <c:v>45688</c:v>
                </c:pt>
                <c:pt idx="57">
                  <c:v>45695</c:v>
                </c:pt>
                <c:pt idx="58">
                  <c:v>45702</c:v>
                </c:pt>
                <c:pt idx="59">
                  <c:v>45709</c:v>
                </c:pt>
                <c:pt idx="60">
                  <c:v>45716</c:v>
                </c:pt>
                <c:pt idx="61">
                  <c:v>45723</c:v>
                </c:pt>
                <c:pt idx="62">
                  <c:v>45730</c:v>
                </c:pt>
                <c:pt idx="63">
                  <c:v>45737</c:v>
                </c:pt>
                <c:pt idx="64">
                  <c:v>45744</c:v>
                </c:pt>
                <c:pt idx="65">
                  <c:v>45751</c:v>
                </c:pt>
                <c:pt idx="66">
                  <c:v>45758</c:v>
                </c:pt>
                <c:pt idx="67">
                  <c:v>45765</c:v>
                </c:pt>
                <c:pt idx="68">
                  <c:v>45772</c:v>
                </c:pt>
                <c:pt idx="69">
                  <c:v>45779</c:v>
                </c:pt>
                <c:pt idx="70">
                  <c:v>45786</c:v>
                </c:pt>
                <c:pt idx="71">
                  <c:v>45793</c:v>
                </c:pt>
                <c:pt idx="72">
                  <c:v>45800</c:v>
                </c:pt>
                <c:pt idx="73">
                  <c:v>45807</c:v>
                </c:pt>
                <c:pt idx="74">
                  <c:v>45814</c:v>
                </c:pt>
                <c:pt idx="75">
                  <c:v>45821</c:v>
                </c:pt>
                <c:pt idx="76">
                  <c:v>45828</c:v>
                </c:pt>
                <c:pt idx="77">
                  <c:v>45835</c:v>
                </c:pt>
                <c:pt idx="78">
                  <c:v>45842</c:v>
                </c:pt>
                <c:pt idx="79">
                  <c:v>45849</c:v>
                </c:pt>
                <c:pt idx="80">
                  <c:v>45856</c:v>
                </c:pt>
                <c:pt idx="81">
                  <c:v>45863</c:v>
                </c:pt>
                <c:pt idx="82">
                  <c:v>45870</c:v>
                </c:pt>
                <c:pt idx="83">
                  <c:v>45877</c:v>
                </c:pt>
                <c:pt idx="84">
                  <c:v>45884</c:v>
                </c:pt>
                <c:pt idx="85">
                  <c:v>45891</c:v>
                </c:pt>
                <c:pt idx="86">
                  <c:v>45898</c:v>
                </c:pt>
                <c:pt idx="87">
                  <c:v>45905</c:v>
                </c:pt>
                <c:pt idx="88">
                  <c:v>45912</c:v>
                </c:pt>
                <c:pt idx="89">
                  <c:v>45919</c:v>
                </c:pt>
                <c:pt idx="90">
                  <c:v>45926</c:v>
                </c:pt>
                <c:pt idx="91">
                  <c:v>45933</c:v>
                </c:pt>
                <c:pt idx="92">
                  <c:v>45940</c:v>
                </c:pt>
                <c:pt idx="93">
                  <c:v>45947</c:v>
                </c:pt>
                <c:pt idx="94">
                  <c:v>45954</c:v>
                </c:pt>
                <c:pt idx="95">
                  <c:v>45961</c:v>
                </c:pt>
                <c:pt idx="96">
                  <c:v>45968</c:v>
                </c:pt>
                <c:pt idx="97">
                  <c:v>45975</c:v>
                </c:pt>
                <c:pt idx="98">
                  <c:v>45982</c:v>
                </c:pt>
                <c:pt idx="99">
                  <c:v>45989</c:v>
                </c:pt>
                <c:pt idx="100">
                  <c:v>45996</c:v>
                </c:pt>
                <c:pt idx="101">
                  <c:v>46003</c:v>
                </c:pt>
                <c:pt idx="102">
                  <c:v>46010</c:v>
                </c:pt>
                <c:pt idx="103">
                  <c:v>46017</c:v>
                </c:pt>
                <c:pt idx="104">
                  <c:v>46024</c:v>
                </c:pt>
                <c:pt idx="105">
                  <c:v>46031</c:v>
                </c:pt>
                <c:pt idx="106">
                  <c:v>46038</c:v>
                </c:pt>
                <c:pt idx="107">
                  <c:v>46045</c:v>
                </c:pt>
                <c:pt idx="108">
                  <c:v>46052</c:v>
                </c:pt>
                <c:pt idx="109">
                  <c:v>46059</c:v>
                </c:pt>
                <c:pt idx="110">
                  <c:v>46066</c:v>
                </c:pt>
                <c:pt idx="111">
                  <c:v>46073</c:v>
                </c:pt>
                <c:pt idx="112">
                  <c:v>46080</c:v>
                </c:pt>
                <c:pt idx="113">
                  <c:v>46087</c:v>
                </c:pt>
                <c:pt idx="114">
                  <c:v>46094</c:v>
                </c:pt>
                <c:pt idx="115">
                  <c:v>46101</c:v>
                </c:pt>
                <c:pt idx="116">
                  <c:v>46108</c:v>
                </c:pt>
                <c:pt idx="117">
                  <c:v>46115</c:v>
                </c:pt>
                <c:pt idx="118">
                  <c:v>46122</c:v>
                </c:pt>
                <c:pt idx="119">
                  <c:v>46129</c:v>
                </c:pt>
                <c:pt idx="120">
                  <c:v>46136</c:v>
                </c:pt>
                <c:pt idx="121">
                  <c:v>46143</c:v>
                </c:pt>
                <c:pt idx="122">
                  <c:v>46150</c:v>
                </c:pt>
                <c:pt idx="123">
                  <c:v>46157</c:v>
                </c:pt>
                <c:pt idx="124">
                  <c:v>46164</c:v>
                </c:pt>
                <c:pt idx="125">
                  <c:v>46171</c:v>
                </c:pt>
                <c:pt idx="126">
                  <c:v>46178</c:v>
                </c:pt>
                <c:pt idx="127">
                  <c:v>46185</c:v>
                </c:pt>
                <c:pt idx="128">
                  <c:v>46192</c:v>
                </c:pt>
                <c:pt idx="129">
                  <c:v>46199</c:v>
                </c:pt>
                <c:pt idx="130">
                  <c:v>46206</c:v>
                </c:pt>
                <c:pt idx="131">
                  <c:v>46213</c:v>
                </c:pt>
                <c:pt idx="132">
                  <c:v>46220</c:v>
                </c:pt>
                <c:pt idx="133">
                  <c:v>46227</c:v>
                </c:pt>
                <c:pt idx="134">
                  <c:v>46234</c:v>
                </c:pt>
              </c:numCache>
            </c:numRef>
          </c:cat>
          <c:val>
            <c:numRef>
              <c:f>Summary!$T$452:$T$586</c:f>
              <c:numCache>
                <c:formatCode>0.0\x</c:formatCode>
                <c:ptCount val="135"/>
                <c:pt idx="0">
                  <c:v>67.305004059332987</c:v>
                </c:pt>
                <c:pt idx="1">
                  <c:v>72.766395366015175</c:v>
                </c:pt>
                <c:pt idx="2">
                  <c:v>70.817253312690013</c:v>
                </c:pt>
                <c:pt idx="3">
                  <c:v>71.90566509996836</c:v>
                </c:pt>
                <c:pt idx="4">
                  <c:v>72.684428462246515</c:v>
                </c:pt>
                <c:pt idx="5">
                  <c:v>79.10343832373465</c:v>
                </c:pt>
                <c:pt idx="6">
                  <c:v>72.074744962479372</c:v>
                </c:pt>
                <c:pt idx="7">
                  <c:v>66.903121337312442</c:v>
                </c:pt>
                <c:pt idx="8">
                  <c:v>66.851847712851253</c:v>
                </c:pt>
                <c:pt idx="9">
                  <c:v>67.216157245298049</c:v>
                </c:pt>
                <c:pt idx="10">
                  <c:v>68.328915204904675</c:v>
                </c:pt>
                <c:pt idx="11">
                  <c:v>69.293704976932929</c:v>
                </c:pt>
                <c:pt idx="12">
                  <c:v>67.44139487894239</c:v>
                </c:pt>
                <c:pt idx="13">
                  <c:v>65.014240614470651</c:v>
                </c:pt>
                <c:pt idx="14">
                  <c:v>60.277883839867421</c:v>
                </c:pt>
                <c:pt idx="15">
                  <c:v>59.408767257233706</c:v>
                </c:pt>
                <c:pt idx="16">
                  <c:v>58.868148659214462</c:v>
                </c:pt>
                <c:pt idx="17">
                  <c:v>61.1753084265072</c:v>
                </c:pt>
                <c:pt idx="18">
                  <c:v>51.823251328015729</c:v>
                </c:pt>
                <c:pt idx="19">
                  <c:v>51.09528170170524</c:v>
                </c:pt>
                <c:pt idx="20">
                  <c:v>49.723469887094026</c:v>
                </c:pt>
                <c:pt idx="21">
                  <c:v>51.44285956199802</c:v>
                </c:pt>
                <c:pt idx="22">
                  <c:v>53.414345274442574</c:v>
                </c:pt>
                <c:pt idx="23">
                  <c:v>58.700931725283624</c:v>
                </c:pt>
                <c:pt idx="24">
                  <c:v>56.009575617355772</c:v>
                </c:pt>
                <c:pt idx="25">
                  <c:v>55.670248254025651</c:v>
                </c:pt>
                <c:pt idx="26">
                  <c:v>56.664010738252493</c:v>
                </c:pt>
                <c:pt idx="27">
                  <c:v>53.993029993186809</c:v>
                </c:pt>
                <c:pt idx="28">
                  <c:v>52.123318349796605</c:v>
                </c:pt>
                <c:pt idx="29">
                  <c:v>48.946119349629079</c:v>
                </c:pt>
                <c:pt idx="30">
                  <c:v>43.886477770547486</c:v>
                </c:pt>
                <c:pt idx="31">
                  <c:v>52.616420126659413</c:v>
                </c:pt>
                <c:pt idx="32">
                  <c:v>56.798958296328344</c:v>
                </c:pt>
                <c:pt idx="33">
                  <c:v>57.865370987423908</c:v>
                </c:pt>
                <c:pt idx="34">
                  <c:v>55.941536217827732</c:v>
                </c:pt>
                <c:pt idx="35">
                  <c:v>49.818687058623105</c:v>
                </c:pt>
                <c:pt idx="36">
                  <c:v>53.429504698035949</c:v>
                </c:pt>
                <c:pt idx="37">
                  <c:v>57.870559270481465</c:v>
                </c:pt>
                <c:pt idx="38">
                  <c:v>58.178181510712143</c:v>
                </c:pt>
                <c:pt idx="39">
                  <c:v>60.260516103974822</c:v>
                </c:pt>
                <c:pt idx="40">
                  <c:v>60.459288124105946</c:v>
                </c:pt>
                <c:pt idx="41">
                  <c:v>59.79353899832207</c:v>
                </c:pt>
                <c:pt idx="42">
                  <c:v>56.723246501818728</c:v>
                </c:pt>
                <c:pt idx="43">
                  <c:v>56.408281750104436</c:v>
                </c:pt>
                <c:pt idx="44">
                  <c:v>62.073674949433908</c:v>
                </c:pt>
                <c:pt idx="45">
                  <c:v>72.084186383960031</c:v>
                </c:pt>
                <c:pt idx="46">
                  <c:v>70.612422587144465</c:v>
                </c:pt>
                <c:pt idx="47">
                  <c:v>76.121280904885992</c:v>
                </c:pt>
                <c:pt idx="48">
                  <c:v>77.409336996695814</c:v>
                </c:pt>
                <c:pt idx="49">
                  <c:v>73.983688975038916</c:v>
                </c:pt>
                <c:pt idx="50">
                  <c:v>69.953381197804944</c:v>
                </c:pt>
                <c:pt idx="51">
                  <c:v>69.09056039322212</c:v>
                </c:pt>
                <c:pt idx="52">
                  <c:v>69.133369488306357</c:v>
                </c:pt>
                <c:pt idx="53">
                  <c:v>65.149715174674441</c:v>
                </c:pt>
                <c:pt idx="54">
                  <c:v>64.674560728492267</c:v>
                </c:pt>
                <c:pt idx="55">
                  <c:v>66.646972063156937</c:v>
                </c:pt>
                <c:pt idx="56">
                  <c:v>72.417885668778183</c:v>
                </c:pt>
                <c:pt idx="57">
                  <c:v>71.734107805066955</c:v>
                </c:pt>
                <c:pt idx="58">
                  <c:v>77.496448400630129</c:v>
                </c:pt>
                <c:pt idx="59">
                  <c:v>69.291508718189192</c:v>
                </c:pt>
                <c:pt idx="60">
                  <c:v>66.875294751164702</c:v>
                </c:pt>
                <c:pt idx="61">
                  <c:v>58.984324447624147</c:v>
                </c:pt>
                <c:pt idx="62">
                  <c:v>55.415957647565101</c:v>
                </c:pt>
                <c:pt idx="63">
                  <c:v>61.072499964305329</c:v>
                </c:pt>
                <c:pt idx="64">
                  <c:v>56.284494778297152</c:v>
                </c:pt>
                <c:pt idx="65">
                  <c:v>44.118067826595528</c:v>
                </c:pt>
                <c:pt idx="66">
                  <c:v>48.024033271069392</c:v>
                </c:pt>
                <c:pt idx="67">
                  <c:v>48.342916724229717</c:v>
                </c:pt>
                <c:pt idx="68">
                  <c:v>56.311246886807538</c:v>
                </c:pt>
                <c:pt idx="69">
                  <c:v>57.779648118824475</c:v>
                </c:pt>
                <c:pt idx="70">
                  <c:v>55.174380109881163</c:v>
                </c:pt>
                <c:pt idx="71">
                  <c:v>66.888943787471405</c:v>
                </c:pt>
                <c:pt idx="72">
                  <c:v>60.697448157333447</c:v>
                </c:pt>
                <c:pt idx="73">
                  <c:v>63.582079492876211</c:v>
                </c:pt>
                <c:pt idx="74">
                  <c:v>66.105726637859618</c:v>
                </c:pt>
                <c:pt idx="75">
                  <c:v>62.00408713106372</c:v>
                </c:pt>
                <c:pt idx="76">
                  <c:v>62.383439014318185</c:v>
                </c:pt>
                <c:pt idx="77">
                  <c:v>67.550164768789514</c:v>
                </c:pt>
                <c:pt idx="78">
                  <c:v>67.649249986176386</c:v>
                </c:pt>
                <c:pt idx="79">
                  <c:v>65.071327802735809</c:v>
                </c:pt>
                <c:pt idx="80">
                  <c:v>73.661546374180659</c:v>
                </c:pt>
                <c:pt idx="81">
                  <c:v>71.950706088943079</c:v>
                </c:pt>
                <c:pt idx="82">
                  <c:v>68.121785869714003</c:v>
                </c:pt>
                <c:pt idx="83">
                  <c:v>84.404703871906392</c:v>
                </c:pt>
                <c:pt idx="84">
                  <c:v>79.397053193440712</c:v>
                </c:pt>
                <c:pt idx="85">
                  <c:v>79.453036599657977</c:v>
                </c:pt>
                <c:pt idx="86">
                  <c:v>78.614763169443663</c:v>
                </c:pt>
                <c:pt idx="87">
                  <c:v>81.483792366001921</c:v>
                </c:pt>
                <c:pt idx="88">
                  <c:v>78.977197166084466</c:v>
                </c:pt>
                <c:pt idx="89">
                  <c:v>84.593055023967963</c:v>
                </c:pt>
                <c:pt idx="90">
                  <c:v>76.606840559028541</c:v>
                </c:pt>
                <c:pt idx="91">
                  <c:v>88.037325905647293</c:v>
                </c:pt>
                <c:pt idx="92">
                  <c:v>81.894213933862275</c:v>
                </c:pt>
                <c:pt idx="93">
                  <c:v>84.925096687611116</c:v>
                </c:pt>
                <c:pt idx="94">
                  <c:v>92.89889339522253</c:v>
                </c:pt>
                <c:pt idx="95">
                  <c:v>93.904573368514946</c:v>
                </c:pt>
                <c:pt idx="96">
                  <c:v>79.478311010550641</c:v>
                </c:pt>
                <c:pt idx="97">
                  <c:v>75.836631806689311</c:v>
                </c:pt>
                <c:pt idx="98">
                  <c:v>76.357446718046418</c:v>
                </c:pt>
                <c:pt idx="99">
                  <c:v>82.733179304619114</c:v>
                </c:pt>
                <c:pt idx="100">
                  <c:v>82.512398065429721</c:v>
                </c:pt>
                <c:pt idx="101">
                  <c:v>83.879496977305834</c:v>
                </c:pt>
                <c:pt idx="102">
                  <c:v>85.711130609962225</c:v>
                </c:pt>
                <c:pt idx="103">
                  <c:v>85.293503960229472</c:v>
                </c:pt>
                <c:pt idx="104">
                  <c:v>78.917304008941656</c:v>
                </c:pt>
                <c:pt idx="105">
                  <c:v>81.875320788554404</c:v>
                </c:pt>
                <c:pt idx="106">
                  <c:v>76.074822714829281</c:v>
                </c:pt>
                <c:pt idx="107">
                  <c:v>66.669956759396712</c:v>
                </c:pt>
                <c:pt idx="108">
                  <c:v>63.441518189146947</c:v>
                </c:pt>
                <c:pt idx="109">
                  <c:v>53.325518223540683</c:v>
                </c:pt>
                <c:pt idx="110">
                  <c:v>51.436137359569258</c:v>
                </c:pt>
                <c:pt idx="111">
                  <c:v>57.521660294938741</c:v>
                </c:pt>
                <c:pt idx="112">
                  <c:v>54.527826560016592</c:v>
                </c:pt>
                <c:pt idx="113">
                  <c:v>58.40118364964777</c:v>
                </c:pt>
                <c:pt idx="114">
                  <c:v>54.890893744782019</c:v>
                </c:pt>
                <c:pt idx="115">
                  <c:v>51.837760848228832</c:v>
                </c:pt>
                <c:pt idx="116">
                  <c:v>49.240138146135443</c:v>
                </c:pt>
                <c:pt idx="117">
                  <c:v>51.887623001467318</c:v>
                </c:pt>
                <c:pt idx="118">
                  <c:v>48.143212334735672</c:v>
                </c:pt>
                <c:pt idx="119">
                  <c:v>56.890085951513043</c:v>
                </c:pt>
                <c:pt idx="120">
                  <c:v>53.931269106167306</c:v>
                </c:pt>
                <c:pt idx="121">
                  <c:v>54.628140214114246</c:v>
                </c:pt>
                <c:pt idx="122">
                  <c:v>45.486906356642741</c:v>
                </c:pt>
                <c:pt idx="123">
                  <c:v>41.021279401540347</c:v>
                </c:pt>
                <c:pt idx="124">
                  <c:v>42.360708808213417</c:v>
                </c:pt>
                <c:pt idx="125">
                  <c:v>49.089703294669228</c:v>
                </c:pt>
                <c:pt idx="126">
                  <c:v>44.770554008634456</c:v>
                </c:pt>
                <c:pt idx="127">
                  <c:v>44.251776086332534</c:v>
                </c:pt>
                <c:pt idx="128">
                  <c:v>43.420515867836798</c:v>
                </c:pt>
                <c:pt idx="129">
                  <c:v>47.290127064675005</c:v>
                </c:pt>
                <c:pt idx="130">
                  <c:v>48.787041154029581</c:v>
                </c:pt>
                <c:pt idx="131">
                  <c:v>49.420976802633106</c:v>
                </c:pt>
                <c:pt idx="132">
                  <c:v>49.457647393045342</c:v>
                </c:pt>
                <c:pt idx="133">
                  <c:v>45.224875027596745</c:v>
                </c:pt>
                <c:pt idx="134">
                  <c:v>46.27391833538654</c:v>
                </c:pt>
              </c:numCache>
            </c:numRef>
          </c:val>
          <c:smooth val="0"/>
          <c:extLst>
            <c:ext xmlns:c16="http://schemas.microsoft.com/office/drawing/2014/chart" uri="{C3380CC4-5D6E-409C-BE32-E72D297353CC}">
              <c16:uniqueId val="{00000000-9003-4D76-8BA6-14E4769EC0C5}"/>
            </c:ext>
          </c:extLst>
        </c:ser>
        <c:ser>
          <c:idx val="1"/>
          <c:order val="1"/>
          <c:tx>
            <c:strRef>
              <c:f>Summary!$U$86</c:f>
              <c:strCache>
                <c:ptCount val="1"/>
                <c:pt idx="0">
                  <c:v>SHOP Mean</c:v>
                </c:pt>
              </c:strCache>
            </c:strRef>
          </c:tx>
          <c:spPr>
            <a:ln w="28575" cap="rnd">
              <a:solidFill>
                <a:schemeClr val="accent3"/>
              </a:solidFill>
              <a:prstDash val="sysDash"/>
              <a:round/>
            </a:ln>
            <a:effectLst/>
          </c:spPr>
          <c:marker>
            <c:symbol val="none"/>
          </c:marker>
          <c:cat>
            <c:numRef>
              <c:f>Summary!$B$452:$B$586</c:f>
              <c:numCache>
                <c:formatCode>m/d/yyyy</c:formatCode>
                <c:ptCount val="135"/>
                <c:pt idx="0">
                  <c:v>45296</c:v>
                </c:pt>
                <c:pt idx="1">
                  <c:v>45303</c:v>
                </c:pt>
                <c:pt idx="2">
                  <c:v>45310</c:v>
                </c:pt>
                <c:pt idx="3">
                  <c:v>45317</c:v>
                </c:pt>
                <c:pt idx="4">
                  <c:v>45324</c:v>
                </c:pt>
                <c:pt idx="5">
                  <c:v>45331</c:v>
                </c:pt>
                <c:pt idx="6">
                  <c:v>45338</c:v>
                </c:pt>
                <c:pt idx="7">
                  <c:v>45345</c:v>
                </c:pt>
                <c:pt idx="8">
                  <c:v>45352</c:v>
                </c:pt>
                <c:pt idx="9">
                  <c:v>45359</c:v>
                </c:pt>
                <c:pt idx="10">
                  <c:v>45366</c:v>
                </c:pt>
                <c:pt idx="11">
                  <c:v>45373</c:v>
                </c:pt>
                <c:pt idx="12">
                  <c:v>45380</c:v>
                </c:pt>
                <c:pt idx="13">
                  <c:v>45387</c:v>
                </c:pt>
                <c:pt idx="14">
                  <c:v>45394</c:v>
                </c:pt>
                <c:pt idx="15">
                  <c:v>45401</c:v>
                </c:pt>
                <c:pt idx="16">
                  <c:v>45408</c:v>
                </c:pt>
                <c:pt idx="17">
                  <c:v>45415</c:v>
                </c:pt>
                <c:pt idx="18">
                  <c:v>45422</c:v>
                </c:pt>
                <c:pt idx="19">
                  <c:v>45429</c:v>
                </c:pt>
                <c:pt idx="20">
                  <c:v>45436</c:v>
                </c:pt>
                <c:pt idx="21">
                  <c:v>45443</c:v>
                </c:pt>
                <c:pt idx="22">
                  <c:v>45450</c:v>
                </c:pt>
                <c:pt idx="23">
                  <c:v>45457</c:v>
                </c:pt>
                <c:pt idx="24">
                  <c:v>45464</c:v>
                </c:pt>
                <c:pt idx="25">
                  <c:v>45471</c:v>
                </c:pt>
                <c:pt idx="26">
                  <c:v>45478</c:v>
                </c:pt>
                <c:pt idx="27">
                  <c:v>45485</c:v>
                </c:pt>
                <c:pt idx="28">
                  <c:v>45492</c:v>
                </c:pt>
                <c:pt idx="29">
                  <c:v>45499</c:v>
                </c:pt>
                <c:pt idx="30">
                  <c:v>45506</c:v>
                </c:pt>
                <c:pt idx="31">
                  <c:v>45513</c:v>
                </c:pt>
                <c:pt idx="32">
                  <c:v>45520</c:v>
                </c:pt>
                <c:pt idx="33">
                  <c:v>45527</c:v>
                </c:pt>
                <c:pt idx="34">
                  <c:v>45534</c:v>
                </c:pt>
                <c:pt idx="35">
                  <c:v>45541</c:v>
                </c:pt>
                <c:pt idx="36">
                  <c:v>45548</c:v>
                </c:pt>
                <c:pt idx="37">
                  <c:v>45555</c:v>
                </c:pt>
                <c:pt idx="38">
                  <c:v>45562</c:v>
                </c:pt>
                <c:pt idx="39">
                  <c:v>45569</c:v>
                </c:pt>
                <c:pt idx="40">
                  <c:v>45576</c:v>
                </c:pt>
                <c:pt idx="41">
                  <c:v>45583</c:v>
                </c:pt>
                <c:pt idx="42">
                  <c:v>45590</c:v>
                </c:pt>
                <c:pt idx="43">
                  <c:v>45597</c:v>
                </c:pt>
                <c:pt idx="44">
                  <c:v>45604</c:v>
                </c:pt>
                <c:pt idx="45">
                  <c:v>45611</c:v>
                </c:pt>
                <c:pt idx="46">
                  <c:v>45618</c:v>
                </c:pt>
                <c:pt idx="47">
                  <c:v>45625</c:v>
                </c:pt>
                <c:pt idx="48">
                  <c:v>45632</c:v>
                </c:pt>
                <c:pt idx="49">
                  <c:v>45639</c:v>
                </c:pt>
                <c:pt idx="50">
                  <c:v>45646</c:v>
                </c:pt>
                <c:pt idx="51">
                  <c:v>45653</c:v>
                </c:pt>
                <c:pt idx="52">
                  <c:v>45660</c:v>
                </c:pt>
                <c:pt idx="53">
                  <c:v>45667</c:v>
                </c:pt>
                <c:pt idx="54">
                  <c:v>45674</c:v>
                </c:pt>
                <c:pt idx="55">
                  <c:v>45681</c:v>
                </c:pt>
                <c:pt idx="56">
                  <c:v>45688</c:v>
                </c:pt>
                <c:pt idx="57">
                  <c:v>45695</c:v>
                </c:pt>
                <c:pt idx="58">
                  <c:v>45702</c:v>
                </c:pt>
                <c:pt idx="59">
                  <c:v>45709</c:v>
                </c:pt>
                <c:pt idx="60">
                  <c:v>45716</c:v>
                </c:pt>
                <c:pt idx="61">
                  <c:v>45723</c:v>
                </c:pt>
                <c:pt idx="62">
                  <c:v>45730</c:v>
                </c:pt>
                <c:pt idx="63">
                  <c:v>45737</c:v>
                </c:pt>
                <c:pt idx="64">
                  <c:v>45744</c:v>
                </c:pt>
                <c:pt idx="65">
                  <c:v>45751</c:v>
                </c:pt>
                <c:pt idx="66">
                  <c:v>45758</c:v>
                </c:pt>
                <c:pt idx="67">
                  <c:v>45765</c:v>
                </c:pt>
                <c:pt idx="68">
                  <c:v>45772</c:v>
                </c:pt>
                <c:pt idx="69">
                  <c:v>45779</c:v>
                </c:pt>
                <c:pt idx="70">
                  <c:v>45786</c:v>
                </c:pt>
                <c:pt idx="71">
                  <c:v>45793</c:v>
                </c:pt>
                <c:pt idx="72">
                  <c:v>45800</c:v>
                </c:pt>
                <c:pt idx="73">
                  <c:v>45807</c:v>
                </c:pt>
                <c:pt idx="74">
                  <c:v>45814</c:v>
                </c:pt>
                <c:pt idx="75">
                  <c:v>45821</c:v>
                </c:pt>
                <c:pt idx="76">
                  <c:v>45828</c:v>
                </c:pt>
                <c:pt idx="77">
                  <c:v>45835</c:v>
                </c:pt>
                <c:pt idx="78">
                  <c:v>45842</c:v>
                </c:pt>
                <c:pt idx="79">
                  <c:v>45849</c:v>
                </c:pt>
                <c:pt idx="80">
                  <c:v>45856</c:v>
                </c:pt>
                <c:pt idx="81">
                  <c:v>45863</c:v>
                </c:pt>
                <c:pt idx="82">
                  <c:v>45870</c:v>
                </c:pt>
                <c:pt idx="83">
                  <c:v>45877</c:v>
                </c:pt>
                <c:pt idx="84">
                  <c:v>45884</c:v>
                </c:pt>
                <c:pt idx="85">
                  <c:v>45891</c:v>
                </c:pt>
                <c:pt idx="86">
                  <c:v>45898</c:v>
                </c:pt>
                <c:pt idx="87">
                  <c:v>45905</c:v>
                </c:pt>
                <c:pt idx="88">
                  <c:v>45912</c:v>
                </c:pt>
                <c:pt idx="89">
                  <c:v>45919</c:v>
                </c:pt>
                <c:pt idx="90">
                  <c:v>45926</c:v>
                </c:pt>
                <c:pt idx="91">
                  <c:v>45933</c:v>
                </c:pt>
                <c:pt idx="92">
                  <c:v>45940</c:v>
                </c:pt>
                <c:pt idx="93">
                  <c:v>45947</c:v>
                </c:pt>
                <c:pt idx="94">
                  <c:v>45954</c:v>
                </c:pt>
                <c:pt idx="95">
                  <c:v>45961</c:v>
                </c:pt>
                <c:pt idx="96">
                  <c:v>45968</c:v>
                </c:pt>
                <c:pt idx="97">
                  <c:v>45975</c:v>
                </c:pt>
                <c:pt idx="98">
                  <c:v>45982</c:v>
                </c:pt>
                <c:pt idx="99">
                  <c:v>45989</c:v>
                </c:pt>
                <c:pt idx="100">
                  <c:v>45996</c:v>
                </c:pt>
                <c:pt idx="101">
                  <c:v>46003</c:v>
                </c:pt>
                <c:pt idx="102">
                  <c:v>46010</c:v>
                </c:pt>
                <c:pt idx="103">
                  <c:v>46017</c:v>
                </c:pt>
                <c:pt idx="104">
                  <c:v>46024</c:v>
                </c:pt>
                <c:pt idx="105">
                  <c:v>46031</c:v>
                </c:pt>
                <c:pt idx="106">
                  <c:v>46038</c:v>
                </c:pt>
                <c:pt idx="107">
                  <c:v>46045</c:v>
                </c:pt>
                <c:pt idx="108">
                  <c:v>46052</c:v>
                </c:pt>
                <c:pt idx="109">
                  <c:v>46059</c:v>
                </c:pt>
                <c:pt idx="110">
                  <c:v>46066</c:v>
                </c:pt>
                <c:pt idx="111">
                  <c:v>46073</c:v>
                </c:pt>
                <c:pt idx="112">
                  <c:v>46080</c:v>
                </c:pt>
                <c:pt idx="113">
                  <c:v>46087</c:v>
                </c:pt>
                <c:pt idx="114">
                  <c:v>46094</c:v>
                </c:pt>
                <c:pt idx="115">
                  <c:v>46101</c:v>
                </c:pt>
                <c:pt idx="116">
                  <c:v>46108</c:v>
                </c:pt>
                <c:pt idx="117">
                  <c:v>46115</c:v>
                </c:pt>
                <c:pt idx="118">
                  <c:v>46122</c:v>
                </c:pt>
                <c:pt idx="119">
                  <c:v>46129</c:v>
                </c:pt>
                <c:pt idx="120">
                  <c:v>46136</c:v>
                </c:pt>
                <c:pt idx="121">
                  <c:v>46143</c:v>
                </c:pt>
                <c:pt idx="122">
                  <c:v>46150</c:v>
                </c:pt>
                <c:pt idx="123">
                  <c:v>46157</c:v>
                </c:pt>
                <c:pt idx="124">
                  <c:v>46164</c:v>
                </c:pt>
                <c:pt idx="125">
                  <c:v>46171</c:v>
                </c:pt>
                <c:pt idx="126">
                  <c:v>46178</c:v>
                </c:pt>
                <c:pt idx="127">
                  <c:v>46185</c:v>
                </c:pt>
                <c:pt idx="128">
                  <c:v>46192</c:v>
                </c:pt>
                <c:pt idx="129">
                  <c:v>46199</c:v>
                </c:pt>
                <c:pt idx="130">
                  <c:v>46206</c:v>
                </c:pt>
                <c:pt idx="131">
                  <c:v>46213</c:v>
                </c:pt>
                <c:pt idx="132">
                  <c:v>46220</c:v>
                </c:pt>
                <c:pt idx="133">
                  <c:v>46227</c:v>
                </c:pt>
                <c:pt idx="134">
                  <c:v>46234</c:v>
                </c:pt>
              </c:numCache>
            </c:numRef>
          </c:cat>
          <c:val>
            <c:numRef>
              <c:f>Summary!$U$452:$U$586</c:f>
              <c:numCache>
                <c:formatCode>0.0\x_);\(0.0\x\)</c:formatCode>
                <c:ptCount val="135"/>
                <c:pt idx="0">
                  <c:v>65.1084081344151</c:v>
                </c:pt>
                <c:pt idx="1">
                  <c:v>65.1084081344151</c:v>
                </c:pt>
                <c:pt idx="2">
                  <c:v>65.1084081344151</c:v>
                </c:pt>
                <c:pt idx="3">
                  <c:v>65.1084081344151</c:v>
                </c:pt>
                <c:pt idx="4">
                  <c:v>65.1084081344151</c:v>
                </c:pt>
                <c:pt idx="5">
                  <c:v>65.1084081344151</c:v>
                </c:pt>
                <c:pt idx="6">
                  <c:v>65.1084081344151</c:v>
                </c:pt>
                <c:pt idx="7">
                  <c:v>65.1084081344151</c:v>
                </c:pt>
                <c:pt idx="8">
                  <c:v>65.1084081344151</c:v>
                </c:pt>
                <c:pt idx="9">
                  <c:v>65.1084081344151</c:v>
                </c:pt>
                <c:pt idx="10">
                  <c:v>65.1084081344151</c:v>
                </c:pt>
                <c:pt idx="11">
                  <c:v>65.1084081344151</c:v>
                </c:pt>
                <c:pt idx="12">
                  <c:v>65.1084081344151</c:v>
                </c:pt>
                <c:pt idx="13">
                  <c:v>65.1084081344151</c:v>
                </c:pt>
                <c:pt idx="14">
                  <c:v>65.1084081344151</c:v>
                </c:pt>
                <c:pt idx="15">
                  <c:v>65.1084081344151</c:v>
                </c:pt>
                <c:pt idx="16">
                  <c:v>65.1084081344151</c:v>
                </c:pt>
                <c:pt idx="17">
                  <c:v>65.1084081344151</c:v>
                </c:pt>
                <c:pt idx="18">
                  <c:v>65.1084081344151</c:v>
                </c:pt>
                <c:pt idx="19">
                  <c:v>65.1084081344151</c:v>
                </c:pt>
                <c:pt idx="20">
                  <c:v>65.1084081344151</c:v>
                </c:pt>
                <c:pt idx="21">
                  <c:v>65.1084081344151</c:v>
                </c:pt>
                <c:pt idx="22">
                  <c:v>65.1084081344151</c:v>
                </c:pt>
                <c:pt idx="23">
                  <c:v>65.1084081344151</c:v>
                </c:pt>
                <c:pt idx="24">
                  <c:v>65.1084081344151</c:v>
                </c:pt>
                <c:pt idx="25">
                  <c:v>65.1084081344151</c:v>
                </c:pt>
                <c:pt idx="26">
                  <c:v>65.1084081344151</c:v>
                </c:pt>
                <c:pt idx="27">
                  <c:v>65.1084081344151</c:v>
                </c:pt>
                <c:pt idx="28">
                  <c:v>65.1084081344151</c:v>
                </c:pt>
                <c:pt idx="29">
                  <c:v>65.1084081344151</c:v>
                </c:pt>
                <c:pt idx="30">
                  <c:v>65.1084081344151</c:v>
                </c:pt>
                <c:pt idx="31">
                  <c:v>65.1084081344151</c:v>
                </c:pt>
                <c:pt idx="32">
                  <c:v>65.1084081344151</c:v>
                </c:pt>
                <c:pt idx="33">
                  <c:v>65.1084081344151</c:v>
                </c:pt>
                <c:pt idx="34">
                  <c:v>65.1084081344151</c:v>
                </c:pt>
                <c:pt idx="35">
                  <c:v>65.1084081344151</c:v>
                </c:pt>
                <c:pt idx="36">
                  <c:v>65.1084081344151</c:v>
                </c:pt>
                <c:pt idx="37">
                  <c:v>65.1084081344151</c:v>
                </c:pt>
                <c:pt idx="38">
                  <c:v>65.1084081344151</c:v>
                </c:pt>
                <c:pt idx="39">
                  <c:v>65.1084081344151</c:v>
                </c:pt>
                <c:pt idx="40">
                  <c:v>65.1084081344151</c:v>
                </c:pt>
                <c:pt idx="41">
                  <c:v>65.1084081344151</c:v>
                </c:pt>
                <c:pt idx="42">
                  <c:v>65.1084081344151</c:v>
                </c:pt>
                <c:pt idx="43">
                  <c:v>65.1084081344151</c:v>
                </c:pt>
                <c:pt idx="44">
                  <c:v>65.1084081344151</c:v>
                </c:pt>
                <c:pt idx="45">
                  <c:v>65.1084081344151</c:v>
                </c:pt>
                <c:pt idx="46">
                  <c:v>65.1084081344151</c:v>
                </c:pt>
                <c:pt idx="47">
                  <c:v>65.1084081344151</c:v>
                </c:pt>
                <c:pt idx="48">
                  <c:v>65.1084081344151</c:v>
                </c:pt>
                <c:pt idx="49">
                  <c:v>65.1084081344151</c:v>
                </c:pt>
                <c:pt idx="50">
                  <c:v>65.1084081344151</c:v>
                </c:pt>
                <c:pt idx="51">
                  <c:v>65.1084081344151</c:v>
                </c:pt>
                <c:pt idx="52">
                  <c:v>65.1084081344151</c:v>
                </c:pt>
                <c:pt idx="53">
                  <c:v>65.1084081344151</c:v>
                </c:pt>
                <c:pt idx="54">
                  <c:v>65.1084081344151</c:v>
                </c:pt>
                <c:pt idx="55">
                  <c:v>65.1084081344151</c:v>
                </c:pt>
                <c:pt idx="56">
                  <c:v>65.1084081344151</c:v>
                </c:pt>
                <c:pt idx="57">
                  <c:v>65.1084081344151</c:v>
                </c:pt>
                <c:pt idx="58">
                  <c:v>65.1084081344151</c:v>
                </c:pt>
                <c:pt idx="59">
                  <c:v>65.1084081344151</c:v>
                </c:pt>
                <c:pt idx="60">
                  <c:v>65.1084081344151</c:v>
                </c:pt>
                <c:pt idx="61">
                  <c:v>65.1084081344151</c:v>
                </c:pt>
                <c:pt idx="62">
                  <c:v>65.1084081344151</c:v>
                </c:pt>
                <c:pt idx="63">
                  <c:v>65.1084081344151</c:v>
                </c:pt>
                <c:pt idx="64">
                  <c:v>65.1084081344151</c:v>
                </c:pt>
                <c:pt idx="65">
                  <c:v>65.1084081344151</c:v>
                </c:pt>
                <c:pt idx="66">
                  <c:v>65.1084081344151</c:v>
                </c:pt>
                <c:pt idx="67">
                  <c:v>65.1084081344151</c:v>
                </c:pt>
                <c:pt idx="68">
                  <c:v>65.1084081344151</c:v>
                </c:pt>
                <c:pt idx="69">
                  <c:v>65.1084081344151</c:v>
                </c:pt>
                <c:pt idx="70">
                  <c:v>65.1084081344151</c:v>
                </c:pt>
                <c:pt idx="71">
                  <c:v>65.1084081344151</c:v>
                </c:pt>
                <c:pt idx="72">
                  <c:v>65.1084081344151</c:v>
                </c:pt>
                <c:pt idx="73">
                  <c:v>65.1084081344151</c:v>
                </c:pt>
                <c:pt idx="74">
                  <c:v>65.1084081344151</c:v>
                </c:pt>
                <c:pt idx="75">
                  <c:v>65.1084081344151</c:v>
                </c:pt>
                <c:pt idx="76">
                  <c:v>65.1084081344151</c:v>
                </c:pt>
                <c:pt idx="77">
                  <c:v>65.1084081344151</c:v>
                </c:pt>
                <c:pt idx="78">
                  <c:v>65.1084081344151</c:v>
                </c:pt>
                <c:pt idx="79">
                  <c:v>65.1084081344151</c:v>
                </c:pt>
                <c:pt idx="80">
                  <c:v>65.1084081344151</c:v>
                </c:pt>
                <c:pt idx="81">
                  <c:v>65.1084081344151</c:v>
                </c:pt>
                <c:pt idx="82">
                  <c:v>65.1084081344151</c:v>
                </c:pt>
                <c:pt idx="83">
                  <c:v>65.1084081344151</c:v>
                </c:pt>
                <c:pt idx="84">
                  <c:v>65.1084081344151</c:v>
                </c:pt>
                <c:pt idx="85">
                  <c:v>65.1084081344151</c:v>
                </c:pt>
                <c:pt idx="86">
                  <c:v>65.1084081344151</c:v>
                </c:pt>
                <c:pt idx="87">
                  <c:v>65.1084081344151</c:v>
                </c:pt>
                <c:pt idx="88">
                  <c:v>65.1084081344151</c:v>
                </c:pt>
                <c:pt idx="89">
                  <c:v>65.1084081344151</c:v>
                </c:pt>
                <c:pt idx="90">
                  <c:v>65.1084081344151</c:v>
                </c:pt>
                <c:pt idx="91">
                  <c:v>65.1084081344151</c:v>
                </c:pt>
                <c:pt idx="92">
                  <c:v>65.1084081344151</c:v>
                </c:pt>
                <c:pt idx="93">
                  <c:v>65.1084081344151</c:v>
                </c:pt>
                <c:pt idx="94">
                  <c:v>65.1084081344151</c:v>
                </c:pt>
                <c:pt idx="95">
                  <c:v>65.1084081344151</c:v>
                </c:pt>
                <c:pt idx="96">
                  <c:v>65.1084081344151</c:v>
                </c:pt>
                <c:pt idx="97">
                  <c:v>65.1084081344151</c:v>
                </c:pt>
                <c:pt idx="98">
                  <c:v>65.1084081344151</c:v>
                </c:pt>
                <c:pt idx="99">
                  <c:v>65.1084081344151</c:v>
                </c:pt>
                <c:pt idx="100">
                  <c:v>65.1084081344151</c:v>
                </c:pt>
                <c:pt idx="101">
                  <c:v>65.1084081344151</c:v>
                </c:pt>
                <c:pt idx="102">
                  <c:v>65.1084081344151</c:v>
                </c:pt>
                <c:pt idx="103">
                  <c:v>65.1084081344151</c:v>
                </c:pt>
                <c:pt idx="104">
                  <c:v>65.1084081344151</c:v>
                </c:pt>
                <c:pt idx="105">
                  <c:v>65.1084081344151</c:v>
                </c:pt>
                <c:pt idx="106">
                  <c:v>65.1084081344151</c:v>
                </c:pt>
                <c:pt idx="107">
                  <c:v>65.1084081344151</c:v>
                </c:pt>
                <c:pt idx="108">
                  <c:v>65.1084081344151</c:v>
                </c:pt>
                <c:pt idx="109">
                  <c:v>65.1084081344151</c:v>
                </c:pt>
                <c:pt idx="110">
                  <c:v>65.1084081344151</c:v>
                </c:pt>
                <c:pt idx="111">
                  <c:v>65.1084081344151</c:v>
                </c:pt>
                <c:pt idx="112">
                  <c:v>65.1084081344151</c:v>
                </c:pt>
                <c:pt idx="113">
                  <c:v>65.1084081344151</c:v>
                </c:pt>
                <c:pt idx="114">
                  <c:v>65.1084081344151</c:v>
                </c:pt>
                <c:pt idx="115">
                  <c:v>65.1084081344151</c:v>
                </c:pt>
                <c:pt idx="116">
                  <c:v>65.1084081344151</c:v>
                </c:pt>
                <c:pt idx="117">
                  <c:v>65.1084081344151</c:v>
                </c:pt>
                <c:pt idx="118">
                  <c:v>65.1084081344151</c:v>
                </c:pt>
                <c:pt idx="119">
                  <c:v>65.1084081344151</c:v>
                </c:pt>
                <c:pt idx="120">
                  <c:v>65.1084081344151</c:v>
                </c:pt>
                <c:pt idx="121">
                  <c:v>65.1084081344151</c:v>
                </c:pt>
                <c:pt idx="122">
                  <c:v>65.1084081344151</c:v>
                </c:pt>
                <c:pt idx="123">
                  <c:v>65.1084081344151</c:v>
                </c:pt>
                <c:pt idx="124">
                  <c:v>65.1084081344151</c:v>
                </c:pt>
                <c:pt idx="125">
                  <c:v>65.1084081344151</c:v>
                </c:pt>
                <c:pt idx="126">
                  <c:v>65.1084081344151</c:v>
                </c:pt>
                <c:pt idx="127">
                  <c:v>65.1084081344151</c:v>
                </c:pt>
                <c:pt idx="128">
                  <c:v>65.1084081344151</c:v>
                </c:pt>
                <c:pt idx="129">
                  <c:v>65.1084081344151</c:v>
                </c:pt>
                <c:pt idx="130">
                  <c:v>65.1084081344151</c:v>
                </c:pt>
                <c:pt idx="131">
                  <c:v>65.1084081344151</c:v>
                </c:pt>
                <c:pt idx="132">
                  <c:v>65.1084081344151</c:v>
                </c:pt>
                <c:pt idx="133">
                  <c:v>65.1084081344151</c:v>
                </c:pt>
                <c:pt idx="134">
                  <c:v>65.1084081344151</c:v>
                </c:pt>
              </c:numCache>
            </c:numRef>
          </c:val>
          <c:smooth val="0"/>
          <c:extLst>
            <c:ext xmlns:c16="http://schemas.microsoft.com/office/drawing/2014/chart" uri="{C3380CC4-5D6E-409C-BE32-E72D297353CC}">
              <c16:uniqueId val="{00000001-9003-4D76-8BA6-14E4769EC0C5}"/>
            </c:ext>
          </c:extLst>
        </c:ser>
        <c:ser>
          <c:idx val="2"/>
          <c:order val="2"/>
          <c:tx>
            <c:strRef>
              <c:f>Summary!$W$86</c:f>
              <c:strCache>
                <c:ptCount val="1"/>
                <c:pt idx="0">
                  <c:v>Large Cap EV/EBITDA</c:v>
                </c:pt>
              </c:strCache>
            </c:strRef>
          </c:tx>
          <c:spPr>
            <a:ln w="28575" cap="rnd">
              <a:solidFill>
                <a:schemeClr val="accent1"/>
              </a:solidFill>
              <a:round/>
            </a:ln>
            <a:effectLst/>
          </c:spPr>
          <c:marker>
            <c:symbol val="none"/>
          </c:marker>
          <c:cat>
            <c:numRef>
              <c:f>Summary!$B$452:$B$586</c:f>
              <c:numCache>
                <c:formatCode>m/d/yyyy</c:formatCode>
                <c:ptCount val="135"/>
                <c:pt idx="0">
                  <c:v>45296</c:v>
                </c:pt>
                <c:pt idx="1">
                  <c:v>45303</c:v>
                </c:pt>
                <c:pt idx="2">
                  <c:v>45310</c:v>
                </c:pt>
                <c:pt idx="3">
                  <c:v>45317</c:v>
                </c:pt>
                <c:pt idx="4">
                  <c:v>45324</c:v>
                </c:pt>
                <c:pt idx="5">
                  <c:v>45331</c:v>
                </c:pt>
                <c:pt idx="6">
                  <c:v>45338</c:v>
                </c:pt>
                <c:pt idx="7">
                  <c:v>45345</c:v>
                </c:pt>
                <c:pt idx="8">
                  <c:v>45352</c:v>
                </c:pt>
                <c:pt idx="9">
                  <c:v>45359</c:v>
                </c:pt>
                <c:pt idx="10">
                  <c:v>45366</c:v>
                </c:pt>
                <c:pt idx="11">
                  <c:v>45373</c:v>
                </c:pt>
                <c:pt idx="12">
                  <c:v>45380</c:v>
                </c:pt>
                <c:pt idx="13">
                  <c:v>45387</c:v>
                </c:pt>
                <c:pt idx="14">
                  <c:v>45394</c:v>
                </c:pt>
                <c:pt idx="15">
                  <c:v>45401</c:v>
                </c:pt>
                <c:pt idx="16">
                  <c:v>45408</c:v>
                </c:pt>
                <c:pt idx="17">
                  <c:v>45415</c:v>
                </c:pt>
                <c:pt idx="18">
                  <c:v>45422</c:v>
                </c:pt>
                <c:pt idx="19">
                  <c:v>45429</c:v>
                </c:pt>
                <c:pt idx="20">
                  <c:v>45436</c:v>
                </c:pt>
                <c:pt idx="21">
                  <c:v>45443</c:v>
                </c:pt>
                <c:pt idx="22">
                  <c:v>45450</c:v>
                </c:pt>
                <c:pt idx="23">
                  <c:v>45457</c:v>
                </c:pt>
                <c:pt idx="24">
                  <c:v>45464</c:v>
                </c:pt>
                <c:pt idx="25">
                  <c:v>45471</c:v>
                </c:pt>
                <c:pt idx="26">
                  <c:v>45478</c:v>
                </c:pt>
                <c:pt idx="27">
                  <c:v>45485</c:v>
                </c:pt>
                <c:pt idx="28">
                  <c:v>45492</c:v>
                </c:pt>
                <c:pt idx="29">
                  <c:v>45499</c:v>
                </c:pt>
                <c:pt idx="30">
                  <c:v>45506</c:v>
                </c:pt>
                <c:pt idx="31">
                  <c:v>45513</c:v>
                </c:pt>
                <c:pt idx="32">
                  <c:v>45520</c:v>
                </c:pt>
                <c:pt idx="33">
                  <c:v>45527</c:v>
                </c:pt>
                <c:pt idx="34">
                  <c:v>45534</c:v>
                </c:pt>
                <c:pt idx="35">
                  <c:v>45541</c:v>
                </c:pt>
                <c:pt idx="36">
                  <c:v>45548</c:v>
                </c:pt>
                <c:pt idx="37">
                  <c:v>45555</c:v>
                </c:pt>
                <c:pt idx="38">
                  <c:v>45562</c:v>
                </c:pt>
                <c:pt idx="39">
                  <c:v>45569</c:v>
                </c:pt>
                <c:pt idx="40">
                  <c:v>45576</c:v>
                </c:pt>
                <c:pt idx="41">
                  <c:v>45583</c:v>
                </c:pt>
                <c:pt idx="42">
                  <c:v>45590</c:v>
                </c:pt>
                <c:pt idx="43">
                  <c:v>45597</c:v>
                </c:pt>
                <c:pt idx="44">
                  <c:v>45604</c:v>
                </c:pt>
                <c:pt idx="45">
                  <c:v>45611</c:v>
                </c:pt>
                <c:pt idx="46">
                  <c:v>45618</c:v>
                </c:pt>
                <c:pt idx="47">
                  <c:v>45625</c:v>
                </c:pt>
                <c:pt idx="48">
                  <c:v>45632</c:v>
                </c:pt>
                <c:pt idx="49">
                  <c:v>45639</c:v>
                </c:pt>
                <c:pt idx="50">
                  <c:v>45646</c:v>
                </c:pt>
                <c:pt idx="51">
                  <c:v>45653</c:v>
                </c:pt>
                <c:pt idx="52">
                  <c:v>45660</c:v>
                </c:pt>
                <c:pt idx="53">
                  <c:v>45667</c:v>
                </c:pt>
                <c:pt idx="54">
                  <c:v>45674</c:v>
                </c:pt>
                <c:pt idx="55">
                  <c:v>45681</c:v>
                </c:pt>
                <c:pt idx="56">
                  <c:v>45688</c:v>
                </c:pt>
                <c:pt idx="57">
                  <c:v>45695</c:v>
                </c:pt>
                <c:pt idx="58">
                  <c:v>45702</c:v>
                </c:pt>
                <c:pt idx="59">
                  <c:v>45709</c:v>
                </c:pt>
                <c:pt idx="60">
                  <c:v>45716</c:v>
                </c:pt>
                <c:pt idx="61">
                  <c:v>45723</c:v>
                </c:pt>
                <c:pt idx="62">
                  <c:v>45730</c:v>
                </c:pt>
                <c:pt idx="63">
                  <c:v>45737</c:v>
                </c:pt>
                <c:pt idx="64">
                  <c:v>45744</c:v>
                </c:pt>
                <c:pt idx="65">
                  <c:v>45751</c:v>
                </c:pt>
                <c:pt idx="66">
                  <c:v>45758</c:v>
                </c:pt>
                <c:pt idx="67">
                  <c:v>45765</c:v>
                </c:pt>
                <c:pt idx="68">
                  <c:v>45772</c:v>
                </c:pt>
                <c:pt idx="69">
                  <c:v>45779</c:v>
                </c:pt>
                <c:pt idx="70">
                  <c:v>45786</c:v>
                </c:pt>
                <c:pt idx="71">
                  <c:v>45793</c:v>
                </c:pt>
                <c:pt idx="72">
                  <c:v>45800</c:v>
                </c:pt>
                <c:pt idx="73">
                  <c:v>45807</c:v>
                </c:pt>
                <c:pt idx="74">
                  <c:v>45814</c:v>
                </c:pt>
                <c:pt idx="75">
                  <c:v>45821</c:v>
                </c:pt>
                <c:pt idx="76">
                  <c:v>45828</c:v>
                </c:pt>
                <c:pt idx="77">
                  <c:v>45835</c:v>
                </c:pt>
                <c:pt idx="78">
                  <c:v>45842</c:v>
                </c:pt>
                <c:pt idx="79">
                  <c:v>45849</c:v>
                </c:pt>
                <c:pt idx="80">
                  <c:v>45856</c:v>
                </c:pt>
                <c:pt idx="81">
                  <c:v>45863</c:v>
                </c:pt>
                <c:pt idx="82">
                  <c:v>45870</c:v>
                </c:pt>
                <c:pt idx="83">
                  <c:v>45877</c:v>
                </c:pt>
                <c:pt idx="84">
                  <c:v>45884</c:v>
                </c:pt>
                <c:pt idx="85">
                  <c:v>45891</c:v>
                </c:pt>
                <c:pt idx="86">
                  <c:v>45898</c:v>
                </c:pt>
                <c:pt idx="87">
                  <c:v>45905</c:v>
                </c:pt>
                <c:pt idx="88">
                  <c:v>45912</c:v>
                </c:pt>
                <c:pt idx="89">
                  <c:v>45919</c:v>
                </c:pt>
                <c:pt idx="90">
                  <c:v>45926</c:v>
                </c:pt>
                <c:pt idx="91">
                  <c:v>45933</c:v>
                </c:pt>
                <c:pt idx="92">
                  <c:v>45940</c:v>
                </c:pt>
                <c:pt idx="93">
                  <c:v>45947</c:v>
                </c:pt>
                <c:pt idx="94">
                  <c:v>45954</c:v>
                </c:pt>
                <c:pt idx="95">
                  <c:v>45961</c:v>
                </c:pt>
                <c:pt idx="96">
                  <c:v>45968</c:v>
                </c:pt>
                <c:pt idx="97">
                  <c:v>45975</c:v>
                </c:pt>
                <c:pt idx="98">
                  <c:v>45982</c:v>
                </c:pt>
                <c:pt idx="99">
                  <c:v>45989</c:v>
                </c:pt>
                <c:pt idx="100">
                  <c:v>45996</c:v>
                </c:pt>
                <c:pt idx="101">
                  <c:v>46003</c:v>
                </c:pt>
                <c:pt idx="102">
                  <c:v>46010</c:v>
                </c:pt>
                <c:pt idx="103">
                  <c:v>46017</c:v>
                </c:pt>
                <c:pt idx="104">
                  <c:v>46024</c:v>
                </c:pt>
                <c:pt idx="105">
                  <c:v>46031</c:v>
                </c:pt>
                <c:pt idx="106">
                  <c:v>46038</c:v>
                </c:pt>
                <c:pt idx="107">
                  <c:v>46045</c:v>
                </c:pt>
                <c:pt idx="108">
                  <c:v>46052</c:v>
                </c:pt>
                <c:pt idx="109">
                  <c:v>46059</c:v>
                </c:pt>
                <c:pt idx="110">
                  <c:v>46066</c:v>
                </c:pt>
                <c:pt idx="111">
                  <c:v>46073</c:v>
                </c:pt>
                <c:pt idx="112">
                  <c:v>46080</c:v>
                </c:pt>
                <c:pt idx="113">
                  <c:v>46087</c:v>
                </c:pt>
                <c:pt idx="114">
                  <c:v>46094</c:v>
                </c:pt>
                <c:pt idx="115">
                  <c:v>46101</c:v>
                </c:pt>
                <c:pt idx="116">
                  <c:v>46108</c:v>
                </c:pt>
                <c:pt idx="117">
                  <c:v>46115</c:v>
                </c:pt>
                <c:pt idx="118">
                  <c:v>46122</c:v>
                </c:pt>
                <c:pt idx="119">
                  <c:v>46129</c:v>
                </c:pt>
                <c:pt idx="120">
                  <c:v>46136</c:v>
                </c:pt>
                <c:pt idx="121">
                  <c:v>46143</c:v>
                </c:pt>
                <c:pt idx="122">
                  <c:v>46150</c:v>
                </c:pt>
                <c:pt idx="123">
                  <c:v>46157</c:v>
                </c:pt>
                <c:pt idx="124">
                  <c:v>46164</c:v>
                </c:pt>
                <c:pt idx="125">
                  <c:v>46171</c:v>
                </c:pt>
                <c:pt idx="126">
                  <c:v>46178</c:v>
                </c:pt>
                <c:pt idx="127">
                  <c:v>46185</c:v>
                </c:pt>
                <c:pt idx="128">
                  <c:v>46192</c:v>
                </c:pt>
                <c:pt idx="129">
                  <c:v>46199</c:v>
                </c:pt>
                <c:pt idx="130">
                  <c:v>46206</c:v>
                </c:pt>
                <c:pt idx="131">
                  <c:v>46213</c:v>
                </c:pt>
                <c:pt idx="132">
                  <c:v>46220</c:v>
                </c:pt>
                <c:pt idx="133">
                  <c:v>46227</c:v>
                </c:pt>
                <c:pt idx="134">
                  <c:v>46234</c:v>
                </c:pt>
              </c:numCache>
            </c:numRef>
          </c:cat>
          <c:val>
            <c:numRef>
              <c:f>Summary!$W$452:$W$586</c:f>
              <c:numCache>
                <c:formatCode>0.0\x_);\(0.0\x\)</c:formatCode>
                <c:ptCount val="135"/>
                <c:pt idx="0">
                  <c:v>20.336770282624691</c:v>
                </c:pt>
                <c:pt idx="1">
                  <c:v>20.731352329240199</c:v>
                </c:pt>
                <c:pt idx="2">
                  <c:v>20.577087345784452</c:v>
                </c:pt>
                <c:pt idx="3">
                  <c:v>20.631989599997276</c:v>
                </c:pt>
                <c:pt idx="4">
                  <c:v>20.837760528225981</c:v>
                </c:pt>
                <c:pt idx="5">
                  <c:v>18.892593076754146</c:v>
                </c:pt>
                <c:pt idx="6">
                  <c:v>19.599660067011115</c:v>
                </c:pt>
                <c:pt idx="7">
                  <c:v>19.126646223440225</c:v>
                </c:pt>
                <c:pt idx="8">
                  <c:v>19.620605268982764</c:v>
                </c:pt>
                <c:pt idx="9">
                  <c:v>19.76348570027811</c:v>
                </c:pt>
                <c:pt idx="10">
                  <c:v>18.716052253420511</c:v>
                </c:pt>
                <c:pt idx="11">
                  <c:v>19.613826152221183</c:v>
                </c:pt>
                <c:pt idx="12">
                  <c:v>19.356153502368567</c:v>
                </c:pt>
                <c:pt idx="13">
                  <c:v>19.003001624404263</c:v>
                </c:pt>
                <c:pt idx="14">
                  <c:v>18.672667802510638</c:v>
                </c:pt>
                <c:pt idx="15">
                  <c:v>17.443197596944227</c:v>
                </c:pt>
                <c:pt idx="16">
                  <c:v>18.025047501054875</c:v>
                </c:pt>
                <c:pt idx="17">
                  <c:v>18.214022552857408</c:v>
                </c:pt>
                <c:pt idx="18">
                  <c:v>18.050483354122527</c:v>
                </c:pt>
                <c:pt idx="19">
                  <c:v>18.257913904378821</c:v>
                </c:pt>
                <c:pt idx="20">
                  <c:v>17.777980531636285</c:v>
                </c:pt>
                <c:pt idx="21">
                  <c:v>17.561490447825353</c:v>
                </c:pt>
                <c:pt idx="22">
                  <c:v>17.987069933627772</c:v>
                </c:pt>
                <c:pt idx="23">
                  <c:v>18.04837962176606</c:v>
                </c:pt>
                <c:pt idx="24">
                  <c:v>18.154900254045899</c:v>
                </c:pt>
                <c:pt idx="25">
                  <c:v>18.373892160427403</c:v>
                </c:pt>
                <c:pt idx="26">
                  <c:v>18.360524325129088</c:v>
                </c:pt>
                <c:pt idx="27">
                  <c:v>18.008796829550732</c:v>
                </c:pt>
                <c:pt idx="28">
                  <c:v>17.27397627247127</c:v>
                </c:pt>
                <c:pt idx="29">
                  <c:v>16.462455429983617</c:v>
                </c:pt>
                <c:pt idx="30">
                  <c:v>14.952876021633061</c:v>
                </c:pt>
                <c:pt idx="31">
                  <c:v>15.609636238446493</c:v>
                </c:pt>
                <c:pt idx="32">
                  <c:v>16.136391544065532</c:v>
                </c:pt>
                <c:pt idx="33">
                  <c:v>16.543106083646339</c:v>
                </c:pt>
                <c:pt idx="34">
                  <c:v>16.433139190044013</c:v>
                </c:pt>
                <c:pt idx="35">
                  <c:v>15.557931816227615</c:v>
                </c:pt>
                <c:pt idx="36">
                  <c:v>16.356599091501693</c:v>
                </c:pt>
                <c:pt idx="37">
                  <c:v>17.139080314728261</c:v>
                </c:pt>
                <c:pt idx="38">
                  <c:v>17.363958546292857</c:v>
                </c:pt>
                <c:pt idx="39">
                  <c:v>17.397879041049578</c:v>
                </c:pt>
                <c:pt idx="40">
                  <c:v>17.859013210372694</c:v>
                </c:pt>
                <c:pt idx="41">
                  <c:v>17.751248900030006</c:v>
                </c:pt>
                <c:pt idx="42">
                  <c:v>17.429711577545273</c:v>
                </c:pt>
                <c:pt idx="43">
                  <c:v>17.489150271109565</c:v>
                </c:pt>
                <c:pt idx="44">
                  <c:v>18.215374504508244</c:v>
                </c:pt>
                <c:pt idx="45">
                  <c:v>17.70239025793953</c:v>
                </c:pt>
                <c:pt idx="46">
                  <c:v>18.524121244291713</c:v>
                </c:pt>
                <c:pt idx="47">
                  <c:v>18.637116058461775</c:v>
                </c:pt>
                <c:pt idx="48">
                  <c:v>19.058117331862629</c:v>
                </c:pt>
                <c:pt idx="49">
                  <c:v>18.296082509915038</c:v>
                </c:pt>
                <c:pt idx="50">
                  <c:v>17.855812916243558</c:v>
                </c:pt>
                <c:pt idx="51">
                  <c:v>17.738524592571846</c:v>
                </c:pt>
                <c:pt idx="52">
                  <c:v>17.750737542875392</c:v>
                </c:pt>
                <c:pt idx="53">
                  <c:v>17.324821871768656</c:v>
                </c:pt>
                <c:pt idx="54">
                  <c:v>17.621426607121656</c:v>
                </c:pt>
                <c:pt idx="55">
                  <c:v>17.795395674925015</c:v>
                </c:pt>
                <c:pt idx="56">
                  <c:v>17.968006861784716</c:v>
                </c:pt>
                <c:pt idx="57">
                  <c:v>18.587287709954929</c:v>
                </c:pt>
                <c:pt idx="58">
                  <c:v>18.283645440915631</c:v>
                </c:pt>
                <c:pt idx="59">
                  <c:v>17.212715956912124</c:v>
                </c:pt>
                <c:pt idx="60">
                  <c:v>16.845921607508448</c:v>
                </c:pt>
                <c:pt idx="61">
                  <c:v>15.904301469279861</c:v>
                </c:pt>
                <c:pt idx="62">
                  <c:v>14.917196354315372</c:v>
                </c:pt>
                <c:pt idx="63">
                  <c:v>15.322174025320109</c:v>
                </c:pt>
                <c:pt idx="64">
                  <c:v>14.788800313334438</c:v>
                </c:pt>
                <c:pt idx="65">
                  <c:v>13.198773467392973</c:v>
                </c:pt>
                <c:pt idx="66">
                  <c:v>13.907216420443872</c:v>
                </c:pt>
                <c:pt idx="67">
                  <c:v>13.936677819225531</c:v>
                </c:pt>
                <c:pt idx="68">
                  <c:v>14.881560394102806</c:v>
                </c:pt>
                <c:pt idx="69">
                  <c:v>15.654394689436034</c:v>
                </c:pt>
                <c:pt idx="70">
                  <c:v>15.846718806716263</c:v>
                </c:pt>
                <c:pt idx="71">
                  <c:v>16.897710973034865</c:v>
                </c:pt>
                <c:pt idx="72">
                  <c:v>16.361050227991349</c:v>
                </c:pt>
                <c:pt idx="73">
                  <c:v>16.499302732757243</c:v>
                </c:pt>
                <c:pt idx="74">
                  <c:v>16.991023184663533</c:v>
                </c:pt>
                <c:pt idx="75">
                  <c:v>16.492968855681141</c:v>
                </c:pt>
                <c:pt idx="76">
                  <c:v>16.373619178820391</c:v>
                </c:pt>
                <c:pt idx="77">
                  <c:v>17.242421064872453</c:v>
                </c:pt>
                <c:pt idx="78">
                  <c:v>17.459471991358644</c:v>
                </c:pt>
                <c:pt idx="79">
                  <c:v>17.376414130583989</c:v>
                </c:pt>
                <c:pt idx="80">
                  <c:v>17.418978030876687</c:v>
                </c:pt>
                <c:pt idx="81">
                  <c:v>17.615718654378266</c:v>
                </c:pt>
                <c:pt idx="82">
                  <c:v>17.060631117535809</c:v>
                </c:pt>
                <c:pt idx="83">
                  <c:v>16.249347936820723</c:v>
                </c:pt>
                <c:pt idx="84">
                  <c:v>16.496570521040141</c:v>
                </c:pt>
                <c:pt idx="85">
                  <c:v>16.607883509868305</c:v>
                </c:pt>
                <c:pt idx="86">
                  <c:v>16.355948414064219</c:v>
                </c:pt>
                <c:pt idx="87">
                  <c:v>16.478753339748607</c:v>
                </c:pt>
                <c:pt idx="88">
                  <c:v>16.296588790470679</c:v>
                </c:pt>
                <c:pt idx="89">
                  <c:v>16.773127947895567</c:v>
                </c:pt>
                <c:pt idx="90">
                  <c:v>16.352849133314766</c:v>
                </c:pt>
                <c:pt idx="91">
                  <c:v>16.186589330959244</c:v>
                </c:pt>
                <c:pt idx="92">
                  <c:v>15.577583707770728</c:v>
                </c:pt>
                <c:pt idx="93">
                  <c:v>15.633135242190031</c:v>
                </c:pt>
                <c:pt idx="94">
                  <c:v>15.81933986295444</c:v>
                </c:pt>
                <c:pt idx="95">
                  <c:v>15.515945660482419</c:v>
                </c:pt>
                <c:pt idx="96">
                  <c:v>14.581324840233</c:v>
                </c:pt>
                <c:pt idx="97">
                  <c:v>14.490582021136529</c:v>
                </c:pt>
                <c:pt idx="98">
                  <c:v>13.674453633593483</c:v>
                </c:pt>
                <c:pt idx="99">
                  <c:v>14.184927346193559</c:v>
                </c:pt>
                <c:pt idx="100">
                  <c:v>14.531351640081741</c:v>
                </c:pt>
                <c:pt idx="101">
                  <c:v>14.107534273116432</c:v>
                </c:pt>
                <c:pt idx="102">
                  <c:v>14.029157762251014</c:v>
                </c:pt>
                <c:pt idx="103">
                  <c:v>14.139422041852589</c:v>
                </c:pt>
                <c:pt idx="104">
                  <c:v>13.82374810506245</c:v>
                </c:pt>
                <c:pt idx="105">
                  <c:v>14.037338556748232</c:v>
                </c:pt>
                <c:pt idx="106">
                  <c:v>13.594897191960607</c:v>
                </c:pt>
                <c:pt idx="107">
                  <c:v>13.564793402882582</c:v>
                </c:pt>
                <c:pt idx="108">
                  <c:v>13.006650399259629</c:v>
                </c:pt>
                <c:pt idx="109">
                  <c:v>11.792681887628868</c:v>
                </c:pt>
                <c:pt idx="110">
                  <c:v>10.715871043699904</c:v>
                </c:pt>
                <c:pt idx="111">
                  <c:v>11.128403215416267</c:v>
                </c:pt>
                <c:pt idx="112">
                  <c:v>11.419531124091129</c:v>
                </c:pt>
                <c:pt idx="113">
                  <c:v>11.699906697106073</c:v>
                </c:pt>
                <c:pt idx="114">
                  <c:v>11.072560036812938</c:v>
                </c:pt>
                <c:pt idx="115">
                  <c:v>10.929297965617419</c:v>
                </c:pt>
                <c:pt idx="116">
                  <c:v>10.281832743928494</c:v>
                </c:pt>
                <c:pt idx="117">
                  <c:v>10.75712043473902</c:v>
                </c:pt>
                <c:pt idx="118">
                  <c:v>10.954428339781723</c:v>
                </c:pt>
                <c:pt idx="119">
                  <c:v>11.999748647277928</c:v>
                </c:pt>
                <c:pt idx="120">
                  <c:v>11.689440225885267</c:v>
                </c:pt>
                <c:pt idx="121">
                  <c:v>11.714562549353468</c:v>
                </c:pt>
                <c:pt idx="122">
                  <c:v>11.282570303473946</c:v>
                </c:pt>
                <c:pt idx="123">
                  <c:v>10.842412255153771</c:v>
                </c:pt>
                <c:pt idx="124">
                  <c:v>10.821603629473911</c:v>
                </c:pt>
                <c:pt idx="125">
                  <c:v>10.747464892998615</c:v>
                </c:pt>
                <c:pt idx="126">
                  <c:v>10.476549256151047</c:v>
                </c:pt>
                <c:pt idx="127">
                  <c:v>10.130333025471593</c:v>
                </c:pt>
                <c:pt idx="128">
                  <c:v>10.373503539359273</c:v>
                </c:pt>
                <c:pt idx="129">
                  <c:v>10.33384729734332</c:v>
                </c:pt>
                <c:pt idx="130">
                  <c:v>10.760827539978019</c:v>
                </c:pt>
                <c:pt idx="131">
                  <c:v>10.725652751136019</c:v>
                </c:pt>
                <c:pt idx="132">
                  <c:v>10.471048016489368</c:v>
                </c:pt>
                <c:pt idx="133">
                  <c:v>9.8987233414895215</c:v>
                </c:pt>
                <c:pt idx="134">
                  <c:v>10.651758851442262</c:v>
                </c:pt>
              </c:numCache>
            </c:numRef>
          </c:val>
          <c:smooth val="0"/>
          <c:extLst>
            <c:ext xmlns:c16="http://schemas.microsoft.com/office/drawing/2014/chart" uri="{C3380CC4-5D6E-409C-BE32-E72D297353CC}">
              <c16:uniqueId val="{00000002-9003-4D76-8BA6-14E4769EC0C5}"/>
            </c:ext>
          </c:extLst>
        </c:ser>
        <c:ser>
          <c:idx val="3"/>
          <c:order val="3"/>
          <c:tx>
            <c:strRef>
              <c:f>Summary!$X$86</c:f>
              <c:strCache>
                <c:ptCount val="1"/>
                <c:pt idx="0">
                  <c:v>Large Cap Mean</c:v>
                </c:pt>
              </c:strCache>
            </c:strRef>
          </c:tx>
          <c:spPr>
            <a:ln w="28575" cap="rnd">
              <a:solidFill>
                <a:schemeClr val="accent1">
                  <a:lumMod val="75000"/>
                </a:schemeClr>
              </a:solidFill>
              <a:prstDash val="dash"/>
              <a:round/>
            </a:ln>
            <a:effectLst/>
          </c:spPr>
          <c:marker>
            <c:symbol val="none"/>
          </c:marker>
          <c:cat>
            <c:numRef>
              <c:f>Summary!$B$452:$B$586</c:f>
              <c:numCache>
                <c:formatCode>m/d/yyyy</c:formatCode>
                <c:ptCount val="135"/>
                <c:pt idx="0">
                  <c:v>45296</c:v>
                </c:pt>
                <c:pt idx="1">
                  <c:v>45303</c:v>
                </c:pt>
                <c:pt idx="2">
                  <c:v>45310</c:v>
                </c:pt>
                <c:pt idx="3">
                  <c:v>45317</c:v>
                </c:pt>
                <c:pt idx="4">
                  <c:v>45324</c:v>
                </c:pt>
                <c:pt idx="5">
                  <c:v>45331</c:v>
                </c:pt>
                <c:pt idx="6">
                  <c:v>45338</c:v>
                </c:pt>
                <c:pt idx="7">
                  <c:v>45345</c:v>
                </c:pt>
                <c:pt idx="8">
                  <c:v>45352</c:v>
                </c:pt>
                <c:pt idx="9">
                  <c:v>45359</c:v>
                </c:pt>
                <c:pt idx="10">
                  <c:v>45366</c:v>
                </c:pt>
                <c:pt idx="11">
                  <c:v>45373</c:v>
                </c:pt>
                <c:pt idx="12">
                  <c:v>45380</c:v>
                </c:pt>
                <c:pt idx="13">
                  <c:v>45387</c:v>
                </c:pt>
                <c:pt idx="14">
                  <c:v>45394</c:v>
                </c:pt>
                <c:pt idx="15">
                  <c:v>45401</c:v>
                </c:pt>
                <c:pt idx="16">
                  <c:v>45408</c:v>
                </c:pt>
                <c:pt idx="17">
                  <c:v>45415</c:v>
                </c:pt>
                <c:pt idx="18">
                  <c:v>45422</c:v>
                </c:pt>
                <c:pt idx="19">
                  <c:v>45429</c:v>
                </c:pt>
                <c:pt idx="20">
                  <c:v>45436</c:v>
                </c:pt>
                <c:pt idx="21">
                  <c:v>45443</c:v>
                </c:pt>
                <c:pt idx="22">
                  <c:v>45450</c:v>
                </c:pt>
                <c:pt idx="23">
                  <c:v>45457</c:v>
                </c:pt>
                <c:pt idx="24">
                  <c:v>45464</c:v>
                </c:pt>
                <c:pt idx="25">
                  <c:v>45471</c:v>
                </c:pt>
                <c:pt idx="26">
                  <c:v>45478</c:v>
                </c:pt>
                <c:pt idx="27">
                  <c:v>45485</c:v>
                </c:pt>
                <c:pt idx="28">
                  <c:v>45492</c:v>
                </c:pt>
                <c:pt idx="29">
                  <c:v>45499</c:v>
                </c:pt>
                <c:pt idx="30">
                  <c:v>45506</c:v>
                </c:pt>
                <c:pt idx="31">
                  <c:v>45513</c:v>
                </c:pt>
                <c:pt idx="32">
                  <c:v>45520</c:v>
                </c:pt>
                <c:pt idx="33">
                  <c:v>45527</c:v>
                </c:pt>
                <c:pt idx="34">
                  <c:v>45534</c:v>
                </c:pt>
                <c:pt idx="35">
                  <c:v>45541</c:v>
                </c:pt>
                <c:pt idx="36">
                  <c:v>45548</c:v>
                </c:pt>
                <c:pt idx="37">
                  <c:v>45555</c:v>
                </c:pt>
                <c:pt idx="38">
                  <c:v>45562</c:v>
                </c:pt>
                <c:pt idx="39">
                  <c:v>45569</c:v>
                </c:pt>
                <c:pt idx="40">
                  <c:v>45576</c:v>
                </c:pt>
                <c:pt idx="41">
                  <c:v>45583</c:v>
                </c:pt>
                <c:pt idx="42">
                  <c:v>45590</c:v>
                </c:pt>
                <c:pt idx="43">
                  <c:v>45597</c:v>
                </c:pt>
                <c:pt idx="44">
                  <c:v>45604</c:v>
                </c:pt>
                <c:pt idx="45">
                  <c:v>45611</c:v>
                </c:pt>
                <c:pt idx="46">
                  <c:v>45618</c:v>
                </c:pt>
                <c:pt idx="47">
                  <c:v>45625</c:v>
                </c:pt>
                <c:pt idx="48">
                  <c:v>45632</c:v>
                </c:pt>
                <c:pt idx="49">
                  <c:v>45639</c:v>
                </c:pt>
                <c:pt idx="50">
                  <c:v>45646</c:v>
                </c:pt>
                <c:pt idx="51">
                  <c:v>45653</c:v>
                </c:pt>
                <c:pt idx="52">
                  <c:v>45660</c:v>
                </c:pt>
                <c:pt idx="53">
                  <c:v>45667</c:v>
                </c:pt>
                <c:pt idx="54">
                  <c:v>45674</c:v>
                </c:pt>
                <c:pt idx="55">
                  <c:v>45681</c:v>
                </c:pt>
                <c:pt idx="56">
                  <c:v>45688</c:v>
                </c:pt>
                <c:pt idx="57">
                  <c:v>45695</c:v>
                </c:pt>
                <c:pt idx="58">
                  <c:v>45702</c:v>
                </c:pt>
                <c:pt idx="59">
                  <c:v>45709</c:v>
                </c:pt>
                <c:pt idx="60">
                  <c:v>45716</c:v>
                </c:pt>
                <c:pt idx="61">
                  <c:v>45723</c:v>
                </c:pt>
                <c:pt idx="62">
                  <c:v>45730</c:v>
                </c:pt>
                <c:pt idx="63">
                  <c:v>45737</c:v>
                </c:pt>
                <c:pt idx="64">
                  <c:v>45744</c:v>
                </c:pt>
                <c:pt idx="65">
                  <c:v>45751</c:v>
                </c:pt>
                <c:pt idx="66">
                  <c:v>45758</c:v>
                </c:pt>
                <c:pt idx="67">
                  <c:v>45765</c:v>
                </c:pt>
                <c:pt idx="68">
                  <c:v>45772</c:v>
                </c:pt>
                <c:pt idx="69">
                  <c:v>45779</c:v>
                </c:pt>
                <c:pt idx="70">
                  <c:v>45786</c:v>
                </c:pt>
                <c:pt idx="71">
                  <c:v>45793</c:v>
                </c:pt>
                <c:pt idx="72">
                  <c:v>45800</c:v>
                </c:pt>
                <c:pt idx="73">
                  <c:v>45807</c:v>
                </c:pt>
                <c:pt idx="74">
                  <c:v>45814</c:v>
                </c:pt>
                <c:pt idx="75">
                  <c:v>45821</c:v>
                </c:pt>
                <c:pt idx="76">
                  <c:v>45828</c:v>
                </c:pt>
                <c:pt idx="77">
                  <c:v>45835</c:v>
                </c:pt>
                <c:pt idx="78">
                  <c:v>45842</c:v>
                </c:pt>
                <c:pt idx="79">
                  <c:v>45849</c:v>
                </c:pt>
                <c:pt idx="80">
                  <c:v>45856</c:v>
                </c:pt>
                <c:pt idx="81">
                  <c:v>45863</c:v>
                </c:pt>
                <c:pt idx="82">
                  <c:v>45870</c:v>
                </c:pt>
                <c:pt idx="83">
                  <c:v>45877</c:v>
                </c:pt>
                <c:pt idx="84">
                  <c:v>45884</c:v>
                </c:pt>
                <c:pt idx="85">
                  <c:v>45891</c:v>
                </c:pt>
                <c:pt idx="86">
                  <c:v>45898</c:v>
                </c:pt>
                <c:pt idx="87">
                  <c:v>45905</c:v>
                </c:pt>
                <c:pt idx="88">
                  <c:v>45912</c:v>
                </c:pt>
                <c:pt idx="89">
                  <c:v>45919</c:v>
                </c:pt>
                <c:pt idx="90">
                  <c:v>45926</c:v>
                </c:pt>
                <c:pt idx="91">
                  <c:v>45933</c:v>
                </c:pt>
                <c:pt idx="92">
                  <c:v>45940</c:v>
                </c:pt>
                <c:pt idx="93">
                  <c:v>45947</c:v>
                </c:pt>
                <c:pt idx="94">
                  <c:v>45954</c:v>
                </c:pt>
                <c:pt idx="95">
                  <c:v>45961</c:v>
                </c:pt>
                <c:pt idx="96">
                  <c:v>45968</c:v>
                </c:pt>
                <c:pt idx="97">
                  <c:v>45975</c:v>
                </c:pt>
                <c:pt idx="98">
                  <c:v>45982</c:v>
                </c:pt>
                <c:pt idx="99">
                  <c:v>45989</c:v>
                </c:pt>
                <c:pt idx="100">
                  <c:v>45996</c:v>
                </c:pt>
                <c:pt idx="101">
                  <c:v>46003</c:v>
                </c:pt>
                <c:pt idx="102">
                  <c:v>46010</c:v>
                </c:pt>
                <c:pt idx="103">
                  <c:v>46017</c:v>
                </c:pt>
                <c:pt idx="104">
                  <c:v>46024</c:v>
                </c:pt>
                <c:pt idx="105">
                  <c:v>46031</c:v>
                </c:pt>
                <c:pt idx="106">
                  <c:v>46038</c:v>
                </c:pt>
                <c:pt idx="107">
                  <c:v>46045</c:v>
                </c:pt>
                <c:pt idx="108">
                  <c:v>46052</c:v>
                </c:pt>
                <c:pt idx="109">
                  <c:v>46059</c:v>
                </c:pt>
                <c:pt idx="110">
                  <c:v>46066</c:v>
                </c:pt>
                <c:pt idx="111">
                  <c:v>46073</c:v>
                </c:pt>
                <c:pt idx="112">
                  <c:v>46080</c:v>
                </c:pt>
                <c:pt idx="113">
                  <c:v>46087</c:v>
                </c:pt>
                <c:pt idx="114">
                  <c:v>46094</c:v>
                </c:pt>
                <c:pt idx="115">
                  <c:v>46101</c:v>
                </c:pt>
                <c:pt idx="116">
                  <c:v>46108</c:v>
                </c:pt>
                <c:pt idx="117">
                  <c:v>46115</c:v>
                </c:pt>
                <c:pt idx="118">
                  <c:v>46122</c:v>
                </c:pt>
                <c:pt idx="119">
                  <c:v>46129</c:v>
                </c:pt>
                <c:pt idx="120">
                  <c:v>46136</c:v>
                </c:pt>
                <c:pt idx="121">
                  <c:v>46143</c:v>
                </c:pt>
                <c:pt idx="122">
                  <c:v>46150</c:v>
                </c:pt>
                <c:pt idx="123">
                  <c:v>46157</c:v>
                </c:pt>
                <c:pt idx="124">
                  <c:v>46164</c:v>
                </c:pt>
                <c:pt idx="125">
                  <c:v>46171</c:v>
                </c:pt>
                <c:pt idx="126">
                  <c:v>46178</c:v>
                </c:pt>
                <c:pt idx="127">
                  <c:v>46185</c:v>
                </c:pt>
                <c:pt idx="128">
                  <c:v>46192</c:v>
                </c:pt>
                <c:pt idx="129">
                  <c:v>46199</c:v>
                </c:pt>
                <c:pt idx="130">
                  <c:v>46206</c:v>
                </c:pt>
                <c:pt idx="131">
                  <c:v>46213</c:v>
                </c:pt>
                <c:pt idx="132">
                  <c:v>46220</c:v>
                </c:pt>
                <c:pt idx="133">
                  <c:v>46227</c:v>
                </c:pt>
                <c:pt idx="134">
                  <c:v>46234</c:v>
                </c:pt>
              </c:numCache>
            </c:numRef>
          </c:cat>
          <c:val>
            <c:numRef>
              <c:f>Summary!$X$452:$X$586</c:f>
              <c:numCache>
                <c:formatCode>0.0\x_);\(0.0\x\)</c:formatCode>
                <c:ptCount val="135"/>
                <c:pt idx="0">
                  <c:v>20.684677803177475</c:v>
                </c:pt>
                <c:pt idx="1">
                  <c:v>20.684677803177475</c:v>
                </c:pt>
                <c:pt idx="2">
                  <c:v>20.684677803177475</c:v>
                </c:pt>
                <c:pt idx="3">
                  <c:v>20.684677803177475</c:v>
                </c:pt>
                <c:pt idx="4">
                  <c:v>20.684677803177475</c:v>
                </c:pt>
                <c:pt idx="5">
                  <c:v>20.684677803177475</c:v>
                </c:pt>
                <c:pt idx="6">
                  <c:v>20.684677803177475</c:v>
                </c:pt>
                <c:pt idx="7">
                  <c:v>20.684677803177475</c:v>
                </c:pt>
                <c:pt idx="8">
                  <c:v>20.684677803177475</c:v>
                </c:pt>
                <c:pt idx="9">
                  <c:v>20.684677803177475</c:v>
                </c:pt>
                <c:pt idx="10">
                  <c:v>20.684677803177475</c:v>
                </c:pt>
                <c:pt idx="11">
                  <c:v>20.684677803177475</c:v>
                </c:pt>
                <c:pt idx="12">
                  <c:v>20.684677803177475</c:v>
                </c:pt>
                <c:pt idx="13">
                  <c:v>20.684677803177475</c:v>
                </c:pt>
                <c:pt idx="14">
                  <c:v>20.684677803177475</c:v>
                </c:pt>
                <c:pt idx="15">
                  <c:v>20.684677803177475</c:v>
                </c:pt>
                <c:pt idx="16">
                  <c:v>20.684677803177475</c:v>
                </c:pt>
                <c:pt idx="17">
                  <c:v>20.684677803177475</c:v>
                </c:pt>
                <c:pt idx="18">
                  <c:v>20.684677803177475</c:v>
                </c:pt>
                <c:pt idx="19">
                  <c:v>20.684677803177475</c:v>
                </c:pt>
                <c:pt idx="20">
                  <c:v>20.684677803177475</c:v>
                </c:pt>
                <c:pt idx="21">
                  <c:v>20.684677803177475</c:v>
                </c:pt>
                <c:pt idx="22">
                  <c:v>20.684677803177475</c:v>
                </c:pt>
                <c:pt idx="23">
                  <c:v>20.684677803177475</c:v>
                </c:pt>
                <c:pt idx="24">
                  <c:v>20.684677803177475</c:v>
                </c:pt>
                <c:pt idx="25">
                  <c:v>20.684677803177475</c:v>
                </c:pt>
                <c:pt idx="26">
                  <c:v>20.684677803177475</c:v>
                </c:pt>
                <c:pt idx="27">
                  <c:v>20.684677803177475</c:v>
                </c:pt>
                <c:pt idx="28">
                  <c:v>20.684677803177475</c:v>
                </c:pt>
                <c:pt idx="29">
                  <c:v>20.684677803177475</c:v>
                </c:pt>
                <c:pt idx="30">
                  <c:v>20.684677803177475</c:v>
                </c:pt>
                <c:pt idx="31">
                  <c:v>20.684677803177475</c:v>
                </c:pt>
                <c:pt idx="32">
                  <c:v>20.684677803177475</c:v>
                </c:pt>
                <c:pt idx="33">
                  <c:v>20.684677803177475</c:v>
                </c:pt>
                <c:pt idx="34">
                  <c:v>20.684677803177475</c:v>
                </c:pt>
                <c:pt idx="35">
                  <c:v>20.684677803177475</c:v>
                </c:pt>
                <c:pt idx="36">
                  <c:v>20.684677803177475</c:v>
                </c:pt>
                <c:pt idx="37">
                  <c:v>20.684677803177475</c:v>
                </c:pt>
                <c:pt idx="38">
                  <c:v>20.684677803177475</c:v>
                </c:pt>
                <c:pt idx="39">
                  <c:v>20.684677803177475</c:v>
                </c:pt>
                <c:pt idx="40">
                  <c:v>20.684677803177475</c:v>
                </c:pt>
                <c:pt idx="41">
                  <c:v>20.684677803177475</c:v>
                </c:pt>
                <c:pt idx="42">
                  <c:v>20.684677803177475</c:v>
                </c:pt>
                <c:pt idx="43">
                  <c:v>20.684677803177475</c:v>
                </c:pt>
                <c:pt idx="44">
                  <c:v>20.684677803177475</c:v>
                </c:pt>
                <c:pt idx="45">
                  <c:v>20.684677803177475</c:v>
                </c:pt>
                <c:pt idx="46">
                  <c:v>20.684677803177475</c:v>
                </c:pt>
                <c:pt idx="47">
                  <c:v>20.684677803177475</c:v>
                </c:pt>
                <c:pt idx="48">
                  <c:v>20.684677803177475</c:v>
                </c:pt>
                <c:pt idx="49">
                  <c:v>20.684677803177475</c:v>
                </c:pt>
                <c:pt idx="50">
                  <c:v>20.684677803177475</c:v>
                </c:pt>
                <c:pt idx="51">
                  <c:v>20.684677803177475</c:v>
                </c:pt>
                <c:pt idx="52">
                  <c:v>20.684677803177475</c:v>
                </c:pt>
                <c:pt idx="53">
                  <c:v>20.684677803177475</c:v>
                </c:pt>
                <c:pt idx="54">
                  <c:v>20.684677803177475</c:v>
                </c:pt>
                <c:pt idx="55">
                  <c:v>20.684677803177475</c:v>
                </c:pt>
                <c:pt idx="56">
                  <c:v>20.684677803177475</c:v>
                </c:pt>
                <c:pt idx="57">
                  <c:v>20.684677803177475</c:v>
                </c:pt>
                <c:pt idx="58">
                  <c:v>20.684677803177475</c:v>
                </c:pt>
                <c:pt idx="59">
                  <c:v>20.684677803177475</c:v>
                </c:pt>
                <c:pt idx="60">
                  <c:v>20.684677803177475</c:v>
                </c:pt>
                <c:pt idx="61">
                  <c:v>20.684677803177475</c:v>
                </c:pt>
                <c:pt idx="62">
                  <c:v>20.684677803177475</c:v>
                </c:pt>
                <c:pt idx="63">
                  <c:v>20.684677803177475</c:v>
                </c:pt>
                <c:pt idx="64">
                  <c:v>20.684677803177475</c:v>
                </c:pt>
                <c:pt idx="65">
                  <c:v>20.684677803177475</c:v>
                </c:pt>
                <c:pt idx="66">
                  <c:v>20.684677803177475</c:v>
                </c:pt>
                <c:pt idx="67">
                  <c:v>20.684677803177475</c:v>
                </c:pt>
                <c:pt idx="68">
                  <c:v>20.684677803177475</c:v>
                </c:pt>
                <c:pt idx="69">
                  <c:v>20.684677803177475</c:v>
                </c:pt>
                <c:pt idx="70">
                  <c:v>20.684677803177475</c:v>
                </c:pt>
                <c:pt idx="71">
                  <c:v>20.684677803177475</c:v>
                </c:pt>
                <c:pt idx="72">
                  <c:v>20.684677803177475</c:v>
                </c:pt>
                <c:pt idx="73">
                  <c:v>20.684677803177475</c:v>
                </c:pt>
                <c:pt idx="74">
                  <c:v>20.684677803177475</c:v>
                </c:pt>
                <c:pt idx="75">
                  <c:v>20.684677803177475</c:v>
                </c:pt>
                <c:pt idx="76">
                  <c:v>20.684677803177475</c:v>
                </c:pt>
                <c:pt idx="77">
                  <c:v>20.684677803177475</c:v>
                </c:pt>
                <c:pt idx="78">
                  <c:v>20.684677803177475</c:v>
                </c:pt>
                <c:pt idx="79">
                  <c:v>20.684677803177475</c:v>
                </c:pt>
                <c:pt idx="80">
                  <c:v>20.684677803177475</c:v>
                </c:pt>
                <c:pt idx="81">
                  <c:v>20.684677803177475</c:v>
                </c:pt>
                <c:pt idx="82">
                  <c:v>20.684677803177475</c:v>
                </c:pt>
                <c:pt idx="83">
                  <c:v>20.684677803177475</c:v>
                </c:pt>
                <c:pt idx="84">
                  <c:v>20.684677803177475</c:v>
                </c:pt>
                <c:pt idx="85">
                  <c:v>20.684677803177475</c:v>
                </c:pt>
                <c:pt idx="86">
                  <c:v>20.684677803177475</c:v>
                </c:pt>
                <c:pt idx="87">
                  <c:v>20.684677803177475</c:v>
                </c:pt>
                <c:pt idx="88">
                  <c:v>20.684677803177475</c:v>
                </c:pt>
                <c:pt idx="89">
                  <c:v>20.684677803177475</c:v>
                </c:pt>
                <c:pt idx="90">
                  <c:v>20.684677803177475</c:v>
                </c:pt>
                <c:pt idx="91">
                  <c:v>20.684677803177475</c:v>
                </c:pt>
                <c:pt idx="92">
                  <c:v>20.684677803177475</c:v>
                </c:pt>
                <c:pt idx="93">
                  <c:v>20.684677803177475</c:v>
                </c:pt>
                <c:pt idx="94">
                  <c:v>20.684677803177475</c:v>
                </c:pt>
                <c:pt idx="95">
                  <c:v>20.684677803177475</c:v>
                </c:pt>
                <c:pt idx="96">
                  <c:v>20.684677803177475</c:v>
                </c:pt>
                <c:pt idx="97">
                  <c:v>20.684677803177475</c:v>
                </c:pt>
                <c:pt idx="98">
                  <c:v>20.684677803177475</c:v>
                </c:pt>
                <c:pt idx="99">
                  <c:v>20.684677803177475</c:v>
                </c:pt>
                <c:pt idx="100">
                  <c:v>20.684677803177475</c:v>
                </c:pt>
                <c:pt idx="101">
                  <c:v>20.684677803177475</c:v>
                </c:pt>
                <c:pt idx="102">
                  <c:v>20.684677803177475</c:v>
                </c:pt>
                <c:pt idx="103">
                  <c:v>20.684677803177475</c:v>
                </c:pt>
                <c:pt idx="104">
                  <c:v>20.684677803177475</c:v>
                </c:pt>
                <c:pt idx="105">
                  <c:v>20.684677803177475</c:v>
                </c:pt>
                <c:pt idx="106">
                  <c:v>20.684677803177475</c:v>
                </c:pt>
                <c:pt idx="107">
                  <c:v>20.684677803177475</c:v>
                </c:pt>
                <c:pt idx="108">
                  <c:v>20.684677803177475</c:v>
                </c:pt>
                <c:pt idx="109">
                  <c:v>20.684677803177475</c:v>
                </c:pt>
                <c:pt idx="110">
                  <c:v>20.684677803177475</c:v>
                </c:pt>
                <c:pt idx="111">
                  <c:v>20.684677803177475</c:v>
                </c:pt>
                <c:pt idx="112">
                  <c:v>20.684677803177475</c:v>
                </c:pt>
                <c:pt idx="113">
                  <c:v>20.684677803177475</c:v>
                </c:pt>
                <c:pt idx="114">
                  <c:v>20.684677803177475</c:v>
                </c:pt>
                <c:pt idx="115">
                  <c:v>20.684677803177475</c:v>
                </c:pt>
                <c:pt idx="116">
                  <c:v>20.684677803177475</c:v>
                </c:pt>
                <c:pt idx="117">
                  <c:v>20.684677803177475</c:v>
                </c:pt>
                <c:pt idx="118">
                  <c:v>20.684677803177475</c:v>
                </c:pt>
                <c:pt idx="119">
                  <c:v>20.684677803177475</c:v>
                </c:pt>
                <c:pt idx="120">
                  <c:v>20.684677803177475</c:v>
                </c:pt>
                <c:pt idx="121">
                  <c:v>20.684677803177475</c:v>
                </c:pt>
                <c:pt idx="122">
                  <c:v>20.684677803177475</c:v>
                </c:pt>
                <c:pt idx="123">
                  <c:v>20.684677803177475</c:v>
                </c:pt>
                <c:pt idx="124">
                  <c:v>20.684677803177475</c:v>
                </c:pt>
                <c:pt idx="125">
                  <c:v>20.684677803177475</c:v>
                </c:pt>
                <c:pt idx="126">
                  <c:v>20.684677803177475</c:v>
                </c:pt>
                <c:pt idx="127">
                  <c:v>20.684677803177475</c:v>
                </c:pt>
                <c:pt idx="128">
                  <c:v>20.684677803177475</c:v>
                </c:pt>
                <c:pt idx="129">
                  <c:v>20.684677803177475</c:v>
                </c:pt>
                <c:pt idx="130">
                  <c:v>20.684677803177475</c:v>
                </c:pt>
                <c:pt idx="131">
                  <c:v>20.684677803177475</c:v>
                </c:pt>
                <c:pt idx="132">
                  <c:v>20.684677803177475</c:v>
                </c:pt>
                <c:pt idx="133">
                  <c:v>20.684677803177475</c:v>
                </c:pt>
                <c:pt idx="134">
                  <c:v>20.684677803177475</c:v>
                </c:pt>
              </c:numCache>
            </c:numRef>
          </c:val>
          <c:smooth val="0"/>
          <c:extLst>
            <c:ext xmlns:c16="http://schemas.microsoft.com/office/drawing/2014/chart" uri="{C3380CC4-5D6E-409C-BE32-E72D297353CC}">
              <c16:uniqueId val="{00000003-9003-4D76-8BA6-14E4769EC0C5}"/>
            </c:ext>
          </c:extLst>
        </c:ser>
        <c:dLbls>
          <c:showLegendKey val="0"/>
          <c:showVal val="0"/>
          <c:showCatName val="0"/>
          <c:showSerName val="0"/>
          <c:showPercent val="0"/>
          <c:showBubbleSize val="0"/>
        </c:dLbls>
        <c:smooth val="0"/>
        <c:axId val="1683816912"/>
        <c:axId val="1683822672"/>
      </c:lineChart>
      <c:dateAx>
        <c:axId val="1683816912"/>
        <c:scaling>
          <c:orientation val="minMax"/>
        </c:scaling>
        <c:delete val="0"/>
        <c:axPos val="b"/>
        <c:numFmt formatCode="mmm\-yy"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83822672"/>
        <c:crosses val="autoZero"/>
        <c:auto val="1"/>
        <c:lblOffset val="100"/>
        <c:baseTimeUnit val="days"/>
      </c:dateAx>
      <c:valAx>
        <c:axId val="1683822672"/>
        <c:scaling>
          <c:orientation val="minMax"/>
        </c:scaling>
        <c:delete val="0"/>
        <c:axPos val="l"/>
        <c:majorGridlines>
          <c:spPr>
            <a:ln w="9525" cap="flat" cmpd="sng" algn="ctr">
              <a:solidFill>
                <a:schemeClr val="tx1">
                  <a:lumMod val="15000"/>
                  <a:lumOff val="85000"/>
                </a:schemeClr>
              </a:solidFill>
              <a:round/>
            </a:ln>
            <a:effectLst/>
          </c:spPr>
        </c:majorGridlines>
        <c:numFmt formatCode="0\x;\(0\x\)"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83816912"/>
        <c:crosses val="autoZero"/>
        <c:crossBetween val="between"/>
      </c:valAx>
      <c:spPr>
        <a:noFill/>
        <a:ln>
          <a:noFill/>
        </a:ln>
        <a:effectLst/>
      </c:spPr>
    </c:plotArea>
    <c:legend>
      <c:legendPos val="b"/>
      <c:layout>
        <c:manualLayout>
          <c:xMode val="edge"/>
          <c:yMode val="edge"/>
          <c:x val="6.7580728012215624E-2"/>
          <c:y val="0.89602763572079258"/>
          <c:w val="0.85411468338575636"/>
          <c:h val="7.64809553444994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5.4198010199883732E-2"/>
          <c:y val="5.8422818104298738E-2"/>
          <c:w val="0.90434523544574252"/>
          <c:h val="0.84913863706876447"/>
        </c:manualLayout>
      </c:layout>
      <c:barChart>
        <c:barDir val="col"/>
        <c:grouping val="clustered"/>
        <c:varyColors val="0"/>
        <c:ser>
          <c:idx val="0"/>
          <c:order val="0"/>
          <c:tx>
            <c:strRef>
              <c:f>Charts!$E$69</c:f>
              <c:strCache>
                <c:ptCount val="1"/>
                <c:pt idx="0">
                  <c:v>Adjusted EBITDA</c:v>
                </c:pt>
              </c:strCache>
            </c:strRef>
          </c:tx>
          <c:spPr>
            <a:solidFill>
              <a:schemeClr val="accent1"/>
            </a:solidFill>
            <a:ln>
              <a:noFill/>
            </a:ln>
            <a:effectLst/>
          </c:spPr>
          <c:invertIfNegative val="0"/>
          <c:dLbls>
            <c:dLbl>
              <c:idx val="11"/>
              <c:layout>
                <c:manualLayout>
                  <c:x val="0"/>
                  <c:y val="5.82490963745823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80A-468D-98BF-0184FBFE6390}"/>
                </c:ext>
              </c:extLst>
            </c:dLbl>
            <c:numFmt formatCode="&quot;$&quot;0.0,&quot;B&quot;;\(&quot;$&quot;0.0,&quot;B&quot;\);&quot;-&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Charts!$CT$38:$DE$38</c:f>
              <c:numCache>
                <c:formatCode>General</c:formatCode>
                <c:ptCount val="12"/>
              </c:numCache>
            </c:numRef>
          </c:cat>
          <c:val>
            <c:numRef>
              <c:f>Charts!$CT$69:$DE$69</c:f>
              <c:numCache>
                <c:formatCode>"$"#,##0.0,"B"_);\("$"#,##0.0"B"\);"$"#,##0.00_);@_)</c:formatCode>
                <c:ptCount val="12"/>
                <c:pt idx="0">
                  <c:v>1.8229999999999817</c:v>
                </c:pt>
                <c:pt idx="1">
                  <c:v>29.427000000000003</c:v>
                </c:pt>
                <c:pt idx="2">
                  <c:v>38.893999999999878</c:v>
                </c:pt>
                <c:pt idx="3">
                  <c:v>71.267000000000039</c:v>
                </c:pt>
                <c:pt idx="4">
                  <c:v>486.14200000000005</c:v>
                </c:pt>
                <c:pt idx="5">
                  <c:v>762.15030000000002</c:v>
                </c:pt>
                <c:pt idx="6">
                  <c:v>42.877000000000223</c:v>
                </c:pt>
                <c:pt idx="7">
                  <c:v>988</c:v>
                </c:pt>
                <c:pt idx="8">
                  <c:v>1508</c:v>
                </c:pt>
                <c:pt idx="9">
                  <c:v>#N/A</c:v>
                </c:pt>
                <c:pt idx="10">
                  <c:v>2912.1713812152248</c:v>
                </c:pt>
                <c:pt idx="11">
                  <c:v>3866.5000240983682</c:v>
                </c:pt>
              </c:numCache>
            </c:numRef>
          </c:val>
          <c:extLst>
            <c:ext xmlns:c16="http://schemas.microsoft.com/office/drawing/2014/chart" uri="{C3380CC4-5D6E-409C-BE32-E72D297353CC}">
              <c16:uniqueId val="{00000000-95CD-4672-A3EA-DF62D571BBDA}"/>
            </c:ext>
          </c:extLst>
        </c:ser>
        <c:dLbls>
          <c:showLegendKey val="0"/>
          <c:showVal val="0"/>
          <c:showCatName val="0"/>
          <c:showSerName val="0"/>
          <c:showPercent val="0"/>
          <c:showBubbleSize val="0"/>
        </c:dLbls>
        <c:gapWidth val="20"/>
        <c:axId val="965551856"/>
        <c:axId val="965550416"/>
      </c:barChart>
      <c:lineChart>
        <c:grouping val="standard"/>
        <c:varyColors val="0"/>
        <c:ser>
          <c:idx val="1"/>
          <c:order val="1"/>
          <c:tx>
            <c:strRef>
              <c:f>Charts!$E$70</c:f>
              <c:strCache>
                <c:ptCount val="1"/>
                <c:pt idx="0">
                  <c:v>Adjusted EBITDA margin</c:v>
                </c:pt>
              </c:strCache>
            </c:strRef>
          </c:tx>
          <c:spPr>
            <a:ln w="28575" cap="rnd">
              <a:solidFill>
                <a:schemeClr val="accent3"/>
              </a:solidFill>
              <a:round/>
            </a:ln>
            <a:effectLst/>
          </c:spPr>
          <c:marker>
            <c:symbol val="none"/>
          </c:marker>
          <c:dLbls>
            <c:dLbl>
              <c:idx val="6"/>
              <c:layout>
                <c:manualLayout>
                  <c:x val="-3.8633981717902131E-2"/>
                  <c:y val="-8.321037630951638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168-4639-9702-D485AB0D749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Charts!$CT$70:$DE$70</c:f>
              <c:numCache>
                <c:formatCode>0.0%_);\(0.0%\);0.0%_);@_)</c:formatCode>
                <c:ptCount val="12"/>
                <c:pt idx="0">
                  <c:v>4.6824031027662442E-3</c:v>
                </c:pt>
                <c:pt idx="1">
                  <c:v>4.3705369342822861E-2</c:v>
                </c:pt>
                <c:pt idx="2">
                  <c:v>3.6240168687204581E-2</c:v>
                </c:pt>
                <c:pt idx="3">
                  <c:v>4.5157913612766179E-2</c:v>
                </c:pt>
                <c:pt idx="4">
                  <c:v>0.16594759977074516</c:v>
                </c:pt>
                <c:pt idx="5">
                  <c:v>0.16525891094604864</c:v>
                </c:pt>
                <c:pt idx="6">
                  <c:v>7.656793093546597E-3</c:v>
                </c:pt>
                <c:pt idx="7">
                  <c:v>0.13994334277620396</c:v>
                </c:pt>
                <c:pt idx="8">
                  <c:v>0.16981981981981981</c:v>
                </c:pt>
                <c:pt idx="9">
                  <c:v>#N/A</c:v>
                </c:pt>
                <c:pt idx="10">
                  <c:v>0.19144304401143999</c:v>
                </c:pt>
                <c:pt idx="11">
                  <c:v>0.20207188901831638</c:v>
                </c:pt>
              </c:numCache>
            </c:numRef>
          </c:val>
          <c:smooth val="1"/>
          <c:extLst>
            <c:ext xmlns:c16="http://schemas.microsoft.com/office/drawing/2014/chart" uri="{C3380CC4-5D6E-409C-BE32-E72D297353CC}">
              <c16:uniqueId val="{00000001-95CD-4672-A3EA-DF62D571BBDA}"/>
            </c:ext>
          </c:extLst>
        </c:ser>
        <c:dLbls>
          <c:showLegendKey val="0"/>
          <c:showVal val="0"/>
          <c:showCatName val="0"/>
          <c:showSerName val="0"/>
          <c:showPercent val="0"/>
          <c:showBubbleSize val="0"/>
        </c:dLbls>
        <c:marker val="1"/>
        <c:smooth val="0"/>
        <c:axId val="1316696208"/>
        <c:axId val="1316699568"/>
      </c:lineChart>
      <c:catAx>
        <c:axId val="96555185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65550416"/>
        <c:crosses val="autoZero"/>
        <c:auto val="1"/>
        <c:lblAlgn val="ctr"/>
        <c:lblOffset val="100"/>
        <c:noMultiLvlLbl val="0"/>
      </c:catAx>
      <c:valAx>
        <c:axId val="965550416"/>
        <c:scaling>
          <c:orientation val="minMax"/>
          <c:max val="4000"/>
        </c:scaling>
        <c:delete val="0"/>
        <c:axPos val="l"/>
        <c:numFmt formatCode="&quot;$&quot;0,&quot;B&quot;;\(&quot;$&quot;0,&quot;B&quot;\);&quot;-&quot;" sourceLinked="0"/>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65551856"/>
        <c:crosses val="autoZero"/>
        <c:crossBetween val="between"/>
      </c:valAx>
      <c:valAx>
        <c:axId val="1316699568"/>
        <c:scaling>
          <c:orientation val="minMax"/>
          <c:max val="0.25"/>
        </c:scaling>
        <c:delete val="0"/>
        <c:axPos val="r"/>
        <c:numFmt formatCode="0%_);\(0%\);0%_);@_)" sourceLinked="0"/>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6696208"/>
        <c:crosses val="max"/>
        <c:crossBetween val="between"/>
      </c:valAx>
      <c:catAx>
        <c:axId val="1316696208"/>
        <c:scaling>
          <c:orientation val="minMax"/>
        </c:scaling>
        <c:delete val="1"/>
        <c:axPos val="b"/>
        <c:numFmt formatCode="General" sourceLinked="1"/>
        <c:majorTickMark val="none"/>
        <c:minorTickMark val="none"/>
        <c:tickLblPos val="nextTo"/>
        <c:crossAx val="1316699568"/>
        <c:crosses val="autoZero"/>
        <c:auto val="1"/>
        <c:lblAlgn val="ctr"/>
        <c:lblOffset val="100"/>
        <c:noMultiLvlLbl val="0"/>
      </c:catAx>
      <c:spPr>
        <a:noFill/>
        <a:ln>
          <a:noFill/>
        </a:ln>
        <a:effectLst/>
      </c:spPr>
    </c:plotArea>
    <c:legend>
      <c:legendPos val="b"/>
      <c:layout>
        <c:manualLayout>
          <c:xMode val="edge"/>
          <c:yMode val="edge"/>
          <c:x val="0.10442462512424075"/>
          <c:y val="5.6248585954518884E-2"/>
          <c:w val="0.5261185886826516"/>
          <c:h val="8.865380360983594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landscape"/>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8293653092918944E-2"/>
          <c:y val="5.4609675619501766E-2"/>
          <c:w val="0.85746340121949294"/>
          <c:h val="0.89885550475028042"/>
        </c:manualLayout>
      </c:layout>
      <c:barChart>
        <c:barDir val="col"/>
        <c:grouping val="stacked"/>
        <c:varyColors val="0"/>
        <c:ser>
          <c:idx val="0"/>
          <c:order val="0"/>
          <c:tx>
            <c:strRef>
              <c:f>Charts!$E$69</c:f>
              <c:strCache>
                <c:ptCount val="1"/>
                <c:pt idx="0">
                  <c:v>Adjusted EBITDA</c:v>
                </c:pt>
              </c:strCache>
            </c:strRef>
          </c:tx>
          <c:spPr>
            <a:solidFill>
              <a:schemeClr val="accent3">
                <a:lumMod val="20000"/>
                <a:lumOff val="80000"/>
              </a:schemeClr>
            </a:solidFill>
            <a:ln>
              <a:noFill/>
            </a:ln>
            <a:effectLst/>
          </c:spPr>
          <c:invertIfNegative val="0"/>
          <c:dPt>
            <c:idx val="1"/>
            <c:invertIfNegative val="0"/>
            <c:bubble3D val="0"/>
            <c:extLst>
              <c:ext xmlns:c16="http://schemas.microsoft.com/office/drawing/2014/chart" uri="{C3380CC4-5D6E-409C-BE32-E72D297353CC}">
                <c16:uniqueId val="{00000000-FAF1-4BB4-9080-540E06F9A296}"/>
              </c:ext>
            </c:extLst>
          </c:dPt>
          <c:dPt>
            <c:idx val="2"/>
            <c:invertIfNegative val="0"/>
            <c:bubble3D val="0"/>
            <c:extLst>
              <c:ext xmlns:c16="http://schemas.microsoft.com/office/drawing/2014/chart" uri="{C3380CC4-5D6E-409C-BE32-E72D297353CC}">
                <c16:uniqueId val="{00000001-FAF1-4BB4-9080-540E06F9A296}"/>
              </c:ext>
            </c:extLst>
          </c:dPt>
          <c:dPt>
            <c:idx val="8"/>
            <c:invertIfNegative val="0"/>
            <c:bubble3D val="0"/>
            <c:extLst>
              <c:ext xmlns:c16="http://schemas.microsoft.com/office/drawing/2014/chart" uri="{C3380CC4-5D6E-409C-BE32-E72D297353CC}">
                <c16:uniqueId val="{00000002-FAF1-4BB4-9080-540E06F9A296}"/>
              </c:ext>
            </c:extLst>
          </c:dPt>
          <c:dPt>
            <c:idx val="9"/>
            <c:invertIfNegative val="0"/>
            <c:bubble3D val="0"/>
            <c:extLst>
              <c:ext xmlns:c16="http://schemas.microsoft.com/office/drawing/2014/chart" uri="{C3380CC4-5D6E-409C-BE32-E72D297353CC}">
                <c16:uniqueId val="{00000003-FAF1-4BB4-9080-540E06F9A296}"/>
              </c:ext>
            </c:extLst>
          </c:dPt>
          <c:cat>
            <c:numRef>
              <c:f>Charts!$V$38:$BA$38</c:f>
              <c:numCache>
                <c:formatCode>General</c:formatCode>
                <c:ptCount val="32"/>
              </c:numCache>
            </c:numRef>
          </c:cat>
          <c:val>
            <c:numRef>
              <c:f>Charts!$V$69:$BA$69</c:f>
              <c:numCache>
                <c:formatCode>"$"#,##0.0,"B"_);\("$"#,##0.0"B"\);"$"#,##0.00_);@_)</c:formatCode>
                <c:ptCount val="32"/>
                <c:pt idx="0">
                  <c:v>1.0790000000000006</c:v>
                </c:pt>
                <c:pt idx="1">
                  <c:v>128.30500000000004</c:v>
                </c:pt>
                <c:pt idx="2">
                  <c:v>143.83300000000003</c:v>
                </c:pt>
                <c:pt idx="3">
                  <c:v>212.92499999999995</c:v>
                </c:pt>
                <c:pt idx="4">
                  <c:v>221.66699999999992</c:v>
                </c:pt>
                <c:pt idx="5">
                  <c:v>246.64999999999992</c:v>
                </c:pt>
                <c:pt idx="6">
                  <c:v>147.786</c:v>
                </c:pt>
                <c:pt idx="7">
                  <c:v>146.04730000000023</c:v>
                </c:pt>
                <c:pt idx="8">
                  <c:v>41.888000000000105</c:v>
                </c:pt>
                <c:pt idx="9">
                  <c:v>-32.69399999999996</c:v>
                </c:pt>
                <c:pt idx="10">
                  <c:v>-36.609000000000009</c:v>
                </c:pt>
                <c:pt idx="11">
                  <c:v>70.292000000000087</c:v>
                </c:pt>
                <c:pt idx="12">
                  <c:v>-17</c:v>
                </c:pt>
                <c:pt idx="13">
                  <c:v>319</c:v>
                </c:pt>
                <c:pt idx="14">
                  <c:v>284</c:v>
                </c:pt>
                <c:pt idx="15">
                  <c:v>402</c:v>
                </c:pt>
                <c:pt idx="16">
                  <c:v>207</c:v>
                </c:pt>
                <c:pt idx="17">
                  <c:v>305</c:v>
                </c:pt>
                <c:pt idx="18">
                  <c:v>406</c:v>
                </c:pt>
                <c:pt idx="19">
                  <c:v>590</c:v>
                </c:pt>
                <c:pt idx="20">
                  <c:v>334</c:v>
                </c:pt>
                <c:pt idx="21">
                  <c:v>429</c:v>
                </c:pt>
                <c:pt idx="22">
                  <c:v>470</c:v>
                </c:pt>
                <c:pt idx="23">
                  <c:v>763</c:v>
                </c:pt>
                <c:pt idx="24">
                  <c:v>527</c:v>
                </c:pt>
                <c:pt idx="25">
                  <c:v>628</c:v>
                </c:pt>
                <c:pt idx="26">
                  <c:v>713.19016923632353</c:v>
                </c:pt>
                <c:pt idx="27">
                  <c:v>1043.9812119789015</c:v>
                </c:pt>
                <c:pt idx="28">
                  <c:v>697.90777529370177</c:v>
                </c:pt>
                <c:pt idx="29">
                  <c:v>845.7965496673371</c:v>
                </c:pt>
                <c:pt idx="30">
                  <c:v>946.71253609877147</c:v>
                </c:pt>
                <c:pt idx="31">
                  <c:v>1376.083163038558</c:v>
                </c:pt>
              </c:numCache>
            </c:numRef>
          </c:val>
          <c:extLst>
            <c:ext xmlns:c16="http://schemas.microsoft.com/office/drawing/2014/chart" uri="{C3380CC4-5D6E-409C-BE32-E72D297353CC}">
              <c16:uniqueId val="{00000004-FAF1-4BB4-9080-540E06F9A296}"/>
            </c:ext>
          </c:extLst>
        </c:ser>
        <c:dLbls>
          <c:showLegendKey val="0"/>
          <c:showVal val="0"/>
          <c:showCatName val="0"/>
          <c:showSerName val="0"/>
          <c:showPercent val="0"/>
          <c:showBubbleSize val="0"/>
        </c:dLbls>
        <c:gapWidth val="30"/>
        <c:overlap val="100"/>
        <c:axId val="945418624"/>
        <c:axId val="945420160"/>
      </c:barChart>
      <c:lineChart>
        <c:grouping val="standard"/>
        <c:varyColors val="0"/>
        <c:ser>
          <c:idx val="2"/>
          <c:order val="1"/>
          <c:tx>
            <c:strRef>
              <c:f>Charts!$E$55</c:f>
              <c:strCache>
                <c:ptCount val="1"/>
                <c:pt idx="0">
                  <c:v>Total Gross Margin</c:v>
                </c:pt>
              </c:strCache>
            </c:strRef>
          </c:tx>
          <c:spPr>
            <a:ln w="19050" cap="rnd" cmpd="sng" algn="ctr">
              <a:solidFill>
                <a:schemeClr val="accent5"/>
              </a:solidFill>
              <a:prstDash val="solid"/>
              <a:round/>
            </a:ln>
            <a:effectLst/>
          </c:spPr>
          <c:marker>
            <c:symbol val="none"/>
          </c:marker>
          <c:val>
            <c:numRef>
              <c:f>Charts!$V$55:$BA$55</c:f>
              <c:numCache>
                <c:formatCode>0.0%_);\(0.0%\);0.0%_);@_)</c:formatCode>
                <c:ptCount val="32"/>
                <c:pt idx="0">
                  <c:v>0.546700964466033</c:v>
                </c:pt>
                <c:pt idx="1">
                  <c:v>0.52500696446095074</c:v>
                </c:pt>
                <c:pt idx="2">
                  <c:v>0.52794547859344154</c:v>
                </c:pt>
                <c:pt idx="3">
                  <c:v>0.51586918457183062</c:v>
                </c:pt>
                <c:pt idx="4">
                  <c:v>0.56513194294829194</c:v>
                </c:pt>
                <c:pt idx="5">
                  <c:v>0.55461411681681538</c:v>
                </c:pt>
                <c:pt idx="6">
                  <c:v>0.54185932689056182</c:v>
                </c:pt>
                <c:pt idx="7">
                  <c:v>0.501918082584071</c:v>
                </c:pt>
                <c:pt idx="8">
                  <c:v>0.52976471868683139</c:v>
                </c:pt>
                <c:pt idx="9">
                  <c:v>0.50626262969446278</c:v>
                </c:pt>
                <c:pt idx="10">
                  <c:v>0.48479871175523354</c:v>
                </c:pt>
                <c:pt idx="11">
                  <c:v>0.46024099441030381</c:v>
                </c:pt>
                <c:pt idx="12">
                  <c:v>0.47546419098143233</c:v>
                </c:pt>
                <c:pt idx="13">
                  <c:v>0.49291617473435656</c:v>
                </c:pt>
                <c:pt idx="14">
                  <c:v>0.52567094515752621</c:v>
                </c:pt>
                <c:pt idx="15">
                  <c:v>0.49533582089552236</c:v>
                </c:pt>
                <c:pt idx="16">
                  <c:v>0.51423965609887157</c:v>
                </c:pt>
                <c:pt idx="17">
                  <c:v>0.51100244498777503</c:v>
                </c:pt>
                <c:pt idx="18">
                  <c:v>0.51711378353376503</c:v>
                </c:pt>
                <c:pt idx="19">
                  <c:v>0.48079658605974396</c:v>
                </c:pt>
                <c:pt idx="20">
                  <c:v>0.49533898305084745</c:v>
                </c:pt>
                <c:pt idx="21">
                  <c:v>0.48582089552238805</c:v>
                </c:pt>
                <c:pt idx="22">
                  <c:v>0.48909985935302391</c:v>
                </c:pt>
                <c:pt idx="23">
                  <c:v>0.46105664488017428</c:v>
                </c:pt>
                <c:pt idx="24">
                  <c:v>0.48769716088328074</c:v>
                </c:pt>
                <c:pt idx="25">
                  <c:v>0.47669550655874965</c:v>
                </c:pt>
                <c:pt idx="26">
                  <c:v>0.48431569475685332</c:v>
                </c:pt>
                <c:pt idx="27">
                  <c:v>0.45587943179807378</c:v>
                </c:pt>
                <c:pt idx="28">
                  <c:v>0.48204155062288551</c:v>
                </c:pt>
                <c:pt idx="29">
                  <c:v>0.47226813436653242</c:v>
                </c:pt>
                <c:pt idx="30">
                  <c:v>0.48070853106111427</c:v>
                </c:pt>
                <c:pt idx="31">
                  <c:v>0.45323836876026286</c:v>
                </c:pt>
              </c:numCache>
            </c:numRef>
          </c:val>
          <c:smooth val="1"/>
          <c:extLst>
            <c:ext xmlns:c16="http://schemas.microsoft.com/office/drawing/2014/chart" uri="{C3380CC4-5D6E-409C-BE32-E72D297353CC}">
              <c16:uniqueId val="{00000016-FAF1-4BB4-9080-540E06F9A296}"/>
            </c:ext>
          </c:extLst>
        </c:ser>
        <c:dLbls>
          <c:showLegendKey val="0"/>
          <c:showVal val="0"/>
          <c:showCatName val="0"/>
          <c:showSerName val="0"/>
          <c:showPercent val="0"/>
          <c:showBubbleSize val="0"/>
        </c:dLbls>
        <c:marker val="1"/>
        <c:smooth val="0"/>
        <c:axId val="852823664"/>
        <c:axId val="214573408"/>
      </c:lineChart>
      <c:catAx>
        <c:axId val="945418624"/>
        <c:scaling>
          <c:orientation val="minMax"/>
        </c:scaling>
        <c:delete val="0"/>
        <c:axPos val="b"/>
        <c:majorGridlines>
          <c:spPr>
            <a:ln w="3175" cap="sq" cmpd="sng" algn="ctr">
              <a:noFill/>
              <a:prstDash val="dot"/>
              <a:round/>
            </a:ln>
            <a:effectLst/>
          </c:spPr>
        </c:majorGridlines>
        <c:numFmt formatCode="General" sourceLinked="0"/>
        <c:majorTickMark val="out"/>
        <c:minorTickMark val="none"/>
        <c:tickLblPos val="nextTo"/>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rot="-4080000" spcFirstLastPara="1" vertOverflow="ellipsis"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945420160"/>
        <c:crosses val="autoZero"/>
        <c:auto val="1"/>
        <c:lblAlgn val="ctr"/>
        <c:lblOffset val="100"/>
        <c:noMultiLvlLbl val="0"/>
      </c:catAx>
      <c:valAx>
        <c:axId val="945420160"/>
        <c:scaling>
          <c:orientation val="minMax"/>
        </c:scaling>
        <c:delete val="0"/>
        <c:axPos val="l"/>
        <c:majorGridlines>
          <c:spPr>
            <a:ln w="3175" cap="sq" cmpd="sng" algn="ctr">
              <a:solidFill>
                <a:srgbClr val="C0C0C0"/>
              </a:solidFill>
              <a:prstDash val="dot"/>
              <a:round/>
            </a:ln>
            <a:effectLst/>
          </c:spPr>
        </c:majorGridlines>
        <c:numFmt formatCode="#,##0.0" sourceLinked="0"/>
        <c:majorTickMark val="out"/>
        <c:minorTickMark val="none"/>
        <c:tickLblPos val="nextTo"/>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rot="-6000000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945418624"/>
        <c:crosses val="autoZero"/>
        <c:crossBetween val="between"/>
      </c:valAx>
      <c:valAx>
        <c:axId val="214573408"/>
        <c:scaling>
          <c:orientation val="minMax"/>
        </c:scaling>
        <c:delete val="0"/>
        <c:axPos val="r"/>
        <c:numFmt formatCode="0.0%_);\(0.0%\);0.0%_);@_)" sourceLinked="1"/>
        <c:majorTickMark val="out"/>
        <c:minorTickMark val="none"/>
        <c:tickLblPos val="nextTo"/>
        <c:spPr>
          <a:noFill/>
          <a:ln w="6350" cap="flat" cmpd="sng" algn="ctr">
            <a:solidFill>
              <a:schemeClr val="tx1">
                <a:tint val="7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852823664"/>
        <c:crosses val="max"/>
        <c:crossBetween val="between"/>
      </c:valAx>
      <c:catAx>
        <c:axId val="852823664"/>
        <c:scaling>
          <c:orientation val="minMax"/>
        </c:scaling>
        <c:delete val="1"/>
        <c:axPos val="b"/>
        <c:majorTickMark val="out"/>
        <c:minorTickMark val="none"/>
        <c:tickLblPos val="nextTo"/>
        <c:crossAx val="214573408"/>
        <c:crosses val="autoZero"/>
        <c:auto val="1"/>
        <c:lblAlgn val="ctr"/>
        <c:lblOffset val="100"/>
        <c:noMultiLvlLbl val="0"/>
      </c:catAx>
      <c:spPr>
        <a:noFill/>
        <a:ln>
          <a:noFill/>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a:noFill/>
              <a:round/>
            </a14:hiddenLine>
          </a:ext>
        </a:extLst>
      </c:spPr>
    </c:plotArea>
    <c:legend>
      <c:legendPos val="t"/>
      <c:layout>
        <c:manualLayout>
          <c:xMode val="edge"/>
          <c:yMode val="edge"/>
          <c:x val="0.17256606779502978"/>
          <c:y val="0.31557474837623228"/>
          <c:w val="0.32160270308045863"/>
          <c:h val="0.17010217462740196"/>
        </c:manualLayout>
      </c:layout>
      <c:overlay val="1"/>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legend>
    <c:plotVisOnly val="1"/>
    <c:dispBlanksAs val="gap"/>
    <c:showDLblsOverMax val="0"/>
  </c:chart>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a:lstStyle/>
    <a:p>
      <a:pPr>
        <a:defRPr sz="800">
          <a:latin typeface="Roboto" panose="02000000000000000000" pitchFamily="2" charset="0"/>
          <a:ea typeface="Roboto" panose="02000000000000000000" pitchFamily="2" charset="0"/>
          <a:cs typeface="Roboto" panose="02000000000000000000" pitchFamily="2" charset="0"/>
        </a:defRPr>
      </a:pPr>
      <a:endParaRPr lang="en-US"/>
    </a:p>
  </c:txPr>
  <c:printSettings>
    <c:headerFooter/>
    <c:pageMargins b="0.75" l="0.7" r="0.7" t="0.75" header="0.3" footer="0.3"/>
    <c:pageSetup orientation="landscape"/>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309530221448139E-2"/>
          <c:y val="5.0666527097135428E-2"/>
          <c:w val="0.91861145701550695"/>
          <c:h val="0.86308631590944007"/>
        </c:manualLayout>
      </c:layout>
      <c:barChart>
        <c:barDir val="col"/>
        <c:grouping val="stacked"/>
        <c:varyColors val="0"/>
        <c:ser>
          <c:idx val="0"/>
          <c:order val="0"/>
          <c:tx>
            <c:strRef>
              <c:f>Charts!$E$18</c:f>
              <c:strCache>
                <c:ptCount val="1"/>
                <c:pt idx="0">
                  <c:v>Shopify Payments Revenue </c:v>
                </c:pt>
              </c:strCache>
            </c:strRef>
          </c:tx>
          <c:spPr>
            <a:solidFill>
              <a:schemeClr val="accent1"/>
            </a:solidFill>
            <a:ln>
              <a:noFill/>
            </a:ln>
            <a:effectLst/>
          </c:spPr>
          <c:invertIfNegative val="0"/>
          <c:dPt>
            <c:idx val="1"/>
            <c:invertIfNegative val="0"/>
            <c:bubble3D val="0"/>
            <c:extLst>
              <c:ext xmlns:c16="http://schemas.microsoft.com/office/drawing/2014/chart" uri="{C3380CC4-5D6E-409C-BE32-E72D297353CC}">
                <c16:uniqueId val="{00000000-BAD6-4AAE-99B6-E3344BDFB4FD}"/>
              </c:ext>
            </c:extLst>
          </c:dPt>
          <c:dPt>
            <c:idx val="2"/>
            <c:invertIfNegative val="0"/>
            <c:bubble3D val="0"/>
            <c:extLst>
              <c:ext xmlns:c16="http://schemas.microsoft.com/office/drawing/2014/chart" uri="{C3380CC4-5D6E-409C-BE32-E72D297353CC}">
                <c16:uniqueId val="{00000001-BAD6-4AAE-99B6-E3344BDFB4FD}"/>
              </c:ext>
            </c:extLst>
          </c:dPt>
          <c:dPt>
            <c:idx val="8"/>
            <c:invertIfNegative val="0"/>
            <c:bubble3D val="0"/>
            <c:extLst>
              <c:ext xmlns:c16="http://schemas.microsoft.com/office/drawing/2014/chart" uri="{C3380CC4-5D6E-409C-BE32-E72D297353CC}">
                <c16:uniqueId val="{00000002-BAD6-4AAE-99B6-E3344BDFB4FD}"/>
              </c:ext>
            </c:extLst>
          </c:dPt>
          <c:dPt>
            <c:idx val="9"/>
            <c:invertIfNegative val="0"/>
            <c:bubble3D val="0"/>
            <c:extLst>
              <c:ext xmlns:c16="http://schemas.microsoft.com/office/drawing/2014/chart" uri="{C3380CC4-5D6E-409C-BE32-E72D297353CC}">
                <c16:uniqueId val="{00000003-BAD6-4AAE-99B6-E3344BDFB4FD}"/>
              </c:ext>
            </c:extLst>
          </c:dPt>
          <c:cat>
            <c:strRef>
              <c:f>Charts!$V$4:$BA$4</c:f>
              <c:strCache>
                <c:ptCount val="32"/>
                <c:pt idx="0">
                  <c:v>1Q20A</c:v>
                </c:pt>
                <c:pt idx="1">
                  <c:v>2Q20A</c:v>
                </c:pt>
                <c:pt idx="2">
                  <c:v>3Q20A</c:v>
                </c:pt>
                <c:pt idx="3">
                  <c:v>4Q20A</c:v>
                </c:pt>
                <c:pt idx="4">
                  <c:v>1Q21A</c:v>
                </c:pt>
                <c:pt idx="5">
                  <c:v>2Q21A</c:v>
                </c:pt>
                <c:pt idx="6">
                  <c:v>3Q21A</c:v>
                </c:pt>
                <c:pt idx="7">
                  <c:v>4Q21A</c:v>
                </c:pt>
                <c:pt idx="8">
                  <c:v>1Q22A</c:v>
                </c:pt>
                <c:pt idx="9">
                  <c:v>2Q22A</c:v>
                </c:pt>
                <c:pt idx="10">
                  <c:v>3Q22A</c:v>
                </c:pt>
                <c:pt idx="11">
                  <c:v>4Q22A</c:v>
                </c:pt>
                <c:pt idx="12">
                  <c:v>1Q23A</c:v>
                </c:pt>
                <c:pt idx="13">
                  <c:v>2Q23A</c:v>
                </c:pt>
                <c:pt idx="14">
                  <c:v>3Q23A</c:v>
                </c:pt>
                <c:pt idx="15">
                  <c:v>4Q23A</c:v>
                </c:pt>
                <c:pt idx="16">
                  <c:v>1Q24A</c:v>
                </c:pt>
                <c:pt idx="17">
                  <c:v>2Q24A</c:v>
                </c:pt>
                <c:pt idx="18">
                  <c:v>3Q24A</c:v>
                </c:pt>
                <c:pt idx="19">
                  <c:v>4Q24E</c:v>
                </c:pt>
                <c:pt idx="20">
                  <c:v>1Q25A</c:v>
                </c:pt>
                <c:pt idx="21">
                  <c:v>2Q25E</c:v>
                </c:pt>
                <c:pt idx="22">
                  <c:v>3Q25A</c:v>
                </c:pt>
                <c:pt idx="23">
                  <c:v>4Q25E</c:v>
                </c:pt>
                <c:pt idx="24">
                  <c:v>1Q26E</c:v>
                </c:pt>
                <c:pt idx="25">
                  <c:v>2Q26E</c:v>
                </c:pt>
                <c:pt idx="26">
                  <c:v>3Q26E</c:v>
                </c:pt>
                <c:pt idx="27">
                  <c:v>4Q26E</c:v>
                </c:pt>
                <c:pt idx="28">
                  <c:v>1Q27E</c:v>
                </c:pt>
                <c:pt idx="29">
                  <c:v>2Q27E</c:v>
                </c:pt>
                <c:pt idx="30">
                  <c:v>3Q27E</c:v>
                </c:pt>
                <c:pt idx="31">
                  <c:v>4Q27E</c:v>
                </c:pt>
              </c:strCache>
            </c:strRef>
          </c:cat>
          <c:val>
            <c:numRef>
              <c:f>Charts!$V$18:$BA$18</c:f>
              <c:numCache>
                <c:formatCode>#,##0_);\(#,##0\);#,##0_);@_)</c:formatCode>
                <c:ptCount val="32"/>
                <c:pt idx="0">
                  <c:v>159.55147999999997</c:v>
                </c:pt>
                <c:pt idx="1">
                  <c:v>292.61745500000001</c:v>
                </c:pt>
                <c:pt idx="2">
                  <c:v>295.00401499999998</c:v>
                </c:pt>
                <c:pt idx="3">
                  <c:v>394.54175999999995</c:v>
                </c:pt>
                <c:pt idx="4">
                  <c:v>374.06096000000002</c:v>
                </c:pt>
                <c:pt idx="5">
                  <c:v>439.71648000000005</c:v>
                </c:pt>
                <c:pt idx="6">
                  <c:v>441.01792000000006</c:v>
                </c:pt>
                <c:pt idx="7">
                  <c:v>576.13696000000004</c:v>
                </c:pt>
                <c:pt idx="8">
                  <c:v>474.95068600000002</c:v>
                </c:pt>
                <c:pt idx="9">
                  <c:v>513.52686000000006</c:v>
                </c:pt>
                <c:pt idx="10">
                  <c:v>547.41414700000007</c:v>
                </c:pt>
                <c:pt idx="11">
                  <c:v>738.10237200000006</c:v>
                </c:pt>
                <c:pt idx="12">
                  <c:v>636.18999999999994</c:v>
                </c:pt>
                <c:pt idx="13">
                  <c:v>706.24999999999989</c:v>
                </c:pt>
                <c:pt idx="14">
                  <c:v>693.81999999999994</c:v>
                </c:pt>
                <c:pt idx="15">
                  <c:v>914.7349999999999</c:v>
                </c:pt>
                <c:pt idx="16">
                  <c:v>762.95249999999987</c:v>
                </c:pt>
                <c:pt idx="17">
                  <c:v>837.77459999999985</c:v>
                </c:pt>
                <c:pt idx="18">
                  <c:v>877.57839999999987</c:v>
                </c:pt>
                <c:pt idx="19">
                  <c:v>1213.7775999999997</c:v>
                </c:pt>
                <c:pt idx="20">
                  <c:v>984.40499999999975</c:v>
                </c:pt>
                <c:pt idx="21">
                  <c:v>1145.3815999999997</c:v>
                </c:pt>
                <c:pt idx="22">
                  <c:v>1214.1772499999997</c:v>
                </c:pt>
                <c:pt idx="23">
                  <c:v>1639.1489999999994</c:v>
                </c:pt>
                <c:pt idx="24">
                  <c:v>1349.095569162919</c:v>
                </c:pt>
                <c:pt idx="25">
                  <c:v>1550.7620995215195</c:v>
                </c:pt>
                <c:pt idx="26">
                  <c:v>1586.6572577963188</c:v>
                </c:pt>
                <c:pt idx="27">
                  <c:v>2120.8513280018792</c:v>
                </c:pt>
                <c:pt idx="28">
                  <c:v>1734.4549335988211</c:v>
                </c:pt>
                <c:pt idx="29">
                  <c:v>1961.909404228925</c:v>
                </c:pt>
                <c:pt idx="30">
                  <c:v>1976.2316366169478</c:v>
                </c:pt>
                <c:pt idx="31">
                  <c:v>2615.4658949406785</c:v>
                </c:pt>
              </c:numCache>
            </c:numRef>
          </c:val>
          <c:extLst>
            <c:ext xmlns:c16="http://schemas.microsoft.com/office/drawing/2014/chart" uri="{C3380CC4-5D6E-409C-BE32-E72D297353CC}">
              <c16:uniqueId val="{00000004-BAD6-4AAE-99B6-E3344BDFB4FD}"/>
            </c:ext>
          </c:extLst>
        </c:ser>
        <c:ser>
          <c:idx val="1"/>
          <c:order val="1"/>
          <c:tx>
            <c:strRef>
              <c:f>Charts!$E$19</c:f>
              <c:strCache>
                <c:ptCount val="1"/>
                <c:pt idx="0">
                  <c:v>3P Transaction Fee Revenue</c:v>
                </c:pt>
              </c:strCache>
            </c:strRef>
          </c:tx>
          <c:spPr>
            <a:solidFill>
              <a:schemeClr val="accent2"/>
            </a:solidFill>
            <a:ln>
              <a:noFill/>
            </a:ln>
            <a:effectLst/>
          </c:spPr>
          <c:invertIfNegative val="0"/>
          <c:cat>
            <c:strRef>
              <c:f>Charts!$V$4:$BA$4</c:f>
              <c:strCache>
                <c:ptCount val="32"/>
                <c:pt idx="0">
                  <c:v>1Q20A</c:v>
                </c:pt>
                <c:pt idx="1">
                  <c:v>2Q20A</c:v>
                </c:pt>
                <c:pt idx="2">
                  <c:v>3Q20A</c:v>
                </c:pt>
                <c:pt idx="3">
                  <c:v>4Q20A</c:v>
                </c:pt>
                <c:pt idx="4">
                  <c:v>1Q21A</c:v>
                </c:pt>
                <c:pt idx="5">
                  <c:v>2Q21A</c:v>
                </c:pt>
                <c:pt idx="6">
                  <c:v>3Q21A</c:v>
                </c:pt>
                <c:pt idx="7">
                  <c:v>4Q21A</c:v>
                </c:pt>
                <c:pt idx="8">
                  <c:v>1Q22A</c:v>
                </c:pt>
                <c:pt idx="9">
                  <c:v>2Q22A</c:v>
                </c:pt>
                <c:pt idx="10">
                  <c:v>3Q22A</c:v>
                </c:pt>
                <c:pt idx="11">
                  <c:v>4Q22A</c:v>
                </c:pt>
                <c:pt idx="12">
                  <c:v>1Q23A</c:v>
                </c:pt>
                <c:pt idx="13">
                  <c:v>2Q23A</c:v>
                </c:pt>
                <c:pt idx="14">
                  <c:v>3Q23A</c:v>
                </c:pt>
                <c:pt idx="15">
                  <c:v>4Q23A</c:v>
                </c:pt>
                <c:pt idx="16">
                  <c:v>1Q24A</c:v>
                </c:pt>
                <c:pt idx="17">
                  <c:v>2Q24A</c:v>
                </c:pt>
                <c:pt idx="18">
                  <c:v>3Q24A</c:v>
                </c:pt>
                <c:pt idx="19">
                  <c:v>4Q24E</c:v>
                </c:pt>
                <c:pt idx="20">
                  <c:v>1Q25A</c:v>
                </c:pt>
                <c:pt idx="21">
                  <c:v>2Q25E</c:v>
                </c:pt>
                <c:pt idx="22">
                  <c:v>3Q25A</c:v>
                </c:pt>
                <c:pt idx="23">
                  <c:v>4Q25E</c:v>
                </c:pt>
                <c:pt idx="24">
                  <c:v>1Q26E</c:v>
                </c:pt>
                <c:pt idx="25">
                  <c:v>2Q26E</c:v>
                </c:pt>
                <c:pt idx="26">
                  <c:v>3Q26E</c:v>
                </c:pt>
                <c:pt idx="27">
                  <c:v>4Q26E</c:v>
                </c:pt>
                <c:pt idx="28">
                  <c:v>1Q27E</c:v>
                </c:pt>
                <c:pt idx="29">
                  <c:v>2Q27E</c:v>
                </c:pt>
                <c:pt idx="30">
                  <c:v>3Q27E</c:v>
                </c:pt>
                <c:pt idx="31">
                  <c:v>4Q27E</c:v>
                </c:pt>
              </c:strCache>
            </c:strRef>
          </c:cat>
          <c:val>
            <c:numRef>
              <c:f>Charts!$V$19:$BA$19</c:f>
              <c:numCache>
                <c:formatCode>#,##0_);\(#,##0\);#,##0_);@_)</c:formatCode>
                <c:ptCount val="32"/>
                <c:pt idx="0">
                  <c:v>79.069759999999988</c:v>
                </c:pt>
                <c:pt idx="1">
                  <c:v>145.01396</c:v>
                </c:pt>
                <c:pt idx="2">
                  <c:v>146.19667999999999</c:v>
                </c:pt>
                <c:pt idx="3">
                  <c:v>195.52511999999996</c:v>
                </c:pt>
                <c:pt idx="4">
                  <c:v>173.67115999999996</c:v>
                </c:pt>
                <c:pt idx="5">
                  <c:v>204.15407999999996</c:v>
                </c:pt>
                <c:pt idx="6">
                  <c:v>204.75831999999997</c:v>
                </c:pt>
                <c:pt idx="7">
                  <c:v>267.49215999999996</c:v>
                </c:pt>
                <c:pt idx="8">
                  <c:v>210.42118999999994</c:v>
                </c:pt>
                <c:pt idx="9">
                  <c:v>227.51189999999994</c:v>
                </c:pt>
                <c:pt idx="10">
                  <c:v>242.52525499999993</c:v>
                </c:pt>
                <c:pt idx="11">
                  <c:v>327.0073799999999</c:v>
                </c:pt>
                <c:pt idx="12">
                  <c:v>264.60999999999996</c:v>
                </c:pt>
                <c:pt idx="13">
                  <c:v>293.75</c:v>
                </c:pt>
                <c:pt idx="14">
                  <c:v>288.58</c:v>
                </c:pt>
                <c:pt idx="15">
                  <c:v>380.46499999999997</c:v>
                </c:pt>
                <c:pt idx="16">
                  <c:v>310.5</c:v>
                </c:pt>
                <c:pt idx="17">
                  <c:v>340.85999999999996</c:v>
                </c:pt>
                <c:pt idx="18">
                  <c:v>356.96</c:v>
                </c:pt>
                <c:pt idx="19">
                  <c:v>493.58</c:v>
                </c:pt>
                <c:pt idx="20">
                  <c:v>391.49999999999994</c:v>
                </c:pt>
                <c:pt idx="21">
                  <c:v>455.4</c:v>
                </c:pt>
                <c:pt idx="22">
                  <c:v>482.62499999999994</c:v>
                </c:pt>
                <c:pt idx="23">
                  <c:v>651.37499999999989</c:v>
                </c:pt>
                <c:pt idx="24">
                  <c:v>513.04</c:v>
                </c:pt>
                <c:pt idx="25">
                  <c:v>611.81999999999994</c:v>
                </c:pt>
                <c:pt idx="26">
                  <c:v>603.12461330482768</c:v>
                </c:pt>
                <c:pt idx="27">
                  <c:v>802.22367597648861</c:v>
                </c:pt>
                <c:pt idx="28">
                  <c:v>629.77968805355283</c:v>
                </c:pt>
                <c:pt idx="29">
                  <c:v>754.01845386000002</c:v>
                </c:pt>
                <c:pt idx="30">
                  <c:v>733.46840240431015</c:v>
                </c:pt>
                <c:pt idx="31">
                  <c:v>962.05133522494054</c:v>
                </c:pt>
              </c:numCache>
            </c:numRef>
          </c:val>
          <c:extLst>
            <c:ext xmlns:c16="http://schemas.microsoft.com/office/drawing/2014/chart" uri="{C3380CC4-5D6E-409C-BE32-E72D297353CC}">
              <c16:uniqueId val="{00000005-BAD6-4AAE-99B6-E3344BDFB4FD}"/>
            </c:ext>
          </c:extLst>
        </c:ser>
        <c:ser>
          <c:idx val="2"/>
          <c:order val="2"/>
          <c:tx>
            <c:strRef>
              <c:f>Charts!$E$21</c:f>
              <c:strCache>
                <c:ptCount val="1"/>
                <c:pt idx="0">
                  <c:v>Non-Payments Merchant Solution Revenue</c:v>
                </c:pt>
              </c:strCache>
            </c:strRef>
          </c:tx>
          <c:spPr>
            <a:solidFill>
              <a:schemeClr val="accent3"/>
            </a:solidFill>
            <a:ln>
              <a:noFill/>
            </a:ln>
            <a:effectLst/>
          </c:spPr>
          <c:invertIfNegative val="0"/>
          <c:cat>
            <c:strRef>
              <c:f>Charts!$V$4:$BA$4</c:f>
              <c:strCache>
                <c:ptCount val="32"/>
                <c:pt idx="0">
                  <c:v>1Q20A</c:v>
                </c:pt>
                <c:pt idx="1">
                  <c:v>2Q20A</c:v>
                </c:pt>
                <c:pt idx="2">
                  <c:v>3Q20A</c:v>
                </c:pt>
                <c:pt idx="3">
                  <c:v>4Q20A</c:v>
                </c:pt>
                <c:pt idx="4">
                  <c:v>1Q21A</c:v>
                </c:pt>
                <c:pt idx="5">
                  <c:v>2Q21A</c:v>
                </c:pt>
                <c:pt idx="6">
                  <c:v>3Q21A</c:v>
                </c:pt>
                <c:pt idx="7">
                  <c:v>4Q21A</c:v>
                </c:pt>
                <c:pt idx="8">
                  <c:v>1Q22A</c:v>
                </c:pt>
                <c:pt idx="9">
                  <c:v>2Q22A</c:v>
                </c:pt>
                <c:pt idx="10">
                  <c:v>3Q22A</c:v>
                </c:pt>
                <c:pt idx="11">
                  <c:v>4Q22A</c:v>
                </c:pt>
                <c:pt idx="12">
                  <c:v>1Q23A</c:v>
                </c:pt>
                <c:pt idx="13">
                  <c:v>2Q23A</c:v>
                </c:pt>
                <c:pt idx="14">
                  <c:v>3Q23A</c:v>
                </c:pt>
                <c:pt idx="15">
                  <c:v>4Q23A</c:v>
                </c:pt>
                <c:pt idx="16">
                  <c:v>1Q24A</c:v>
                </c:pt>
                <c:pt idx="17">
                  <c:v>2Q24A</c:v>
                </c:pt>
                <c:pt idx="18">
                  <c:v>3Q24A</c:v>
                </c:pt>
                <c:pt idx="19">
                  <c:v>4Q24E</c:v>
                </c:pt>
                <c:pt idx="20">
                  <c:v>1Q25A</c:v>
                </c:pt>
                <c:pt idx="21">
                  <c:v>2Q25E</c:v>
                </c:pt>
                <c:pt idx="22">
                  <c:v>3Q25A</c:v>
                </c:pt>
                <c:pt idx="23">
                  <c:v>4Q25E</c:v>
                </c:pt>
                <c:pt idx="24">
                  <c:v>1Q26E</c:v>
                </c:pt>
                <c:pt idx="25">
                  <c:v>2Q26E</c:v>
                </c:pt>
                <c:pt idx="26">
                  <c:v>3Q26E</c:v>
                </c:pt>
                <c:pt idx="27">
                  <c:v>4Q26E</c:v>
                </c:pt>
                <c:pt idx="28">
                  <c:v>1Q27E</c:v>
                </c:pt>
                <c:pt idx="29">
                  <c:v>2Q27E</c:v>
                </c:pt>
                <c:pt idx="30">
                  <c:v>3Q27E</c:v>
                </c:pt>
                <c:pt idx="31">
                  <c:v>4Q27E</c:v>
                </c:pt>
              </c:strCache>
            </c:strRef>
          </c:cat>
          <c:val>
            <c:numRef>
              <c:f>Charts!$V$21:$BA$21</c:f>
              <c:numCache>
                <c:formatCode>0.0</c:formatCode>
                <c:ptCount val="32"/>
                <c:pt idx="0">
                  <c:v>43.770760000000053</c:v>
                </c:pt>
                <c:pt idx="1">
                  <c:v>80.275585000000035</c:v>
                </c:pt>
                <c:pt idx="2">
                  <c:v>80.930304999999976</c:v>
                </c:pt>
                <c:pt idx="3">
                  <c:v>108.23712000000012</c:v>
                </c:pt>
                <c:pt idx="4">
                  <c:v>120.23388</c:v>
                </c:pt>
                <c:pt idx="5">
                  <c:v>141.3374399999999</c:v>
                </c:pt>
                <c:pt idx="6">
                  <c:v>141.75576000000001</c:v>
                </c:pt>
                <c:pt idx="7">
                  <c:v>185.18687999999997</c:v>
                </c:pt>
                <c:pt idx="8">
                  <c:v>173.49012400000004</c:v>
                </c:pt>
                <c:pt idx="9">
                  <c:v>187.58123999999998</c:v>
                </c:pt>
                <c:pt idx="10">
                  <c:v>199.95959800000003</c:v>
                </c:pt>
                <c:pt idx="11">
                  <c:v>269.61424800000009</c:v>
                </c:pt>
                <c:pt idx="12">
                  <c:v>225.20000000000005</c:v>
                </c:pt>
                <c:pt idx="13">
                  <c:v>250.00000000000011</c:v>
                </c:pt>
                <c:pt idx="14">
                  <c:v>245.60000000000014</c:v>
                </c:pt>
                <c:pt idx="15">
                  <c:v>323.80000000000018</c:v>
                </c:pt>
                <c:pt idx="16">
                  <c:v>276.54750000000013</c:v>
                </c:pt>
                <c:pt idx="17">
                  <c:v>303.36540000000014</c:v>
                </c:pt>
                <c:pt idx="18">
                  <c:v>317.46160000000009</c:v>
                </c:pt>
                <c:pt idx="19">
                  <c:v>438.64240000000041</c:v>
                </c:pt>
                <c:pt idx="20">
                  <c:v>364.09500000000025</c:v>
                </c:pt>
                <c:pt idx="21">
                  <c:v>423.2184000000002</c:v>
                </c:pt>
                <c:pt idx="22">
                  <c:v>448.19775000000027</c:v>
                </c:pt>
                <c:pt idx="23">
                  <c:v>604.47600000000057</c:v>
                </c:pt>
                <c:pt idx="24">
                  <c:v>557.86443083708104</c:v>
                </c:pt>
                <c:pt idx="25">
                  <c:v>618.41790047848053</c:v>
                </c:pt>
                <c:pt idx="26">
                  <c:v>658.52657889885404</c:v>
                </c:pt>
                <c:pt idx="27">
                  <c:v>891.35244102163233</c:v>
                </c:pt>
                <c:pt idx="28">
                  <c:v>772.05069034762664</c:v>
                </c:pt>
                <c:pt idx="29">
                  <c:v>859.97316891107539</c:v>
                </c:pt>
                <c:pt idx="30">
                  <c:v>895.54186097874253</c:v>
                </c:pt>
                <c:pt idx="31">
                  <c:v>1211.8016207143814</c:v>
                </c:pt>
              </c:numCache>
            </c:numRef>
          </c:val>
          <c:extLst>
            <c:ext xmlns:c16="http://schemas.microsoft.com/office/drawing/2014/chart" uri="{C3380CC4-5D6E-409C-BE32-E72D297353CC}">
              <c16:uniqueId val="{00000006-BAD6-4AAE-99B6-E3344BDFB4FD}"/>
            </c:ext>
          </c:extLst>
        </c:ser>
        <c:dLbls>
          <c:showLegendKey val="0"/>
          <c:showVal val="0"/>
          <c:showCatName val="0"/>
          <c:showSerName val="0"/>
          <c:showPercent val="0"/>
          <c:showBubbleSize val="0"/>
        </c:dLbls>
        <c:gapWidth val="30"/>
        <c:overlap val="100"/>
        <c:axId val="945418624"/>
        <c:axId val="945420160"/>
      </c:barChart>
      <c:lineChart>
        <c:grouping val="standard"/>
        <c:varyColors val="0"/>
        <c:ser>
          <c:idx val="3"/>
          <c:order val="3"/>
          <c:tx>
            <c:strRef>
              <c:f>Charts!$E$27</c:f>
              <c:strCache>
                <c:ptCount val="1"/>
                <c:pt idx="0">
                  <c:v>Total payments rev % MS rev </c:v>
                </c:pt>
              </c:strCache>
            </c:strRef>
          </c:tx>
          <c:spPr>
            <a:ln w="19050" cap="rnd" cmpd="sng" algn="ctr">
              <a:solidFill>
                <a:schemeClr val="accent4"/>
              </a:solidFill>
              <a:prstDash val="solid"/>
              <a:round/>
            </a:ln>
            <a:effectLst/>
          </c:spPr>
          <c:marker>
            <c:symbol val="none"/>
          </c:marker>
          <c:val>
            <c:numRef>
              <c:f>Charts!$V$27:$BA$27</c:f>
              <c:numCache>
                <c:formatCode>0.0%_);\(0.0%\);0.0%_);@_)</c:formatCode>
                <c:ptCount val="32"/>
                <c:pt idx="0">
                  <c:v>0.84499999999999986</c:v>
                </c:pt>
                <c:pt idx="1">
                  <c:v>0.84499999999999997</c:v>
                </c:pt>
                <c:pt idx="2">
                  <c:v>0.84500000000000008</c:v>
                </c:pt>
                <c:pt idx="3">
                  <c:v>0.84499999999999986</c:v>
                </c:pt>
                <c:pt idx="4">
                  <c:v>0.82</c:v>
                </c:pt>
                <c:pt idx="5">
                  <c:v>0.82000000000000017</c:v>
                </c:pt>
                <c:pt idx="6">
                  <c:v>0.82</c:v>
                </c:pt>
                <c:pt idx="7">
                  <c:v>0.82000000000000006</c:v>
                </c:pt>
                <c:pt idx="8">
                  <c:v>0.79799999999999993</c:v>
                </c:pt>
                <c:pt idx="9">
                  <c:v>0.79800000000000004</c:v>
                </c:pt>
                <c:pt idx="10">
                  <c:v>0.79799999999999993</c:v>
                </c:pt>
                <c:pt idx="11">
                  <c:v>0.79799999999999993</c:v>
                </c:pt>
                <c:pt idx="12">
                  <c:v>0.79999999999999993</c:v>
                </c:pt>
                <c:pt idx="13">
                  <c:v>0.79999999999999993</c:v>
                </c:pt>
                <c:pt idx="14">
                  <c:v>0.79999999999999993</c:v>
                </c:pt>
                <c:pt idx="15">
                  <c:v>0.79999999999999993</c:v>
                </c:pt>
                <c:pt idx="16">
                  <c:v>0.79514999999999991</c:v>
                </c:pt>
                <c:pt idx="17">
                  <c:v>0.7952999999999999</c:v>
                </c:pt>
                <c:pt idx="18">
                  <c:v>0.79544999999999999</c:v>
                </c:pt>
                <c:pt idx="19">
                  <c:v>0.79559999999999986</c:v>
                </c:pt>
                <c:pt idx="20">
                  <c:v>0.79074999999999984</c:v>
                </c:pt>
                <c:pt idx="21">
                  <c:v>0.79089999999999994</c:v>
                </c:pt>
                <c:pt idx="22">
                  <c:v>0.79104999999999992</c:v>
                </c:pt>
                <c:pt idx="23">
                  <c:v>0.79119999999999979</c:v>
                </c:pt>
                <c:pt idx="24">
                  <c:v>0.76947750791856151</c:v>
                </c:pt>
                <c:pt idx="25">
                  <c:v>0.7776275079185615</c:v>
                </c:pt>
                <c:pt idx="26">
                  <c:v>0.76880081969392955</c:v>
                </c:pt>
                <c:pt idx="27">
                  <c:v>0.76632077713523472</c:v>
                </c:pt>
                <c:pt idx="28">
                  <c:v>0.75383276279309808</c:v>
                </c:pt>
                <c:pt idx="29">
                  <c:v>0.75950867699698354</c:v>
                </c:pt>
                <c:pt idx="30">
                  <c:v>0.75160006295867621</c:v>
                </c:pt>
                <c:pt idx="31">
                  <c:v>0.74697829515115244</c:v>
                </c:pt>
              </c:numCache>
            </c:numRef>
          </c:val>
          <c:smooth val="1"/>
          <c:extLst>
            <c:ext xmlns:c16="http://schemas.microsoft.com/office/drawing/2014/chart" uri="{C3380CC4-5D6E-409C-BE32-E72D297353CC}">
              <c16:uniqueId val="{00000007-BAD6-4AAE-99B6-E3344BDFB4FD}"/>
            </c:ext>
          </c:extLst>
        </c:ser>
        <c:dLbls>
          <c:showLegendKey val="0"/>
          <c:showVal val="0"/>
          <c:showCatName val="0"/>
          <c:showSerName val="0"/>
          <c:showPercent val="0"/>
          <c:showBubbleSize val="0"/>
        </c:dLbls>
        <c:marker val="1"/>
        <c:smooth val="0"/>
        <c:axId val="269090544"/>
        <c:axId val="278759152"/>
      </c:lineChart>
      <c:catAx>
        <c:axId val="945418624"/>
        <c:scaling>
          <c:orientation val="minMax"/>
        </c:scaling>
        <c:delete val="0"/>
        <c:axPos val="b"/>
        <c:majorGridlines>
          <c:spPr>
            <a:ln w="3175" cap="sq" cmpd="sng" algn="ctr">
              <a:noFill/>
              <a:prstDash val="dot"/>
              <a:round/>
            </a:ln>
            <a:effectLst/>
          </c:spPr>
        </c:majorGridlines>
        <c:numFmt formatCode="General" sourceLinked="0"/>
        <c:majorTickMark val="out"/>
        <c:minorTickMark val="none"/>
        <c:tickLblPos val="nextTo"/>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rot="-2820000" spcFirstLastPara="1" vertOverflow="ellipsis"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945420160"/>
        <c:crosses val="autoZero"/>
        <c:auto val="1"/>
        <c:lblAlgn val="ctr"/>
        <c:lblOffset val="100"/>
        <c:noMultiLvlLbl val="0"/>
      </c:catAx>
      <c:valAx>
        <c:axId val="945420160"/>
        <c:scaling>
          <c:orientation val="minMax"/>
        </c:scaling>
        <c:delete val="0"/>
        <c:axPos val="l"/>
        <c:majorGridlines>
          <c:spPr>
            <a:ln w="3175" cap="sq" cmpd="sng" algn="ctr">
              <a:solidFill>
                <a:srgbClr val="C0C0C0"/>
              </a:solidFill>
              <a:prstDash val="dot"/>
              <a:round/>
            </a:ln>
            <a:effectLst/>
          </c:spPr>
        </c:majorGridlines>
        <c:numFmt formatCode="#,##0" sourceLinked="0"/>
        <c:majorTickMark val="out"/>
        <c:minorTickMark val="none"/>
        <c:tickLblPos val="nextTo"/>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rot="-6000000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945418624"/>
        <c:crosses val="autoZero"/>
        <c:crossBetween val="between"/>
      </c:valAx>
      <c:valAx>
        <c:axId val="278759152"/>
        <c:scaling>
          <c:orientation val="minMax"/>
          <c:min val="0.5"/>
        </c:scaling>
        <c:delete val="0"/>
        <c:axPos val="r"/>
        <c:numFmt formatCode="0%" sourceLinked="0"/>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269090544"/>
        <c:crosses val="max"/>
        <c:crossBetween val="between"/>
      </c:valAx>
      <c:catAx>
        <c:axId val="269090544"/>
        <c:scaling>
          <c:orientation val="minMax"/>
        </c:scaling>
        <c:delete val="1"/>
        <c:axPos val="b"/>
        <c:majorTickMark val="out"/>
        <c:minorTickMark val="none"/>
        <c:tickLblPos val="nextTo"/>
        <c:crossAx val="278759152"/>
        <c:crosses val="autoZero"/>
        <c:auto val="1"/>
        <c:lblAlgn val="ctr"/>
        <c:lblOffset val="100"/>
        <c:noMultiLvlLbl val="0"/>
      </c:catAx>
      <c:spPr>
        <a:noFill/>
        <a:ln>
          <a:noFill/>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a:noFill/>
              <a:round/>
            </a14:hiddenLine>
          </a:ext>
        </a:extLst>
      </c:spPr>
    </c:plotArea>
    <c:legend>
      <c:legendPos val="r"/>
      <c:layout>
        <c:manualLayout>
          <c:xMode val="edge"/>
          <c:yMode val="edge"/>
          <c:x val="0.32918097377543087"/>
          <c:y val="1.2388451443569517E-3"/>
          <c:w val="0.42821019482795664"/>
          <c:h val="0.19740729075532226"/>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legend>
    <c:plotVisOnly val="1"/>
    <c:dispBlanksAs val="gap"/>
    <c:showDLblsOverMax val="0"/>
  </c:chart>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a:lstStyle/>
    <a:p>
      <a:pPr>
        <a:defRPr sz="800">
          <a:latin typeface="Roboto" panose="02000000000000000000" pitchFamily="2" charset="0"/>
          <a:ea typeface="Roboto" panose="02000000000000000000" pitchFamily="2" charset="0"/>
          <a:cs typeface="Roboto" panose="02000000000000000000" pitchFamily="2" charset="0"/>
        </a:defRPr>
      </a:pPr>
      <a:endParaRPr lang="en-US"/>
    </a:p>
  </c:txPr>
  <c:printSettings>
    <c:headerFooter/>
    <c:pageMargins b="0.75" l="0.7" r="0.7" t="0.75" header="0.3" footer="0.3"/>
    <c:pageSetup orientation="landscape"/>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309530221448139E-2"/>
          <c:y val="5.0666527097135428E-2"/>
          <c:w val="0.91861145701550695"/>
          <c:h val="0.86308631590944007"/>
        </c:manualLayout>
      </c:layout>
      <c:barChart>
        <c:barDir val="col"/>
        <c:grouping val="stacked"/>
        <c:varyColors val="0"/>
        <c:ser>
          <c:idx val="0"/>
          <c:order val="0"/>
          <c:tx>
            <c:strRef>
              <c:f>Charts!$E$20</c:f>
              <c:strCache>
                <c:ptCount val="1"/>
                <c:pt idx="0">
                  <c:v>Total Payments Revenue</c:v>
                </c:pt>
              </c:strCache>
            </c:strRef>
          </c:tx>
          <c:spPr>
            <a:solidFill>
              <a:schemeClr val="accent1"/>
            </a:solidFill>
            <a:ln>
              <a:noFill/>
            </a:ln>
            <a:effectLst/>
          </c:spPr>
          <c:invertIfNegative val="0"/>
          <c:dPt>
            <c:idx val="1"/>
            <c:invertIfNegative val="0"/>
            <c:bubble3D val="0"/>
            <c:extLst>
              <c:ext xmlns:c16="http://schemas.microsoft.com/office/drawing/2014/chart" uri="{C3380CC4-5D6E-409C-BE32-E72D297353CC}">
                <c16:uniqueId val="{00000000-72D2-452A-BEA0-7C937219E2C6}"/>
              </c:ext>
            </c:extLst>
          </c:dPt>
          <c:dPt>
            <c:idx val="2"/>
            <c:invertIfNegative val="0"/>
            <c:bubble3D val="0"/>
            <c:extLst>
              <c:ext xmlns:c16="http://schemas.microsoft.com/office/drawing/2014/chart" uri="{C3380CC4-5D6E-409C-BE32-E72D297353CC}">
                <c16:uniqueId val="{00000001-72D2-452A-BEA0-7C937219E2C6}"/>
              </c:ext>
            </c:extLst>
          </c:dPt>
          <c:dPt>
            <c:idx val="8"/>
            <c:invertIfNegative val="0"/>
            <c:bubble3D val="0"/>
            <c:extLst>
              <c:ext xmlns:c16="http://schemas.microsoft.com/office/drawing/2014/chart" uri="{C3380CC4-5D6E-409C-BE32-E72D297353CC}">
                <c16:uniqueId val="{00000002-72D2-452A-BEA0-7C937219E2C6}"/>
              </c:ext>
            </c:extLst>
          </c:dPt>
          <c:dPt>
            <c:idx val="9"/>
            <c:invertIfNegative val="0"/>
            <c:bubble3D val="0"/>
            <c:extLst>
              <c:ext xmlns:c16="http://schemas.microsoft.com/office/drawing/2014/chart" uri="{C3380CC4-5D6E-409C-BE32-E72D297353CC}">
                <c16:uniqueId val="{00000003-72D2-452A-BEA0-7C937219E2C6}"/>
              </c:ext>
            </c:extLst>
          </c:dPt>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strRef>
              <c:f>Charts!$V$4:$AK$4</c:f>
              <c:strCache>
                <c:ptCount val="16"/>
                <c:pt idx="0">
                  <c:v>1Q20A</c:v>
                </c:pt>
                <c:pt idx="1">
                  <c:v>2Q20A</c:v>
                </c:pt>
                <c:pt idx="2">
                  <c:v>3Q20A</c:v>
                </c:pt>
                <c:pt idx="3">
                  <c:v>4Q20A</c:v>
                </c:pt>
                <c:pt idx="4">
                  <c:v>1Q21A</c:v>
                </c:pt>
                <c:pt idx="5">
                  <c:v>2Q21A</c:v>
                </c:pt>
                <c:pt idx="6">
                  <c:v>3Q21A</c:v>
                </c:pt>
                <c:pt idx="7">
                  <c:v>4Q21A</c:v>
                </c:pt>
                <c:pt idx="8">
                  <c:v>1Q22A</c:v>
                </c:pt>
                <c:pt idx="9">
                  <c:v>2Q22A</c:v>
                </c:pt>
                <c:pt idx="10">
                  <c:v>3Q22A</c:v>
                </c:pt>
                <c:pt idx="11">
                  <c:v>4Q22A</c:v>
                </c:pt>
                <c:pt idx="12">
                  <c:v>1Q23A</c:v>
                </c:pt>
                <c:pt idx="13">
                  <c:v>2Q23A</c:v>
                </c:pt>
                <c:pt idx="14">
                  <c:v>3Q23A</c:v>
                </c:pt>
                <c:pt idx="15">
                  <c:v>4Q23A</c:v>
                </c:pt>
              </c:strCache>
            </c:strRef>
          </c:cat>
          <c:val>
            <c:numRef>
              <c:f>Charts!$V$20:$AK$20</c:f>
              <c:numCache>
                <c:formatCode>#,##0_);\(#,##0\);#,##0_);@_)</c:formatCode>
                <c:ptCount val="16"/>
                <c:pt idx="0">
                  <c:v>238.62123999999994</c:v>
                </c:pt>
                <c:pt idx="1">
                  <c:v>437.631415</c:v>
                </c:pt>
                <c:pt idx="2">
                  <c:v>441.200695</c:v>
                </c:pt>
                <c:pt idx="3">
                  <c:v>590.06687999999986</c:v>
                </c:pt>
                <c:pt idx="4">
                  <c:v>547.73212000000001</c:v>
                </c:pt>
                <c:pt idx="5">
                  <c:v>643.87056000000007</c:v>
                </c:pt>
                <c:pt idx="6">
                  <c:v>645.77624000000003</c:v>
                </c:pt>
                <c:pt idx="7">
                  <c:v>843.62912000000006</c:v>
                </c:pt>
                <c:pt idx="8">
                  <c:v>685.37187599999993</c:v>
                </c:pt>
                <c:pt idx="9">
                  <c:v>741.03876000000002</c:v>
                </c:pt>
                <c:pt idx="10">
                  <c:v>789.93940199999997</c:v>
                </c:pt>
                <c:pt idx="11">
                  <c:v>1065.1097519999998</c:v>
                </c:pt>
                <c:pt idx="12">
                  <c:v>900.8</c:v>
                </c:pt>
                <c:pt idx="13">
                  <c:v>999.99999999999989</c:v>
                </c:pt>
                <c:pt idx="14">
                  <c:v>982.39999999999986</c:v>
                </c:pt>
                <c:pt idx="15">
                  <c:v>1295.1999999999998</c:v>
                </c:pt>
              </c:numCache>
            </c:numRef>
          </c:val>
          <c:extLst>
            <c:ext xmlns:c16="http://schemas.microsoft.com/office/drawing/2014/chart" uri="{C3380CC4-5D6E-409C-BE32-E72D297353CC}">
              <c16:uniqueId val="{00000004-72D2-452A-BEA0-7C937219E2C6}"/>
            </c:ext>
          </c:extLst>
        </c:ser>
        <c:ser>
          <c:idx val="1"/>
          <c:order val="1"/>
          <c:tx>
            <c:strRef>
              <c:f>Charts!$E$22</c:f>
              <c:strCache>
                <c:ptCount val="1"/>
                <c:pt idx="0">
                  <c:v>Total Merchant Solution Revenues</c:v>
                </c:pt>
              </c:strCache>
            </c:strRef>
          </c:tx>
          <c:spPr>
            <a:solidFill>
              <a:schemeClr val="accent3"/>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strRef>
              <c:f>Charts!$V$4:$AK$4</c:f>
              <c:strCache>
                <c:ptCount val="16"/>
                <c:pt idx="0">
                  <c:v>1Q20A</c:v>
                </c:pt>
                <c:pt idx="1">
                  <c:v>2Q20A</c:v>
                </c:pt>
                <c:pt idx="2">
                  <c:v>3Q20A</c:v>
                </c:pt>
                <c:pt idx="3">
                  <c:v>4Q20A</c:v>
                </c:pt>
                <c:pt idx="4">
                  <c:v>1Q21A</c:v>
                </c:pt>
                <c:pt idx="5">
                  <c:v>2Q21A</c:v>
                </c:pt>
                <c:pt idx="6">
                  <c:v>3Q21A</c:v>
                </c:pt>
                <c:pt idx="7">
                  <c:v>4Q21A</c:v>
                </c:pt>
                <c:pt idx="8">
                  <c:v>1Q22A</c:v>
                </c:pt>
                <c:pt idx="9">
                  <c:v>2Q22A</c:v>
                </c:pt>
                <c:pt idx="10">
                  <c:v>3Q22A</c:v>
                </c:pt>
                <c:pt idx="11">
                  <c:v>4Q22A</c:v>
                </c:pt>
                <c:pt idx="12">
                  <c:v>1Q23A</c:v>
                </c:pt>
                <c:pt idx="13">
                  <c:v>2Q23A</c:v>
                </c:pt>
                <c:pt idx="14">
                  <c:v>3Q23A</c:v>
                </c:pt>
                <c:pt idx="15">
                  <c:v>4Q23A</c:v>
                </c:pt>
              </c:strCache>
            </c:strRef>
          </c:cat>
          <c:val>
            <c:numRef>
              <c:f>Charts!$V$22:$AK$22</c:f>
              <c:numCache>
                <c:formatCode>0.0</c:formatCode>
                <c:ptCount val="16"/>
                <c:pt idx="0">
                  <c:v>282.392</c:v>
                </c:pt>
                <c:pt idx="1">
                  <c:v>517.90700000000004</c:v>
                </c:pt>
                <c:pt idx="2">
                  <c:v>522.13099999999997</c:v>
                </c:pt>
                <c:pt idx="3">
                  <c:v>698.30399999999997</c:v>
                </c:pt>
                <c:pt idx="4">
                  <c:v>667.96600000000001</c:v>
                </c:pt>
                <c:pt idx="5">
                  <c:v>785.20799999999997</c:v>
                </c:pt>
                <c:pt idx="6">
                  <c:v>787.53200000000004</c:v>
                </c:pt>
                <c:pt idx="7">
                  <c:v>1028.816</c:v>
                </c:pt>
                <c:pt idx="8">
                  <c:v>858.86199999999997</c:v>
                </c:pt>
                <c:pt idx="9">
                  <c:v>928.62</c:v>
                </c:pt>
                <c:pt idx="10">
                  <c:v>989.899</c:v>
                </c:pt>
                <c:pt idx="11">
                  <c:v>1334.7239999999999</c:v>
                </c:pt>
                <c:pt idx="12">
                  <c:v>1126</c:v>
                </c:pt>
                <c:pt idx="13">
                  <c:v>1250</c:v>
                </c:pt>
                <c:pt idx="14">
                  <c:v>1228</c:v>
                </c:pt>
                <c:pt idx="15">
                  <c:v>1619</c:v>
                </c:pt>
              </c:numCache>
            </c:numRef>
          </c:val>
          <c:extLst>
            <c:ext xmlns:c16="http://schemas.microsoft.com/office/drawing/2014/chart" uri="{C3380CC4-5D6E-409C-BE32-E72D297353CC}">
              <c16:uniqueId val="{00000005-72D2-452A-BEA0-7C937219E2C6}"/>
            </c:ext>
          </c:extLst>
        </c:ser>
        <c:dLbls>
          <c:showLegendKey val="0"/>
          <c:showVal val="0"/>
          <c:showCatName val="0"/>
          <c:showSerName val="0"/>
          <c:showPercent val="0"/>
          <c:showBubbleSize val="0"/>
        </c:dLbls>
        <c:gapWidth val="30"/>
        <c:overlap val="100"/>
        <c:axId val="945418624"/>
        <c:axId val="945420160"/>
      </c:barChart>
      <c:catAx>
        <c:axId val="945418624"/>
        <c:scaling>
          <c:orientation val="minMax"/>
        </c:scaling>
        <c:delete val="0"/>
        <c:axPos val="b"/>
        <c:majorGridlines>
          <c:spPr>
            <a:ln w="3175" cap="sq" cmpd="sng" algn="ctr">
              <a:noFill/>
              <a:prstDash val="dot"/>
              <a:round/>
            </a:ln>
            <a:effectLst/>
          </c:spPr>
        </c:majorGridlines>
        <c:numFmt formatCode="General" sourceLinked="0"/>
        <c:majorTickMark val="out"/>
        <c:minorTickMark val="none"/>
        <c:tickLblPos val="nextTo"/>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rot="-2340000" spcFirstLastPara="1" vertOverflow="ellipsis"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945420160"/>
        <c:crosses val="autoZero"/>
        <c:auto val="1"/>
        <c:lblAlgn val="ctr"/>
        <c:lblOffset val="100"/>
        <c:noMultiLvlLbl val="0"/>
      </c:catAx>
      <c:valAx>
        <c:axId val="945420160"/>
        <c:scaling>
          <c:orientation val="minMax"/>
        </c:scaling>
        <c:delete val="0"/>
        <c:axPos val="l"/>
        <c:majorGridlines>
          <c:spPr>
            <a:ln w="3175" cap="sq" cmpd="sng" algn="ctr">
              <a:solidFill>
                <a:srgbClr val="C0C0C0"/>
              </a:solidFill>
              <a:prstDash val="dot"/>
              <a:round/>
            </a:ln>
            <a:effectLst/>
          </c:spPr>
        </c:majorGridlines>
        <c:numFmt formatCode="#,##0.0" sourceLinked="0"/>
        <c:majorTickMark val="out"/>
        <c:minorTickMark val="none"/>
        <c:tickLblPos val="nextTo"/>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rot="-6000000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945418624"/>
        <c:crosses val="autoZero"/>
        <c:crossBetween val="between"/>
      </c:valAx>
      <c:spPr>
        <a:noFill/>
        <a:ln>
          <a:noFill/>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a:noFill/>
              <a:round/>
            </a14:hiddenLine>
          </a:ext>
        </a:extLst>
      </c:spPr>
    </c:plotArea>
    <c:legend>
      <c:legendPos val="r"/>
      <c:layout>
        <c:manualLayout>
          <c:xMode val="edge"/>
          <c:yMode val="edge"/>
          <c:x val="0.16393106566284851"/>
          <c:y val="5.2996736008375733E-2"/>
          <c:w val="0.36391606686622113"/>
          <c:h val="0.28975281429475491"/>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legend>
    <c:plotVisOnly val="1"/>
    <c:dispBlanksAs val="gap"/>
    <c:showDLblsOverMax val="0"/>
  </c:chart>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a:lstStyle/>
    <a:p>
      <a:pPr>
        <a:defRPr sz="800">
          <a:latin typeface="Roboto" panose="02000000000000000000" pitchFamily="2" charset="0"/>
          <a:ea typeface="Roboto" panose="02000000000000000000" pitchFamily="2" charset="0"/>
          <a:cs typeface="Roboto" panose="02000000000000000000" pitchFamily="2" charset="0"/>
        </a:defRPr>
      </a:pPr>
      <a:endParaRPr lang="en-US"/>
    </a:p>
  </c:txPr>
  <c:printSettings>
    <c:headerFooter/>
    <c:pageMargins b="0.75" l="0.7" r="0.7" t="0.75" header="0.3" footer="0.3"/>
    <c:pageSetup orientation="landscape"/>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309530221448139E-2"/>
          <c:y val="5.0666527097135428E-2"/>
          <c:w val="0.91861145701550695"/>
          <c:h val="0.86308631590944007"/>
        </c:manualLayout>
      </c:layout>
      <c:barChart>
        <c:barDir val="col"/>
        <c:grouping val="stacked"/>
        <c:varyColors val="0"/>
        <c:ser>
          <c:idx val="0"/>
          <c:order val="0"/>
          <c:tx>
            <c:strRef>
              <c:f>Charts!$E$18</c:f>
              <c:strCache>
                <c:ptCount val="1"/>
                <c:pt idx="0">
                  <c:v>Shopify Payments Revenue </c:v>
                </c:pt>
              </c:strCache>
            </c:strRef>
          </c:tx>
          <c:spPr>
            <a:solidFill>
              <a:schemeClr val="accent1"/>
            </a:solidFill>
            <a:ln>
              <a:noFill/>
            </a:ln>
            <a:effectLst/>
          </c:spPr>
          <c:invertIfNegative val="0"/>
          <c:dPt>
            <c:idx val="1"/>
            <c:invertIfNegative val="0"/>
            <c:bubble3D val="0"/>
            <c:extLst>
              <c:ext xmlns:c16="http://schemas.microsoft.com/office/drawing/2014/chart" uri="{C3380CC4-5D6E-409C-BE32-E72D297353CC}">
                <c16:uniqueId val="{00000000-C645-4748-9094-8C0C0FC1FCF1}"/>
              </c:ext>
            </c:extLst>
          </c:dPt>
          <c:dPt>
            <c:idx val="2"/>
            <c:invertIfNegative val="0"/>
            <c:bubble3D val="0"/>
            <c:extLst>
              <c:ext xmlns:c16="http://schemas.microsoft.com/office/drawing/2014/chart" uri="{C3380CC4-5D6E-409C-BE32-E72D297353CC}">
                <c16:uniqueId val="{00000001-C645-4748-9094-8C0C0FC1FCF1}"/>
              </c:ext>
            </c:extLst>
          </c:dPt>
          <c:dPt>
            <c:idx val="8"/>
            <c:invertIfNegative val="0"/>
            <c:bubble3D val="0"/>
            <c:extLst>
              <c:ext xmlns:c16="http://schemas.microsoft.com/office/drawing/2014/chart" uri="{C3380CC4-5D6E-409C-BE32-E72D297353CC}">
                <c16:uniqueId val="{00000002-C645-4748-9094-8C0C0FC1FCF1}"/>
              </c:ext>
            </c:extLst>
          </c:dPt>
          <c:dPt>
            <c:idx val="9"/>
            <c:invertIfNegative val="0"/>
            <c:bubble3D val="0"/>
            <c:extLst>
              <c:ext xmlns:c16="http://schemas.microsoft.com/office/drawing/2014/chart" uri="{C3380CC4-5D6E-409C-BE32-E72D297353CC}">
                <c16:uniqueId val="{00000003-C645-4748-9094-8C0C0FC1FCF1}"/>
              </c:ext>
            </c:extLst>
          </c:dPt>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strRef>
              <c:f>Charts!$CW$4:$DE$4</c:f>
              <c:strCache>
                <c:ptCount val="9"/>
                <c:pt idx="0">
                  <c:v>2019A</c:v>
                </c:pt>
                <c:pt idx="1">
                  <c:v>2020A</c:v>
                </c:pt>
                <c:pt idx="2">
                  <c:v>2021A</c:v>
                </c:pt>
                <c:pt idx="3">
                  <c:v>2022A</c:v>
                </c:pt>
                <c:pt idx="4">
                  <c:v>2023A</c:v>
                </c:pt>
                <c:pt idx="5">
                  <c:v>2024A</c:v>
                </c:pt>
                <c:pt idx="6">
                  <c:v>2025E</c:v>
                </c:pt>
                <c:pt idx="7">
                  <c:v>2026E</c:v>
                </c:pt>
                <c:pt idx="8">
                  <c:v>2027E</c:v>
                </c:pt>
              </c:strCache>
            </c:strRef>
          </c:cat>
          <c:val>
            <c:numRef>
              <c:f>Charts!$CW$18:$DE$18</c:f>
              <c:numCache>
                <c:formatCode>"$"#,##0.0,"B"_);\("$"#,##0.0"B"\);"$"#,##0.00_);@_)</c:formatCode>
                <c:ptCount val="9"/>
                <c:pt idx="0">
                  <c:v>533.48123999999996</c:v>
                </c:pt>
                <c:pt idx="1">
                  <c:v>1141.7147099999997</c:v>
                </c:pt>
                <c:pt idx="2">
                  <c:v>1830.9323200000001</c:v>
                </c:pt>
                <c:pt idx="3">
                  <c:v>2273.9940649999999</c:v>
                </c:pt>
                <c:pt idx="4">
                  <c:v>2950.9949999999999</c:v>
                </c:pt>
                <c:pt idx="5">
                  <c:v>3692.0830999999989</c:v>
                </c:pt>
                <c:pt idx="6">
                  <c:v>#N/A</c:v>
                </c:pt>
                <c:pt idx="7">
                  <c:v>6607.3662544826366</c:v>
                </c:pt>
                <c:pt idx="8">
                  <c:v>8288.0618693853721</c:v>
                </c:pt>
              </c:numCache>
            </c:numRef>
          </c:val>
          <c:extLst>
            <c:ext xmlns:c16="http://schemas.microsoft.com/office/drawing/2014/chart" uri="{C3380CC4-5D6E-409C-BE32-E72D297353CC}">
              <c16:uniqueId val="{00000004-C645-4748-9094-8C0C0FC1FCF1}"/>
            </c:ext>
          </c:extLst>
        </c:ser>
        <c:ser>
          <c:idx val="1"/>
          <c:order val="1"/>
          <c:tx>
            <c:strRef>
              <c:f>Charts!$E$19</c:f>
              <c:strCache>
                <c:ptCount val="1"/>
                <c:pt idx="0">
                  <c:v>3P Transaction Fee Revenue</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strRef>
              <c:f>Charts!$CW$4:$DE$4</c:f>
              <c:strCache>
                <c:ptCount val="9"/>
                <c:pt idx="0">
                  <c:v>2019A</c:v>
                </c:pt>
                <c:pt idx="1">
                  <c:v>2020A</c:v>
                </c:pt>
                <c:pt idx="2">
                  <c:v>2021A</c:v>
                </c:pt>
                <c:pt idx="3">
                  <c:v>2022A</c:v>
                </c:pt>
                <c:pt idx="4">
                  <c:v>2023A</c:v>
                </c:pt>
                <c:pt idx="5">
                  <c:v>2024A</c:v>
                </c:pt>
                <c:pt idx="6">
                  <c:v>2025E</c:v>
                </c:pt>
                <c:pt idx="7">
                  <c:v>2026E</c:v>
                </c:pt>
                <c:pt idx="8">
                  <c:v>2027E</c:v>
                </c:pt>
              </c:strCache>
            </c:strRef>
          </c:cat>
          <c:val>
            <c:numRef>
              <c:f>Charts!$CW$19:$DE$19</c:f>
              <c:numCache>
                <c:formatCode>"$"#,##0.0,"B"_);\("$"#,##0.0"B"\);"$"#,##0.00_);@_)</c:formatCode>
                <c:ptCount val="9"/>
                <c:pt idx="0">
                  <c:v>280.77960000000002</c:v>
                </c:pt>
                <c:pt idx="1">
                  <c:v>565.80551999999989</c:v>
                </c:pt>
                <c:pt idx="2">
                  <c:v>850.07571999999982</c:v>
                </c:pt>
                <c:pt idx="3">
                  <c:v>1007.4657249999997</c:v>
                </c:pt>
                <c:pt idx="4">
                  <c:v>1227.4049999999997</c:v>
                </c:pt>
                <c:pt idx="5">
                  <c:v>1501.8999999999999</c:v>
                </c:pt>
                <c:pt idx="6">
                  <c:v>#N/A</c:v>
                </c:pt>
                <c:pt idx="7">
                  <c:v>2530.2082892813164</c:v>
                </c:pt>
                <c:pt idx="8">
                  <c:v>3079.3178795428034</c:v>
                </c:pt>
              </c:numCache>
            </c:numRef>
          </c:val>
          <c:extLst>
            <c:ext xmlns:c16="http://schemas.microsoft.com/office/drawing/2014/chart" uri="{C3380CC4-5D6E-409C-BE32-E72D297353CC}">
              <c16:uniqueId val="{00000005-C645-4748-9094-8C0C0FC1FCF1}"/>
            </c:ext>
          </c:extLst>
        </c:ser>
        <c:ser>
          <c:idx val="2"/>
          <c:order val="2"/>
          <c:tx>
            <c:strRef>
              <c:f>Charts!$E$21</c:f>
              <c:strCache>
                <c:ptCount val="1"/>
                <c:pt idx="0">
                  <c:v>Non-Payments Merchant Solution Revenue</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strRef>
              <c:f>Charts!$CW$4:$DE$4</c:f>
              <c:strCache>
                <c:ptCount val="9"/>
                <c:pt idx="0">
                  <c:v>2019A</c:v>
                </c:pt>
                <c:pt idx="1">
                  <c:v>2020A</c:v>
                </c:pt>
                <c:pt idx="2">
                  <c:v>2021A</c:v>
                </c:pt>
                <c:pt idx="3">
                  <c:v>2022A</c:v>
                </c:pt>
                <c:pt idx="4">
                  <c:v>2023A</c:v>
                </c:pt>
                <c:pt idx="5">
                  <c:v>2024A</c:v>
                </c:pt>
                <c:pt idx="6">
                  <c:v>2025E</c:v>
                </c:pt>
                <c:pt idx="7">
                  <c:v>2026E</c:v>
                </c:pt>
                <c:pt idx="8">
                  <c:v>2027E</c:v>
                </c:pt>
              </c:strCache>
            </c:strRef>
          </c:cat>
          <c:val>
            <c:numRef>
              <c:f>Charts!$CW$21:$DE$21</c:f>
              <c:numCache>
                <c:formatCode>"$"#,##0.0,"B"_);\("$"#,##0.0"B"\);"$"#,##0.00_);@_)</c:formatCode>
                <c:ptCount val="9"/>
                <c:pt idx="0">
                  <c:v>121.6711600000001</c:v>
                </c:pt>
                <c:pt idx="1">
                  <c:v>313.2137700000003</c:v>
                </c:pt>
                <c:pt idx="2">
                  <c:v>588.51396000000022</c:v>
                </c:pt>
                <c:pt idx="3">
                  <c:v>830.64521000000013</c:v>
                </c:pt>
                <c:pt idx="4">
                  <c:v>1044.6000000000004</c:v>
                </c:pt>
                <c:pt idx="5">
                  <c:v>1336.0169000000014</c:v>
                </c:pt>
                <c:pt idx="6">
                  <c:v>#N/A</c:v>
                </c:pt>
                <c:pt idx="7">
                  <c:v>2726.1613512360491</c:v>
                </c:pt>
                <c:pt idx="8">
                  <c:v>3739.3673409518269</c:v>
                </c:pt>
              </c:numCache>
            </c:numRef>
          </c:val>
          <c:extLst>
            <c:ext xmlns:c16="http://schemas.microsoft.com/office/drawing/2014/chart" uri="{C3380CC4-5D6E-409C-BE32-E72D297353CC}">
              <c16:uniqueId val="{00000006-C645-4748-9094-8C0C0FC1FCF1}"/>
            </c:ext>
          </c:extLst>
        </c:ser>
        <c:dLbls>
          <c:showLegendKey val="0"/>
          <c:showVal val="1"/>
          <c:showCatName val="0"/>
          <c:showSerName val="0"/>
          <c:showPercent val="0"/>
          <c:showBubbleSize val="0"/>
        </c:dLbls>
        <c:gapWidth val="41"/>
        <c:overlap val="100"/>
        <c:axId val="945418624"/>
        <c:axId val="945420160"/>
      </c:barChart>
      <c:lineChart>
        <c:grouping val="standard"/>
        <c:varyColors val="0"/>
        <c:ser>
          <c:idx val="3"/>
          <c:order val="3"/>
          <c:tx>
            <c:strRef>
              <c:f>Charts!$E$27</c:f>
              <c:strCache>
                <c:ptCount val="1"/>
                <c:pt idx="0">
                  <c:v>Total payments rev % MS rev </c:v>
                </c:pt>
              </c:strCache>
            </c:strRef>
          </c:tx>
          <c:spPr>
            <a:ln w="19050" cap="rnd" cmpd="sng" algn="ctr">
              <a:solidFill>
                <a:schemeClr val="accent4"/>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strRef>
              <c:f>Charts!$CW$4:$DE$4</c:f>
              <c:strCache>
                <c:ptCount val="9"/>
                <c:pt idx="0">
                  <c:v>2019A</c:v>
                </c:pt>
                <c:pt idx="1">
                  <c:v>2020A</c:v>
                </c:pt>
                <c:pt idx="2">
                  <c:v>2021A</c:v>
                </c:pt>
                <c:pt idx="3">
                  <c:v>2022A</c:v>
                </c:pt>
                <c:pt idx="4">
                  <c:v>2023A</c:v>
                </c:pt>
                <c:pt idx="5">
                  <c:v>2024A</c:v>
                </c:pt>
                <c:pt idx="6">
                  <c:v>2025E</c:v>
                </c:pt>
                <c:pt idx="7">
                  <c:v>2026E</c:v>
                </c:pt>
                <c:pt idx="8">
                  <c:v>2027E</c:v>
                </c:pt>
              </c:strCache>
            </c:strRef>
          </c:cat>
          <c:val>
            <c:numRef>
              <c:f>Charts!$CW$27:$DE$27</c:f>
              <c:numCache>
                <c:formatCode>0.0%_);\(0.0%\);0.0%_);@_)</c:formatCode>
                <c:ptCount val="9"/>
                <c:pt idx="0">
                  <c:v>0.86999999999999988</c:v>
                </c:pt>
                <c:pt idx="1">
                  <c:v>0.84499999999999986</c:v>
                </c:pt>
                <c:pt idx="2">
                  <c:v>0.82</c:v>
                </c:pt>
                <c:pt idx="3">
                  <c:v>0.79799999999999993</c:v>
                </c:pt>
                <c:pt idx="4">
                  <c:v>0.79999999999999993</c:v>
                </c:pt>
                <c:pt idx="5">
                  <c:v>0.79540323124042855</c:v>
                </c:pt>
                <c:pt idx="6">
                  <c:v>#N/A</c:v>
                </c:pt>
                <c:pt idx="7">
                  <c:v>0.77021054958033952</c:v>
                </c:pt>
                <c:pt idx="8">
                  <c:v>0.75247038169740554</c:v>
                </c:pt>
              </c:numCache>
            </c:numRef>
          </c:val>
          <c:smooth val="1"/>
          <c:extLst>
            <c:ext xmlns:c16="http://schemas.microsoft.com/office/drawing/2014/chart" uri="{C3380CC4-5D6E-409C-BE32-E72D297353CC}">
              <c16:uniqueId val="{0000000B-C645-4748-9094-8C0C0FC1FCF1}"/>
            </c:ext>
          </c:extLst>
        </c:ser>
        <c:dLbls>
          <c:showLegendKey val="0"/>
          <c:showVal val="1"/>
          <c:showCatName val="0"/>
          <c:showSerName val="0"/>
          <c:showPercent val="0"/>
          <c:showBubbleSize val="0"/>
        </c:dLbls>
        <c:marker val="1"/>
        <c:smooth val="0"/>
        <c:axId val="200588160"/>
        <c:axId val="227166032"/>
      </c:lineChart>
      <c:catAx>
        <c:axId val="945418624"/>
        <c:scaling>
          <c:orientation val="minMax"/>
        </c:scaling>
        <c:delete val="0"/>
        <c:axPos val="b"/>
        <c:majorGridlines>
          <c:spPr>
            <a:ln w="3175" cap="sq" cmpd="sng" algn="ctr">
              <a:noFill/>
              <a:prstDash val="dot"/>
              <a:round/>
            </a:ln>
            <a:effectLst/>
          </c:spPr>
        </c:majorGridlines>
        <c:numFmt formatCode="General" sourceLinked="0"/>
        <c:majorTickMark val="out"/>
        <c:minorTickMark val="none"/>
        <c:tickLblPos val="nextTo"/>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rot="-6000000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945420160"/>
        <c:crosses val="autoZero"/>
        <c:auto val="1"/>
        <c:lblAlgn val="ctr"/>
        <c:lblOffset val="100"/>
        <c:noMultiLvlLbl val="0"/>
      </c:catAx>
      <c:valAx>
        <c:axId val="945420160"/>
        <c:scaling>
          <c:orientation val="minMax"/>
        </c:scaling>
        <c:delete val="0"/>
        <c:axPos val="l"/>
        <c:majorGridlines>
          <c:spPr>
            <a:ln w="3175" cap="sq" cmpd="sng" algn="ctr">
              <a:solidFill>
                <a:srgbClr val="C0C0C0"/>
              </a:solidFill>
              <a:prstDash val="dot"/>
              <a:round/>
            </a:ln>
            <a:effectLst/>
          </c:spPr>
        </c:majorGridlines>
        <c:numFmt formatCode="#,##0" sourceLinked="0"/>
        <c:majorTickMark val="out"/>
        <c:minorTickMark val="none"/>
        <c:tickLblPos val="none"/>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rot="-60000000" spcFirstLastPara="1" vertOverflow="ellipsis" vert="horz" wrap="square" anchor="ctr" anchorCtr="1"/>
          <a:lstStyle/>
          <a:p>
            <a:pPr>
              <a:defRPr sz="800" b="0" i="0" u="none" strike="noStrike" kern="1200" baseline="0">
                <a:noFill/>
                <a:latin typeface="Roboto" panose="02000000000000000000" pitchFamily="2" charset="0"/>
                <a:ea typeface="Roboto" panose="02000000000000000000" pitchFamily="2" charset="0"/>
                <a:cs typeface="Roboto" panose="02000000000000000000" pitchFamily="2" charset="0"/>
              </a:defRPr>
            </a:pPr>
            <a:endParaRPr lang="en-US"/>
          </a:p>
        </c:txPr>
        <c:crossAx val="945418624"/>
        <c:crosses val="autoZero"/>
        <c:crossBetween val="between"/>
      </c:valAx>
      <c:valAx>
        <c:axId val="227166032"/>
        <c:scaling>
          <c:orientation val="minMax"/>
          <c:min val="0.5"/>
        </c:scaling>
        <c:delete val="0"/>
        <c:axPos val="r"/>
        <c:numFmt formatCode="0.0%_);\(0.0%\);0.0%_);@_)" sourceLinked="1"/>
        <c:majorTickMark val="none"/>
        <c:minorTickMark val="none"/>
        <c:tickLblPos val="none"/>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200588160"/>
        <c:crosses val="max"/>
        <c:crossBetween val="between"/>
        <c:majorUnit val="2.5000000000000005E-2"/>
      </c:valAx>
      <c:catAx>
        <c:axId val="200588160"/>
        <c:scaling>
          <c:orientation val="minMax"/>
        </c:scaling>
        <c:delete val="1"/>
        <c:axPos val="t"/>
        <c:numFmt formatCode="General" sourceLinked="1"/>
        <c:majorTickMark val="none"/>
        <c:minorTickMark val="none"/>
        <c:tickLblPos val="nextTo"/>
        <c:crossAx val="227166032"/>
        <c:crosses val="max"/>
        <c:auto val="1"/>
        <c:lblAlgn val="ctr"/>
        <c:lblOffset val="100"/>
        <c:noMultiLvlLbl val="0"/>
      </c:catAx>
      <c:spPr>
        <a:noFill/>
        <a:ln>
          <a:noFill/>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a:noFill/>
              <a:round/>
            </a14:hiddenLine>
          </a:ext>
        </a:extLst>
      </c:spPr>
    </c:plotArea>
    <c:legend>
      <c:legendPos val="t"/>
      <c:layout>
        <c:manualLayout>
          <c:xMode val="edge"/>
          <c:yMode val="edge"/>
          <c:x val="7.7704398950131232E-2"/>
          <c:y val="0.33161762111711596"/>
          <c:w val="0.47416023157876969"/>
          <c:h val="0.18244651236777221"/>
        </c:manualLayout>
      </c:layout>
      <c:overlay val="1"/>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legend>
    <c:plotVisOnly val="1"/>
    <c:dispBlanksAs val="gap"/>
    <c:showDLblsOverMax val="0"/>
  </c:chart>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a:lstStyle/>
    <a:p>
      <a:pPr>
        <a:defRPr sz="800">
          <a:latin typeface="Roboto" panose="02000000000000000000" pitchFamily="2" charset="0"/>
          <a:ea typeface="Roboto" panose="02000000000000000000" pitchFamily="2" charset="0"/>
          <a:cs typeface="Roboto" panose="02000000000000000000" pitchFamily="2" charset="0"/>
        </a:defRPr>
      </a:pPr>
      <a:endParaRPr lang="en-US"/>
    </a:p>
  </c:txPr>
  <c:printSettings>
    <c:headerFooter/>
    <c:pageMargins b="0.75" l="0.7" r="0.7" t="0.75" header="0.3" footer="0.3"/>
    <c:pageSetup orientation="landscape"/>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2.9778761071378858E-2"/>
          <c:y val="5.678467065907207E-2"/>
          <c:w val="0.94044247785724233"/>
          <c:h val="0.8502949591715373"/>
        </c:manualLayout>
      </c:layout>
      <c:lineChart>
        <c:grouping val="standard"/>
        <c:varyColors val="0"/>
        <c:ser>
          <c:idx val="0"/>
          <c:order val="0"/>
          <c:tx>
            <c:strRef>
              <c:f>Charts!$CS$115</c:f>
              <c:strCache>
                <c:ptCount val="1"/>
                <c:pt idx="0">
                  <c:v>Merchant Count Ex-North America</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Charts!$CT$113:$DE$113</c:f>
              <c:numCache>
                <c:formatCode>General</c:formatCode>
                <c:ptCount val="12"/>
              </c:numCache>
            </c:numRef>
          </c:cat>
          <c:val>
            <c:numRef>
              <c:f>Charts!$CT$115:$DE$115</c:f>
              <c:numCache>
                <c:formatCode>0.0%_);\(0.0%\);0.0%_);@_)</c:formatCode>
                <c:ptCount val="12"/>
                <c:pt idx="7">
                  <c:v>0.45999999999999996</c:v>
                </c:pt>
                <c:pt idx="8">
                  <c:v>0.5</c:v>
                </c:pt>
                <c:pt idx="9">
                  <c:v>0.51</c:v>
                </c:pt>
                <c:pt idx="10">
                  <c:v>0.51500000000000001</c:v>
                </c:pt>
                <c:pt idx="11">
                  <c:v>0.52</c:v>
                </c:pt>
              </c:numCache>
            </c:numRef>
          </c:val>
          <c:smooth val="1"/>
          <c:extLst xmlns:c15="http://schemas.microsoft.com/office/drawing/2012/chart">
            <c:ext xmlns:c16="http://schemas.microsoft.com/office/drawing/2014/chart" uri="{C3380CC4-5D6E-409C-BE32-E72D297353CC}">
              <c16:uniqueId val="{00000000-DB54-440C-B2E7-7D06A4D3F66C}"/>
            </c:ext>
          </c:extLst>
        </c:ser>
        <c:ser>
          <c:idx val="1"/>
          <c:order val="1"/>
          <c:tx>
            <c:strRef>
              <c:f>Charts!$CS$116</c:f>
              <c:strCache>
                <c:ptCount val="1"/>
                <c:pt idx="0">
                  <c:v>Revenue Ex-North America</c:v>
                </c:pt>
              </c:strCache>
            </c:strRef>
          </c:tx>
          <c:spPr>
            <a:ln w="28575" cap="rnd">
              <a:solidFill>
                <a:schemeClr val="accent3"/>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Charts!$CT$113:$DE$113</c:f>
              <c:numCache>
                <c:formatCode>General</c:formatCode>
                <c:ptCount val="12"/>
              </c:numCache>
            </c:numRef>
          </c:cat>
          <c:val>
            <c:numRef>
              <c:f>Charts!$CT$116:$DE$116</c:f>
              <c:numCache>
                <c:formatCode>0.0%_);\(0.0%\);0.0%_);@_)</c:formatCode>
                <c:ptCount val="12"/>
                <c:pt idx="7">
                  <c:v>0.28654390934844187</c:v>
                </c:pt>
                <c:pt idx="8">
                  <c:v>0.30281531531531536</c:v>
                </c:pt>
                <c:pt idx="9">
                  <c:v>0.30953911026469771</c:v>
                </c:pt>
                <c:pt idx="10">
                  <c:v>0.32249134646944577</c:v>
                </c:pt>
                <c:pt idx="11">
                  <c:v>0.33354331390906411</c:v>
                </c:pt>
              </c:numCache>
            </c:numRef>
          </c:val>
          <c:smooth val="1"/>
          <c:extLst>
            <c:ext xmlns:c16="http://schemas.microsoft.com/office/drawing/2014/chart" uri="{C3380CC4-5D6E-409C-BE32-E72D297353CC}">
              <c16:uniqueId val="{00000001-DB54-440C-B2E7-7D06A4D3F66C}"/>
            </c:ext>
          </c:extLst>
        </c:ser>
        <c:dLbls>
          <c:showLegendKey val="0"/>
          <c:showVal val="0"/>
          <c:showCatName val="0"/>
          <c:showSerName val="0"/>
          <c:showPercent val="0"/>
          <c:showBubbleSize val="0"/>
        </c:dLbls>
        <c:smooth val="0"/>
        <c:axId val="1876331488"/>
        <c:axId val="1876330048"/>
        <c:extLst/>
      </c:lineChart>
      <c:catAx>
        <c:axId val="18763314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76330048"/>
        <c:crosses val="autoZero"/>
        <c:auto val="1"/>
        <c:lblAlgn val="ctr"/>
        <c:lblOffset val="100"/>
        <c:noMultiLvlLbl val="0"/>
      </c:catAx>
      <c:valAx>
        <c:axId val="1876330048"/>
        <c:scaling>
          <c:orientation val="minMax"/>
          <c:max val="0.70000000000000007"/>
        </c:scaling>
        <c:delete val="0"/>
        <c:axPos val="l"/>
        <c:numFmt formatCode="0.0%_);\(0.0%\);0.0%_);@_)"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76331488"/>
        <c:crosses val="autoZero"/>
        <c:crossBetween val="between"/>
      </c:valAx>
      <c:spPr>
        <a:noFill/>
        <a:ln>
          <a:noFill/>
        </a:ln>
        <a:effectLst/>
      </c:spPr>
    </c:plotArea>
    <c:legend>
      <c:legendPos val="b"/>
      <c:layout>
        <c:manualLayout>
          <c:xMode val="edge"/>
          <c:yMode val="edge"/>
          <c:x val="5.8121448317862374E-2"/>
          <c:y val="7.7548674462059736E-2"/>
          <c:w val="0.89999985078645128"/>
          <c:h val="8.6167994013424273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0"/>
          <c:order val="0"/>
          <c:tx>
            <c:strRef>
              <c:f>Charts!$E$33</c:f>
              <c:strCache>
                <c:ptCount val="1"/>
                <c:pt idx="0">
                  <c:v>Subscription Solutions Revenue</c:v>
                </c:pt>
              </c:strCache>
            </c:strRef>
          </c:tx>
          <c:spPr>
            <a:solidFill>
              <a:schemeClr val="accent1"/>
            </a:solidFill>
            <a:ln>
              <a:noFill/>
            </a:ln>
            <a:effectLst/>
          </c:spPr>
          <c:cat>
            <c:strRef>
              <c:f>Charts!$F$4:$BA$4</c:f>
              <c:strCache>
                <c:ptCount val="48"/>
                <c:pt idx="0">
                  <c:v>1Q16A</c:v>
                </c:pt>
                <c:pt idx="1">
                  <c:v>2Q16A</c:v>
                </c:pt>
                <c:pt idx="2">
                  <c:v>3Q16A</c:v>
                </c:pt>
                <c:pt idx="3">
                  <c:v>4Q16A</c:v>
                </c:pt>
                <c:pt idx="4">
                  <c:v>1Q17A</c:v>
                </c:pt>
                <c:pt idx="5">
                  <c:v>2Q17A</c:v>
                </c:pt>
                <c:pt idx="6">
                  <c:v>3Q17A</c:v>
                </c:pt>
                <c:pt idx="7">
                  <c:v>4Q17A</c:v>
                </c:pt>
                <c:pt idx="8">
                  <c:v>1Q18A</c:v>
                </c:pt>
                <c:pt idx="9">
                  <c:v>2Q18A</c:v>
                </c:pt>
                <c:pt idx="10">
                  <c:v>3Q18A</c:v>
                </c:pt>
                <c:pt idx="11">
                  <c:v>4Q18A</c:v>
                </c:pt>
                <c:pt idx="12">
                  <c:v>1Q19A</c:v>
                </c:pt>
                <c:pt idx="13">
                  <c:v>2Q19A</c:v>
                </c:pt>
                <c:pt idx="14">
                  <c:v>3Q19A</c:v>
                </c:pt>
                <c:pt idx="15">
                  <c:v>4Q19A</c:v>
                </c:pt>
                <c:pt idx="16">
                  <c:v>1Q20A</c:v>
                </c:pt>
                <c:pt idx="17">
                  <c:v>2Q20A</c:v>
                </c:pt>
                <c:pt idx="18">
                  <c:v>3Q20A</c:v>
                </c:pt>
                <c:pt idx="19">
                  <c:v>4Q20A</c:v>
                </c:pt>
                <c:pt idx="20">
                  <c:v>1Q21A</c:v>
                </c:pt>
                <c:pt idx="21">
                  <c:v>2Q21A</c:v>
                </c:pt>
                <c:pt idx="22">
                  <c:v>3Q21A</c:v>
                </c:pt>
                <c:pt idx="23">
                  <c:v>4Q21A</c:v>
                </c:pt>
                <c:pt idx="24">
                  <c:v>1Q22A</c:v>
                </c:pt>
                <c:pt idx="25">
                  <c:v>2Q22A</c:v>
                </c:pt>
                <c:pt idx="26">
                  <c:v>3Q22A</c:v>
                </c:pt>
                <c:pt idx="27">
                  <c:v>4Q22A</c:v>
                </c:pt>
                <c:pt idx="28">
                  <c:v>1Q23A</c:v>
                </c:pt>
                <c:pt idx="29">
                  <c:v>2Q23A</c:v>
                </c:pt>
                <c:pt idx="30">
                  <c:v>3Q23A</c:v>
                </c:pt>
                <c:pt idx="31">
                  <c:v>4Q23A</c:v>
                </c:pt>
                <c:pt idx="32">
                  <c:v>1Q24A</c:v>
                </c:pt>
                <c:pt idx="33">
                  <c:v>2Q24A</c:v>
                </c:pt>
                <c:pt idx="34">
                  <c:v>3Q24A</c:v>
                </c:pt>
                <c:pt idx="35">
                  <c:v>4Q24E</c:v>
                </c:pt>
                <c:pt idx="36">
                  <c:v>1Q25A</c:v>
                </c:pt>
                <c:pt idx="37">
                  <c:v>2Q25E</c:v>
                </c:pt>
                <c:pt idx="38">
                  <c:v>3Q25A</c:v>
                </c:pt>
                <c:pt idx="39">
                  <c:v>4Q25E</c:v>
                </c:pt>
                <c:pt idx="40">
                  <c:v>1Q26E</c:v>
                </c:pt>
                <c:pt idx="41">
                  <c:v>2Q26E</c:v>
                </c:pt>
                <c:pt idx="42">
                  <c:v>3Q26E</c:v>
                </c:pt>
                <c:pt idx="43">
                  <c:v>4Q26E</c:v>
                </c:pt>
                <c:pt idx="44">
                  <c:v>1Q27E</c:v>
                </c:pt>
                <c:pt idx="45">
                  <c:v>2Q27E</c:v>
                </c:pt>
                <c:pt idx="46">
                  <c:v>3Q27E</c:v>
                </c:pt>
                <c:pt idx="47">
                  <c:v>4Q27E</c:v>
                </c:pt>
              </c:strCache>
            </c:strRef>
          </c:cat>
          <c:val>
            <c:numRef>
              <c:f>Charts!$F$33:$BA$33</c:f>
              <c:numCache>
                <c:formatCode>#,##0_);\(#,##0\);#,##0_);@_)</c:formatCode>
                <c:ptCount val="48"/>
                <c:pt idx="0">
                  <c:v>38.706000000000003</c:v>
                </c:pt>
                <c:pt idx="1">
                  <c:v>43.673999999999999</c:v>
                </c:pt>
                <c:pt idx="2">
                  <c:v>49.838999999999999</c:v>
                </c:pt>
                <c:pt idx="3">
                  <c:v>56.387</c:v>
                </c:pt>
                <c:pt idx="4">
                  <c:v>62.08</c:v>
                </c:pt>
                <c:pt idx="5">
                  <c:v>71.597999999999999</c:v>
                </c:pt>
                <c:pt idx="6">
                  <c:v>82.435000000000002</c:v>
                </c:pt>
                <c:pt idx="7">
                  <c:v>93.918000000000006</c:v>
                </c:pt>
                <c:pt idx="8">
                  <c:v>100.19799999999999</c:v>
                </c:pt>
                <c:pt idx="9">
                  <c:v>110.721</c:v>
                </c:pt>
                <c:pt idx="10">
                  <c:v>120.517</c:v>
                </c:pt>
                <c:pt idx="11">
                  <c:v>133.56</c:v>
                </c:pt>
                <c:pt idx="12">
                  <c:v>140.45099999999999</c:v>
                </c:pt>
                <c:pt idx="13">
                  <c:v>153.047</c:v>
                </c:pt>
                <c:pt idx="14">
                  <c:v>165.577</c:v>
                </c:pt>
                <c:pt idx="15">
                  <c:v>183.166</c:v>
                </c:pt>
                <c:pt idx="16">
                  <c:v>187.60900000000001</c:v>
                </c:pt>
                <c:pt idx="17">
                  <c:v>196.434</c:v>
                </c:pt>
                <c:pt idx="18">
                  <c:v>245.274</c:v>
                </c:pt>
                <c:pt idx="19">
                  <c:v>279.44</c:v>
                </c:pt>
                <c:pt idx="20">
                  <c:v>320.68099999999998</c:v>
                </c:pt>
                <c:pt idx="21">
                  <c:v>334.23700000000002</c:v>
                </c:pt>
                <c:pt idx="22">
                  <c:v>336.20800000000003</c:v>
                </c:pt>
                <c:pt idx="23">
                  <c:v>351.20800000000003</c:v>
                </c:pt>
                <c:pt idx="24">
                  <c:v>344.76100000000002</c:v>
                </c:pt>
                <c:pt idx="25">
                  <c:v>366.44299999999998</c:v>
                </c:pt>
                <c:pt idx="26">
                  <c:v>376.30099999999999</c:v>
                </c:pt>
                <c:pt idx="27">
                  <c:v>400.25400000000002</c:v>
                </c:pt>
                <c:pt idx="28">
                  <c:v>382</c:v>
                </c:pt>
                <c:pt idx="29">
                  <c:v>444</c:v>
                </c:pt>
                <c:pt idx="30">
                  <c:v>486</c:v>
                </c:pt>
                <c:pt idx="31">
                  <c:v>525</c:v>
                </c:pt>
                <c:pt idx="32">
                  <c:v>511</c:v>
                </c:pt>
                <c:pt idx="33">
                  <c:v>563</c:v>
                </c:pt>
                <c:pt idx="34">
                  <c:v>610</c:v>
                </c:pt>
                <c:pt idx="35">
                  <c:v>666</c:v>
                </c:pt>
                <c:pt idx="36">
                  <c:v>620</c:v>
                </c:pt>
                <c:pt idx="37">
                  <c:v>656</c:v>
                </c:pt>
                <c:pt idx="38">
                  <c:v>699</c:v>
                </c:pt>
                <c:pt idx="39">
                  <c:v>777</c:v>
                </c:pt>
                <c:pt idx="40">
                  <c:v>750</c:v>
                </c:pt>
                <c:pt idx="41">
                  <c:v>802</c:v>
                </c:pt>
                <c:pt idx="42">
                  <c:v>860.61512704218728</c:v>
                </c:pt>
                <c:pt idx="43">
                  <c:v>935.33450172749986</c:v>
                </c:pt>
                <c:pt idx="44">
                  <c:v>898.83625293750015</c:v>
                </c:pt>
                <c:pt idx="45">
                  <c:v>965.84413021340015</c:v>
                </c:pt>
                <c:pt idx="46">
                  <c:v>1036.4340010306189</c:v>
                </c:pt>
                <c:pt idx="47">
                  <c:v>1126.4181275306501</c:v>
                </c:pt>
              </c:numCache>
            </c:numRef>
          </c:val>
          <c:extLst>
            <c:ext xmlns:c16="http://schemas.microsoft.com/office/drawing/2014/chart" uri="{C3380CC4-5D6E-409C-BE32-E72D297353CC}">
              <c16:uniqueId val="{00000000-72D0-4822-B13A-C35517BFD415}"/>
            </c:ext>
          </c:extLst>
        </c:ser>
        <c:ser>
          <c:idx val="1"/>
          <c:order val="1"/>
          <c:tx>
            <c:strRef>
              <c:f>Charts!$E$34</c:f>
              <c:strCache>
                <c:ptCount val="1"/>
                <c:pt idx="0">
                  <c:v>Merchant Solutions Revenue</c:v>
                </c:pt>
              </c:strCache>
            </c:strRef>
          </c:tx>
          <c:spPr>
            <a:solidFill>
              <a:schemeClr val="accent3"/>
            </a:solidFill>
            <a:ln>
              <a:noFill/>
            </a:ln>
            <a:effectLst/>
          </c:spPr>
          <c:cat>
            <c:strRef>
              <c:f>Charts!$F$4:$BA$4</c:f>
              <c:strCache>
                <c:ptCount val="48"/>
                <c:pt idx="0">
                  <c:v>1Q16A</c:v>
                </c:pt>
                <c:pt idx="1">
                  <c:v>2Q16A</c:v>
                </c:pt>
                <c:pt idx="2">
                  <c:v>3Q16A</c:v>
                </c:pt>
                <c:pt idx="3">
                  <c:v>4Q16A</c:v>
                </c:pt>
                <c:pt idx="4">
                  <c:v>1Q17A</c:v>
                </c:pt>
                <c:pt idx="5">
                  <c:v>2Q17A</c:v>
                </c:pt>
                <c:pt idx="6">
                  <c:v>3Q17A</c:v>
                </c:pt>
                <c:pt idx="7">
                  <c:v>4Q17A</c:v>
                </c:pt>
                <c:pt idx="8">
                  <c:v>1Q18A</c:v>
                </c:pt>
                <c:pt idx="9">
                  <c:v>2Q18A</c:v>
                </c:pt>
                <c:pt idx="10">
                  <c:v>3Q18A</c:v>
                </c:pt>
                <c:pt idx="11">
                  <c:v>4Q18A</c:v>
                </c:pt>
                <c:pt idx="12">
                  <c:v>1Q19A</c:v>
                </c:pt>
                <c:pt idx="13">
                  <c:v>2Q19A</c:v>
                </c:pt>
                <c:pt idx="14">
                  <c:v>3Q19A</c:v>
                </c:pt>
                <c:pt idx="15">
                  <c:v>4Q19A</c:v>
                </c:pt>
                <c:pt idx="16">
                  <c:v>1Q20A</c:v>
                </c:pt>
                <c:pt idx="17">
                  <c:v>2Q20A</c:v>
                </c:pt>
                <c:pt idx="18">
                  <c:v>3Q20A</c:v>
                </c:pt>
                <c:pt idx="19">
                  <c:v>4Q20A</c:v>
                </c:pt>
                <c:pt idx="20">
                  <c:v>1Q21A</c:v>
                </c:pt>
                <c:pt idx="21">
                  <c:v>2Q21A</c:v>
                </c:pt>
                <c:pt idx="22">
                  <c:v>3Q21A</c:v>
                </c:pt>
                <c:pt idx="23">
                  <c:v>4Q21A</c:v>
                </c:pt>
                <c:pt idx="24">
                  <c:v>1Q22A</c:v>
                </c:pt>
                <c:pt idx="25">
                  <c:v>2Q22A</c:v>
                </c:pt>
                <c:pt idx="26">
                  <c:v>3Q22A</c:v>
                </c:pt>
                <c:pt idx="27">
                  <c:v>4Q22A</c:v>
                </c:pt>
                <c:pt idx="28">
                  <c:v>1Q23A</c:v>
                </c:pt>
                <c:pt idx="29">
                  <c:v>2Q23A</c:v>
                </c:pt>
                <c:pt idx="30">
                  <c:v>3Q23A</c:v>
                </c:pt>
                <c:pt idx="31">
                  <c:v>4Q23A</c:v>
                </c:pt>
                <c:pt idx="32">
                  <c:v>1Q24A</c:v>
                </c:pt>
                <c:pt idx="33">
                  <c:v>2Q24A</c:v>
                </c:pt>
                <c:pt idx="34">
                  <c:v>3Q24A</c:v>
                </c:pt>
                <c:pt idx="35">
                  <c:v>4Q24E</c:v>
                </c:pt>
                <c:pt idx="36">
                  <c:v>1Q25A</c:v>
                </c:pt>
                <c:pt idx="37">
                  <c:v>2Q25E</c:v>
                </c:pt>
                <c:pt idx="38">
                  <c:v>3Q25A</c:v>
                </c:pt>
                <c:pt idx="39">
                  <c:v>4Q25E</c:v>
                </c:pt>
                <c:pt idx="40">
                  <c:v>1Q26E</c:v>
                </c:pt>
                <c:pt idx="41">
                  <c:v>2Q26E</c:v>
                </c:pt>
                <c:pt idx="42">
                  <c:v>3Q26E</c:v>
                </c:pt>
                <c:pt idx="43">
                  <c:v>4Q26E</c:v>
                </c:pt>
                <c:pt idx="44">
                  <c:v>1Q27E</c:v>
                </c:pt>
                <c:pt idx="45">
                  <c:v>2Q27E</c:v>
                </c:pt>
                <c:pt idx="46">
                  <c:v>3Q27E</c:v>
                </c:pt>
                <c:pt idx="47">
                  <c:v>4Q27E</c:v>
                </c:pt>
              </c:strCache>
            </c:strRef>
          </c:cat>
          <c:val>
            <c:numRef>
              <c:f>Charts!$F$34:$BA$34</c:f>
              <c:numCache>
                <c:formatCode>#,##0_);\(#,##0\);#,##0_);@_)</c:formatCode>
                <c:ptCount val="48"/>
                <c:pt idx="0">
                  <c:v>34.015999999999998</c:v>
                </c:pt>
                <c:pt idx="1">
                  <c:v>42.972999999999999</c:v>
                </c:pt>
                <c:pt idx="2">
                  <c:v>49.738999999999997</c:v>
                </c:pt>
                <c:pt idx="3">
                  <c:v>73.995999999999995</c:v>
                </c:pt>
                <c:pt idx="4">
                  <c:v>65.299000000000007</c:v>
                </c:pt>
                <c:pt idx="5">
                  <c:v>80.057000000000002</c:v>
                </c:pt>
                <c:pt idx="6">
                  <c:v>89.021000000000001</c:v>
                </c:pt>
                <c:pt idx="7">
                  <c:v>128.89599999999999</c:v>
                </c:pt>
                <c:pt idx="8">
                  <c:v>114.142</c:v>
                </c:pt>
                <c:pt idx="9">
                  <c:v>134.24199999999999</c:v>
                </c:pt>
                <c:pt idx="10">
                  <c:v>149.547</c:v>
                </c:pt>
                <c:pt idx="11">
                  <c:v>210.30199999999999</c:v>
                </c:pt>
                <c:pt idx="12">
                  <c:v>180.03100000000001</c:v>
                </c:pt>
                <c:pt idx="13">
                  <c:v>208.93199999999999</c:v>
                </c:pt>
                <c:pt idx="14">
                  <c:v>224.97499999999999</c:v>
                </c:pt>
                <c:pt idx="15">
                  <c:v>321.99400000000003</c:v>
                </c:pt>
                <c:pt idx="16">
                  <c:v>282.392</c:v>
                </c:pt>
                <c:pt idx="17">
                  <c:v>517.90700000000004</c:v>
                </c:pt>
                <c:pt idx="18">
                  <c:v>522.13099999999997</c:v>
                </c:pt>
                <c:pt idx="19">
                  <c:v>698.30399999999997</c:v>
                </c:pt>
                <c:pt idx="20">
                  <c:v>667.96600000000001</c:v>
                </c:pt>
                <c:pt idx="21">
                  <c:v>785.20799999999997</c:v>
                </c:pt>
                <c:pt idx="22">
                  <c:v>787.53200000000004</c:v>
                </c:pt>
                <c:pt idx="23">
                  <c:v>1028.816</c:v>
                </c:pt>
                <c:pt idx="24">
                  <c:v>858.86199999999997</c:v>
                </c:pt>
                <c:pt idx="25">
                  <c:v>928.62</c:v>
                </c:pt>
                <c:pt idx="26">
                  <c:v>989.899</c:v>
                </c:pt>
                <c:pt idx="27">
                  <c:v>1334.7239999999999</c:v>
                </c:pt>
                <c:pt idx="28">
                  <c:v>1126</c:v>
                </c:pt>
                <c:pt idx="29">
                  <c:v>1250</c:v>
                </c:pt>
                <c:pt idx="30">
                  <c:v>1228</c:v>
                </c:pt>
                <c:pt idx="31">
                  <c:v>1619</c:v>
                </c:pt>
                <c:pt idx="32">
                  <c:v>1350</c:v>
                </c:pt>
                <c:pt idx="33">
                  <c:v>1482</c:v>
                </c:pt>
                <c:pt idx="34">
                  <c:v>1552</c:v>
                </c:pt>
                <c:pt idx="35">
                  <c:v>2146</c:v>
                </c:pt>
                <c:pt idx="36">
                  <c:v>1740</c:v>
                </c:pt>
                <c:pt idx="37">
                  <c:v>2024</c:v>
                </c:pt>
                <c:pt idx="38">
                  <c:v>2145</c:v>
                </c:pt>
                <c:pt idx="39">
                  <c:v>2895</c:v>
                </c:pt>
                <c:pt idx="40">
                  <c:v>2420</c:v>
                </c:pt>
                <c:pt idx="41">
                  <c:v>2781</c:v>
                </c:pt>
                <c:pt idx="42">
                  <c:v>2848.3084500000004</c:v>
                </c:pt>
                <c:pt idx="43">
                  <c:v>3814.4274450000003</c:v>
                </c:pt>
                <c:pt idx="44">
                  <c:v>3136.2853120000004</c:v>
                </c:pt>
                <c:pt idx="45">
                  <c:v>3575.9010270000003</c:v>
                </c:pt>
                <c:pt idx="46">
                  <c:v>3605.2419000000004</c:v>
                </c:pt>
                <c:pt idx="47">
                  <c:v>4789.3188508800004</c:v>
                </c:pt>
              </c:numCache>
            </c:numRef>
          </c:val>
          <c:extLst>
            <c:ext xmlns:c16="http://schemas.microsoft.com/office/drawing/2014/chart" uri="{C3380CC4-5D6E-409C-BE32-E72D297353CC}">
              <c16:uniqueId val="{00000001-72D0-4822-B13A-C35517BFD415}"/>
            </c:ext>
          </c:extLst>
        </c:ser>
        <c:dLbls>
          <c:showLegendKey val="0"/>
          <c:showVal val="0"/>
          <c:showCatName val="0"/>
          <c:showSerName val="0"/>
          <c:showPercent val="0"/>
          <c:showBubbleSize val="0"/>
        </c:dLbls>
        <c:axId val="1782257007"/>
        <c:axId val="1782254127"/>
        <c:extLst>
          <c:ext xmlns:c15="http://schemas.microsoft.com/office/drawing/2012/chart" uri="{02D57815-91ED-43cb-92C2-25804820EDAC}">
            <c15:filteredAreaSeries>
              <c15:ser>
                <c:idx val="2"/>
                <c:order val="2"/>
                <c:tx>
                  <c:strRef>
                    <c:extLst>
                      <c:ext uri="{02D57815-91ED-43cb-92C2-25804820EDAC}">
                        <c15:formulaRef>
                          <c15:sqref>Charts!$E$35</c15:sqref>
                        </c15:formulaRef>
                      </c:ext>
                    </c:extLst>
                    <c:strCache>
                      <c:ptCount val="1"/>
                      <c:pt idx="0">
                        <c:v>Total Revenue</c:v>
                      </c:pt>
                    </c:strCache>
                  </c:strRef>
                </c:tx>
                <c:spPr>
                  <a:solidFill>
                    <a:schemeClr val="accent5"/>
                  </a:solidFill>
                  <a:ln>
                    <a:noFill/>
                  </a:ln>
                  <a:effectLst/>
                </c:spPr>
                <c:cat>
                  <c:strRef>
                    <c:extLst>
                      <c:ext uri="{02D57815-91ED-43cb-92C2-25804820EDAC}">
                        <c15:formulaRef>
                          <c15:sqref>Charts!$F$4:$BA$4</c15:sqref>
                        </c15:formulaRef>
                      </c:ext>
                    </c:extLst>
                    <c:strCache>
                      <c:ptCount val="48"/>
                      <c:pt idx="0">
                        <c:v>1Q16A</c:v>
                      </c:pt>
                      <c:pt idx="1">
                        <c:v>2Q16A</c:v>
                      </c:pt>
                      <c:pt idx="2">
                        <c:v>3Q16A</c:v>
                      </c:pt>
                      <c:pt idx="3">
                        <c:v>4Q16A</c:v>
                      </c:pt>
                      <c:pt idx="4">
                        <c:v>1Q17A</c:v>
                      </c:pt>
                      <c:pt idx="5">
                        <c:v>2Q17A</c:v>
                      </c:pt>
                      <c:pt idx="6">
                        <c:v>3Q17A</c:v>
                      </c:pt>
                      <c:pt idx="7">
                        <c:v>4Q17A</c:v>
                      </c:pt>
                      <c:pt idx="8">
                        <c:v>1Q18A</c:v>
                      </c:pt>
                      <c:pt idx="9">
                        <c:v>2Q18A</c:v>
                      </c:pt>
                      <c:pt idx="10">
                        <c:v>3Q18A</c:v>
                      </c:pt>
                      <c:pt idx="11">
                        <c:v>4Q18A</c:v>
                      </c:pt>
                      <c:pt idx="12">
                        <c:v>1Q19A</c:v>
                      </c:pt>
                      <c:pt idx="13">
                        <c:v>2Q19A</c:v>
                      </c:pt>
                      <c:pt idx="14">
                        <c:v>3Q19A</c:v>
                      </c:pt>
                      <c:pt idx="15">
                        <c:v>4Q19A</c:v>
                      </c:pt>
                      <c:pt idx="16">
                        <c:v>1Q20A</c:v>
                      </c:pt>
                      <c:pt idx="17">
                        <c:v>2Q20A</c:v>
                      </c:pt>
                      <c:pt idx="18">
                        <c:v>3Q20A</c:v>
                      </c:pt>
                      <c:pt idx="19">
                        <c:v>4Q20A</c:v>
                      </c:pt>
                      <c:pt idx="20">
                        <c:v>1Q21A</c:v>
                      </c:pt>
                      <c:pt idx="21">
                        <c:v>2Q21A</c:v>
                      </c:pt>
                      <c:pt idx="22">
                        <c:v>3Q21A</c:v>
                      </c:pt>
                      <c:pt idx="23">
                        <c:v>4Q21A</c:v>
                      </c:pt>
                      <c:pt idx="24">
                        <c:v>1Q22A</c:v>
                      </c:pt>
                      <c:pt idx="25">
                        <c:v>2Q22A</c:v>
                      </c:pt>
                      <c:pt idx="26">
                        <c:v>3Q22A</c:v>
                      </c:pt>
                      <c:pt idx="27">
                        <c:v>4Q22A</c:v>
                      </c:pt>
                      <c:pt idx="28">
                        <c:v>1Q23A</c:v>
                      </c:pt>
                      <c:pt idx="29">
                        <c:v>2Q23A</c:v>
                      </c:pt>
                      <c:pt idx="30">
                        <c:v>3Q23A</c:v>
                      </c:pt>
                      <c:pt idx="31">
                        <c:v>4Q23A</c:v>
                      </c:pt>
                      <c:pt idx="32">
                        <c:v>1Q24A</c:v>
                      </c:pt>
                      <c:pt idx="33">
                        <c:v>2Q24A</c:v>
                      </c:pt>
                      <c:pt idx="34">
                        <c:v>3Q24A</c:v>
                      </c:pt>
                      <c:pt idx="35">
                        <c:v>4Q24E</c:v>
                      </c:pt>
                      <c:pt idx="36">
                        <c:v>1Q25A</c:v>
                      </c:pt>
                      <c:pt idx="37">
                        <c:v>2Q25E</c:v>
                      </c:pt>
                      <c:pt idx="38">
                        <c:v>3Q25A</c:v>
                      </c:pt>
                      <c:pt idx="39">
                        <c:v>4Q25E</c:v>
                      </c:pt>
                      <c:pt idx="40">
                        <c:v>1Q26E</c:v>
                      </c:pt>
                      <c:pt idx="41">
                        <c:v>2Q26E</c:v>
                      </c:pt>
                      <c:pt idx="42">
                        <c:v>3Q26E</c:v>
                      </c:pt>
                      <c:pt idx="43">
                        <c:v>4Q26E</c:v>
                      </c:pt>
                      <c:pt idx="44">
                        <c:v>1Q27E</c:v>
                      </c:pt>
                      <c:pt idx="45">
                        <c:v>2Q27E</c:v>
                      </c:pt>
                      <c:pt idx="46">
                        <c:v>3Q27E</c:v>
                      </c:pt>
                      <c:pt idx="47">
                        <c:v>4Q27E</c:v>
                      </c:pt>
                    </c:strCache>
                  </c:strRef>
                </c:cat>
                <c:val>
                  <c:numRef>
                    <c:extLst>
                      <c:ext uri="{02D57815-91ED-43cb-92C2-25804820EDAC}">
                        <c15:formulaRef>
                          <c15:sqref>Charts!$F$35:$BA$35</c15:sqref>
                        </c15:formulaRef>
                      </c:ext>
                    </c:extLst>
                    <c:numCache>
                      <c:formatCode>#,##0_);\(#,##0\);#,##0_);@_)</c:formatCode>
                      <c:ptCount val="48"/>
                      <c:pt idx="0">
                        <c:v>72.722000000000008</c:v>
                      </c:pt>
                      <c:pt idx="1">
                        <c:v>86.646999999999991</c:v>
                      </c:pt>
                      <c:pt idx="2">
                        <c:v>99.578000000000003</c:v>
                      </c:pt>
                      <c:pt idx="3">
                        <c:v>130.38299999999998</c:v>
                      </c:pt>
                      <c:pt idx="4">
                        <c:v>127.379</c:v>
                      </c:pt>
                      <c:pt idx="5">
                        <c:v>151.655</c:v>
                      </c:pt>
                      <c:pt idx="6">
                        <c:v>171.45600000000002</c:v>
                      </c:pt>
                      <c:pt idx="7">
                        <c:v>222.81399999999999</c:v>
                      </c:pt>
                      <c:pt idx="8">
                        <c:v>214.33999999999997</c:v>
                      </c:pt>
                      <c:pt idx="9">
                        <c:v>244.96299999999999</c:v>
                      </c:pt>
                      <c:pt idx="10">
                        <c:v>270.06399999999996</c:v>
                      </c:pt>
                      <c:pt idx="11">
                        <c:v>343.86199999999997</c:v>
                      </c:pt>
                      <c:pt idx="12">
                        <c:v>320.48199999999997</c:v>
                      </c:pt>
                      <c:pt idx="13">
                        <c:v>361.97899999999998</c:v>
                      </c:pt>
                      <c:pt idx="14">
                        <c:v>390.55200000000002</c:v>
                      </c:pt>
                      <c:pt idx="15">
                        <c:v>505.16</c:v>
                      </c:pt>
                      <c:pt idx="16">
                        <c:v>470.00099999999998</c:v>
                      </c:pt>
                      <c:pt idx="17">
                        <c:v>714.34100000000001</c:v>
                      </c:pt>
                      <c:pt idx="18">
                        <c:v>767.40499999999997</c:v>
                      </c:pt>
                      <c:pt idx="19">
                        <c:v>977.74399999999991</c:v>
                      </c:pt>
                      <c:pt idx="20">
                        <c:v>988.64699999999993</c:v>
                      </c:pt>
                      <c:pt idx="21">
                        <c:v>1119.4449999999999</c:v>
                      </c:pt>
                      <c:pt idx="22">
                        <c:v>1123.74</c:v>
                      </c:pt>
                      <c:pt idx="23">
                        <c:v>1380.0240000000001</c:v>
                      </c:pt>
                      <c:pt idx="24">
                        <c:v>1203.623</c:v>
                      </c:pt>
                      <c:pt idx="25">
                        <c:v>1295.0630000000001</c:v>
                      </c:pt>
                      <c:pt idx="26">
                        <c:v>1366.2</c:v>
                      </c:pt>
                      <c:pt idx="27">
                        <c:v>1734.9780000000001</c:v>
                      </c:pt>
                      <c:pt idx="28">
                        <c:v>1508</c:v>
                      </c:pt>
                      <c:pt idx="29">
                        <c:v>1694</c:v>
                      </c:pt>
                      <c:pt idx="30">
                        <c:v>1714</c:v>
                      </c:pt>
                      <c:pt idx="31">
                        <c:v>2144</c:v>
                      </c:pt>
                      <c:pt idx="32">
                        <c:v>1861</c:v>
                      </c:pt>
                      <c:pt idx="33">
                        <c:v>2045</c:v>
                      </c:pt>
                      <c:pt idx="34">
                        <c:v>2162</c:v>
                      </c:pt>
                      <c:pt idx="35">
                        <c:v>2812</c:v>
                      </c:pt>
                      <c:pt idx="36">
                        <c:v>2360</c:v>
                      </c:pt>
                      <c:pt idx="37">
                        <c:v>2680</c:v>
                      </c:pt>
                      <c:pt idx="38">
                        <c:v>2844</c:v>
                      </c:pt>
                      <c:pt idx="39">
                        <c:v>3672</c:v>
                      </c:pt>
                      <c:pt idx="40">
                        <c:v>3170</c:v>
                      </c:pt>
                      <c:pt idx="41">
                        <c:v>3583</c:v>
                      </c:pt>
                      <c:pt idx="42">
                        <c:v>3708.9235770421878</c:v>
                      </c:pt>
                      <c:pt idx="43">
                        <c:v>4749.7619467274999</c:v>
                      </c:pt>
                      <c:pt idx="44">
                        <c:v>4035.1215649375008</c:v>
                      </c:pt>
                      <c:pt idx="45">
                        <c:v>4541.7451572134005</c:v>
                      </c:pt>
                      <c:pt idx="46">
                        <c:v>4641.6759010306196</c:v>
                      </c:pt>
                      <c:pt idx="47">
                        <c:v>5915.7369784106504</c:v>
                      </c:pt>
                    </c:numCache>
                  </c:numRef>
                </c:val>
                <c:extLst>
                  <c:ext xmlns:c16="http://schemas.microsoft.com/office/drawing/2014/chart" uri="{C3380CC4-5D6E-409C-BE32-E72D297353CC}">
                    <c16:uniqueId val="{00000002-72D0-4822-B13A-C35517BFD415}"/>
                  </c:ext>
                </c:extLst>
              </c15:ser>
            </c15:filteredAreaSeries>
          </c:ext>
        </c:extLst>
      </c:areaChart>
      <c:catAx>
        <c:axId val="1782257007"/>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2254127"/>
        <c:crosses val="autoZero"/>
        <c:auto val="1"/>
        <c:lblAlgn val="ctr"/>
        <c:lblOffset val="100"/>
        <c:noMultiLvlLbl val="0"/>
      </c:catAx>
      <c:valAx>
        <c:axId val="1782254127"/>
        <c:scaling>
          <c:orientation val="minMax"/>
        </c:scaling>
        <c:delete val="0"/>
        <c:axPos val="l"/>
        <c:majorGridlines>
          <c:spPr>
            <a:ln w="9525" cap="flat" cmpd="sng" algn="ctr">
              <a:solidFill>
                <a:schemeClr val="tx1">
                  <a:lumMod val="15000"/>
                  <a:lumOff val="85000"/>
                </a:schemeClr>
              </a:solidFill>
              <a:round/>
            </a:ln>
            <a:effectLst/>
          </c:spPr>
        </c:majorGridlines>
        <c:numFmt formatCode="#,##0_);\(#,##0\);#,##0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2257007"/>
        <c:crosses val="autoZero"/>
        <c:crossBetween val="midCat"/>
      </c:valAx>
      <c:spPr>
        <a:noFill/>
        <a:ln>
          <a:noFill/>
        </a:ln>
        <a:effectLst/>
      </c:spPr>
    </c:plotArea>
    <c:legend>
      <c:legendPos val="b"/>
      <c:layout>
        <c:manualLayout>
          <c:xMode val="edge"/>
          <c:yMode val="edge"/>
          <c:x val="0.14615625676402624"/>
          <c:y val="5.4792717144592815E-2"/>
          <c:w val="0.44867234843043885"/>
          <c:h val="0.2754259937474919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0"/>
          <c:order val="0"/>
          <c:tx>
            <c:strRef>
              <c:f>Charts!$CS$33</c:f>
              <c:strCache>
                <c:ptCount val="1"/>
                <c:pt idx="0">
                  <c:v>Subscription Solutions Revenue</c:v>
                </c:pt>
              </c:strCache>
            </c:strRef>
          </c:tx>
          <c:spPr>
            <a:solidFill>
              <a:schemeClr val="accent1"/>
            </a:solidFill>
            <a:ln>
              <a:noFill/>
            </a:ln>
            <a:effectLst/>
          </c:spPr>
          <c:cat>
            <c:strRef>
              <c:f>Charts!$CT$4:$DE$4</c:f>
              <c:strCache>
                <c:ptCount val="12"/>
                <c:pt idx="0">
                  <c:v>2016A</c:v>
                </c:pt>
                <c:pt idx="1">
                  <c:v>2017A</c:v>
                </c:pt>
                <c:pt idx="2">
                  <c:v>2018A</c:v>
                </c:pt>
                <c:pt idx="3">
                  <c:v>2019A</c:v>
                </c:pt>
                <c:pt idx="4">
                  <c:v>2020A</c:v>
                </c:pt>
                <c:pt idx="5">
                  <c:v>2021A</c:v>
                </c:pt>
                <c:pt idx="6">
                  <c:v>2022A</c:v>
                </c:pt>
                <c:pt idx="7">
                  <c:v>2023A</c:v>
                </c:pt>
                <c:pt idx="8">
                  <c:v>2024A</c:v>
                </c:pt>
                <c:pt idx="9">
                  <c:v>2025E</c:v>
                </c:pt>
                <c:pt idx="10">
                  <c:v>2026E</c:v>
                </c:pt>
                <c:pt idx="11">
                  <c:v>2027E</c:v>
                </c:pt>
              </c:strCache>
            </c:strRef>
          </c:cat>
          <c:val>
            <c:numRef>
              <c:f>Charts!$CT$33:$DE$33</c:f>
              <c:numCache>
                <c:formatCode>"$"#,##0.0,"B"_);\("$"#,##0.0"B"\);"$"#,##0.00_);@_)</c:formatCode>
                <c:ptCount val="12"/>
                <c:pt idx="0">
                  <c:v>188.60599999999999</c:v>
                </c:pt>
                <c:pt idx="1">
                  <c:v>310.03100000000001</c:v>
                </c:pt>
                <c:pt idx="2">
                  <c:v>464.99599999999998</c:v>
                </c:pt>
                <c:pt idx="3">
                  <c:v>642.24099999999999</c:v>
                </c:pt>
                <c:pt idx="4">
                  <c:v>908.75700000000006</c:v>
                </c:pt>
                <c:pt idx="5">
                  <c:v>1342.3340000000001</c:v>
                </c:pt>
                <c:pt idx="6">
                  <c:v>1487.759</c:v>
                </c:pt>
                <c:pt idx="7">
                  <c:v>1837</c:v>
                </c:pt>
                <c:pt idx="8">
                  <c:v>2350</c:v>
                </c:pt>
                <c:pt idx="9">
                  <c:v>2752</c:v>
                </c:pt>
                <c:pt idx="10">
                  <c:v>3347.9496287696875</c:v>
                </c:pt>
                <c:pt idx="11">
                  <c:v>4027.5325117121693</c:v>
                </c:pt>
              </c:numCache>
            </c:numRef>
          </c:val>
          <c:extLst>
            <c:ext xmlns:c16="http://schemas.microsoft.com/office/drawing/2014/chart" uri="{C3380CC4-5D6E-409C-BE32-E72D297353CC}">
              <c16:uniqueId val="{00000000-75A2-4985-AAEC-0FCED4DC1610}"/>
            </c:ext>
          </c:extLst>
        </c:ser>
        <c:ser>
          <c:idx val="1"/>
          <c:order val="1"/>
          <c:tx>
            <c:strRef>
              <c:f>Charts!$CS$34</c:f>
              <c:strCache>
                <c:ptCount val="1"/>
                <c:pt idx="0">
                  <c:v>Merchant Solutions Revenue</c:v>
                </c:pt>
              </c:strCache>
            </c:strRef>
          </c:tx>
          <c:spPr>
            <a:solidFill>
              <a:schemeClr val="accent3"/>
            </a:solidFill>
            <a:ln>
              <a:noFill/>
            </a:ln>
            <a:effectLst/>
          </c:spPr>
          <c:cat>
            <c:strRef>
              <c:f>Charts!$CT$4:$DE$4</c:f>
              <c:strCache>
                <c:ptCount val="12"/>
                <c:pt idx="0">
                  <c:v>2016A</c:v>
                </c:pt>
                <c:pt idx="1">
                  <c:v>2017A</c:v>
                </c:pt>
                <c:pt idx="2">
                  <c:v>2018A</c:v>
                </c:pt>
                <c:pt idx="3">
                  <c:v>2019A</c:v>
                </c:pt>
                <c:pt idx="4">
                  <c:v>2020A</c:v>
                </c:pt>
                <c:pt idx="5">
                  <c:v>2021A</c:v>
                </c:pt>
                <c:pt idx="6">
                  <c:v>2022A</c:v>
                </c:pt>
                <c:pt idx="7">
                  <c:v>2023A</c:v>
                </c:pt>
                <c:pt idx="8">
                  <c:v>2024A</c:v>
                </c:pt>
                <c:pt idx="9">
                  <c:v>2025E</c:v>
                </c:pt>
                <c:pt idx="10">
                  <c:v>2026E</c:v>
                </c:pt>
                <c:pt idx="11">
                  <c:v>2027E</c:v>
                </c:pt>
              </c:strCache>
            </c:strRef>
          </c:cat>
          <c:val>
            <c:numRef>
              <c:f>Charts!$CT$34:$DE$34</c:f>
              <c:numCache>
                <c:formatCode>"$"#,##0.0,"B"_);\("$"#,##0.0"B"\);"$"#,##0.00_);@_)</c:formatCode>
                <c:ptCount val="12"/>
                <c:pt idx="0">
                  <c:v>200.72399999999999</c:v>
                </c:pt>
                <c:pt idx="1">
                  <c:v>363.27300000000002</c:v>
                </c:pt>
                <c:pt idx="2">
                  <c:v>608.23299999999995</c:v>
                </c:pt>
                <c:pt idx="3">
                  <c:v>935.93200000000002</c:v>
                </c:pt>
                <c:pt idx="4">
                  <c:v>2020.7339999999999</c:v>
                </c:pt>
                <c:pt idx="5">
                  <c:v>3269.5219999999999</c:v>
                </c:pt>
                <c:pt idx="6">
                  <c:v>4112.1049999999996</c:v>
                </c:pt>
                <c:pt idx="7">
                  <c:v>5223</c:v>
                </c:pt>
                <c:pt idx="8">
                  <c:v>6530</c:v>
                </c:pt>
                <c:pt idx="9">
                  <c:v>8804</c:v>
                </c:pt>
                <c:pt idx="10">
                  <c:v>11863.735895000002</c:v>
                </c:pt>
                <c:pt idx="11">
                  <c:v>15106.747089880002</c:v>
                </c:pt>
              </c:numCache>
            </c:numRef>
          </c:val>
          <c:extLst>
            <c:ext xmlns:c16="http://schemas.microsoft.com/office/drawing/2014/chart" uri="{C3380CC4-5D6E-409C-BE32-E72D297353CC}">
              <c16:uniqueId val="{00000001-75A2-4985-AAEC-0FCED4DC1610}"/>
            </c:ext>
          </c:extLst>
        </c:ser>
        <c:dLbls>
          <c:showLegendKey val="0"/>
          <c:showVal val="0"/>
          <c:showCatName val="0"/>
          <c:showSerName val="0"/>
          <c:showPercent val="0"/>
          <c:showBubbleSize val="0"/>
        </c:dLbls>
        <c:axId val="1806290255"/>
        <c:axId val="1806285935"/>
      </c:areaChart>
      <c:lineChart>
        <c:grouping val="standard"/>
        <c:varyColors val="0"/>
        <c:ser>
          <c:idx val="2"/>
          <c:order val="2"/>
          <c:tx>
            <c:strRef>
              <c:f>Charts!$CS$35</c:f>
              <c:strCache>
                <c:ptCount val="1"/>
                <c:pt idx="0">
                  <c:v>Total Revenue</c:v>
                </c:pt>
              </c:strCache>
            </c:strRef>
          </c:tx>
          <c:spPr>
            <a:ln w="28575" cap="rnd">
              <a:no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Charts!$CT$4:$DE$4</c:f>
              <c:strCache>
                <c:ptCount val="12"/>
                <c:pt idx="0">
                  <c:v>2016A</c:v>
                </c:pt>
                <c:pt idx="1">
                  <c:v>2017A</c:v>
                </c:pt>
                <c:pt idx="2">
                  <c:v>2018A</c:v>
                </c:pt>
                <c:pt idx="3">
                  <c:v>2019A</c:v>
                </c:pt>
                <c:pt idx="4">
                  <c:v>2020A</c:v>
                </c:pt>
                <c:pt idx="5">
                  <c:v>2021A</c:v>
                </c:pt>
                <c:pt idx="6">
                  <c:v>2022A</c:v>
                </c:pt>
                <c:pt idx="7">
                  <c:v>2023A</c:v>
                </c:pt>
                <c:pt idx="8">
                  <c:v>2024A</c:v>
                </c:pt>
                <c:pt idx="9">
                  <c:v>2025E</c:v>
                </c:pt>
                <c:pt idx="10">
                  <c:v>2026E</c:v>
                </c:pt>
                <c:pt idx="11">
                  <c:v>2027E</c:v>
                </c:pt>
              </c:strCache>
            </c:strRef>
          </c:cat>
          <c:val>
            <c:numRef>
              <c:f>Charts!$CT$35:$DE$35</c:f>
              <c:numCache>
                <c:formatCode>"$"#,##0.0,"B"_);\("$"#,##0.0"B"\);"$"#,##0.00_);@_)</c:formatCode>
                <c:ptCount val="12"/>
                <c:pt idx="0">
                  <c:v>389.33</c:v>
                </c:pt>
                <c:pt idx="1">
                  <c:v>673.30399999999997</c:v>
                </c:pt>
                <c:pt idx="2">
                  <c:v>1073.2289999999998</c:v>
                </c:pt>
                <c:pt idx="3">
                  <c:v>1578.173</c:v>
                </c:pt>
                <c:pt idx="4">
                  <c:v>2929.491</c:v>
                </c:pt>
                <c:pt idx="5">
                  <c:v>4611.8559999999998</c:v>
                </c:pt>
                <c:pt idx="6">
                  <c:v>5599.8640000000005</c:v>
                </c:pt>
                <c:pt idx="7">
                  <c:v>7060</c:v>
                </c:pt>
                <c:pt idx="8">
                  <c:v>8880</c:v>
                </c:pt>
                <c:pt idx="9">
                  <c:v>11556</c:v>
                </c:pt>
                <c:pt idx="10">
                  <c:v>15211.685523769687</c:v>
                </c:pt>
                <c:pt idx="11">
                  <c:v>19134.27960159217</c:v>
                </c:pt>
              </c:numCache>
            </c:numRef>
          </c:val>
          <c:smooth val="0"/>
          <c:extLst>
            <c:ext xmlns:c16="http://schemas.microsoft.com/office/drawing/2014/chart" uri="{C3380CC4-5D6E-409C-BE32-E72D297353CC}">
              <c16:uniqueId val="{00000002-75A2-4985-AAEC-0FCED4DC1610}"/>
            </c:ext>
          </c:extLst>
        </c:ser>
        <c:dLbls>
          <c:showLegendKey val="0"/>
          <c:showVal val="0"/>
          <c:showCatName val="0"/>
          <c:showSerName val="0"/>
          <c:showPercent val="0"/>
          <c:showBubbleSize val="0"/>
        </c:dLbls>
        <c:marker val="1"/>
        <c:smooth val="0"/>
        <c:axId val="1806290255"/>
        <c:axId val="1806285935"/>
      </c:lineChart>
      <c:catAx>
        <c:axId val="1806290255"/>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06285935"/>
        <c:crosses val="autoZero"/>
        <c:auto val="1"/>
        <c:lblAlgn val="ctr"/>
        <c:lblOffset val="100"/>
        <c:noMultiLvlLbl val="0"/>
      </c:catAx>
      <c:valAx>
        <c:axId val="1806285935"/>
        <c:scaling>
          <c:orientation val="minMax"/>
        </c:scaling>
        <c:delete val="0"/>
        <c:axPos val="l"/>
        <c:majorGridlines>
          <c:spPr>
            <a:ln w="9525" cap="flat" cmpd="sng" algn="ctr">
              <a:solidFill>
                <a:schemeClr val="tx1">
                  <a:lumMod val="15000"/>
                  <a:lumOff val="85000"/>
                </a:schemeClr>
              </a:solidFill>
              <a:round/>
            </a:ln>
            <a:effectLst/>
          </c:spPr>
        </c:majorGridlines>
        <c:numFmt formatCode="&quot;$&quot;#,##0,&quot;B&quot;_);\(&quot;$&quot;#,##0&quot;B&quot;\);&quot;$&quot;#,##0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06290255"/>
        <c:crosses val="autoZero"/>
        <c:crossBetween val="between"/>
      </c:valAx>
      <c:spPr>
        <a:noFill/>
        <a:ln>
          <a:noFill/>
        </a:ln>
        <a:effectLst/>
      </c:spPr>
    </c:plotArea>
    <c:legend>
      <c:legendPos val="b"/>
      <c:legendEntry>
        <c:idx val="2"/>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29295363012068"/>
          <c:y val="4.101248282583933E-2"/>
          <c:w val="0.8743881832289212"/>
          <c:h val="0.89187618164096905"/>
        </c:manualLayout>
      </c:layout>
      <c:areaChart>
        <c:grouping val="stacked"/>
        <c:varyColors val="0"/>
        <c:ser>
          <c:idx val="0"/>
          <c:order val="0"/>
          <c:tx>
            <c:strRef>
              <c:f>Charts!$CS$48</c:f>
              <c:strCache>
                <c:ptCount val="1"/>
                <c:pt idx="0">
                  <c:v>Subscription Solutions Gross Profit</c:v>
                </c:pt>
              </c:strCache>
            </c:strRef>
          </c:tx>
          <c:spPr>
            <a:solidFill>
              <a:schemeClr val="accent1"/>
            </a:solidFill>
            <a:ln>
              <a:noFill/>
            </a:ln>
            <a:effectLst/>
          </c:spPr>
          <c:val>
            <c:numRef>
              <c:f>Charts!$CT$48:$DE$48</c:f>
              <c:numCache>
                <c:formatCode>"$"#,##0.0,"B"_);\("$"#,##0.0"B"\);"$"#,##0.00_);@_)</c:formatCode>
                <c:ptCount val="12"/>
                <c:pt idx="0">
                  <c:v>149.12799999999999</c:v>
                </c:pt>
                <c:pt idx="1">
                  <c:v>248.76400000000001</c:v>
                </c:pt>
                <c:pt idx="2">
                  <c:v>364.00600000000003</c:v>
                </c:pt>
                <c:pt idx="3">
                  <c:v>514.08600000000001</c:v>
                </c:pt>
                <c:pt idx="4">
                  <c:v>715.22499999999991</c:v>
                </c:pt>
                <c:pt idx="5">
                  <c:v>1077.9830000000002</c:v>
                </c:pt>
                <c:pt idx="6">
                  <c:v>1156.8920000000001</c:v>
                </c:pt>
                <c:pt idx="7">
                  <c:v>1483</c:v>
                </c:pt>
                <c:pt idx="8">
                  <c:v>1916</c:v>
                </c:pt>
                <c:pt idx="9">
                  <c:v>#N/A</c:v>
                </c:pt>
                <c:pt idx="10">
                  <c:v>2698.5019930165327</c:v>
                </c:pt>
                <c:pt idx="11">
                  <c:v>3241.7946141415728</c:v>
                </c:pt>
              </c:numCache>
            </c:numRef>
          </c:val>
          <c:extLst>
            <c:ext xmlns:c16="http://schemas.microsoft.com/office/drawing/2014/chart" uri="{C3380CC4-5D6E-409C-BE32-E72D297353CC}">
              <c16:uniqueId val="{00000000-846F-4319-A48E-007687BED467}"/>
            </c:ext>
          </c:extLst>
        </c:ser>
        <c:ser>
          <c:idx val="1"/>
          <c:order val="1"/>
          <c:tx>
            <c:strRef>
              <c:f>Charts!$CS$49</c:f>
              <c:strCache>
                <c:ptCount val="1"/>
                <c:pt idx="0">
                  <c:v>Merchant Solutions Gross Profit</c:v>
                </c:pt>
              </c:strCache>
            </c:strRef>
          </c:tx>
          <c:spPr>
            <a:solidFill>
              <a:schemeClr val="accent3"/>
            </a:solidFill>
            <a:ln>
              <a:noFill/>
            </a:ln>
            <a:effectLst/>
          </c:spPr>
          <c:val>
            <c:numRef>
              <c:f>Charts!$CT$49:$DE$49</c:f>
              <c:numCache>
                <c:formatCode>"$"#,##0.0,"B"_);\("$"#,##0.0"B"\);"$"#,##0.00_);@_)</c:formatCode>
                <c:ptCount val="12"/>
                <c:pt idx="0">
                  <c:v>60.36699999999999</c:v>
                </c:pt>
                <c:pt idx="1">
                  <c:v>131.48899999999998</c:v>
                </c:pt>
                <c:pt idx="2">
                  <c:v>232.261</c:v>
                </c:pt>
                <c:pt idx="3">
                  <c:v>351.55700000000002</c:v>
                </c:pt>
                <c:pt idx="4">
                  <c:v>826.29499999999996</c:v>
                </c:pt>
                <c:pt idx="5">
                  <c:v>1403.1610000000001</c:v>
                </c:pt>
                <c:pt idx="6">
                  <c:v>1597.2269999999999</c:v>
                </c:pt>
                <c:pt idx="7">
                  <c:v>2032</c:v>
                </c:pt>
                <c:pt idx="8">
                  <c:v>2556</c:v>
                </c:pt>
                <c:pt idx="9">
                  <c:v>#N/A</c:v>
                </c:pt>
                <c:pt idx="10">
                  <c:v>4517.1066834489739</c:v>
                </c:pt>
                <c:pt idx="11">
                  <c:v>5760.7553362939634</c:v>
                </c:pt>
              </c:numCache>
            </c:numRef>
          </c:val>
          <c:extLst>
            <c:ext xmlns:c16="http://schemas.microsoft.com/office/drawing/2014/chart" uri="{C3380CC4-5D6E-409C-BE32-E72D297353CC}">
              <c16:uniqueId val="{00000001-846F-4319-A48E-007687BED467}"/>
            </c:ext>
          </c:extLst>
        </c:ser>
        <c:dLbls>
          <c:showLegendKey val="0"/>
          <c:showVal val="0"/>
          <c:showCatName val="0"/>
          <c:showSerName val="0"/>
          <c:showPercent val="0"/>
          <c:showBubbleSize val="0"/>
        </c:dLbls>
        <c:axId val="1758049439"/>
        <c:axId val="1758049919"/>
      </c:areaChart>
      <c:lineChart>
        <c:grouping val="standard"/>
        <c:varyColors val="0"/>
        <c:ser>
          <c:idx val="2"/>
          <c:order val="2"/>
          <c:tx>
            <c:strRef>
              <c:f>Charts!$CS$50</c:f>
              <c:strCache>
                <c:ptCount val="1"/>
                <c:pt idx="0">
                  <c:v>Total Gross Profit</c:v>
                </c:pt>
              </c:strCache>
            </c:strRef>
          </c:tx>
          <c:spPr>
            <a:ln w="28575" cap="rnd">
              <a:no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Charts!$CT$50:$DE$50</c:f>
              <c:numCache>
                <c:formatCode>"$"#,##0.0,"B"_);\("$"#,##0.0"B"\);"$"#,##0.00_);@_)</c:formatCode>
                <c:ptCount val="12"/>
                <c:pt idx="0">
                  <c:v>209.495</c:v>
                </c:pt>
                <c:pt idx="1">
                  <c:v>380.25299999999999</c:v>
                </c:pt>
                <c:pt idx="2">
                  <c:v>596.26699999999983</c:v>
                </c:pt>
                <c:pt idx="3">
                  <c:v>865.64300000000003</c:v>
                </c:pt>
                <c:pt idx="4">
                  <c:v>1541.5200000000002</c:v>
                </c:pt>
                <c:pt idx="5">
                  <c:v>2481.1439999999998</c:v>
                </c:pt>
                <c:pt idx="6">
                  <c:v>2754.1190000000001</c:v>
                </c:pt>
                <c:pt idx="7">
                  <c:v>3515</c:v>
                </c:pt>
                <c:pt idx="8">
                  <c:v>4472</c:v>
                </c:pt>
                <c:pt idx="9">
                  <c:v>#N/A</c:v>
                </c:pt>
                <c:pt idx="10">
                  <c:v>7215.6086764655056</c:v>
                </c:pt>
                <c:pt idx="11">
                  <c:v>9002.5499504355375</c:v>
                </c:pt>
              </c:numCache>
            </c:numRef>
          </c:val>
          <c:smooth val="0"/>
          <c:extLst>
            <c:ext xmlns:c16="http://schemas.microsoft.com/office/drawing/2014/chart" uri="{C3380CC4-5D6E-409C-BE32-E72D297353CC}">
              <c16:uniqueId val="{00000002-846F-4319-A48E-007687BED467}"/>
            </c:ext>
          </c:extLst>
        </c:ser>
        <c:dLbls>
          <c:showLegendKey val="0"/>
          <c:showVal val="0"/>
          <c:showCatName val="0"/>
          <c:showSerName val="0"/>
          <c:showPercent val="0"/>
          <c:showBubbleSize val="0"/>
        </c:dLbls>
        <c:marker val="1"/>
        <c:smooth val="0"/>
        <c:axId val="2095090607"/>
        <c:axId val="1762718143"/>
      </c:lineChart>
      <c:catAx>
        <c:axId val="1758049439"/>
        <c:scaling>
          <c:orientation val="minMax"/>
        </c:scaling>
        <c:delete val="0"/>
        <c:axPos val="b"/>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8049919"/>
        <c:crosses val="autoZero"/>
        <c:auto val="1"/>
        <c:lblAlgn val="ctr"/>
        <c:lblOffset val="100"/>
        <c:noMultiLvlLbl val="0"/>
      </c:catAx>
      <c:valAx>
        <c:axId val="1758049919"/>
        <c:scaling>
          <c:orientation val="minMax"/>
        </c:scaling>
        <c:delete val="0"/>
        <c:axPos val="l"/>
        <c:majorGridlines>
          <c:spPr>
            <a:ln w="9525" cap="flat" cmpd="sng" algn="ctr">
              <a:solidFill>
                <a:schemeClr val="tx1">
                  <a:lumMod val="15000"/>
                  <a:lumOff val="85000"/>
                </a:schemeClr>
              </a:solidFill>
              <a:round/>
            </a:ln>
            <a:effectLst/>
          </c:spPr>
        </c:majorGridlines>
        <c:numFmt formatCode="&quot;$&quot;#,##0.0,&quot;B&quot;_);\(&quot;$&quot;#,##0.0&quot;B&quot;\);&quot;$&quot;#,##0.00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8049439"/>
        <c:crosses val="autoZero"/>
        <c:crossBetween val="between"/>
      </c:valAx>
      <c:valAx>
        <c:axId val="1762718143"/>
        <c:scaling>
          <c:orientation val="minMax"/>
        </c:scaling>
        <c:delete val="0"/>
        <c:axPos val="r"/>
        <c:numFmt formatCode="&quot;$&quot;#,##0.0,&quot;B&quot;_);\(&quot;$&quot;#,##0.0&quot;B&quot;\);&quot;$&quot;#,##0.00_);@_)"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95090607"/>
        <c:crosses val="max"/>
        <c:crossBetween val="between"/>
      </c:valAx>
      <c:catAx>
        <c:axId val="2095090607"/>
        <c:scaling>
          <c:orientation val="minMax"/>
        </c:scaling>
        <c:delete val="1"/>
        <c:axPos val="b"/>
        <c:majorTickMark val="out"/>
        <c:minorTickMark val="none"/>
        <c:tickLblPos val="nextTo"/>
        <c:crossAx val="1762718143"/>
        <c:crosses val="autoZero"/>
        <c:auto val="1"/>
        <c:lblAlgn val="ctr"/>
        <c:lblOffset val="100"/>
        <c:noMultiLvlLbl val="0"/>
      </c:catAx>
      <c:spPr>
        <a:noFill/>
        <a:ln>
          <a:noFill/>
        </a:ln>
        <a:effectLst/>
      </c:spPr>
    </c:plotArea>
    <c:legend>
      <c:legendPos val="b"/>
      <c:legendEntry>
        <c:idx val="2"/>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legendEntry>
      <c:layout>
        <c:manualLayout>
          <c:xMode val="edge"/>
          <c:yMode val="edge"/>
          <c:x val="0.12044007087635537"/>
          <c:y val="0.16971358784363"/>
          <c:w val="0.37169967179751129"/>
          <c:h val="0.226284392357645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2995479159335347E-2"/>
          <c:y val="5.0925925925925923E-2"/>
          <c:w val="0.93938413191230108"/>
          <c:h val="0.83847360211127753"/>
        </c:manualLayout>
      </c:layout>
      <c:barChart>
        <c:barDir val="col"/>
        <c:grouping val="clustered"/>
        <c:varyColors val="0"/>
        <c:ser>
          <c:idx val="0"/>
          <c:order val="0"/>
          <c:tx>
            <c:strRef>
              <c:f>Charts!$CS$119</c:f>
              <c:strCache>
                <c:ptCount val="1"/>
                <c:pt idx="0">
                  <c:v>GPV</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Charts!$CW$118:$DE$118</c:f>
              <c:numCache>
                <c:formatCode>General</c:formatCode>
                <c:ptCount val="9"/>
              </c:numCache>
            </c:numRef>
          </c:cat>
          <c:val>
            <c:numRef>
              <c:f>Charts!$CW$119:$DE$119</c:f>
              <c:numCache>
                <c:formatCode>"$"#,##0.0,"B"_);\("$"#,##0.0"B"\);"$"#,##0.00_);@_)</c:formatCode>
                <c:ptCount val="9"/>
                <c:pt idx="0">
                  <c:v>25702.891747650821</c:v>
                </c:pt>
                <c:pt idx="1">
                  <c:v>53800</c:v>
                </c:pt>
                <c:pt idx="2">
                  <c:v>85800</c:v>
                </c:pt>
                <c:pt idx="3">
                  <c:v>106100</c:v>
                </c:pt>
                <c:pt idx="4">
                  <c:v>137074</c:v>
                </c:pt>
                <c:pt idx="5">
                  <c:v>180918.22500000001</c:v>
                </c:pt>
                <c:pt idx="6">
                  <c:v>248257.296</c:v>
                </c:pt>
                <c:pt idx="7">
                  <c:v>337729.34628000006</c:v>
                </c:pt>
                <c:pt idx="8">
                  <c:v>434613.05333420006</c:v>
                </c:pt>
              </c:numCache>
            </c:numRef>
          </c:val>
          <c:extLst>
            <c:ext xmlns:c16="http://schemas.microsoft.com/office/drawing/2014/chart" uri="{C3380CC4-5D6E-409C-BE32-E72D297353CC}">
              <c16:uniqueId val="{00000000-D527-453A-AB9A-AAD441E12BAD}"/>
            </c:ext>
          </c:extLst>
        </c:ser>
        <c:dLbls>
          <c:showLegendKey val="0"/>
          <c:showVal val="0"/>
          <c:showCatName val="0"/>
          <c:showSerName val="0"/>
          <c:showPercent val="0"/>
          <c:showBubbleSize val="0"/>
        </c:dLbls>
        <c:gapWidth val="20"/>
        <c:overlap val="-27"/>
        <c:axId val="1579622800"/>
        <c:axId val="1579620880"/>
      </c:barChart>
      <c:lineChart>
        <c:grouping val="standard"/>
        <c:varyColors val="0"/>
        <c:ser>
          <c:idx val="1"/>
          <c:order val="1"/>
          <c:tx>
            <c:strRef>
              <c:f>Charts!$CS$120</c:f>
              <c:strCache>
                <c:ptCount val="1"/>
                <c:pt idx="0">
                  <c:v>GPV % GMV</c:v>
                </c:pt>
              </c:strCache>
            </c:strRef>
          </c:tx>
          <c:spPr>
            <a:ln w="28575" cap="rnd">
              <a:solidFill>
                <a:schemeClr val="accent4"/>
              </a:solidFill>
              <a:round/>
            </a:ln>
            <a:effectLst/>
          </c:spPr>
          <c:marker>
            <c:symbol val="none"/>
          </c:marker>
          <c:dLbls>
            <c:dLbl>
              <c:idx val="10"/>
              <c:layout>
                <c:manualLayout>
                  <c:x val="-1.8712615686375944E-2"/>
                  <c:y val="-8.203346351255731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AB8-4822-9AF8-A9D02174AF3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Charts!$CW$4:$DE$4</c:f>
              <c:strCache>
                <c:ptCount val="9"/>
                <c:pt idx="0">
                  <c:v>2019A</c:v>
                </c:pt>
                <c:pt idx="1">
                  <c:v>2020A</c:v>
                </c:pt>
                <c:pt idx="2">
                  <c:v>2021A</c:v>
                </c:pt>
                <c:pt idx="3">
                  <c:v>2022A</c:v>
                </c:pt>
                <c:pt idx="4">
                  <c:v>2023A</c:v>
                </c:pt>
                <c:pt idx="5">
                  <c:v>2024A</c:v>
                </c:pt>
                <c:pt idx="6">
                  <c:v>2025E</c:v>
                </c:pt>
                <c:pt idx="7">
                  <c:v>2026E</c:v>
                </c:pt>
                <c:pt idx="8">
                  <c:v>2027E</c:v>
                </c:pt>
              </c:strCache>
            </c:strRef>
          </c:cat>
          <c:val>
            <c:numRef>
              <c:f>Charts!$CW$120:$DE$120</c:f>
              <c:numCache>
                <c:formatCode>0.0%_);\(0.0%\);0.0%_);@_)</c:formatCode>
                <c:ptCount val="9"/>
                <c:pt idx="0">
                  <c:v>0.42040465214309908</c:v>
                </c:pt>
                <c:pt idx="1">
                  <c:v>0.44991874576167973</c:v>
                </c:pt>
                <c:pt idx="2">
                  <c:v>0.4892741358161361</c:v>
                </c:pt>
                <c:pt idx="3">
                  <c:v>0.53789560466337949</c:v>
                </c:pt>
                <c:pt idx="4">
                  <c:v>0.58100667585037613</c:v>
                </c:pt>
                <c:pt idx="5">
                  <c:v>0.61992301770592761</c:v>
                </c:pt>
                <c:pt idx="6">
                  <c:v>0.6439817262180817</c:v>
                </c:pt>
                <c:pt idx="7">
                  <c:v>0.66390621317651566</c:v>
                </c:pt>
                <c:pt idx="8">
                  <c:v>0.68230827018108298</c:v>
                </c:pt>
              </c:numCache>
            </c:numRef>
          </c:val>
          <c:smooth val="1"/>
          <c:extLst>
            <c:ext xmlns:c16="http://schemas.microsoft.com/office/drawing/2014/chart" uri="{C3380CC4-5D6E-409C-BE32-E72D297353CC}">
              <c16:uniqueId val="{00000001-D527-453A-AB9A-AAD441E12BAD}"/>
            </c:ext>
          </c:extLst>
        </c:ser>
        <c:dLbls>
          <c:showLegendKey val="0"/>
          <c:showVal val="0"/>
          <c:showCatName val="0"/>
          <c:showSerName val="0"/>
          <c:showPercent val="0"/>
          <c:showBubbleSize val="0"/>
        </c:dLbls>
        <c:marker val="1"/>
        <c:smooth val="0"/>
        <c:axId val="1579621360"/>
        <c:axId val="1579626160"/>
      </c:lineChart>
      <c:catAx>
        <c:axId val="1579622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79620880"/>
        <c:crosses val="autoZero"/>
        <c:auto val="1"/>
        <c:lblAlgn val="ctr"/>
        <c:lblOffset val="100"/>
        <c:noMultiLvlLbl val="0"/>
      </c:catAx>
      <c:valAx>
        <c:axId val="1579620880"/>
        <c:scaling>
          <c:orientation val="minMax"/>
          <c:max val="400000"/>
        </c:scaling>
        <c:delete val="0"/>
        <c:axPos val="l"/>
        <c:numFmt formatCode="&quot;$&quot;#,##0,&quot;B&quot;_);\(&quot;$&quot;#,##0&quot;B&quot;\);&quot;$&quot;#,##0.00_);@_)" sourceLinked="0"/>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79622800"/>
        <c:crosses val="autoZero"/>
        <c:crossBetween val="between"/>
      </c:valAx>
      <c:valAx>
        <c:axId val="1579626160"/>
        <c:scaling>
          <c:orientation val="minMax"/>
        </c:scaling>
        <c:delete val="0"/>
        <c:axPos val="r"/>
        <c:numFmt formatCode="0.0%_);\(0.0%\);0.0%_);@_)"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79621360"/>
        <c:crosses val="max"/>
        <c:crossBetween val="between"/>
      </c:valAx>
      <c:catAx>
        <c:axId val="1579621360"/>
        <c:scaling>
          <c:orientation val="minMax"/>
        </c:scaling>
        <c:delete val="1"/>
        <c:axPos val="b"/>
        <c:numFmt formatCode="General" sourceLinked="1"/>
        <c:majorTickMark val="none"/>
        <c:minorTickMark val="none"/>
        <c:tickLblPos val="nextTo"/>
        <c:crossAx val="1579626160"/>
        <c:crosses val="autoZero"/>
        <c:auto val="1"/>
        <c:lblAlgn val="ctr"/>
        <c:lblOffset val="100"/>
        <c:noMultiLvlLbl val="0"/>
      </c:catAx>
      <c:spPr>
        <a:noFill/>
        <a:ln>
          <a:noFill/>
        </a:ln>
        <a:effectLst/>
      </c:spPr>
    </c:plotArea>
    <c:legend>
      <c:legendPos val="b"/>
      <c:layout>
        <c:manualLayout>
          <c:xMode val="edge"/>
          <c:yMode val="edge"/>
          <c:x val="0.1435916447944007"/>
          <c:y val="7.5500145815106459E-2"/>
          <c:w val="0.37948337707786534"/>
          <c:h val="7.727763196267133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Summary!$T$86</c:f>
              <c:strCache>
                <c:ptCount val="1"/>
                <c:pt idx="0">
                  <c:v>SHOP EV/EBITDA</c:v>
                </c:pt>
              </c:strCache>
            </c:strRef>
          </c:tx>
          <c:spPr>
            <a:ln w="28575" cap="rnd">
              <a:solidFill>
                <a:schemeClr val="accent3"/>
              </a:solidFill>
              <a:round/>
            </a:ln>
            <a:effectLst/>
          </c:spPr>
          <c:marker>
            <c:symbol val="none"/>
          </c:marker>
          <c:cat>
            <c:numRef>
              <c:f>Summary!$B$452:$B$586</c:f>
              <c:numCache>
                <c:formatCode>m/d/yyyy</c:formatCode>
                <c:ptCount val="135"/>
                <c:pt idx="0">
                  <c:v>45296</c:v>
                </c:pt>
                <c:pt idx="1">
                  <c:v>45303</c:v>
                </c:pt>
                <c:pt idx="2">
                  <c:v>45310</c:v>
                </c:pt>
                <c:pt idx="3">
                  <c:v>45317</c:v>
                </c:pt>
                <c:pt idx="4">
                  <c:v>45324</c:v>
                </c:pt>
                <c:pt idx="5">
                  <c:v>45331</c:v>
                </c:pt>
                <c:pt idx="6">
                  <c:v>45338</c:v>
                </c:pt>
                <c:pt idx="7">
                  <c:v>45345</c:v>
                </c:pt>
                <c:pt idx="8">
                  <c:v>45352</c:v>
                </c:pt>
                <c:pt idx="9">
                  <c:v>45359</c:v>
                </c:pt>
                <c:pt idx="10">
                  <c:v>45366</c:v>
                </c:pt>
                <c:pt idx="11">
                  <c:v>45373</c:v>
                </c:pt>
                <c:pt idx="12">
                  <c:v>45380</c:v>
                </c:pt>
                <c:pt idx="13">
                  <c:v>45387</c:v>
                </c:pt>
                <c:pt idx="14">
                  <c:v>45394</c:v>
                </c:pt>
                <c:pt idx="15">
                  <c:v>45401</c:v>
                </c:pt>
                <c:pt idx="16">
                  <c:v>45408</c:v>
                </c:pt>
                <c:pt idx="17">
                  <c:v>45415</c:v>
                </c:pt>
                <c:pt idx="18">
                  <c:v>45422</c:v>
                </c:pt>
                <c:pt idx="19">
                  <c:v>45429</c:v>
                </c:pt>
                <c:pt idx="20">
                  <c:v>45436</c:v>
                </c:pt>
                <c:pt idx="21">
                  <c:v>45443</c:v>
                </c:pt>
                <c:pt idx="22">
                  <c:v>45450</c:v>
                </c:pt>
                <c:pt idx="23">
                  <c:v>45457</c:v>
                </c:pt>
                <c:pt idx="24">
                  <c:v>45464</c:v>
                </c:pt>
                <c:pt idx="25">
                  <c:v>45471</c:v>
                </c:pt>
                <c:pt idx="26">
                  <c:v>45478</c:v>
                </c:pt>
                <c:pt idx="27">
                  <c:v>45485</c:v>
                </c:pt>
                <c:pt idx="28">
                  <c:v>45492</c:v>
                </c:pt>
                <c:pt idx="29">
                  <c:v>45499</c:v>
                </c:pt>
                <c:pt idx="30">
                  <c:v>45506</c:v>
                </c:pt>
                <c:pt idx="31">
                  <c:v>45513</c:v>
                </c:pt>
                <c:pt idx="32">
                  <c:v>45520</c:v>
                </c:pt>
                <c:pt idx="33">
                  <c:v>45527</c:v>
                </c:pt>
                <c:pt idx="34">
                  <c:v>45534</c:v>
                </c:pt>
                <c:pt idx="35">
                  <c:v>45541</c:v>
                </c:pt>
                <c:pt idx="36">
                  <c:v>45548</c:v>
                </c:pt>
                <c:pt idx="37">
                  <c:v>45555</c:v>
                </c:pt>
                <c:pt idx="38">
                  <c:v>45562</c:v>
                </c:pt>
                <c:pt idx="39">
                  <c:v>45569</c:v>
                </c:pt>
                <c:pt idx="40">
                  <c:v>45576</c:v>
                </c:pt>
                <c:pt idx="41">
                  <c:v>45583</c:v>
                </c:pt>
                <c:pt idx="42">
                  <c:v>45590</c:v>
                </c:pt>
                <c:pt idx="43">
                  <c:v>45597</c:v>
                </c:pt>
                <c:pt idx="44">
                  <c:v>45604</c:v>
                </c:pt>
                <c:pt idx="45">
                  <c:v>45611</c:v>
                </c:pt>
                <c:pt idx="46">
                  <c:v>45618</c:v>
                </c:pt>
                <c:pt idx="47">
                  <c:v>45625</c:v>
                </c:pt>
                <c:pt idx="48">
                  <c:v>45632</c:v>
                </c:pt>
                <c:pt idx="49">
                  <c:v>45639</c:v>
                </c:pt>
                <c:pt idx="50">
                  <c:v>45646</c:v>
                </c:pt>
                <c:pt idx="51">
                  <c:v>45653</c:v>
                </c:pt>
                <c:pt idx="52">
                  <c:v>45660</c:v>
                </c:pt>
                <c:pt idx="53">
                  <c:v>45667</c:v>
                </c:pt>
                <c:pt idx="54">
                  <c:v>45674</c:v>
                </c:pt>
                <c:pt idx="55">
                  <c:v>45681</c:v>
                </c:pt>
                <c:pt idx="56">
                  <c:v>45688</c:v>
                </c:pt>
                <c:pt idx="57">
                  <c:v>45695</c:v>
                </c:pt>
                <c:pt idx="58">
                  <c:v>45702</c:v>
                </c:pt>
                <c:pt idx="59">
                  <c:v>45709</c:v>
                </c:pt>
                <c:pt idx="60">
                  <c:v>45716</c:v>
                </c:pt>
                <c:pt idx="61">
                  <c:v>45723</c:v>
                </c:pt>
                <c:pt idx="62">
                  <c:v>45730</c:v>
                </c:pt>
                <c:pt idx="63">
                  <c:v>45737</c:v>
                </c:pt>
                <c:pt idx="64">
                  <c:v>45744</c:v>
                </c:pt>
                <c:pt idx="65">
                  <c:v>45751</c:v>
                </c:pt>
                <c:pt idx="66">
                  <c:v>45758</c:v>
                </c:pt>
                <c:pt idx="67">
                  <c:v>45765</c:v>
                </c:pt>
                <c:pt idx="68">
                  <c:v>45772</c:v>
                </c:pt>
                <c:pt idx="69">
                  <c:v>45779</c:v>
                </c:pt>
                <c:pt idx="70">
                  <c:v>45786</c:v>
                </c:pt>
                <c:pt idx="71">
                  <c:v>45793</c:v>
                </c:pt>
                <c:pt idx="72">
                  <c:v>45800</c:v>
                </c:pt>
                <c:pt idx="73">
                  <c:v>45807</c:v>
                </c:pt>
                <c:pt idx="74">
                  <c:v>45814</c:v>
                </c:pt>
                <c:pt idx="75">
                  <c:v>45821</c:v>
                </c:pt>
                <c:pt idx="76">
                  <c:v>45828</c:v>
                </c:pt>
                <c:pt idx="77">
                  <c:v>45835</c:v>
                </c:pt>
                <c:pt idx="78">
                  <c:v>45842</c:v>
                </c:pt>
                <c:pt idx="79">
                  <c:v>45849</c:v>
                </c:pt>
                <c:pt idx="80">
                  <c:v>45856</c:v>
                </c:pt>
                <c:pt idx="81">
                  <c:v>45863</c:v>
                </c:pt>
                <c:pt idx="82">
                  <c:v>45870</c:v>
                </c:pt>
                <c:pt idx="83">
                  <c:v>45877</c:v>
                </c:pt>
                <c:pt idx="84">
                  <c:v>45884</c:v>
                </c:pt>
                <c:pt idx="85">
                  <c:v>45891</c:v>
                </c:pt>
                <c:pt idx="86">
                  <c:v>45898</c:v>
                </c:pt>
                <c:pt idx="87">
                  <c:v>45905</c:v>
                </c:pt>
                <c:pt idx="88">
                  <c:v>45912</c:v>
                </c:pt>
                <c:pt idx="89">
                  <c:v>45919</c:v>
                </c:pt>
                <c:pt idx="90">
                  <c:v>45926</c:v>
                </c:pt>
                <c:pt idx="91">
                  <c:v>45933</c:v>
                </c:pt>
                <c:pt idx="92">
                  <c:v>45940</c:v>
                </c:pt>
                <c:pt idx="93">
                  <c:v>45947</c:v>
                </c:pt>
                <c:pt idx="94">
                  <c:v>45954</c:v>
                </c:pt>
                <c:pt idx="95">
                  <c:v>45961</c:v>
                </c:pt>
                <c:pt idx="96">
                  <c:v>45968</c:v>
                </c:pt>
                <c:pt idx="97">
                  <c:v>45975</c:v>
                </c:pt>
                <c:pt idx="98">
                  <c:v>45982</c:v>
                </c:pt>
                <c:pt idx="99">
                  <c:v>45989</c:v>
                </c:pt>
                <c:pt idx="100">
                  <c:v>45996</c:v>
                </c:pt>
                <c:pt idx="101">
                  <c:v>46003</c:v>
                </c:pt>
                <c:pt idx="102">
                  <c:v>46010</c:v>
                </c:pt>
                <c:pt idx="103">
                  <c:v>46017</c:v>
                </c:pt>
                <c:pt idx="104">
                  <c:v>46024</c:v>
                </c:pt>
                <c:pt idx="105">
                  <c:v>46031</c:v>
                </c:pt>
                <c:pt idx="106">
                  <c:v>46038</c:v>
                </c:pt>
                <c:pt idx="107">
                  <c:v>46045</c:v>
                </c:pt>
                <c:pt idx="108">
                  <c:v>46052</c:v>
                </c:pt>
                <c:pt idx="109">
                  <c:v>46059</c:v>
                </c:pt>
                <c:pt idx="110">
                  <c:v>46066</c:v>
                </c:pt>
                <c:pt idx="111">
                  <c:v>46073</c:v>
                </c:pt>
                <c:pt idx="112">
                  <c:v>46080</c:v>
                </c:pt>
                <c:pt idx="113">
                  <c:v>46087</c:v>
                </c:pt>
                <c:pt idx="114">
                  <c:v>46094</c:v>
                </c:pt>
                <c:pt idx="115">
                  <c:v>46101</c:v>
                </c:pt>
                <c:pt idx="116">
                  <c:v>46108</c:v>
                </c:pt>
                <c:pt idx="117">
                  <c:v>46115</c:v>
                </c:pt>
                <c:pt idx="118">
                  <c:v>46122</c:v>
                </c:pt>
                <c:pt idx="119">
                  <c:v>46129</c:v>
                </c:pt>
                <c:pt idx="120">
                  <c:v>46136</c:v>
                </c:pt>
                <c:pt idx="121">
                  <c:v>46143</c:v>
                </c:pt>
                <c:pt idx="122">
                  <c:v>46150</c:v>
                </c:pt>
                <c:pt idx="123">
                  <c:v>46157</c:v>
                </c:pt>
                <c:pt idx="124">
                  <c:v>46164</c:v>
                </c:pt>
                <c:pt idx="125">
                  <c:v>46171</c:v>
                </c:pt>
                <c:pt idx="126">
                  <c:v>46178</c:v>
                </c:pt>
                <c:pt idx="127">
                  <c:v>46185</c:v>
                </c:pt>
                <c:pt idx="128">
                  <c:v>46192</c:v>
                </c:pt>
                <c:pt idx="129">
                  <c:v>46199</c:v>
                </c:pt>
                <c:pt idx="130">
                  <c:v>46206</c:v>
                </c:pt>
                <c:pt idx="131">
                  <c:v>46213</c:v>
                </c:pt>
                <c:pt idx="132">
                  <c:v>46220</c:v>
                </c:pt>
                <c:pt idx="133">
                  <c:v>46227</c:v>
                </c:pt>
                <c:pt idx="134">
                  <c:v>46234</c:v>
                </c:pt>
              </c:numCache>
            </c:numRef>
          </c:cat>
          <c:val>
            <c:numRef>
              <c:f>Summary!$T$452:$T$586</c:f>
              <c:numCache>
                <c:formatCode>0.0\x</c:formatCode>
                <c:ptCount val="135"/>
                <c:pt idx="0">
                  <c:v>67.305004059332987</c:v>
                </c:pt>
                <c:pt idx="1">
                  <c:v>72.766395366015175</c:v>
                </c:pt>
                <c:pt idx="2">
                  <c:v>70.817253312690013</c:v>
                </c:pt>
                <c:pt idx="3">
                  <c:v>71.90566509996836</c:v>
                </c:pt>
                <c:pt idx="4">
                  <c:v>72.684428462246515</c:v>
                </c:pt>
                <c:pt idx="5">
                  <c:v>79.10343832373465</c:v>
                </c:pt>
                <c:pt idx="6">
                  <c:v>72.074744962479372</c:v>
                </c:pt>
                <c:pt idx="7">
                  <c:v>66.903121337312442</c:v>
                </c:pt>
                <c:pt idx="8">
                  <c:v>66.851847712851253</c:v>
                </c:pt>
                <c:pt idx="9">
                  <c:v>67.216157245298049</c:v>
                </c:pt>
                <c:pt idx="10">
                  <c:v>68.328915204904675</c:v>
                </c:pt>
                <c:pt idx="11">
                  <c:v>69.293704976932929</c:v>
                </c:pt>
                <c:pt idx="12">
                  <c:v>67.44139487894239</c:v>
                </c:pt>
                <c:pt idx="13">
                  <c:v>65.014240614470651</c:v>
                </c:pt>
                <c:pt idx="14">
                  <c:v>60.277883839867421</c:v>
                </c:pt>
                <c:pt idx="15">
                  <c:v>59.408767257233706</c:v>
                </c:pt>
                <c:pt idx="16">
                  <c:v>58.868148659214462</c:v>
                </c:pt>
                <c:pt idx="17">
                  <c:v>61.1753084265072</c:v>
                </c:pt>
                <c:pt idx="18">
                  <c:v>51.823251328015729</c:v>
                </c:pt>
                <c:pt idx="19">
                  <c:v>51.09528170170524</c:v>
                </c:pt>
                <c:pt idx="20">
                  <c:v>49.723469887094026</c:v>
                </c:pt>
                <c:pt idx="21">
                  <c:v>51.44285956199802</c:v>
                </c:pt>
                <c:pt idx="22">
                  <c:v>53.414345274442574</c:v>
                </c:pt>
                <c:pt idx="23">
                  <c:v>58.700931725283624</c:v>
                </c:pt>
                <c:pt idx="24">
                  <c:v>56.009575617355772</c:v>
                </c:pt>
                <c:pt idx="25">
                  <c:v>55.670248254025651</c:v>
                </c:pt>
                <c:pt idx="26">
                  <c:v>56.664010738252493</c:v>
                </c:pt>
                <c:pt idx="27">
                  <c:v>53.993029993186809</c:v>
                </c:pt>
                <c:pt idx="28">
                  <c:v>52.123318349796605</c:v>
                </c:pt>
                <c:pt idx="29">
                  <c:v>48.946119349629079</c:v>
                </c:pt>
                <c:pt idx="30">
                  <c:v>43.886477770547486</c:v>
                </c:pt>
                <c:pt idx="31">
                  <c:v>52.616420126659413</c:v>
                </c:pt>
                <c:pt idx="32">
                  <c:v>56.798958296328344</c:v>
                </c:pt>
                <c:pt idx="33">
                  <c:v>57.865370987423908</c:v>
                </c:pt>
                <c:pt idx="34">
                  <c:v>55.941536217827732</c:v>
                </c:pt>
                <c:pt idx="35">
                  <c:v>49.818687058623105</c:v>
                </c:pt>
                <c:pt idx="36">
                  <c:v>53.429504698035949</c:v>
                </c:pt>
                <c:pt idx="37">
                  <c:v>57.870559270481465</c:v>
                </c:pt>
                <c:pt idx="38">
                  <c:v>58.178181510712143</c:v>
                </c:pt>
                <c:pt idx="39">
                  <c:v>60.260516103974822</c:v>
                </c:pt>
                <c:pt idx="40">
                  <c:v>60.459288124105946</c:v>
                </c:pt>
                <c:pt idx="41">
                  <c:v>59.79353899832207</c:v>
                </c:pt>
                <c:pt idx="42">
                  <c:v>56.723246501818728</c:v>
                </c:pt>
                <c:pt idx="43">
                  <c:v>56.408281750104436</c:v>
                </c:pt>
                <c:pt idx="44">
                  <c:v>62.073674949433908</c:v>
                </c:pt>
                <c:pt idx="45">
                  <c:v>72.084186383960031</c:v>
                </c:pt>
                <c:pt idx="46">
                  <c:v>70.612422587144465</c:v>
                </c:pt>
                <c:pt idx="47">
                  <c:v>76.121280904885992</c:v>
                </c:pt>
                <c:pt idx="48">
                  <c:v>77.409336996695814</c:v>
                </c:pt>
                <c:pt idx="49">
                  <c:v>73.983688975038916</c:v>
                </c:pt>
                <c:pt idx="50">
                  <c:v>69.953381197804944</c:v>
                </c:pt>
                <c:pt idx="51">
                  <c:v>69.09056039322212</c:v>
                </c:pt>
                <c:pt idx="52">
                  <c:v>69.133369488306357</c:v>
                </c:pt>
                <c:pt idx="53">
                  <c:v>65.149715174674441</c:v>
                </c:pt>
                <c:pt idx="54">
                  <c:v>64.674560728492267</c:v>
                </c:pt>
                <c:pt idx="55">
                  <c:v>66.646972063156937</c:v>
                </c:pt>
                <c:pt idx="56">
                  <c:v>72.417885668778183</c:v>
                </c:pt>
                <c:pt idx="57">
                  <c:v>71.734107805066955</c:v>
                </c:pt>
                <c:pt idx="58">
                  <c:v>77.496448400630129</c:v>
                </c:pt>
                <c:pt idx="59">
                  <c:v>69.291508718189192</c:v>
                </c:pt>
                <c:pt idx="60">
                  <c:v>66.875294751164702</c:v>
                </c:pt>
                <c:pt idx="61">
                  <c:v>58.984324447624147</c:v>
                </c:pt>
                <c:pt idx="62">
                  <c:v>55.415957647565101</c:v>
                </c:pt>
                <c:pt idx="63">
                  <c:v>61.072499964305329</c:v>
                </c:pt>
                <c:pt idx="64">
                  <c:v>56.284494778297152</c:v>
                </c:pt>
                <c:pt idx="65">
                  <c:v>44.118067826595528</c:v>
                </c:pt>
                <c:pt idx="66">
                  <c:v>48.024033271069392</c:v>
                </c:pt>
                <c:pt idx="67">
                  <c:v>48.342916724229717</c:v>
                </c:pt>
                <c:pt idx="68">
                  <c:v>56.311246886807538</c:v>
                </c:pt>
                <c:pt idx="69">
                  <c:v>57.779648118824475</c:v>
                </c:pt>
                <c:pt idx="70">
                  <c:v>55.174380109881163</c:v>
                </c:pt>
                <c:pt idx="71">
                  <c:v>66.888943787471405</c:v>
                </c:pt>
                <c:pt idx="72">
                  <c:v>60.697448157333447</c:v>
                </c:pt>
                <c:pt idx="73">
                  <c:v>63.582079492876211</c:v>
                </c:pt>
                <c:pt idx="74">
                  <c:v>66.105726637859618</c:v>
                </c:pt>
                <c:pt idx="75">
                  <c:v>62.00408713106372</c:v>
                </c:pt>
                <c:pt idx="76">
                  <c:v>62.383439014318185</c:v>
                </c:pt>
                <c:pt idx="77">
                  <c:v>67.550164768789514</c:v>
                </c:pt>
                <c:pt idx="78">
                  <c:v>67.649249986176386</c:v>
                </c:pt>
                <c:pt idx="79">
                  <c:v>65.071327802735809</c:v>
                </c:pt>
                <c:pt idx="80">
                  <c:v>73.661546374180659</c:v>
                </c:pt>
                <c:pt idx="81">
                  <c:v>71.950706088943079</c:v>
                </c:pt>
                <c:pt idx="82">
                  <c:v>68.121785869714003</c:v>
                </c:pt>
                <c:pt idx="83">
                  <c:v>84.404703871906392</c:v>
                </c:pt>
                <c:pt idx="84">
                  <c:v>79.397053193440712</c:v>
                </c:pt>
                <c:pt idx="85">
                  <c:v>79.453036599657977</c:v>
                </c:pt>
                <c:pt idx="86">
                  <c:v>78.614763169443663</c:v>
                </c:pt>
                <c:pt idx="87">
                  <c:v>81.483792366001921</c:v>
                </c:pt>
                <c:pt idx="88">
                  <c:v>78.977197166084466</c:v>
                </c:pt>
                <c:pt idx="89">
                  <c:v>84.593055023967963</c:v>
                </c:pt>
                <c:pt idx="90">
                  <c:v>76.606840559028541</c:v>
                </c:pt>
                <c:pt idx="91">
                  <c:v>88.037325905647293</c:v>
                </c:pt>
                <c:pt idx="92">
                  <c:v>81.894213933862275</c:v>
                </c:pt>
                <c:pt idx="93">
                  <c:v>84.925096687611116</c:v>
                </c:pt>
                <c:pt idx="94">
                  <c:v>92.89889339522253</c:v>
                </c:pt>
                <c:pt idx="95">
                  <c:v>93.904573368514946</c:v>
                </c:pt>
                <c:pt idx="96">
                  <c:v>79.478311010550641</c:v>
                </c:pt>
                <c:pt idx="97">
                  <c:v>75.836631806689311</c:v>
                </c:pt>
                <c:pt idx="98">
                  <c:v>76.357446718046418</c:v>
                </c:pt>
                <c:pt idx="99">
                  <c:v>82.733179304619114</c:v>
                </c:pt>
                <c:pt idx="100">
                  <c:v>82.512398065429721</c:v>
                </c:pt>
                <c:pt idx="101">
                  <c:v>83.879496977305834</c:v>
                </c:pt>
                <c:pt idx="102">
                  <c:v>85.711130609962225</c:v>
                </c:pt>
                <c:pt idx="103">
                  <c:v>85.293503960229472</c:v>
                </c:pt>
                <c:pt idx="104">
                  <c:v>78.917304008941656</c:v>
                </c:pt>
                <c:pt idx="105">
                  <c:v>81.875320788554404</c:v>
                </c:pt>
                <c:pt idx="106">
                  <c:v>76.074822714829281</c:v>
                </c:pt>
                <c:pt idx="107">
                  <c:v>66.669956759396712</c:v>
                </c:pt>
                <c:pt idx="108">
                  <c:v>63.441518189146947</c:v>
                </c:pt>
                <c:pt idx="109">
                  <c:v>53.325518223540683</c:v>
                </c:pt>
                <c:pt idx="110">
                  <c:v>51.436137359569258</c:v>
                </c:pt>
                <c:pt idx="111">
                  <c:v>57.521660294938741</c:v>
                </c:pt>
                <c:pt idx="112">
                  <c:v>54.527826560016592</c:v>
                </c:pt>
                <c:pt idx="113">
                  <c:v>58.40118364964777</c:v>
                </c:pt>
                <c:pt idx="114">
                  <c:v>54.890893744782019</c:v>
                </c:pt>
                <c:pt idx="115">
                  <c:v>51.837760848228832</c:v>
                </c:pt>
                <c:pt idx="116">
                  <c:v>49.240138146135443</c:v>
                </c:pt>
                <c:pt idx="117">
                  <c:v>51.887623001467318</c:v>
                </c:pt>
                <c:pt idx="118">
                  <c:v>48.143212334735672</c:v>
                </c:pt>
                <c:pt idx="119">
                  <c:v>56.890085951513043</c:v>
                </c:pt>
                <c:pt idx="120">
                  <c:v>53.931269106167306</c:v>
                </c:pt>
                <c:pt idx="121">
                  <c:v>54.628140214114246</c:v>
                </c:pt>
                <c:pt idx="122">
                  <c:v>45.486906356642741</c:v>
                </c:pt>
                <c:pt idx="123">
                  <c:v>41.021279401540347</c:v>
                </c:pt>
                <c:pt idx="124">
                  <c:v>42.360708808213417</c:v>
                </c:pt>
                <c:pt idx="125">
                  <c:v>49.089703294669228</c:v>
                </c:pt>
                <c:pt idx="126">
                  <c:v>44.770554008634456</c:v>
                </c:pt>
                <c:pt idx="127">
                  <c:v>44.251776086332534</c:v>
                </c:pt>
                <c:pt idx="128">
                  <c:v>43.420515867836798</c:v>
                </c:pt>
                <c:pt idx="129">
                  <c:v>47.290127064675005</c:v>
                </c:pt>
                <c:pt idx="130">
                  <c:v>48.787041154029581</c:v>
                </c:pt>
                <c:pt idx="131">
                  <c:v>49.420976802633106</c:v>
                </c:pt>
                <c:pt idx="132">
                  <c:v>49.457647393045342</c:v>
                </c:pt>
                <c:pt idx="133">
                  <c:v>45.224875027596745</c:v>
                </c:pt>
                <c:pt idx="134">
                  <c:v>46.27391833538654</c:v>
                </c:pt>
              </c:numCache>
            </c:numRef>
          </c:val>
          <c:smooth val="0"/>
          <c:extLst>
            <c:ext xmlns:c16="http://schemas.microsoft.com/office/drawing/2014/chart" uri="{C3380CC4-5D6E-409C-BE32-E72D297353CC}">
              <c16:uniqueId val="{00000000-7C6C-4BD0-9F4A-6449C753B79C}"/>
            </c:ext>
          </c:extLst>
        </c:ser>
        <c:ser>
          <c:idx val="1"/>
          <c:order val="1"/>
          <c:tx>
            <c:strRef>
              <c:f>Summary!$U$86</c:f>
              <c:strCache>
                <c:ptCount val="1"/>
                <c:pt idx="0">
                  <c:v>SHOP Mean</c:v>
                </c:pt>
              </c:strCache>
            </c:strRef>
          </c:tx>
          <c:spPr>
            <a:ln w="28575" cap="rnd">
              <a:solidFill>
                <a:schemeClr val="accent3"/>
              </a:solidFill>
              <a:prstDash val="sysDash"/>
              <a:round/>
            </a:ln>
            <a:effectLst/>
          </c:spPr>
          <c:marker>
            <c:symbol val="none"/>
          </c:marker>
          <c:cat>
            <c:numRef>
              <c:f>Summary!$B$452:$B$586</c:f>
              <c:numCache>
                <c:formatCode>m/d/yyyy</c:formatCode>
                <c:ptCount val="135"/>
                <c:pt idx="0">
                  <c:v>45296</c:v>
                </c:pt>
                <c:pt idx="1">
                  <c:v>45303</c:v>
                </c:pt>
                <c:pt idx="2">
                  <c:v>45310</c:v>
                </c:pt>
                <c:pt idx="3">
                  <c:v>45317</c:v>
                </c:pt>
                <c:pt idx="4">
                  <c:v>45324</c:v>
                </c:pt>
                <c:pt idx="5">
                  <c:v>45331</c:v>
                </c:pt>
                <c:pt idx="6">
                  <c:v>45338</c:v>
                </c:pt>
                <c:pt idx="7">
                  <c:v>45345</c:v>
                </c:pt>
                <c:pt idx="8">
                  <c:v>45352</c:v>
                </c:pt>
                <c:pt idx="9">
                  <c:v>45359</c:v>
                </c:pt>
                <c:pt idx="10">
                  <c:v>45366</c:v>
                </c:pt>
                <c:pt idx="11">
                  <c:v>45373</c:v>
                </c:pt>
                <c:pt idx="12">
                  <c:v>45380</c:v>
                </c:pt>
                <c:pt idx="13">
                  <c:v>45387</c:v>
                </c:pt>
                <c:pt idx="14">
                  <c:v>45394</c:v>
                </c:pt>
                <c:pt idx="15">
                  <c:v>45401</c:v>
                </c:pt>
                <c:pt idx="16">
                  <c:v>45408</c:v>
                </c:pt>
                <c:pt idx="17">
                  <c:v>45415</c:v>
                </c:pt>
                <c:pt idx="18">
                  <c:v>45422</c:v>
                </c:pt>
                <c:pt idx="19">
                  <c:v>45429</c:v>
                </c:pt>
                <c:pt idx="20">
                  <c:v>45436</c:v>
                </c:pt>
                <c:pt idx="21">
                  <c:v>45443</c:v>
                </c:pt>
                <c:pt idx="22">
                  <c:v>45450</c:v>
                </c:pt>
                <c:pt idx="23">
                  <c:v>45457</c:v>
                </c:pt>
                <c:pt idx="24">
                  <c:v>45464</c:v>
                </c:pt>
                <c:pt idx="25">
                  <c:v>45471</c:v>
                </c:pt>
                <c:pt idx="26">
                  <c:v>45478</c:v>
                </c:pt>
                <c:pt idx="27">
                  <c:v>45485</c:v>
                </c:pt>
                <c:pt idx="28">
                  <c:v>45492</c:v>
                </c:pt>
                <c:pt idx="29">
                  <c:v>45499</c:v>
                </c:pt>
                <c:pt idx="30">
                  <c:v>45506</c:v>
                </c:pt>
                <c:pt idx="31">
                  <c:v>45513</c:v>
                </c:pt>
                <c:pt idx="32">
                  <c:v>45520</c:v>
                </c:pt>
                <c:pt idx="33">
                  <c:v>45527</c:v>
                </c:pt>
                <c:pt idx="34">
                  <c:v>45534</c:v>
                </c:pt>
                <c:pt idx="35">
                  <c:v>45541</c:v>
                </c:pt>
                <c:pt idx="36">
                  <c:v>45548</c:v>
                </c:pt>
                <c:pt idx="37">
                  <c:v>45555</c:v>
                </c:pt>
                <c:pt idx="38">
                  <c:v>45562</c:v>
                </c:pt>
                <c:pt idx="39">
                  <c:v>45569</c:v>
                </c:pt>
                <c:pt idx="40">
                  <c:v>45576</c:v>
                </c:pt>
                <c:pt idx="41">
                  <c:v>45583</c:v>
                </c:pt>
                <c:pt idx="42">
                  <c:v>45590</c:v>
                </c:pt>
                <c:pt idx="43">
                  <c:v>45597</c:v>
                </c:pt>
                <c:pt idx="44">
                  <c:v>45604</c:v>
                </c:pt>
                <c:pt idx="45">
                  <c:v>45611</c:v>
                </c:pt>
                <c:pt idx="46">
                  <c:v>45618</c:v>
                </c:pt>
                <c:pt idx="47">
                  <c:v>45625</c:v>
                </c:pt>
                <c:pt idx="48">
                  <c:v>45632</c:v>
                </c:pt>
                <c:pt idx="49">
                  <c:v>45639</c:v>
                </c:pt>
                <c:pt idx="50">
                  <c:v>45646</c:v>
                </c:pt>
                <c:pt idx="51">
                  <c:v>45653</c:v>
                </c:pt>
                <c:pt idx="52">
                  <c:v>45660</c:v>
                </c:pt>
                <c:pt idx="53">
                  <c:v>45667</c:v>
                </c:pt>
                <c:pt idx="54">
                  <c:v>45674</c:v>
                </c:pt>
                <c:pt idx="55">
                  <c:v>45681</c:v>
                </c:pt>
                <c:pt idx="56">
                  <c:v>45688</c:v>
                </c:pt>
                <c:pt idx="57">
                  <c:v>45695</c:v>
                </c:pt>
                <c:pt idx="58">
                  <c:v>45702</c:v>
                </c:pt>
                <c:pt idx="59">
                  <c:v>45709</c:v>
                </c:pt>
                <c:pt idx="60">
                  <c:v>45716</c:v>
                </c:pt>
                <c:pt idx="61">
                  <c:v>45723</c:v>
                </c:pt>
                <c:pt idx="62">
                  <c:v>45730</c:v>
                </c:pt>
                <c:pt idx="63">
                  <c:v>45737</c:v>
                </c:pt>
                <c:pt idx="64">
                  <c:v>45744</c:v>
                </c:pt>
                <c:pt idx="65">
                  <c:v>45751</c:v>
                </c:pt>
                <c:pt idx="66">
                  <c:v>45758</c:v>
                </c:pt>
                <c:pt idx="67">
                  <c:v>45765</c:v>
                </c:pt>
                <c:pt idx="68">
                  <c:v>45772</c:v>
                </c:pt>
                <c:pt idx="69">
                  <c:v>45779</c:v>
                </c:pt>
                <c:pt idx="70">
                  <c:v>45786</c:v>
                </c:pt>
                <c:pt idx="71">
                  <c:v>45793</c:v>
                </c:pt>
                <c:pt idx="72">
                  <c:v>45800</c:v>
                </c:pt>
                <c:pt idx="73">
                  <c:v>45807</c:v>
                </c:pt>
                <c:pt idx="74">
                  <c:v>45814</c:v>
                </c:pt>
                <c:pt idx="75">
                  <c:v>45821</c:v>
                </c:pt>
                <c:pt idx="76">
                  <c:v>45828</c:v>
                </c:pt>
                <c:pt idx="77">
                  <c:v>45835</c:v>
                </c:pt>
                <c:pt idx="78">
                  <c:v>45842</c:v>
                </c:pt>
                <c:pt idx="79">
                  <c:v>45849</c:v>
                </c:pt>
                <c:pt idx="80">
                  <c:v>45856</c:v>
                </c:pt>
                <c:pt idx="81">
                  <c:v>45863</c:v>
                </c:pt>
                <c:pt idx="82">
                  <c:v>45870</c:v>
                </c:pt>
                <c:pt idx="83">
                  <c:v>45877</c:v>
                </c:pt>
                <c:pt idx="84">
                  <c:v>45884</c:v>
                </c:pt>
                <c:pt idx="85">
                  <c:v>45891</c:v>
                </c:pt>
                <c:pt idx="86">
                  <c:v>45898</c:v>
                </c:pt>
                <c:pt idx="87">
                  <c:v>45905</c:v>
                </c:pt>
                <c:pt idx="88">
                  <c:v>45912</c:v>
                </c:pt>
                <c:pt idx="89">
                  <c:v>45919</c:v>
                </c:pt>
                <c:pt idx="90">
                  <c:v>45926</c:v>
                </c:pt>
                <c:pt idx="91">
                  <c:v>45933</c:v>
                </c:pt>
                <c:pt idx="92">
                  <c:v>45940</c:v>
                </c:pt>
                <c:pt idx="93">
                  <c:v>45947</c:v>
                </c:pt>
                <c:pt idx="94">
                  <c:v>45954</c:v>
                </c:pt>
                <c:pt idx="95">
                  <c:v>45961</c:v>
                </c:pt>
                <c:pt idx="96">
                  <c:v>45968</c:v>
                </c:pt>
                <c:pt idx="97">
                  <c:v>45975</c:v>
                </c:pt>
                <c:pt idx="98">
                  <c:v>45982</c:v>
                </c:pt>
                <c:pt idx="99">
                  <c:v>45989</c:v>
                </c:pt>
                <c:pt idx="100">
                  <c:v>45996</c:v>
                </c:pt>
                <c:pt idx="101">
                  <c:v>46003</c:v>
                </c:pt>
                <c:pt idx="102">
                  <c:v>46010</c:v>
                </c:pt>
                <c:pt idx="103">
                  <c:v>46017</c:v>
                </c:pt>
                <c:pt idx="104">
                  <c:v>46024</c:v>
                </c:pt>
                <c:pt idx="105">
                  <c:v>46031</c:v>
                </c:pt>
                <c:pt idx="106">
                  <c:v>46038</c:v>
                </c:pt>
                <c:pt idx="107">
                  <c:v>46045</c:v>
                </c:pt>
                <c:pt idx="108">
                  <c:v>46052</c:v>
                </c:pt>
                <c:pt idx="109">
                  <c:v>46059</c:v>
                </c:pt>
                <c:pt idx="110">
                  <c:v>46066</c:v>
                </c:pt>
                <c:pt idx="111">
                  <c:v>46073</c:v>
                </c:pt>
                <c:pt idx="112">
                  <c:v>46080</c:v>
                </c:pt>
                <c:pt idx="113">
                  <c:v>46087</c:v>
                </c:pt>
                <c:pt idx="114">
                  <c:v>46094</c:v>
                </c:pt>
                <c:pt idx="115">
                  <c:v>46101</c:v>
                </c:pt>
                <c:pt idx="116">
                  <c:v>46108</c:v>
                </c:pt>
                <c:pt idx="117">
                  <c:v>46115</c:v>
                </c:pt>
                <c:pt idx="118">
                  <c:v>46122</c:v>
                </c:pt>
                <c:pt idx="119">
                  <c:v>46129</c:v>
                </c:pt>
                <c:pt idx="120">
                  <c:v>46136</c:v>
                </c:pt>
                <c:pt idx="121">
                  <c:v>46143</c:v>
                </c:pt>
                <c:pt idx="122">
                  <c:v>46150</c:v>
                </c:pt>
                <c:pt idx="123">
                  <c:v>46157</c:v>
                </c:pt>
                <c:pt idx="124">
                  <c:v>46164</c:v>
                </c:pt>
                <c:pt idx="125">
                  <c:v>46171</c:v>
                </c:pt>
                <c:pt idx="126">
                  <c:v>46178</c:v>
                </c:pt>
                <c:pt idx="127">
                  <c:v>46185</c:v>
                </c:pt>
                <c:pt idx="128">
                  <c:v>46192</c:v>
                </c:pt>
                <c:pt idx="129">
                  <c:v>46199</c:v>
                </c:pt>
                <c:pt idx="130">
                  <c:v>46206</c:v>
                </c:pt>
                <c:pt idx="131">
                  <c:v>46213</c:v>
                </c:pt>
                <c:pt idx="132">
                  <c:v>46220</c:v>
                </c:pt>
                <c:pt idx="133">
                  <c:v>46227</c:v>
                </c:pt>
                <c:pt idx="134">
                  <c:v>46234</c:v>
                </c:pt>
              </c:numCache>
            </c:numRef>
          </c:cat>
          <c:val>
            <c:numRef>
              <c:f>Summary!$U$452:$U$586</c:f>
              <c:numCache>
                <c:formatCode>0.0\x_);\(0.0\x\)</c:formatCode>
                <c:ptCount val="135"/>
                <c:pt idx="0">
                  <c:v>65.1084081344151</c:v>
                </c:pt>
                <c:pt idx="1">
                  <c:v>65.1084081344151</c:v>
                </c:pt>
                <c:pt idx="2">
                  <c:v>65.1084081344151</c:v>
                </c:pt>
                <c:pt idx="3">
                  <c:v>65.1084081344151</c:v>
                </c:pt>
                <c:pt idx="4">
                  <c:v>65.1084081344151</c:v>
                </c:pt>
                <c:pt idx="5">
                  <c:v>65.1084081344151</c:v>
                </c:pt>
                <c:pt idx="6">
                  <c:v>65.1084081344151</c:v>
                </c:pt>
                <c:pt idx="7">
                  <c:v>65.1084081344151</c:v>
                </c:pt>
                <c:pt idx="8">
                  <c:v>65.1084081344151</c:v>
                </c:pt>
                <c:pt idx="9">
                  <c:v>65.1084081344151</c:v>
                </c:pt>
                <c:pt idx="10">
                  <c:v>65.1084081344151</c:v>
                </c:pt>
                <c:pt idx="11">
                  <c:v>65.1084081344151</c:v>
                </c:pt>
                <c:pt idx="12">
                  <c:v>65.1084081344151</c:v>
                </c:pt>
                <c:pt idx="13">
                  <c:v>65.1084081344151</c:v>
                </c:pt>
                <c:pt idx="14">
                  <c:v>65.1084081344151</c:v>
                </c:pt>
                <c:pt idx="15">
                  <c:v>65.1084081344151</c:v>
                </c:pt>
                <c:pt idx="16">
                  <c:v>65.1084081344151</c:v>
                </c:pt>
                <c:pt idx="17">
                  <c:v>65.1084081344151</c:v>
                </c:pt>
                <c:pt idx="18">
                  <c:v>65.1084081344151</c:v>
                </c:pt>
                <c:pt idx="19">
                  <c:v>65.1084081344151</c:v>
                </c:pt>
                <c:pt idx="20">
                  <c:v>65.1084081344151</c:v>
                </c:pt>
                <c:pt idx="21">
                  <c:v>65.1084081344151</c:v>
                </c:pt>
                <c:pt idx="22">
                  <c:v>65.1084081344151</c:v>
                </c:pt>
                <c:pt idx="23">
                  <c:v>65.1084081344151</c:v>
                </c:pt>
                <c:pt idx="24">
                  <c:v>65.1084081344151</c:v>
                </c:pt>
                <c:pt idx="25">
                  <c:v>65.1084081344151</c:v>
                </c:pt>
                <c:pt idx="26">
                  <c:v>65.1084081344151</c:v>
                </c:pt>
                <c:pt idx="27">
                  <c:v>65.1084081344151</c:v>
                </c:pt>
                <c:pt idx="28">
                  <c:v>65.1084081344151</c:v>
                </c:pt>
                <c:pt idx="29">
                  <c:v>65.1084081344151</c:v>
                </c:pt>
                <c:pt idx="30">
                  <c:v>65.1084081344151</c:v>
                </c:pt>
                <c:pt idx="31">
                  <c:v>65.1084081344151</c:v>
                </c:pt>
                <c:pt idx="32">
                  <c:v>65.1084081344151</c:v>
                </c:pt>
                <c:pt idx="33">
                  <c:v>65.1084081344151</c:v>
                </c:pt>
                <c:pt idx="34">
                  <c:v>65.1084081344151</c:v>
                </c:pt>
                <c:pt idx="35">
                  <c:v>65.1084081344151</c:v>
                </c:pt>
                <c:pt idx="36">
                  <c:v>65.1084081344151</c:v>
                </c:pt>
                <c:pt idx="37">
                  <c:v>65.1084081344151</c:v>
                </c:pt>
                <c:pt idx="38">
                  <c:v>65.1084081344151</c:v>
                </c:pt>
                <c:pt idx="39">
                  <c:v>65.1084081344151</c:v>
                </c:pt>
                <c:pt idx="40">
                  <c:v>65.1084081344151</c:v>
                </c:pt>
                <c:pt idx="41">
                  <c:v>65.1084081344151</c:v>
                </c:pt>
                <c:pt idx="42">
                  <c:v>65.1084081344151</c:v>
                </c:pt>
                <c:pt idx="43">
                  <c:v>65.1084081344151</c:v>
                </c:pt>
                <c:pt idx="44">
                  <c:v>65.1084081344151</c:v>
                </c:pt>
                <c:pt idx="45">
                  <c:v>65.1084081344151</c:v>
                </c:pt>
                <c:pt idx="46">
                  <c:v>65.1084081344151</c:v>
                </c:pt>
                <c:pt idx="47">
                  <c:v>65.1084081344151</c:v>
                </c:pt>
                <c:pt idx="48">
                  <c:v>65.1084081344151</c:v>
                </c:pt>
                <c:pt idx="49">
                  <c:v>65.1084081344151</c:v>
                </c:pt>
                <c:pt idx="50">
                  <c:v>65.1084081344151</c:v>
                </c:pt>
                <c:pt idx="51">
                  <c:v>65.1084081344151</c:v>
                </c:pt>
                <c:pt idx="52">
                  <c:v>65.1084081344151</c:v>
                </c:pt>
                <c:pt idx="53">
                  <c:v>65.1084081344151</c:v>
                </c:pt>
                <c:pt idx="54">
                  <c:v>65.1084081344151</c:v>
                </c:pt>
                <c:pt idx="55">
                  <c:v>65.1084081344151</c:v>
                </c:pt>
                <c:pt idx="56">
                  <c:v>65.1084081344151</c:v>
                </c:pt>
                <c:pt idx="57">
                  <c:v>65.1084081344151</c:v>
                </c:pt>
                <c:pt idx="58">
                  <c:v>65.1084081344151</c:v>
                </c:pt>
                <c:pt idx="59">
                  <c:v>65.1084081344151</c:v>
                </c:pt>
                <c:pt idx="60">
                  <c:v>65.1084081344151</c:v>
                </c:pt>
                <c:pt idx="61">
                  <c:v>65.1084081344151</c:v>
                </c:pt>
                <c:pt idx="62">
                  <c:v>65.1084081344151</c:v>
                </c:pt>
                <c:pt idx="63">
                  <c:v>65.1084081344151</c:v>
                </c:pt>
                <c:pt idx="64">
                  <c:v>65.1084081344151</c:v>
                </c:pt>
                <c:pt idx="65">
                  <c:v>65.1084081344151</c:v>
                </c:pt>
                <c:pt idx="66">
                  <c:v>65.1084081344151</c:v>
                </c:pt>
                <c:pt idx="67">
                  <c:v>65.1084081344151</c:v>
                </c:pt>
                <c:pt idx="68">
                  <c:v>65.1084081344151</c:v>
                </c:pt>
                <c:pt idx="69">
                  <c:v>65.1084081344151</c:v>
                </c:pt>
                <c:pt idx="70">
                  <c:v>65.1084081344151</c:v>
                </c:pt>
                <c:pt idx="71">
                  <c:v>65.1084081344151</c:v>
                </c:pt>
                <c:pt idx="72">
                  <c:v>65.1084081344151</c:v>
                </c:pt>
                <c:pt idx="73">
                  <c:v>65.1084081344151</c:v>
                </c:pt>
                <c:pt idx="74">
                  <c:v>65.1084081344151</c:v>
                </c:pt>
                <c:pt idx="75">
                  <c:v>65.1084081344151</c:v>
                </c:pt>
                <c:pt idx="76">
                  <c:v>65.1084081344151</c:v>
                </c:pt>
                <c:pt idx="77">
                  <c:v>65.1084081344151</c:v>
                </c:pt>
                <c:pt idx="78">
                  <c:v>65.1084081344151</c:v>
                </c:pt>
                <c:pt idx="79">
                  <c:v>65.1084081344151</c:v>
                </c:pt>
                <c:pt idx="80">
                  <c:v>65.1084081344151</c:v>
                </c:pt>
                <c:pt idx="81">
                  <c:v>65.1084081344151</c:v>
                </c:pt>
                <c:pt idx="82">
                  <c:v>65.1084081344151</c:v>
                </c:pt>
                <c:pt idx="83">
                  <c:v>65.1084081344151</c:v>
                </c:pt>
                <c:pt idx="84">
                  <c:v>65.1084081344151</c:v>
                </c:pt>
                <c:pt idx="85">
                  <c:v>65.1084081344151</c:v>
                </c:pt>
                <c:pt idx="86">
                  <c:v>65.1084081344151</c:v>
                </c:pt>
                <c:pt idx="87">
                  <c:v>65.1084081344151</c:v>
                </c:pt>
                <c:pt idx="88">
                  <c:v>65.1084081344151</c:v>
                </c:pt>
                <c:pt idx="89">
                  <c:v>65.1084081344151</c:v>
                </c:pt>
                <c:pt idx="90">
                  <c:v>65.1084081344151</c:v>
                </c:pt>
                <c:pt idx="91">
                  <c:v>65.1084081344151</c:v>
                </c:pt>
                <c:pt idx="92">
                  <c:v>65.1084081344151</c:v>
                </c:pt>
                <c:pt idx="93">
                  <c:v>65.1084081344151</c:v>
                </c:pt>
                <c:pt idx="94">
                  <c:v>65.1084081344151</c:v>
                </c:pt>
                <c:pt idx="95">
                  <c:v>65.1084081344151</c:v>
                </c:pt>
                <c:pt idx="96">
                  <c:v>65.1084081344151</c:v>
                </c:pt>
                <c:pt idx="97">
                  <c:v>65.1084081344151</c:v>
                </c:pt>
                <c:pt idx="98">
                  <c:v>65.1084081344151</c:v>
                </c:pt>
                <c:pt idx="99">
                  <c:v>65.1084081344151</c:v>
                </c:pt>
                <c:pt idx="100">
                  <c:v>65.1084081344151</c:v>
                </c:pt>
                <c:pt idx="101">
                  <c:v>65.1084081344151</c:v>
                </c:pt>
                <c:pt idx="102">
                  <c:v>65.1084081344151</c:v>
                </c:pt>
                <c:pt idx="103">
                  <c:v>65.1084081344151</c:v>
                </c:pt>
                <c:pt idx="104">
                  <c:v>65.1084081344151</c:v>
                </c:pt>
                <c:pt idx="105">
                  <c:v>65.1084081344151</c:v>
                </c:pt>
                <c:pt idx="106">
                  <c:v>65.1084081344151</c:v>
                </c:pt>
                <c:pt idx="107">
                  <c:v>65.1084081344151</c:v>
                </c:pt>
                <c:pt idx="108">
                  <c:v>65.1084081344151</c:v>
                </c:pt>
                <c:pt idx="109">
                  <c:v>65.1084081344151</c:v>
                </c:pt>
                <c:pt idx="110">
                  <c:v>65.1084081344151</c:v>
                </c:pt>
                <c:pt idx="111">
                  <c:v>65.1084081344151</c:v>
                </c:pt>
                <c:pt idx="112">
                  <c:v>65.1084081344151</c:v>
                </c:pt>
                <c:pt idx="113">
                  <c:v>65.1084081344151</c:v>
                </c:pt>
                <c:pt idx="114">
                  <c:v>65.1084081344151</c:v>
                </c:pt>
                <c:pt idx="115">
                  <c:v>65.1084081344151</c:v>
                </c:pt>
                <c:pt idx="116">
                  <c:v>65.1084081344151</c:v>
                </c:pt>
                <c:pt idx="117">
                  <c:v>65.1084081344151</c:v>
                </c:pt>
                <c:pt idx="118">
                  <c:v>65.1084081344151</c:v>
                </c:pt>
                <c:pt idx="119">
                  <c:v>65.1084081344151</c:v>
                </c:pt>
                <c:pt idx="120">
                  <c:v>65.1084081344151</c:v>
                </c:pt>
                <c:pt idx="121">
                  <c:v>65.1084081344151</c:v>
                </c:pt>
                <c:pt idx="122">
                  <c:v>65.1084081344151</c:v>
                </c:pt>
                <c:pt idx="123">
                  <c:v>65.1084081344151</c:v>
                </c:pt>
                <c:pt idx="124">
                  <c:v>65.1084081344151</c:v>
                </c:pt>
                <c:pt idx="125">
                  <c:v>65.1084081344151</c:v>
                </c:pt>
                <c:pt idx="126">
                  <c:v>65.1084081344151</c:v>
                </c:pt>
                <c:pt idx="127">
                  <c:v>65.1084081344151</c:v>
                </c:pt>
                <c:pt idx="128">
                  <c:v>65.1084081344151</c:v>
                </c:pt>
                <c:pt idx="129">
                  <c:v>65.1084081344151</c:v>
                </c:pt>
                <c:pt idx="130">
                  <c:v>65.1084081344151</c:v>
                </c:pt>
                <c:pt idx="131">
                  <c:v>65.1084081344151</c:v>
                </c:pt>
                <c:pt idx="132">
                  <c:v>65.1084081344151</c:v>
                </c:pt>
                <c:pt idx="133">
                  <c:v>65.1084081344151</c:v>
                </c:pt>
                <c:pt idx="134">
                  <c:v>65.1084081344151</c:v>
                </c:pt>
              </c:numCache>
            </c:numRef>
          </c:val>
          <c:smooth val="0"/>
          <c:extLst>
            <c:ext xmlns:c16="http://schemas.microsoft.com/office/drawing/2014/chart" uri="{C3380CC4-5D6E-409C-BE32-E72D297353CC}">
              <c16:uniqueId val="{00000001-7C6C-4BD0-9F4A-6449C753B79C}"/>
            </c:ext>
          </c:extLst>
        </c:ser>
        <c:ser>
          <c:idx val="2"/>
          <c:order val="2"/>
          <c:tx>
            <c:strRef>
              <c:f>Summary!$V$86</c:f>
              <c:strCache>
                <c:ptCount val="1"/>
                <c:pt idx="0">
                  <c:v>SHOP Trough EV/EBITDA</c:v>
                </c:pt>
              </c:strCache>
            </c:strRef>
          </c:tx>
          <c:spPr>
            <a:ln w="28575" cap="rnd">
              <a:solidFill>
                <a:schemeClr val="accent1"/>
              </a:solidFill>
              <a:round/>
            </a:ln>
            <a:effectLst/>
          </c:spPr>
          <c:marker>
            <c:symbol val="none"/>
          </c:marker>
          <c:cat>
            <c:numRef>
              <c:f>Summary!$B$452:$B$586</c:f>
              <c:numCache>
                <c:formatCode>m/d/yyyy</c:formatCode>
                <c:ptCount val="135"/>
                <c:pt idx="0">
                  <c:v>45296</c:v>
                </c:pt>
                <c:pt idx="1">
                  <c:v>45303</c:v>
                </c:pt>
                <c:pt idx="2">
                  <c:v>45310</c:v>
                </c:pt>
                <c:pt idx="3">
                  <c:v>45317</c:v>
                </c:pt>
                <c:pt idx="4">
                  <c:v>45324</c:v>
                </c:pt>
                <c:pt idx="5">
                  <c:v>45331</c:v>
                </c:pt>
                <c:pt idx="6">
                  <c:v>45338</c:v>
                </c:pt>
                <c:pt idx="7">
                  <c:v>45345</c:v>
                </c:pt>
                <c:pt idx="8">
                  <c:v>45352</c:v>
                </c:pt>
                <c:pt idx="9">
                  <c:v>45359</c:v>
                </c:pt>
                <c:pt idx="10">
                  <c:v>45366</c:v>
                </c:pt>
                <c:pt idx="11">
                  <c:v>45373</c:v>
                </c:pt>
                <c:pt idx="12">
                  <c:v>45380</c:v>
                </c:pt>
                <c:pt idx="13">
                  <c:v>45387</c:v>
                </c:pt>
                <c:pt idx="14">
                  <c:v>45394</c:v>
                </c:pt>
                <c:pt idx="15">
                  <c:v>45401</c:v>
                </c:pt>
                <c:pt idx="16">
                  <c:v>45408</c:v>
                </c:pt>
                <c:pt idx="17">
                  <c:v>45415</c:v>
                </c:pt>
                <c:pt idx="18">
                  <c:v>45422</c:v>
                </c:pt>
                <c:pt idx="19">
                  <c:v>45429</c:v>
                </c:pt>
                <c:pt idx="20">
                  <c:v>45436</c:v>
                </c:pt>
                <c:pt idx="21">
                  <c:v>45443</c:v>
                </c:pt>
                <c:pt idx="22">
                  <c:v>45450</c:v>
                </c:pt>
                <c:pt idx="23">
                  <c:v>45457</c:v>
                </c:pt>
                <c:pt idx="24">
                  <c:v>45464</c:v>
                </c:pt>
                <c:pt idx="25">
                  <c:v>45471</c:v>
                </c:pt>
                <c:pt idx="26">
                  <c:v>45478</c:v>
                </c:pt>
                <c:pt idx="27">
                  <c:v>45485</c:v>
                </c:pt>
                <c:pt idx="28">
                  <c:v>45492</c:v>
                </c:pt>
                <c:pt idx="29">
                  <c:v>45499</c:v>
                </c:pt>
                <c:pt idx="30">
                  <c:v>45506</c:v>
                </c:pt>
                <c:pt idx="31">
                  <c:v>45513</c:v>
                </c:pt>
                <c:pt idx="32">
                  <c:v>45520</c:v>
                </c:pt>
                <c:pt idx="33">
                  <c:v>45527</c:v>
                </c:pt>
                <c:pt idx="34">
                  <c:v>45534</c:v>
                </c:pt>
                <c:pt idx="35">
                  <c:v>45541</c:v>
                </c:pt>
                <c:pt idx="36">
                  <c:v>45548</c:v>
                </c:pt>
                <c:pt idx="37">
                  <c:v>45555</c:v>
                </c:pt>
                <c:pt idx="38">
                  <c:v>45562</c:v>
                </c:pt>
                <c:pt idx="39">
                  <c:v>45569</c:v>
                </c:pt>
                <c:pt idx="40">
                  <c:v>45576</c:v>
                </c:pt>
                <c:pt idx="41">
                  <c:v>45583</c:v>
                </c:pt>
                <c:pt idx="42">
                  <c:v>45590</c:v>
                </c:pt>
                <c:pt idx="43">
                  <c:v>45597</c:v>
                </c:pt>
                <c:pt idx="44">
                  <c:v>45604</c:v>
                </c:pt>
                <c:pt idx="45">
                  <c:v>45611</c:v>
                </c:pt>
                <c:pt idx="46">
                  <c:v>45618</c:v>
                </c:pt>
                <c:pt idx="47">
                  <c:v>45625</c:v>
                </c:pt>
                <c:pt idx="48">
                  <c:v>45632</c:v>
                </c:pt>
                <c:pt idx="49">
                  <c:v>45639</c:v>
                </c:pt>
                <c:pt idx="50">
                  <c:v>45646</c:v>
                </c:pt>
                <c:pt idx="51">
                  <c:v>45653</c:v>
                </c:pt>
                <c:pt idx="52">
                  <c:v>45660</c:v>
                </c:pt>
                <c:pt idx="53">
                  <c:v>45667</c:v>
                </c:pt>
                <c:pt idx="54">
                  <c:v>45674</c:v>
                </c:pt>
                <c:pt idx="55">
                  <c:v>45681</c:v>
                </c:pt>
                <c:pt idx="56">
                  <c:v>45688</c:v>
                </c:pt>
                <c:pt idx="57">
                  <c:v>45695</c:v>
                </c:pt>
                <c:pt idx="58">
                  <c:v>45702</c:v>
                </c:pt>
                <c:pt idx="59">
                  <c:v>45709</c:v>
                </c:pt>
                <c:pt idx="60">
                  <c:v>45716</c:v>
                </c:pt>
                <c:pt idx="61">
                  <c:v>45723</c:v>
                </c:pt>
                <c:pt idx="62">
                  <c:v>45730</c:v>
                </c:pt>
                <c:pt idx="63">
                  <c:v>45737</c:v>
                </c:pt>
                <c:pt idx="64">
                  <c:v>45744</c:v>
                </c:pt>
                <c:pt idx="65">
                  <c:v>45751</c:v>
                </c:pt>
                <c:pt idx="66">
                  <c:v>45758</c:v>
                </c:pt>
                <c:pt idx="67">
                  <c:v>45765</c:v>
                </c:pt>
                <c:pt idx="68">
                  <c:v>45772</c:v>
                </c:pt>
                <c:pt idx="69">
                  <c:v>45779</c:v>
                </c:pt>
                <c:pt idx="70">
                  <c:v>45786</c:v>
                </c:pt>
                <c:pt idx="71">
                  <c:v>45793</c:v>
                </c:pt>
                <c:pt idx="72">
                  <c:v>45800</c:v>
                </c:pt>
                <c:pt idx="73">
                  <c:v>45807</c:v>
                </c:pt>
                <c:pt idx="74">
                  <c:v>45814</c:v>
                </c:pt>
                <c:pt idx="75">
                  <c:v>45821</c:v>
                </c:pt>
                <c:pt idx="76">
                  <c:v>45828</c:v>
                </c:pt>
                <c:pt idx="77">
                  <c:v>45835</c:v>
                </c:pt>
                <c:pt idx="78">
                  <c:v>45842</c:v>
                </c:pt>
                <c:pt idx="79">
                  <c:v>45849</c:v>
                </c:pt>
                <c:pt idx="80">
                  <c:v>45856</c:v>
                </c:pt>
                <c:pt idx="81">
                  <c:v>45863</c:v>
                </c:pt>
                <c:pt idx="82">
                  <c:v>45870</c:v>
                </c:pt>
                <c:pt idx="83">
                  <c:v>45877</c:v>
                </c:pt>
                <c:pt idx="84">
                  <c:v>45884</c:v>
                </c:pt>
                <c:pt idx="85">
                  <c:v>45891</c:v>
                </c:pt>
                <c:pt idx="86">
                  <c:v>45898</c:v>
                </c:pt>
                <c:pt idx="87">
                  <c:v>45905</c:v>
                </c:pt>
                <c:pt idx="88">
                  <c:v>45912</c:v>
                </c:pt>
                <c:pt idx="89">
                  <c:v>45919</c:v>
                </c:pt>
                <c:pt idx="90">
                  <c:v>45926</c:v>
                </c:pt>
                <c:pt idx="91">
                  <c:v>45933</c:v>
                </c:pt>
                <c:pt idx="92">
                  <c:v>45940</c:v>
                </c:pt>
                <c:pt idx="93">
                  <c:v>45947</c:v>
                </c:pt>
                <c:pt idx="94">
                  <c:v>45954</c:v>
                </c:pt>
                <c:pt idx="95">
                  <c:v>45961</c:v>
                </c:pt>
                <c:pt idx="96">
                  <c:v>45968</c:v>
                </c:pt>
                <c:pt idx="97">
                  <c:v>45975</c:v>
                </c:pt>
                <c:pt idx="98">
                  <c:v>45982</c:v>
                </c:pt>
                <c:pt idx="99">
                  <c:v>45989</c:v>
                </c:pt>
                <c:pt idx="100">
                  <c:v>45996</c:v>
                </c:pt>
                <c:pt idx="101">
                  <c:v>46003</c:v>
                </c:pt>
                <c:pt idx="102">
                  <c:v>46010</c:v>
                </c:pt>
                <c:pt idx="103">
                  <c:v>46017</c:v>
                </c:pt>
                <c:pt idx="104">
                  <c:v>46024</c:v>
                </c:pt>
                <c:pt idx="105">
                  <c:v>46031</c:v>
                </c:pt>
                <c:pt idx="106">
                  <c:v>46038</c:v>
                </c:pt>
                <c:pt idx="107">
                  <c:v>46045</c:v>
                </c:pt>
                <c:pt idx="108">
                  <c:v>46052</c:v>
                </c:pt>
                <c:pt idx="109">
                  <c:v>46059</c:v>
                </c:pt>
                <c:pt idx="110">
                  <c:v>46066</c:v>
                </c:pt>
                <c:pt idx="111">
                  <c:v>46073</c:v>
                </c:pt>
                <c:pt idx="112">
                  <c:v>46080</c:v>
                </c:pt>
                <c:pt idx="113">
                  <c:v>46087</c:v>
                </c:pt>
                <c:pt idx="114">
                  <c:v>46094</c:v>
                </c:pt>
                <c:pt idx="115">
                  <c:v>46101</c:v>
                </c:pt>
                <c:pt idx="116">
                  <c:v>46108</c:v>
                </c:pt>
                <c:pt idx="117">
                  <c:v>46115</c:v>
                </c:pt>
                <c:pt idx="118">
                  <c:v>46122</c:v>
                </c:pt>
                <c:pt idx="119">
                  <c:v>46129</c:v>
                </c:pt>
                <c:pt idx="120">
                  <c:v>46136</c:v>
                </c:pt>
                <c:pt idx="121">
                  <c:v>46143</c:v>
                </c:pt>
                <c:pt idx="122">
                  <c:v>46150</c:v>
                </c:pt>
                <c:pt idx="123">
                  <c:v>46157</c:v>
                </c:pt>
                <c:pt idx="124">
                  <c:v>46164</c:v>
                </c:pt>
                <c:pt idx="125">
                  <c:v>46171</c:v>
                </c:pt>
                <c:pt idx="126">
                  <c:v>46178</c:v>
                </c:pt>
                <c:pt idx="127">
                  <c:v>46185</c:v>
                </c:pt>
                <c:pt idx="128">
                  <c:v>46192</c:v>
                </c:pt>
                <c:pt idx="129">
                  <c:v>46199</c:v>
                </c:pt>
                <c:pt idx="130">
                  <c:v>46206</c:v>
                </c:pt>
                <c:pt idx="131">
                  <c:v>46213</c:v>
                </c:pt>
                <c:pt idx="132">
                  <c:v>46220</c:v>
                </c:pt>
                <c:pt idx="133">
                  <c:v>46227</c:v>
                </c:pt>
                <c:pt idx="134">
                  <c:v>46234</c:v>
                </c:pt>
              </c:numCache>
            </c:numRef>
          </c:cat>
          <c:val>
            <c:numRef>
              <c:f>Summary!$V$452:$V$586</c:f>
              <c:numCache>
                <c:formatCode>0.0\x_);\(0.0\x\)</c:formatCode>
                <c:ptCount val="135"/>
                <c:pt idx="0">
                  <c:v>41.021279401540347</c:v>
                </c:pt>
                <c:pt idx="1">
                  <c:v>41.021279401540347</c:v>
                </c:pt>
                <c:pt idx="2">
                  <c:v>41.021279401540347</c:v>
                </c:pt>
                <c:pt idx="3">
                  <c:v>41.021279401540347</c:v>
                </c:pt>
                <c:pt idx="4">
                  <c:v>41.021279401540347</c:v>
                </c:pt>
                <c:pt idx="5">
                  <c:v>41.021279401540347</c:v>
                </c:pt>
                <c:pt idx="6">
                  <c:v>41.021279401540347</c:v>
                </c:pt>
                <c:pt idx="7">
                  <c:v>41.021279401540347</c:v>
                </c:pt>
                <c:pt idx="8">
                  <c:v>41.021279401540347</c:v>
                </c:pt>
                <c:pt idx="9">
                  <c:v>41.021279401540347</c:v>
                </c:pt>
                <c:pt idx="10">
                  <c:v>41.021279401540347</c:v>
                </c:pt>
                <c:pt idx="11">
                  <c:v>41.021279401540347</c:v>
                </c:pt>
                <c:pt idx="12">
                  <c:v>41.021279401540347</c:v>
                </c:pt>
                <c:pt idx="13">
                  <c:v>41.021279401540347</c:v>
                </c:pt>
                <c:pt idx="14">
                  <c:v>41.021279401540347</c:v>
                </c:pt>
                <c:pt idx="15">
                  <c:v>41.021279401540347</c:v>
                </c:pt>
                <c:pt idx="16">
                  <c:v>41.021279401540347</c:v>
                </c:pt>
                <c:pt idx="17">
                  <c:v>41.021279401540347</c:v>
                </c:pt>
                <c:pt idx="18">
                  <c:v>41.021279401540347</c:v>
                </c:pt>
                <c:pt idx="19">
                  <c:v>41.021279401540347</c:v>
                </c:pt>
                <c:pt idx="20">
                  <c:v>41.021279401540347</c:v>
                </c:pt>
                <c:pt idx="21">
                  <c:v>41.021279401540347</c:v>
                </c:pt>
                <c:pt idx="22">
                  <c:v>41.021279401540347</c:v>
                </c:pt>
                <c:pt idx="23">
                  <c:v>41.021279401540347</c:v>
                </c:pt>
                <c:pt idx="24">
                  <c:v>41.021279401540347</c:v>
                </c:pt>
                <c:pt idx="25">
                  <c:v>41.021279401540347</c:v>
                </c:pt>
                <c:pt idx="26">
                  <c:v>41.021279401540347</c:v>
                </c:pt>
                <c:pt idx="27">
                  <c:v>41.021279401540347</c:v>
                </c:pt>
                <c:pt idx="28">
                  <c:v>41.021279401540347</c:v>
                </c:pt>
                <c:pt idx="29">
                  <c:v>41.021279401540347</c:v>
                </c:pt>
                <c:pt idx="30">
                  <c:v>41.021279401540347</c:v>
                </c:pt>
                <c:pt idx="31">
                  <c:v>41.021279401540347</c:v>
                </c:pt>
                <c:pt idx="32">
                  <c:v>41.021279401540347</c:v>
                </c:pt>
                <c:pt idx="33">
                  <c:v>41.021279401540347</c:v>
                </c:pt>
                <c:pt idx="34">
                  <c:v>41.021279401540347</c:v>
                </c:pt>
                <c:pt idx="35">
                  <c:v>41.021279401540347</c:v>
                </c:pt>
                <c:pt idx="36">
                  <c:v>41.021279401540347</c:v>
                </c:pt>
                <c:pt idx="37">
                  <c:v>41.021279401540347</c:v>
                </c:pt>
                <c:pt idx="38">
                  <c:v>41.021279401540347</c:v>
                </c:pt>
                <c:pt idx="39">
                  <c:v>41.021279401540347</c:v>
                </c:pt>
                <c:pt idx="40">
                  <c:v>41.021279401540347</c:v>
                </c:pt>
                <c:pt idx="41">
                  <c:v>41.021279401540347</c:v>
                </c:pt>
                <c:pt idx="42">
                  <c:v>41.021279401540347</c:v>
                </c:pt>
                <c:pt idx="43">
                  <c:v>41.021279401540347</c:v>
                </c:pt>
                <c:pt idx="44">
                  <c:v>41.021279401540347</c:v>
                </c:pt>
                <c:pt idx="45">
                  <c:v>41.021279401540347</c:v>
                </c:pt>
                <c:pt idx="46">
                  <c:v>41.021279401540347</c:v>
                </c:pt>
                <c:pt idx="47">
                  <c:v>41.021279401540347</c:v>
                </c:pt>
                <c:pt idx="48">
                  <c:v>41.021279401540347</c:v>
                </c:pt>
                <c:pt idx="49">
                  <c:v>41.021279401540347</c:v>
                </c:pt>
                <c:pt idx="50">
                  <c:v>41.021279401540347</c:v>
                </c:pt>
                <c:pt idx="51">
                  <c:v>41.021279401540347</c:v>
                </c:pt>
                <c:pt idx="52">
                  <c:v>41.021279401540347</c:v>
                </c:pt>
                <c:pt idx="53">
                  <c:v>41.021279401540347</c:v>
                </c:pt>
                <c:pt idx="54">
                  <c:v>41.021279401540347</c:v>
                </c:pt>
                <c:pt idx="55">
                  <c:v>41.021279401540347</c:v>
                </c:pt>
                <c:pt idx="56">
                  <c:v>41.021279401540347</c:v>
                </c:pt>
                <c:pt idx="57">
                  <c:v>41.021279401540347</c:v>
                </c:pt>
                <c:pt idx="58">
                  <c:v>41.021279401540347</c:v>
                </c:pt>
                <c:pt idx="59">
                  <c:v>41.021279401540347</c:v>
                </c:pt>
                <c:pt idx="60">
                  <c:v>41.021279401540347</c:v>
                </c:pt>
                <c:pt idx="61">
                  <c:v>41.021279401540347</c:v>
                </c:pt>
                <c:pt idx="62">
                  <c:v>41.021279401540347</c:v>
                </c:pt>
                <c:pt idx="63">
                  <c:v>41.021279401540347</c:v>
                </c:pt>
                <c:pt idx="64">
                  <c:v>41.021279401540347</c:v>
                </c:pt>
                <c:pt idx="65">
                  <c:v>41.021279401540347</c:v>
                </c:pt>
                <c:pt idx="66">
                  <c:v>41.021279401540347</c:v>
                </c:pt>
                <c:pt idx="67">
                  <c:v>41.021279401540347</c:v>
                </c:pt>
                <c:pt idx="68">
                  <c:v>41.021279401540347</c:v>
                </c:pt>
                <c:pt idx="69">
                  <c:v>41.021279401540347</c:v>
                </c:pt>
                <c:pt idx="70">
                  <c:v>41.021279401540347</c:v>
                </c:pt>
                <c:pt idx="71">
                  <c:v>41.021279401540347</c:v>
                </c:pt>
                <c:pt idx="72">
                  <c:v>41.021279401540347</c:v>
                </c:pt>
                <c:pt idx="73">
                  <c:v>41.021279401540347</c:v>
                </c:pt>
                <c:pt idx="74">
                  <c:v>41.021279401540347</c:v>
                </c:pt>
                <c:pt idx="75">
                  <c:v>41.021279401540347</c:v>
                </c:pt>
                <c:pt idx="76">
                  <c:v>41.021279401540347</c:v>
                </c:pt>
                <c:pt idx="77">
                  <c:v>41.021279401540347</c:v>
                </c:pt>
                <c:pt idx="78">
                  <c:v>41.021279401540347</c:v>
                </c:pt>
                <c:pt idx="79">
                  <c:v>41.021279401540347</c:v>
                </c:pt>
                <c:pt idx="80">
                  <c:v>41.021279401540347</c:v>
                </c:pt>
                <c:pt idx="81">
                  <c:v>41.021279401540347</c:v>
                </c:pt>
                <c:pt idx="82">
                  <c:v>41.021279401540347</c:v>
                </c:pt>
                <c:pt idx="83">
                  <c:v>41.021279401540347</c:v>
                </c:pt>
                <c:pt idx="84">
                  <c:v>41.021279401540347</c:v>
                </c:pt>
                <c:pt idx="85">
                  <c:v>41.021279401540347</c:v>
                </c:pt>
                <c:pt idx="86">
                  <c:v>41.021279401540347</c:v>
                </c:pt>
                <c:pt idx="87">
                  <c:v>41.021279401540347</c:v>
                </c:pt>
                <c:pt idx="88">
                  <c:v>41.021279401540347</c:v>
                </c:pt>
                <c:pt idx="89">
                  <c:v>41.021279401540347</c:v>
                </c:pt>
                <c:pt idx="90">
                  <c:v>41.021279401540347</c:v>
                </c:pt>
                <c:pt idx="91">
                  <c:v>41.021279401540347</c:v>
                </c:pt>
                <c:pt idx="92">
                  <c:v>41.021279401540347</c:v>
                </c:pt>
                <c:pt idx="93">
                  <c:v>41.021279401540347</c:v>
                </c:pt>
                <c:pt idx="94">
                  <c:v>41.021279401540347</c:v>
                </c:pt>
                <c:pt idx="95">
                  <c:v>41.021279401540347</c:v>
                </c:pt>
                <c:pt idx="96">
                  <c:v>41.021279401540347</c:v>
                </c:pt>
                <c:pt idx="97">
                  <c:v>41.021279401540347</c:v>
                </c:pt>
                <c:pt idx="98">
                  <c:v>41.021279401540347</c:v>
                </c:pt>
                <c:pt idx="99">
                  <c:v>41.021279401540347</c:v>
                </c:pt>
                <c:pt idx="100">
                  <c:v>41.021279401540347</c:v>
                </c:pt>
                <c:pt idx="101">
                  <c:v>41.021279401540347</c:v>
                </c:pt>
                <c:pt idx="102">
                  <c:v>41.021279401540347</c:v>
                </c:pt>
                <c:pt idx="103">
                  <c:v>41.021279401540347</c:v>
                </c:pt>
                <c:pt idx="104">
                  <c:v>41.021279401540347</c:v>
                </c:pt>
                <c:pt idx="105">
                  <c:v>41.021279401540347</c:v>
                </c:pt>
                <c:pt idx="106">
                  <c:v>41.021279401540347</c:v>
                </c:pt>
                <c:pt idx="107">
                  <c:v>41.021279401540347</c:v>
                </c:pt>
                <c:pt idx="108">
                  <c:v>41.021279401540347</c:v>
                </c:pt>
                <c:pt idx="109">
                  <c:v>41.021279401540347</c:v>
                </c:pt>
                <c:pt idx="110">
                  <c:v>41.021279401540347</c:v>
                </c:pt>
                <c:pt idx="111">
                  <c:v>41.021279401540347</c:v>
                </c:pt>
                <c:pt idx="112">
                  <c:v>41.021279401540347</c:v>
                </c:pt>
                <c:pt idx="113">
                  <c:v>41.021279401540347</c:v>
                </c:pt>
                <c:pt idx="114">
                  <c:v>41.021279401540347</c:v>
                </c:pt>
                <c:pt idx="115">
                  <c:v>41.021279401540347</c:v>
                </c:pt>
                <c:pt idx="116">
                  <c:v>41.021279401540347</c:v>
                </c:pt>
                <c:pt idx="117">
                  <c:v>41.021279401540347</c:v>
                </c:pt>
                <c:pt idx="118">
                  <c:v>41.021279401540347</c:v>
                </c:pt>
                <c:pt idx="119">
                  <c:v>41.021279401540347</c:v>
                </c:pt>
                <c:pt idx="120">
                  <c:v>41.021279401540347</c:v>
                </c:pt>
                <c:pt idx="121">
                  <c:v>41.021279401540347</c:v>
                </c:pt>
                <c:pt idx="122">
                  <c:v>41.021279401540347</c:v>
                </c:pt>
                <c:pt idx="123">
                  <c:v>41.021279401540347</c:v>
                </c:pt>
                <c:pt idx="124">
                  <c:v>41.021279401540347</c:v>
                </c:pt>
                <c:pt idx="125">
                  <c:v>41.021279401540347</c:v>
                </c:pt>
                <c:pt idx="126">
                  <c:v>41.021279401540347</c:v>
                </c:pt>
                <c:pt idx="127">
                  <c:v>41.021279401540347</c:v>
                </c:pt>
                <c:pt idx="128">
                  <c:v>41.021279401540347</c:v>
                </c:pt>
                <c:pt idx="129">
                  <c:v>41.021279401540347</c:v>
                </c:pt>
                <c:pt idx="130">
                  <c:v>41.021279401540347</c:v>
                </c:pt>
                <c:pt idx="131">
                  <c:v>41.021279401540347</c:v>
                </c:pt>
                <c:pt idx="132">
                  <c:v>41.021279401540347</c:v>
                </c:pt>
                <c:pt idx="133">
                  <c:v>41.021279401540347</c:v>
                </c:pt>
                <c:pt idx="134">
                  <c:v>41.021279401540347</c:v>
                </c:pt>
              </c:numCache>
            </c:numRef>
          </c:val>
          <c:smooth val="0"/>
          <c:extLst>
            <c:ext xmlns:c16="http://schemas.microsoft.com/office/drawing/2014/chart" uri="{C3380CC4-5D6E-409C-BE32-E72D297353CC}">
              <c16:uniqueId val="{00000002-7C6C-4BD0-9F4A-6449C753B79C}"/>
            </c:ext>
          </c:extLst>
        </c:ser>
        <c:ser>
          <c:idx val="3"/>
          <c:order val="3"/>
          <c:tx>
            <c:strRef>
              <c:f>Summary!$Z$86</c:f>
              <c:strCache>
                <c:ptCount val="1"/>
                <c:pt idx="0">
                  <c:v>eCom Software mean</c:v>
                </c:pt>
              </c:strCache>
            </c:strRef>
          </c:tx>
          <c:spPr>
            <a:ln w="28575" cap="rnd">
              <a:solidFill>
                <a:schemeClr val="accent1">
                  <a:lumMod val="75000"/>
                </a:schemeClr>
              </a:solidFill>
              <a:prstDash val="dash"/>
              <a:round/>
            </a:ln>
            <a:effectLst/>
          </c:spPr>
          <c:marker>
            <c:symbol val="none"/>
          </c:marker>
          <c:cat>
            <c:numRef>
              <c:f>Summary!$B$452:$B$586</c:f>
              <c:numCache>
                <c:formatCode>m/d/yyyy</c:formatCode>
                <c:ptCount val="135"/>
                <c:pt idx="0">
                  <c:v>45296</c:v>
                </c:pt>
                <c:pt idx="1">
                  <c:v>45303</c:v>
                </c:pt>
                <c:pt idx="2">
                  <c:v>45310</c:v>
                </c:pt>
                <c:pt idx="3">
                  <c:v>45317</c:v>
                </c:pt>
                <c:pt idx="4">
                  <c:v>45324</c:v>
                </c:pt>
                <c:pt idx="5">
                  <c:v>45331</c:v>
                </c:pt>
                <c:pt idx="6">
                  <c:v>45338</c:v>
                </c:pt>
                <c:pt idx="7">
                  <c:v>45345</c:v>
                </c:pt>
                <c:pt idx="8">
                  <c:v>45352</c:v>
                </c:pt>
                <c:pt idx="9">
                  <c:v>45359</c:v>
                </c:pt>
                <c:pt idx="10">
                  <c:v>45366</c:v>
                </c:pt>
                <c:pt idx="11">
                  <c:v>45373</c:v>
                </c:pt>
                <c:pt idx="12">
                  <c:v>45380</c:v>
                </c:pt>
                <c:pt idx="13">
                  <c:v>45387</c:v>
                </c:pt>
                <c:pt idx="14">
                  <c:v>45394</c:v>
                </c:pt>
                <c:pt idx="15">
                  <c:v>45401</c:v>
                </c:pt>
                <c:pt idx="16">
                  <c:v>45408</c:v>
                </c:pt>
                <c:pt idx="17">
                  <c:v>45415</c:v>
                </c:pt>
                <c:pt idx="18">
                  <c:v>45422</c:v>
                </c:pt>
                <c:pt idx="19">
                  <c:v>45429</c:v>
                </c:pt>
                <c:pt idx="20">
                  <c:v>45436</c:v>
                </c:pt>
                <c:pt idx="21">
                  <c:v>45443</c:v>
                </c:pt>
                <c:pt idx="22">
                  <c:v>45450</c:v>
                </c:pt>
                <c:pt idx="23">
                  <c:v>45457</c:v>
                </c:pt>
                <c:pt idx="24">
                  <c:v>45464</c:v>
                </c:pt>
                <c:pt idx="25">
                  <c:v>45471</c:v>
                </c:pt>
                <c:pt idx="26">
                  <c:v>45478</c:v>
                </c:pt>
                <c:pt idx="27">
                  <c:v>45485</c:v>
                </c:pt>
                <c:pt idx="28">
                  <c:v>45492</c:v>
                </c:pt>
                <c:pt idx="29">
                  <c:v>45499</c:v>
                </c:pt>
                <c:pt idx="30">
                  <c:v>45506</c:v>
                </c:pt>
                <c:pt idx="31">
                  <c:v>45513</c:v>
                </c:pt>
                <c:pt idx="32">
                  <c:v>45520</c:v>
                </c:pt>
                <c:pt idx="33">
                  <c:v>45527</c:v>
                </c:pt>
                <c:pt idx="34">
                  <c:v>45534</c:v>
                </c:pt>
                <c:pt idx="35">
                  <c:v>45541</c:v>
                </c:pt>
                <c:pt idx="36">
                  <c:v>45548</c:v>
                </c:pt>
                <c:pt idx="37">
                  <c:v>45555</c:v>
                </c:pt>
                <c:pt idx="38">
                  <c:v>45562</c:v>
                </c:pt>
                <c:pt idx="39">
                  <c:v>45569</c:v>
                </c:pt>
                <c:pt idx="40">
                  <c:v>45576</c:v>
                </c:pt>
                <c:pt idx="41">
                  <c:v>45583</c:v>
                </c:pt>
                <c:pt idx="42">
                  <c:v>45590</c:v>
                </c:pt>
                <c:pt idx="43">
                  <c:v>45597</c:v>
                </c:pt>
                <c:pt idx="44">
                  <c:v>45604</c:v>
                </c:pt>
                <c:pt idx="45">
                  <c:v>45611</c:v>
                </c:pt>
                <c:pt idx="46">
                  <c:v>45618</c:v>
                </c:pt>
                <c:pt idx="47">
                  <c:v>45625</c:v>
                </c:pt>
                <c:pt idx="48">
                  <c:v>45632</c:v>
                </c:pt>
                <c:pt idx="49">
                  <c:v>45639</c:v>
                </c:pt>
                <c:pt idx="50">
                  <c:v>45646</c:v>
                </c:pt>
                <c:pt idx="51">
                  <c:v>45653</c:v>
                </c:pt>
                <c:pt idx="52">
                  <c:v>45660</c:v>
                </c:pt>
                <c:pt idx="53">
                  <c:v>45667</c:v>
                </c:pt>
                <c:pt idx="54">
                  <c:v>45674</c:v>
                </c:pt>
                <c:pt idx="55">
                  <c:v>45681</c:v>
                </c:pt>
                <c:pt idx="56">
                  <c:v>45688</c:v>
                </c:pt>
                <c:pt idx="57">
                  <c:v>45695</c:v>
                </c:pt>
                <c:pt idx="58">
                  <c:v>45702</c:v>
                </c:pt>
                <c:pt idx="59">
                  <c:v>45709</c:v>
                </c:pt>
                <c:pt idx="60">
                  <c:v>45716</c:v>
                </c:pt>
                <c:pt idx="61">
                  <c:v>45723</c:v>
                </c:pt>
                <c:pt idx="62">
                  <c:v>45730</c:v>
                </c:pt>
                <c:pt idx="63">
                  <c:v>45737</c:v>
                </c:pt>
                <c:pt idx="64">
                  <c:v>45744</c:v>
                </c:pt>
                <c:pt idx="65">
                  <c:v>45751</c:v>
                </c:pt>
                <c:pt idx="66">
                  <c:v>45758</c:v>
                </c:pt>
                <c:pt idx="67">
                  <c:v>45765</c:v>
                </c:pt>
                <c:pt idx="68">
                  <c:v>45772</c:v>
                </c:pt>
                <c:pt idx="69">
                  <c:v>45779</c:v>
                </c:pt>
                <c:pt idx="70">
                  <c:v>45786</c:v>
                </c:pt>
                <c:pt idx="71">
                  <c:v>45793</c:v>
                </c:pt>
                <c:pt idx="72">
                  <c:v>45800</c:v>
                </c:pt>
                <c:pt idx="73">
                  <c:v>45807</c:v>
                </c:pt>
                <c:pt idx="74">
                  <c:v>45814</c:v>
                </c:pt>
                <c:pt idx="75">
                  <c:v>45821</c:v>
                </c:pt>
                <c:pt idx="76">
                  <c:v>45828</c:v>
                </c:pt>
                <c:pt idx="77">
                  <c:v>45835</c:v>
                </c:pt>
                <c:pt idx="78">
                  <c:v>45842</c:v>
                </c:pt>
                <c:pt idx="79">
                  <c:v>45849</c:v>
                </c:pt>
                <c:pt idx="80">
                  <c:v>45856</c:v>
                </c:pt>
                <c:pt idx="81">
                  <c:v>45863</c:v>
                </c:pt>
                <c:pt idx="82">
                  <c:v>45870</c:v>
                </c:pt>
                <c:pt idx="83">
                  <c:v>45877</c:v>
                </c:pt>
                <c:pt idx="84">
                  <c:v>45884</c:v>
                </c:pt>
                <c:pt idx="85">
                  <c:v>45891</c:v>
                </c:pt>
                <c:pt idx="86">
                  <c:v>45898</c:v>
                </c:pt>
                <c:pt idx="87">
                  <c:v>45905</c:v>
                </c:pt>
                <c:pt idx="88">
                  <c:v>45912</c:v>
                </c:pt>
                <c:pt idx="89">
                  <c:v>45919</c:v>
                </c:pt>
                <c:pt idx="90">
                  <c:v>45926</c:v>
                </c:pt>
                <c:pt idx="91">
                  <c:v>45933</c:v>
                </c:pt>
                <c:pt idx="92">
                  <c:v>45940</c:v>
                </c:pt>
                <c:pt idx="93">
                  <c:v>45947</c:v>
                </c:pt>
                <c:pt idx="94">
                  <c:v>45954</c:v>
                </c:pt>
                <c:pt idx="95">
                  <c:v>45961</c:v>
                </c:pt>
                <c:pt idx="96">
                  <c:v>45968</c:v>
                </c:pt>
                <c:pt idx="97">
                  <c:v>45975</c:v>
                </c:pt>
                <c:pt idx="98">
                  <c:v>45982</c:v>
                </c:pt>
                <c:pt idx="99">
                  <c:v>45989</c:v>
                </c:pt>
                <c:pt idx="100">
                  <c:v>45996</c:v>
                </c:pt>
                <c:pt idx="101">
                  <c:v>46003</c:v>
                </c:pt>
                <c:pt idx="102">
                  <c:v>46010</c:v>
                </c:pt>
                <c:pt idx="103">
                  <c:v>46017</c:v>
                </c:pt>
                <c:pt idx="104">
                  <c:v>46024</c:v>
                </c:pt>
                <c:pt idx="105">
                  <c:v>46031</c:v>
                </c:pt>
                <c:pt idx="106">
                  <c:v>46038</c:v>
                </c:pt>
                <c:pt idx="107">
                  <c:v>46045</c:v>
                </c:pt>
                <c:pt idx="108">
                  <c:v>46052</c:v>
                </c:pt>
                <c:pt idx="109">
                  <c:v>46059</c:v>
                </c:pt>
                <c:pt idx="110">
                  <c:v>46066</c:v>
                </c:pt>
                <c:pt idx="111">
                  <c:v>46073</c:v>
                </c:pt>
                <c:pt idx="112">
                  <c:v>46080</c:v>
                </c:pt>
                <c:pt idx="113">
                  <c:v>46087</c:v>
                </c:pt>
                <c:pt idx="114">
                  <c:v>46094</c:v>
                </c:pt>
                <c:pt idx="115">
                  <c:v>46101</c:v>
                </c:pt>
                <c:pt idx="116">
                  <c:v>46108</c:v>
                </c:pt>
                <c:pt idx="117">
                  <c:v>46115</c:v>
                </c:pt>
                <c:pt idx="118">
                  <c:v>46122</c:v>
                </c:pt>
                <c:pt idx="119">
                  <c:v>46129</c:v>
                </c:pt>
                <c:pt idx="120">
                  <c:v>46136</c:v>
                </c:pt>
                <c:pt idx="121">
                  <c:v>46143</c:v>
                </c:pt>
                <c:pt idx="122">
                  <c:v>46150</c:v>
                </c:pt>
                <c:pt idx="123">
                  <c:v>46157</c:v>
                </c:pt>
                <c:pt idx="124">
                  <c:v>46164</c:v>
                </c:pt>
                <c:pt idx="125">
                  <c:v>46171</c:v>
                </c:pt>
                <c:pt idx="126">
                  <c:v>46178</c:v>
                </c:pt>
                <c:pt idx="127">
                  <c:v>46185</c:v>
                </c:pt>
                <c:pt idx="128">
                  <c:v>46192</c:v>
                </c:pt>
                <c:pt idx="129">
                  <c:v>46199</c:v>
                </c:pt>
                <c:pt idx="130">
                  <c:v>46206</c:v>
                </c:pt>
                <c:pt idx="131">
                  <c:v>46213</c:v>
                </c:pt>
                <c:pt idx="132">
                  <c:v>46220</c:v>
                </c:pt>
                <c:pt idx="133">
                  <c:v>46227</c:v>
                </c:pt>
                <c:pt idx="134">
                  <c:v>46234</c:v>
                </c:pt>
              </c:numCache>
            </c:numRef>
          </c:cat>
          <c:val>
            <c:numRef>
              <c:f>Summary!$Z$452:$Z$586</c:f>
              <c:numCache>
                <c:formatCode>0.0\x_);\(0.0\x\)</c:formatCode>
                <c:ptCount val="135"/>
                <c:pt idx="0">
                  <c:v>15.366110393028141</c:v>
                </c:pt>
                <c:pt idx="1">
                  <c:v>15.366110393028141</c:v>
                </c:pt>
                <c:pt idx="2">
                  <c:v>15.366110393028141</c:v>
                </c:pt>
                <c:pt idx="3">
                  <c:v>15.366110393028141</c:v>
                </c:pt>
                <c:pt idx="4">
                  <c:v>15.366110393028141</c:v>
                </c:pt>
                <c:pt idx="5">
                  <c:v>15.366110393028141</c:v>
                </c:pt>
                <c:pt idx="6">
                  <c:v>15.366110393028141</c:v>
                </c:pt>
                <c:pt idx="7">
                  <c:v>15.366110393028141</c:v>
                </c:pt>
                <c:pt idx="8">
                  <c:v>15.366110393028141</c:v>
                </c:pt>
                <c:pt idx="9">
                  <c:v>15.366110393028141</c:v>
                </c:pt>
                <c:pt idx="10">
                  <c:v>15.366110393028141</c:v>
                </c:pt>
                <c:pt idx="11">
                  <c:v>15.366110393028141</c:v>
                </c:pt>
                <c:pt idx="12">
                  <c:v>15.366110393028141</c:v>
                </c:pt>
                <c:pt idx="13">
                  <c:v>15.366110393028141</c:v>
                </c:pt>
                <c:pt idx="14">
                  <c:v>15.366110393028141</c:v>
                </c:pt>
                <c:pt idx="15">
                  <c:v>15.366110393028141</c:v>
                </c:pt>
                <c:pt idx="16">
                  <c:v>15.366110393028141</c:v>
                </c:pt>
                <c:pt idx="17">
                  <c:v>15.366110393028141</c:v>
                </c:pt>
                <c:pt idx="18">
                  <c:v>15.366110393028141</c:v>
                </c:pt>
                <c:pt idx="19">
                  <c:v>15.366110393028141</c:v>
                </c:pt>
                <c:pt idx="20">
                  <c:v>15.366110393028141</c:v>
                </c:pt>
                <c:pt idx="21">
                  <c:v>15.366110393028141</c:v>
                </c:pt>
                <c:pt idx="22">
                  <c:v>15.366110393028141</c:v>
                </c:pt>
                <c:pt idx="23">
                  <c:v>15.366110393028141</c:v>
                </c:pt>
                <c:pt idx="24">
                  <c:v>15.366110393028141</c:v>
                </c:pt>
                <c:pt idx="25">
                  <c:v>15.366110393028141</c:v>
                </c:pt>
                <c:pt idx="26">
                  <c:v>15.366110393028141</c:v>
                </c:pt>
                <c:pt idx="27">
                  <c:v>15.366110393028141</c:v>
                </c:pt>
                <c:pt idx="28">
                  <c:v>15.366110393028141</c:v>
                </c:pt>
                <c:pt idx="29">
                  <c:v>15.366110393028141</c:v>
                </c:pt>
                <c:pt idx="30">
                  <c:v>15.366110393028141</c:v>
                </c:pt>
                <c:pt idx="31">
                  <c:v>15.366110393028141</c:v>
                </c:pt>
                <c:pt idx="32">
                  <c:v>15.366110393028141</c:v>
                </c:pt>
                <c:pt idx="33">
                  <c:v>15.366110393028141</c:v>
                </c:pt>
                <c:pt idx="34">
                  <c:v>15.366110393028141</c:v>
                </c:pt>
                <c:pt idx="35">
                  <c:v>15.366110393028141</c:v>
                </c:pt>
                <c:pt idx="36">
                  <c:v>15.366110393028141</c:v>
                </c:pt>
                <c:pt idx="37">
                  <c:v>15.366110393028141</c:v>
                </c:pt>
                <c:pt idx="38">
                  <c:v>15.366110393028141</c:v>
                </c:pt>
                <c:pt idx="39">
                  <c:v>15.366110393028141</c:v>
                </c:pt>
                <c:pt idx="40">
                  <c:v>15.366110393028141</c:v>
                </c:pt>
                <c:pt idx="41">
                  <c:v>15.366110393028141</c:v>
                </c:pt>
                <c:pt idx="42">
                  <c:v>15.366110393028141</c:v>
                </c:pt>
                <c:pt idx="43">
                  <c:v>15.366110393028141</c:v>
                </c:pt>
                <c:pt idx="44">
                  <c:v>15.366110393028141</c:v>
                </c:pt>
                <c:pt idx="45">
                  <c:v>15.366110393028141</c:v>
                </c:pt>
                <c:pt idx="46">
                  <c:v>15.366110393028141</c:v>
                </c:pt>
                <c:pt idx="47">
                  <c:v>15.366110393028141</c:v>
                </c:pt>
                <c:pt idx="48">
                  <c:v>15.366110393028141</c:v>
                </c:pt>
                <c:pt idx="49">
                  <c:v>15.366110393028141</c:v>
                </c:pt>
                <c:pt idx="50">
                  <c:v>15.366110393028141</c:v>
                </c:pt>
                <c:pt idx="51">
                  <c:v>15.366110393028141</c:v>
                </c:pt>
                <c:pt idx="52">
                  <c:v>15.366110393028141</c:v>
                </c:pt>
                <c:pt idx="53">
                  <c:v>15.366110393028141</c:v>
                </c:pt>
                <c:pt idx="54">
                  <c:v>15.366110393028141</c:v>
                </c:pt>
                <c:pt idx="55">
                  <c:v>15.366110393028141</c:v>
                </c:pt>
                <c:pt idx="56">
                  <c:v>15.366110393028141</c:v>
                </c:pt>
                <c:pt idx="57">
                  <c:v>15.366110393028141</c:v>
                </c:pt>
                <c:pt idx="58">
                  <c:v>15.366110393028141</c:v>
                </c:pt>
                <c:pt idx="59">
                  <c:v>15.366110393028141</c:v>
                </c:pt>
                <c:pt idx="60">
                  <c:v>15.366110393028141</c:v>
                </c:pt>
                <c:pt idx="61">
                  <c:v>15.366110393028141</c:v>
                </c:pt>
                <c:pt idx="62">
                  <c:v>15.366110393028141</c:v>
                </c:pt>
                <c:pt idx="63">
                  <c:v>15.366110393028141</c:v>
                </c:pt>
                <c:pt idx="64">
                  <c:v>15.366110393028141</c:v>
                </c:pt>
                <c:pt idx="65">
                  <c:v>15.366110393028141</c:v>
                </c:pt>
                <c:pt idx="66">
                  <c:v>15.366110393028141</c:v>
                </c:pt>
                <c:pt idx="67">
                  <c:v>15.366110393028141</c:v>
                </c:pt>
                <c:pt idx="68">
                  <c:v>15.366110393028141</c:v>
                </c:pt>
                <c:pt idx="69">
                  <c:v>15.366110393028141</c:v>
                </c:pt>
                <c:pt idx="70">
                  <c:v>15.366110393028141</c:v>
                </c:pt>
                <c:pt idx="71">
                  <c:v>15.366110393028141</c:v>
                </c:pt>
                <c:pt idx="72">
                  <c:v>15.366110393028141</c:v>
                </c:pt>
                <c:pt idx="73">
                  <c:v>15.366110393028141</c:v>
                </c:pt>
                <c:pt idx="74">
                  <c:v>15.366110393028141</c:v>
                </c:pt>
                <c:pt idx="75">
                  <c:v>15.366110393028141</c:v>
                </c:pt>
                <c:pt idx="76">
                  <c:v>15.366110393028141</c:v>
                </c:pt>
                <c:pt idx="77">
                  <c:v>15.366110393028141</c:v>
                </c:pt>
                <c:pt idx="78">
                  <c:v>15.366110393028141</c:v>
                </c:pt>
                <c:pt idx="79">
                  <c:v>15.366110393028141</c:v>
                </c:pt>
                <c:pt idx="80">
                  <c:v>15.366110393028141</c:v>
                </c:pt>
                <c:pt idx="81">
                  <c:v>15.366110393028141</c:v>
                </c:pt>
                <c:pt idx="82">
                  <c:v>15.366110393028141</c:v>
                </c:pt>
                <c:pt idx="83">
                  <c:v>15.366110393028141</c:v>
                </c:pt>
                <c:pt idx="84">
                  <c:v>15.366110393028141</c:v>
                </c:pt>
                <c:pt idx="85">
                  <c:v>15.366110393028141</c:v>
                </c:pt>
                <c:pt idx="86">
                  <c:v>15.366110393028141</c:v>
                </c:pt>
                <c:pt idx="87">
                  <c:v>15.366110393028141</c:v>
                </c:pt>
                <c:pt idx="88">
                  <c:v>15.366110393028141</c:v>
                </c:pt>
                <c:pt idx="89">
                  <c:v>15.366110393028141</c:v>
                </c:pt>
                <c:pt idx="90">
                  <c:v>15.366110393028141</c:v>
                </c:pt>
                <c:pt idx="91">
                  <c:v>15.366110393028141</c:v>
                </c:pt>
                <c:pt idx="92">
                  <c:v>15.366110393028141</c:v>
                </c:pt>
                <c:pt idx="93">
                  <c:v>15.366110393028141</c:v>
                </c:pt>
                <c:pt idx="94">
                  <c:v>15.366110393028141</c:v>
                </c:pt>
                <c:pt idx="95">
                  <c:v>15.366110393028141</c:v>
                </c:pt>
                <c:pt idx="96">
                  <c:v>15.366110393028141</c:v>
                </c:pt>
                <c:pt idx="97">
                  <c:v>15.366110393028141</c:v>
                </c:pt>
                <c:pt idx="98">
                  <c:v>15.366110393028141</c:v>
                </c:pt>
                <c:pt idx="99">
                  <c:v>15.366110393028141</c:v>
                </c:pt>
                <c:pt idx="100">
                  <c:v>15.366110393028141</c:v>
                </c:pt>
                <c:pt idx="101">
                  <c:v>15.366110393028141</c:v>
                </c:pt>
                <c:pt idx="102">
                  <c:v>15.366110393028141</c:v>
                </c:pt>
                <c:pt idx="103">
                  <c:v>15.366110393028141</c:v>
                </c:pt>
                <c:pt idx="104">
                  <c:v>15.366110393028141</c:v>
                </c:pt>
                <c:pt idx="105">
                  <c:v>15.366110393028141</c:v>
                </c:pt>
                <c:pt idx="106">
                  <c:v>15.366110393028141</c:v>
                </c:pt>
                <c:pt idx="107">
                  <c:v>15.366110393028141</c:v>
                </c:pt>
                <c:pt idx="108">
                  <c:v>15.366110393028141</c:v>
                </c:pt>
                <c:pt idx="109">
                  <c:v>15.366110393028141</c:v>
                </c:pt>
                <c:pt idx="110">
                  <c:v>15.366110393028141</c:v>
                </c:pt>
                <c:pt idx="111">
                  <c:v>15.366110393028141</c:v>
                </c:pt>
                <c:pt idx="112">
                  <c:v>15.366110393028141</c:v>
                </c:pt>
                <c:pt idx="113">
                  <c:v>15.366110393028141</c:v>
                </c:pt>
                <c:pt idx="114">
                  <c:v>15.366110393028141</c:v>
                </c:pt>
                <c:pt idx="115">
                  <c:v>15.366110393028141</c:v>
                </c:pt>
                <c:pt idx="116">
                  <c:v>15.366110393028141</c:v>
                </c:pt>
                <c:pt idx="117">
                  <c:v>15.366110393028141</c:v>
                </c:pt>
                <c:pt idx="118">
                  <c:v>15.366110393028141</c:v>
                </c:pt>
                <c:pt idx="119">
                  <c:v>15.366110393028141</c:v>
                </c:pt>
                <c:pt idx="120">
                  <c:v>15.366110393028141</c:v>
                </c:pt>
                <c:pt idx="121">
                  <c:v>15.366110393028141</c:v>
                </c:pt>
                <c:pt idx="122">
                  <c:v>15.366110393028141</c:v>
                </c:pt>
                <c:pt idx="123">
                  <c:v>15.366110393028141</c:v>
                </c:pt>
                <c:pt idx="124">
                  <c:v>15.366110393028141</c:v>
                </c:pt>
                <c:pt idx="125">
                  <c:v>15.366110393028141</c:v>
                </c:pt>
                <c:pt idx="126">
                  <c:v>15.366110393028141</c:v>
                </c:pt>
                <c:pt idx="127">
                  <c:v>15.366110393028141</c:v>
                </c:pt>
                <c:pt idx="128">
                  <c:v>15.366110393028141</c:v>
                </c:pt>
                <c:pt idx="129">
                  <c:v>15.366110393028141</c:v>
                </c:pt>
                <c:pt idx="130">
                  <c:v>15.366110393028141</c:v>
                </c:pt>
                <c:pt idx="131">
                  <c:v>15.366110393028141</c:v>
                </c:pt>
                <c:pt idx="132">
                  <c:v>15.366110393028141</c:v>
                </c:pt>
                <c:pt idx="133">
                  <c:v>15.366110393028141</c:v>
                </c:pt>
                <c:pt idx="134">
                  <c:v>15.366110393028141</c:v>
                </c:pt>
              </c:numCache>
            </c:numRef>
          </c:val>
          <c:smooth val="0"/>
          <c:extLst>
            <c:ext xmlns:c16="http://schemas.microsoft.com/office/drawing/2014/chart" uri="{C3380CC4-5D6E-409C-BE32-E72D297353CC}">
              <c16:uniqueId val="{00000003-7C6C-4BD0-9F4A-6449C753B79C}"/>
            </c:ext>
          </c:extLst>
        </c:ser>
        <c:dLbls>
          <c:showLegendKey val="0"/>
          <c:showVal val="0"/>
          <c:showCatName val="0"/>
          <c:showSerName val="0"/>
          <c:showPercent val="0"/>
          <c:showBubbleSize val="0"/>
        </c:dLbls>
        <c:smooth val="0"/>
        <c:axId val="1683816912"/>
        <c:axId val="1683822672"/>
      </c:lineChart>
      <c:dateAx>
        <c:axId val="1683816912"/>
        <c:scaling>
          <c:orientation val="minMax"/>
        </c:scaling>
        <c:delete val="0"/>
        <c:axPos val="b"/>
        <c:numFmt formatCode="mmm\-yy"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83822672"/>
        <c:crosses val="autoZero"/>
        <c:auto val="1"/>
        <c:lblOffset val="100"/>
        <c:baseTimeUnit val="days"/>
      </c:dateAx>
      <c:valAx>
        <c:axId val="1683822672"/>
        <c:scaling>
          <c:orientation val="minMax"/>
        </c:scaling>
        <c:delete val="0"/>
        <c:axPos val="l"/>
        <c:majorGridlines>
          <c:spPr>
            <a:ln w="9525" cap="flat" cmpd="sng" algn="ctr">
              <a:solidFill>
                <a:schemeClr val="tx1">
                  <a:lumMod val="15000"/>
                  <a:lumOff val="85000"/>
                </a:schemeClr>
              </a:solidFill>
              <a:round/>
            </a:ln>
            <a:effectLst/>
          </c:spPr>
        </c:majorGridlines>
        <c:numFmt formatCode="0\x;\(0\x\)"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838169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250289609321221E-2"/>
          <c:y val="2.1286908673066759E-2"/>
          <c:w val="0.92011360520233476"/>
          <c:h val="0.94216939655651877"/>
        </c:manualLayout>
      </c:layout>
      <c:areaChart>
        <c:grouping val="stacked"/>
        <c:varyColors val="0"/>
        <c:ser>
          <c:idx val="0"/>
          <c:order val="0"/>
          <c:tx>
            <c:strRef>
              <c:f>Charts!$CS$18</c:f>
              <c:strCache>
                <c:ptCount val="1"/>
                <c:pt idx="0">
                  <c:v>Shopify Payments Revenue</c:v>
                </c:pt>
              </c:strCache>
            </c:strRef>
          </c:tx>
          <c:spPr>
            <a:solidFill>
              <a:schemeClr val="accent1"/>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Charts!$CT$17:$DE$17</c:f>
              <c:numCache>
                <c:formatCode>0.0%_);\(0.0%\);0.0%_);@_)</c:formatCode>
                <c:ptCount val="12"/>
              </c:numCache>
            </c:numRef>
          </c:cat>
          <c:val>
            <c:numRef>
              <c:f>Charts!$CT$18:$DE$18</c:f>
              <c:numCache>
                <c:formatCode>"$"#,##0.0,"B"_);\("$"#,##0.0"B"\);"$"#,##0.00_);@_)</c:formatCode>
                <c:ptCount val="12"/>
                <c:pt idx="0">
                  <c:v>0</c:v>
                </c:pt>
                <c:pt idx="1">
                  <c:v>210.69833999999997</c:v>
                </c:pt>
                <c:pt idx="2">
                  <c:v>349.73397499999993</c:v>
                </c:pt>
                <c:pt idx="3">
                  <c:v>533.48123999999996</c:v>
                </c:pt>
                <c:pt idx="4">
                  <c:v>1141.7147099999997</c:v>
                </c:pt>
                <c:pt idx="5">
                  <c:v>1830.9323200000001</c:v>
                </c:pt>
                <c:pt idx="6">
                  <c:v>2273.9940649999999</c:v>
                </c:pt>
                <c:pt idx="7">
                  <c:v>2950.9949999999999</c:v>
                </c:pt>
                <c:pt idx="8">
                  <c:v>3692.0830999999989</c:v>
                </c:pt>
                <c:pt idx="9">
                  <c:v>#N/A</c:v>
                </c:pt>
                <c:pt idx="10">
                  <c:v>6607.3662544826366</c:v>
                </c:pt>
                <c:pt idx="11">
                  <c:v>8288.0618693853721</c:v>
                </c:pt>
              </c:numCache>
            </c:numRef>
          </c:val>
          <c:extLst>
            <c:ext xmlns:c16="http://schemas.microsoft.com/office/drawing/2014/chart" uri="{C3380CC4-5D6E-409C-BE32-E72D297353CC}">
              <c16:uniqueId val="{00000000-AF47-47DE-9B62-026AF8FAF83D}"/>
            </c:ext>
          </c:extLst>
        </c:ser>
        <c:ser>
          <c:idx val="1"/>
          <c:order val="1"/>
          <c:tx>
            <c:strRef>
              <c:f>Charts!$CS$19</c:f>
              <c:strCache>
                <c:ptCount val="1"/>
                <c:pt idx="0">
                  <c:v>3P Transaction Fee Revenue</c:v>
                </c:pt>
              </c:strCache>
            </c:strRef>
          </c:tx>
          <c:spPr>
            <a:solidFill>
              <a:schemeClr val="accent2"/>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Charts!$CT$17:$DE$17</c:f>
              <c:numCache>
                <c:formatCode>0.0%_);\(0.0%\);0.0%_);@_)</c:formatCode>
                <c:ptCount val="12"/>
              </c:numCache>
            </c:numRef>
          </c:cat>
          <c:val>
            <c:numRef>
              <c:f>Charts!$CT$19:$DE$19</c:f>
              <c:numCache>
                <c:formatCode>"$"#,##0.0,"B"_);\("$"#,##0.0"B"\);"$"#,##0.00_);@_)</c:formatCode>
                <c:ptCount val="12"/>
                <c:pt idx="0">
                  <c:v>0</c:v>
                </c:pt>
                <c:pt idx="1">
                  <c:v>123.51282</c:v>
                </c:pt>
                <c:pt idx="2">
                  <c:v>194.63455999999999</c:v>
                </c:pt>
                <c:pt idx="3">
                  <c:v>280.77960000000002</c:v>
                </c:pt>
                <c:pt idx="4">
                  <c:v>565.80551999999989</c:v>
                </c:pt>
                <c:pt idx="5">
                  <c:v>850.07571999999982</c:v>
                </c:pt>
                <c:pt idx="6">
                  <c:v>1007.4657249999997</c:v>
                </c:pt>
                <c:pt idx="7">
                  <c:v>1227.4049999999997</c:v>
                </c:pt>
                <c:pt idx="8">
                  <c:v>1501.8999999999999</c:v>
                </c:pt>
                <c:pt idx="9">
                  <c:v>#N/A</c:v>
                </c:pt>
                <c:pt idx="10">
                  <c:v>2530.2082892813164</c:v>
                </c:pt>
                <c:pt idx="11">
                  <c:v>3079.3178795428034</c:v>
                </c:pt>
              </c:numCache>
            </c:numRef>
          </c:val>
          <c:extLst>
            <c:ext xmlns:c16="http://schemas.microsoft.com/office/drawing/2014/chart" uri="{C3380CC4-5D6E-409C-BE32-E72D297353CC}">
              <c16:uniqueId val="{00000001-AF47-47DE-9B62-026AF8FAF83D}"/>
            </c:ext>
          </c:extLst>
        </c:ser>
        <c:ser>
          <c:idx val="3"/>
          <c:order val="3"/>
          <c:tx>
            <c:strRef>
              <c:f>Charts!$CS$21</c:f>
              <c:strCache>
                <c:ptCount val="1"/>
                <c:pt idx="0">
                  <c:v>Non-Payments Merchant Solution Revenue</c:v>
                </c:pt>
              </c:strCache>
            </c:strRef>
          </c:tx>
          <c:spPr>
            <a:solidFill>
              <a:schemeClr val="accent4"/>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Charts!$CT$17:$DE$17</c:f>
              <c:numCache>
                <c:formatCode>0.0%_);\(0.0%\);0.0%_);@_)</c:formatCode>
                <c:ptCount val="12"/>
              </c:numCache>
            </c:numRef>
          </c:cat>
          <c:val>
            <c:numRef>
              <c:f>Charts!$CT$21:$DE$21</c:f>
              <c:numCache>
                <c:formatCode>"$"#,##0.0,"B"_);\("$"#,##0.0"B"\);"$"#,##0.00_);@_)</c:formatCode>
                <c:ptCount val="12"/>
                <c:pt idx="0">
                  <c:v>200.72399999999999</c:v>
                </c:pt>
                <c:pt idx="1">
                  <c:v>29.061840000000075</c:v>
                </c:pt>
                <c:pt idx="2">
                  <c:v>63.864464999999996</c:v>
                </c:pt>
                <c:pt idx="3">
                  <c:v>121.6711600000001</c:v>
                </c:pt>
                <c:pt idx="4">
                  <c:v>313.2137700000003</c:v>
                </c:pt>
                <c:pt idx="5">
                  <c:v>588.51396000000022</c:v>
                </c:pt>
                <c:pt idx="6">
                  <c:v>830.64521000000013</c:v>
                </c:pt>
                <c:pt idx="7">
                  <c:v>1044.6000000000004</c:v>
                </c:pt>
                <c:pt idx="8">
                  <c:v>1336.0169000000014</c:v>
                </c:pt>
                <c:pt idx="9">
                  <c:v>#N/A</c:v>
                </c:pt>
                <c:pt idx="10">
                  <c:v>2726.1613512360491</c:v>
                </c:pt>
                <c:pt idx="11">
                  <c:v>3739.3673409518269</c:v>
                </c:pt>
              </c:numCache>
            </c:numRef>
          </c:val>
          <c:extLst>
            <c:ext xmlns:c16="http://schemas.microsoft.com/office/drawing/2014/chart" uri="{C3380CC4-5D6E-409C-BE32-E72D297353CC}">
              <c16:uniqueId val="{00000002-AF47-47DE-9B62-026AF8FAF83D}"/>
            </c:ext>
          </c:extLst>
        </c:ser>
        <c:dLbls>
          <c:showLegendKey val="0"/>
          <c:showVal val="0"/>
          <c:showCatName val="0"/>
          <c:showSerName val="0"/>
          <c:showPercent val="0"/>
          <c:showBubbleSize val="0"/>
        </c:dLbls>
        <c:axId val="693590112"/>
        <c:axId val="693590592"/>
      </c:areaChart>
      <c:lineChart>
        <c:grouping val="standard"/>
        <c:varyColors val="0"/>
        <c:ser>
          <c:idx val="2"/>
          <c:order val="2"/>
          <c:tx>
            <c:strRef>
              <c:f>Charts!$CS$20</c:f>
              <c:strCache>
                <c:ptCount val="1"/>
                <c:pt idx="0">
                  <c:v>Total Payments Revenue</c:v>
                </c:pt>
              </c:strCache>
            </c:strRef>
          </c:tx>
          <c:spPr>
            <a:ln w="28575" cap="rnd">
              <a:solidFill>
                <a:schemeClr val="accent3"/>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Charts!$CT$17:$DE$17</c:f>
              <c:numCache>
                <c:formatCode>0.0%_);\(0.0%\);0.0%_);@_)</c:formatCode>
                <c:ptCount val="12"/>
              </c:numCache>
            </c:numRef>
          </c:cat>
          <c:val>
            <c:numRef>
              <c:f>Charts!$CT$20:$DE$20</c:f>
              <c:numCache>
                <c:formatCode>"$"#,##0.0,"B"_);\("$"#,##0.0"B"\);"$"#,##0.00_);@_)</c:formatCode>
                <c:ptCount val="12"/>
                <c:pt idx="0">
                  <c:v>0</c:v>
                </c:pt>
                <c:pt idx="1">
                  <c:v>334.21115999999995</c:v>
                </c:pt>
                <c:pt idx="2">
                  <c:v>544.36853499999995</c:v>
                </c:pt>
                <c:pt idx="3">
                  <c:v>814.26083999999992</c:v>
                </c:pt>
                <c:pt idx="4">
                  <c:v>1707.5202299999996</c:v>
                </c:pt>
                <c:pt idx="5">
                  <c:v>2681.0080399999997</c:v>
                </c:pt>
                <c:pt idx="6">
                  <c:v>3281.4597899999994</c:v>
                </c:pt>
                <c:pt idx="7">
                  <c:v>4178.3999999999996</c:v>
                </c:pt>
                <c:pt idx="8">
                  <c:v>5193.9830999999986</c:v>
                </c:pt>
                <c:pt idx="9">
                  <c:v>#N/A</c:v>
                </c:pt>
                <c:pt idx="10">
                  <c:v>9137.5745437639525</c:v>
                </c:pt>
                <c:pt idx="11">
                  <c:v>11367.379748928175</c:v>
                </c:pt>
              </c:numCache>
            </c:numRef>
          </c:val>
          <c:smooth val="0"/>
          <c:extLst>
            <c:ext xmlns:c16="http://schemas.microsoft.com/office/drawing/2014/chart" uri="{C3380CC4-5D6E-409C-BE32-E72D297353CC}">
              <c16:uniqueId val="{00000003-AF47-47DE-9B62-026AF8FAF83D}"/>
            </c:ext>
          </c:extLst>
        </c:ser>
        <c:ser>
          <c:idx val="4"/>
          <c:order val="4"/>
          <c:tx>
            <c:strRef>
              <c:f>Charts!$CS$22</c:f>
              <c:strCache>
                <c:ptCount val="1"/>
                <c:pt idx="0">
                  <c:v>Total Merchant Solution Revenues</c:v>
                </c:pt>
              </c:strCache>
            </c:strRef>
          </c:tx>
          <c:spPr>
            <a:ln w="28575" cap="rnd">
              <a:solidFill>
                <a:schemeClr val="accent5"/>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Charts!$CT$17:$DE$17</c:f>
              <c:numCache>
                <c:formatCode>0.0%_);\(0.0%\);0.0%_);@_)</c:formatCode>
                <c:ptCount val="12"/>
              </c:numCache>
            </c:numRef>
          </c:cat>
          <c:val>
            <c:numRef>
              <c:f>Charts!$CT$22:$DE$22</c:f>
              <c:numCache>
                <c:formatCode>"$"#,##0.0,"B"_);\("$"#,##0.0"B"\);"$"#,##0.00_);@_)</c:formatCode>
                <c:ptCount val="12"/>
                <c:pt idx="0">
                  <c:v>200.72399999999999</c:v>
                </c:pt>
                <c:pt idx="1">
                  <c:v>363.27300000000002</c:v>
                </c:pt>
                <c:pt idx="2">
                  <c:v>608.23299999999995</c:v>
                </c:pt>
                <c:pt idx="3">
                  <c:v>935.93200000000002</c:v>
                </c:pt>
                <c:pt idx="4">
                  <c:v>2020.7339999999999</c:v>
                </c:pt>
                <c:pt idx="5">
                  <c:v>3269.5219999999999</c:v>
                </c:pt>
                <c:pt idx="6">
                  <c:v>4112.1049999999996</c:v>
                </c:pt>
                <c:pt idx="7">
                  <c:v>5223</c:v>
                </c:pt>
                <c:pt idx="8">
                  <c:v>6530</c:v>
                </c:pt>
                <c:pt idx="9">
                  <c:v>#N/A</c:v>
                </c:pt>
                <c:pt idx="10">
                  <c:v>11863.735895000002</c:v>
                </c:pt>
                <c:pt idx="11">
                  <c:v>15106.747089880002</c:v>
                </c:pt>
              </c:numCache>
            </c:numRef>
          </c:val>
          <c:smooth val="0"/>
          <c:extLst>
            <c:ext xmlns:c16="http://schemas.microsoft.com/office/drawing/2014/chart" uri="{C3380CC4-5D6E-409C-BE32-E72D297353CC}">
              <c16:uniqueId val="{00000004-AF47-47DE-9B62-026AF8FAF83D}"/>
            </c:ext>
          </c:extLst>
        </c:ser>
        <c:dLbls>
          <c:showLegendKey val="0"/>
          <c:showVal val="0"/>
          <c:showCatName val="0"/>
          <c:showSerName val="0"/>
          <c:showPercent val="0"/>
          <c:showBubbleSize val="0"/>
        </c:dLbls>
        <c:marker val="1"/>
        <c:smooth val="0"/>
        <c:axId val="693590112"/>
        <c:axId val="693590592"/>
      </c:lineChart>
      <c:catAx>
        <c:axId val="693590112"/>
        <c:scaling>
          <c:orientation val="minMax"/>
        </c:scaling>
        <c:delete val="0"/>
        <c:axPos val="b"/>
        <c:numFmt formatCode="0.0%_);\(0.0%\);0.0%_);@_)"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3590592"/>
        <c:crosses val="autoZero"/>
        <c:auto val="1"/>
        <c:lblAlgn val="ctr"/>
        <c:lblOffset val="100"/>
        <c:noMultiLvlLbl val="0"/>
      </c:catAx>
      <c:valAx>
        <c:axId val="693590592"/>
        <c:scaling>
          <c:orientation val="minMax"/>
        </c:scaling>
        <c:delete val="0"/>
        <c:axPos val="l"/>
        <c:majorGridlines>
          <c:spPr>
            <a:ln w="9525" cap="flat" cmpd="sng" algn="ctr">
              <a:solidFill>
                <a:schemeClr val="tx1">
                  <a:lumMod val="15000"/>
                  <a:lumOff val="85000"/>
                </a:schemeClr>
              </a:solidFill>
              <a:round/>
            </a:ln>
            <a:effectLst/>
          </c:spPr>
        </c:majorGridlines>
        <c:numFmt formatCode="&quot;$&quot;#,##0.0,&quot;B&quot;_);\(&quot;$&quot;#,##0.0&quot;B&quot;\);&quot;$&quot;#,##0.00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3590112"/>
        <c:crosses val="autoZero"/>
        <c:crossBetween val="between"/>
      </c:valAx>
      <c:spPr>
        <a:noFill/>
        <a:ln>
          <a:noFill/>
        </a:ln>
        <a:effectLst/>
      </c:spPr>
    </c:plotArea>
    <c:legend>
      <c:legendPos val="b"/>
      <c:legendEntry>
        <c:idx val="3"/>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legendEntry>
      <c:legendEntry>
        <c:idx val="4"/>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legendEntry>
      <c:layout>
        <c:manualLayout>
          <c:xMode val="edge"/>
          <c:yMode val="edge"/>
          <c:x val="7.6296310651334562E-2"/>
          <c:y val="9.7839390557971015E-2"/>
          <c:w val="0.73108530458159249"/>
          <c:h val="0.3340001535267836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44444444444445"/>
          <c:y val="0.13166380372494263"/>
          <c:w val="0.84667366579177605"/>
          <c:h val="0.78500269707024528"/>
        </c:manualLayout>
      </c:layout>
      <c:barChart>
        <c:barDir val="col"/>
        <c:grouping val="percentStacked"/>
        <c:varyColors val="0"/>
        <c:ser>
          <c:idx val="0"/>
          <c:order val="0"/>
          <c:tx>
            <c:strRef>
              <c:f>Charts!$CS$25:$CT$25</c:f>
              <c:strCache>
                <c:ptCount val="2"/>
                <c:pt idx="0">
                  <c:v>Shopify Payments Revenue </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Charts!$CU$24:$DE$24</c:f>
              <c:strCache>
                <c:ptCount val="11"/>
                <c:pt idx="0">
                  <c:v>2017A</c:v>
                </c:pt>
                <c:pt idx="1">
                  <c:v>2018A</c:v>
                </c:pt>
                <c:pt idx="2">
                  <c:v>2019A</c:v>
                </c:pt>
                <c:pt idx="3">
                  <c:v>2020A</c:v>
                </c:pt>
                <c:pt idx="4">
                  <c:v>2021A</c:v>
                </c:pt>
                <c:pt idx="5">
                  <c:v>2022A</c:v>
                </c:pt>
                <c:pt idx="6">
                  <c:v>2023A</c:v>
                </c:pt>
                <c:pt idx="7">
                  <c:v>2024A</c:v>
                </c:pt>
                <c:pt idx="8">
                  <c:v>2025E</c:v>
                </c:pt>
                <c:pt idx="9">
                  <c:v>2026E</c:v>
                </c:pt>
                <c:pt idx="10">
                  <c:v>2027E</c:v>
                </c:pt>
              </c:strCache>
            </c:strRef>
          </c:cat>
          <c:val>
            <c:numRef>
              <c:f>Charts!$CU$25:$DE$25</c:f>
              <c:numCache>
                <c:formatCode>0.0%_);\(0.0%\);0.0%_);@_)</c:formatCode>
                <c:ptCount val="11"/>
                <c:pt idx="0">
                  <c:v>0.57999999999999985</c:v>
                </c:pt>
                <c:pt idx="1">
                  <c:v>0.57499999999999996</c:v>
                </c:pt>
                <c:pt idx="2">
                  <c:v>0.56999999999999995</c:v>
                </c:pt>
                <c:pt idx="3">
                  <c:v>0.56499999999999995</c:v>
                </c:pt>
                <c:pt idx="4">
                  <c:v>0.56000000000000005</c:v>
                </c:pt>
                <c:pt idx="5">
                  <c:v>0.55300000000000005</c:v>
                </c:pt>
                <c:pt idx="6">
                  <c:v>0.56499999999999995</c:v>
                </c:pt>
                <c:pt idx="7">
                  <c:v>0.56540323124042857</c:v>
                </c:pt>
                <c:pt idx="8">
                  <c:v>#N/A</c:v>
                </c:pt>
                <c:pt idx="9">
                  <c:v>0.55693807692291308</c:v>
                </c:pt>
                <c:pt idx="10">
                  <c:v>0.54863312532302455</c:v>
                </c:pt>
              </c:numCache>
            </c:numRef>
          </c:val>
          <c:extLst>
            <c:ext xmlns:c16="http://schemas.microsoft.com/office/drawing/2014/chart" uri="{C3380CC4-5D6E-409C-BE32-E72D297353CC}">
              <c16:uniqueId val="{00000000-C0DA-47DF-8755-88696DCE6D94}"/>
            </c:ext>
          </c:extLst>
        </c:ser>
        <c:ser>
          <c:idx val="1"/>
          <c:order val="1"/>
          <c:tx>
            <c:strRef>
              <c:f>Charts!$CS$26:$CT$26</c:f>
              <c:strCache>
                <c:ptCount val="2"/>
                <c:pt idx="0">
                  <c:v>3P Transaction Fee Revenue </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Charts!$CU$24:$DE$24</c:f>
              <c:strCache>
                <c:ptCount val="11"/>
                <c:pt idx="0">
                  <c:v>2017A</c:v>
                </c:pt>
                <c:pt idx="1">
                  <c:v>2018A</c:v>
                </c:pt>
                <c:pt idx="2">
                  <c:v>2019A</c:v>
                </c:pt>
                <c:pt idx="3">
                  <c:v>2020A</c:v>
                </c:pt>
                <c:pt idx="4">
                  <c:v>2021A</c:v>
                </c:pt>
                <c:pt idx="5">
                  <c:v>2022A</c:v>
                </c:pt>
                <c:pt idx="6">
                  <c:v>2023A</c:v>
                </c:pt>
                <c:pt idx="7">
                  <c:v>2024A</c:v>
                </c:pt>
                <c:pt idx="8">
                  <c:v>2025E</c:v>
                </c:pt>
                <c:pt idx="9">
                  <c:v>2026E</c:v>
                </c:pt>
                <c:pt idx="10">
                  <c:v>2027E</c:v>
                </c:pt>
              </c:strCache>
            </c:strRef>
          </c:cat>
          <c:val>
            <c:numRef>
              <c:f>Charts!$CU$26:$DE$26</c:f>
              <c:numCache>
                <c:formatCode>0.0%_);\(0.0%\);0.0%_);@_)</c:formatCode>
                <c:ptCount val="11"/>
                <c:pt idx="0">
                  <c:v>0.33999999999999997</c:v>
                </c:pt>
                <c:pt idx="1">
                  <c:v>0.32</c:v>
                </c:pt>
                <c:pt idx="2">
                  <c:v>0.3</c:v>
                </c:pt>
                <c:pt idx="3">
                  <c:v>0.27999999999999997</c:v>
                </c:pt>
                <c:pt idx="4">
                  <c:v>0.25999999999999995</c:v>
                </c:pt>
                <c:pt idx="5">
                  <c:v>0.24499999999999994</c:v>
                </c:pt>
                <c:pt idx="6">
                  <c:v>0.23499999999999996</c:v>
                </c:pt>
                <c:pt idx="7">
                  <c:v>0.22999999999999998</c:v>
                </c:pt>
                <c:pt idx="8">
                  <c:v>#N/A</c:v>
                </c:pt>
                <c:pt idx="9">
                  <c:v>0.21327247265742644</c:v>
                </c:pt>
                <c:pt idx="10">
                  <c:v>0.20383725637438097</c:v>
                </c:pt>
              </c:numCache>
            </c:numRef>
          </c:val>
          <c:extLst>
            <c:ext xmlns:c16="http://schemas.microsoft.com/office/drawing/2014/chart" uri="{C3380CC4-5D6E-409C-BE32-E72D297353CC}">
              <c16:uniqueId val="{00000001-C0DA-47DF-8755-88696DCE6D94}"/>
            </c:ext>
          </c:extLst>
        </c:ser>
        <c:ser>
          <c:idx val="3"/>
          <c:order val="3"/>
          <c:tx>
            <c:strRef>
              <c:f>Charts!$CS$28:$CT$28</c:f>
              <c:strCache>
                <c:ptCount val="2"/>
                <c:pt idx="0">
                  <c:v>Non-Payments Merchant Solution Revenue </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Charts!$CU$24:$DE$24</c:f>
              <c:strCache>
                <c:ptCount val="11"/>
                <c:pt idx="0">
                  <c:v>2017A</c:v>
                </c:pt>
                <c:pt idx="1">
                  <c:v>2018A</c:v>
                </c:pt>
                <c:pt idx="2">
                  <c:v>2019A</c:v>
                </c:pt>
                <c:pt idx="3">
                  <c:v>2020A</c:v>
                </c:pt>
                <c:pt idx="4">
                  <c:v>2021A</c:v>
                </c:pt>
                <c:pt idx="5">
                  <c:v>2022A</c:v>
                </c:pt>
                <c:pt idx="6">
                  <c:v>2023A</c:v>
                </c:pt>
                <c:pt idx="7">
                  <c:v>2024A</c:v>
                </c:pt>
                <c:pt idx="8">
                  <c:v>2025E</c:v>
                </c:pt>
                <c:pt idx="9">
                  <c:v>2026E</c:v>
                </c:pt>
                <c:pt idx="10">
                  <c:v>2027E</c:v>
                </c:pt>
              </c:strCache>
            </c:strRef>
          </c:cat>
          <c:val>
            <c:numRef>
              <c:f>Charts!$CU$28:$DE$28</c:f>
              <c:numCache>
                <c:formatCode>0.0%_);\(0.0%\);0.0%_);@_)</c:formatCode>
                <c:ptCount val="11"/>
                <c:pt idx="0">
                  <c:v>8.0000000000000196E-2</c:v>
                </c:pt>
                <c:pt idx="1">
                  <c:v>0.105</c:v>
                </c:pt>
                <c:pt idx="2">
                  <c:v>0.13000000000000012</c:v>
                </c:pt>
                <c:pt idx="3">
                  <c:v>0.15500000000000017</c:v>
                </c:pt>
                <c:pt idx="4">
                  <c:v>0.18000000000000008</c:v>
                </c:pt>
                <c:pt idx="5">
                  <c:v>0.20200000000000004</c:v>
                </c:pt>
                <c:pt idx="6">
                  <c:v>0.20000000000000007</c:v>
                </c:pt>
                <c:pt idx="7">
                  <c:v>0.20459676875957142</c:v>
                </c:pt>
                <c:pt idx="8">
                  <c:v>#N/A</c:v>
                </c:pt>
                <c:pt idx="9">
                  <c:v>0.22978945041966048</c:v>
                </c:pt>
                <c:pt idx="10">
                  <c:v>0.24752961830259448</c:v>
                </c:pt>
              </c:numCache>
            </c:numRef>
          </c:val>
          <c:extLst>
            <c:ext xmlns:c16="http://schemas.microsoft.com/office/drawing/2014/chart" uri="{C3380CC4-5D6E-409C-BE32-E72D297353CC}">
              <c16:uniqueId val="{00000003-C0DA-47DF-8755-88696DCE6D94}"/>
            </c:ext>
          </c:extLst>
        </c:ser>
        <c:dLbls>
          <c:showLegendKey val="0"/>
          <c:showVal val="0"/>
          <c:showCatName val="0"/>
          <c:showSerName val="0"/>
          <c:showPercent val="0"/>
          <c:showBubbleSize val="0"/>
        </c:dLbls>
        <c:gapWidth val="20"/>
        <c:overlap val="100"/>
        <c:axId val="432695376"/>
        <c:axId val="432697296"/>
        <c:extLst>
          <c:ext xmlns:c15="http://schemas.microsoft.com/office/drawing/2012/chart" uri="{02D57815-91ED-43cb-92C2-25804820EDAC}">
            <c15:filteredBarSeries>
              <c15:ser>
                <c:idx val="2"/>
                <c:order val="2"/>
                <c:tx>
                  <c:strRef>
                    <c:extLst>
                      <c:ext uri="{02D57815-91ED-43cb-92C2-25804820EDAC}">
                        <c15:formulaRef>
                          <c15:sqref>Charts!$CS$27:$CT$27</c15:sqref>
                        </c15:formulaRef>
                      </c:ext>
                    </c:extLst>
                    <c:strCache>
                      <c:ptCount val="2"/>
                      <c:pt idx="0">
                        <c:v>Total Payments Revenue </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Charts!$CU$24:$DE$24</c15:sqref>
                        </c15:formulaRef>
                      </c:ext>
                    </c:extLst>
                    <c:strCache>
                      <c:ptCount val="11"/>
                      <c:pt idx="0">
                        <c:v>2017A</c:v>
                      </c:pt>
                      <c:pt idx="1">
                        <c:v>2018A</c:v>
                      </c:pt>
                      <c:pt idx="2">
                        <c:v>2019A</c:v>
                      </c:pt>
                      <c:pt idx="3">
                        <c:v>2020A</c:v>
                      </c:pt>
                      <c:pt idx="4">
                        <c:v>2021A</c:v>
                      </c:pt>
                      <c:pt idx="5">
                        <c:v>2022A</c:v>
                      </c:pt>
                      <c:pt idx="6">
                        <c:v>2023A</c:v>
                      </c:pt>
                      <c:pt idx="7">
                        <c:v>2024A</c:v>
                      </c:pt>
                      <c:pt idx="8">
                        <c:v>2025E</c:v>
                      </c:pt>
                      <c:pt idx="9">
                        <c:v>2026E</c:v>
                      </c:pt>
                      <c:pt idx="10">
                        <c:v>2027E</c:v>
                      </c:pt>
                    </c:strCache>
                  </c:strRef>
                </c:cat>
                <c:val>
                  <c:numRef>
                    <c:extLst>
                      <c:ext uri="{02D57815-91ED-43cb-92C2-25804820EDAC}">
                        <c15:formulaRef>
                          <c15:sqref>Charts!$CU$27:$DE$27</c15:sqref>
                        </c15:formulaRef>
                      </c:ext>
                    </c:extLst>
                    <c:numCache>
                      <c:formatCode>0.0%_);\(0.0%\);0.0%_);@_)</c:formatCode>
                      <c:ptCount val="11"/>
                      <c:pt idx="0">
                        <c:v>0.91999999999999982</c:v>
                      </c:pt>
                      <c:pt idx="1">
                        <c:v>0.89500000000000002</c:v>
                      </c:pt>
                      <c:pt idx="2">
                        <c:v>0.86999999999999988</c:v>
                      </c:pt>
                      <c:pt idx="3">
                        <c:v>0.84499999999999986</c:v>
                      </c:pt>
                      <c:pt idx="4">
                        <c:v>0.82</c:v>
                      </c:pt>
                      <c:pt idx="5">
                        <c:v>0.79799999999999993</c:v>
                      </c:pt>
                      <c:pt idx="6">
                        <c:v>0.79999999999999993</c:v>
                      </c:pt>
                      <c:pt idx="7">
                        <c:v>0.79540323124042855</c:v>
                      </c:pt>
                      <c:pt idx="8">
                        <c:v>#N/A</c:v>
                      </c:pt>
                      <c:pt idx="9">
                        <c:v>0.77021054958033952</c:v>
                      </c:pt>
                      <c:pt idx="10">
                        <c:v>0.75247038169740554</c:v>
                      </c:pt>
                    </c:numCache>
                  </c:numRef>
                </c:val>
                <c:extLst>
                  <c:ext xmlns:c16="http://schemas.microsoft.com/office/drawing/2014/chart" uri="{C3380CC4-5D6E-409C-BE32-E72D297353CC}">
                    <c16:uniqueId val="{00000002-C0DA-47DF-8755-88696DCE6D94}"/>
                  </c:ext>
                </c:extLst>
              </c15:ser>
            </c15:filteredBarSeries>
          </c:ext>
        </c:extLst>
      </c:barChart>
      <c:catAx>
        <c:axId val="43269537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2697296"/>
        <c:crosses val="autoZero"/>
        <c:auto val="1"/>
        <c:lblAlgn val="ctr"/>
        <c:lblOffset val="100"/>
        <c:noMultiLvlLbl val="0"/>
      </c:catAx>
      <c:valAx>
        <c:axId val="4326972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2695376"/>
        <c:crosses val="autoZero"/>
        <c:crossBetween val="between"/>
      </c:valAx>
      <c:spPr>
        <a:noFill/>
        <a:ln>
          <a:noFill/>
        </a:ln>
        <a:effectLst/>
      </c:spPr>
    </c:plotArea>
    <c:legend>
      <c:legendPos val="b"/>
      <c:layout>
        <c:manualLayout>
          <c:xMode val="edge"/>
          <c:yMode val="edge"/>
          <c:x val="4.5254087510136022E-2"/>
          <c:y val="1.2648731408573978E-2"/>
          <c:w val="0.90155697643288768"/>
          <c:h val="0.1125749822019903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832758958518222E-2"/>
          <c:y val="5.0925925925925923E-2"/>
          <c:w val="0.93461162602683567"/>
          <c:h val="0.85327792359288424"/>
        </c:manualLayout>
      </c:layout>
      <c:lineChart>
        <c:grouping val="standard"/>
        <c:varyColors val="0"/>
        <c:ser>
          <c:idx val="0"/>
          <c:order val="0"/>
          <c:tx>
            <c:strRef>
              <c:f>Charts!$CS$14:$CT$14</c:f>
              <c:strCache>
                <c:ptCount val="2"/>
                <c:pt idx="0">
                  <c:v>Shopify Payments Gross Take Rate </c:v>
                </c:pt>
              </c:strCache>
            </c:strRef>
          </c:tx>
          <c:spPr>
            <a:ln w="28575"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Charts!$CW$13:$DE$13</c:f>
              <c:numCache>
                <c:formatCode>0</c:formatCode>
                <c:ptCount val="9"/>
              </c:numCache>
            </c:numRef>
          </c:cat>
          <c:val>
            <c:numRef>
              <c:f>Charts!$CW$14:$DE$14</c:f>
              <c:numCache>
                <c:formatCode>0.0%_);\(0.0%\);0.0%_);@_)</c:formatCode>
                <c:ptCount val="9"/>
                <c:pt idx="0">
                  <c:v>2.0755689485746628E-2</c:v>
                </c:pt>
                <c:pt idx="1">
                  <c:v>2.1221463011152412E-2</c:v>
                </c:pt>
                <c:pt idx="2">
                  <c:v>2.1339537529137531E-2</c:v>
                </c:pt>
                <c:pt idx="3">
                  <c:v>2.1432554806786051E-2</c:v>
                </c:pt>
                <c:pt idx="4">
                  <c:v>2.1528480966485256E-2</c:v>
                </c:pt>
                <c:pt idx="5">
                  <c:v>2.040746917564551E-2</c:v>
                </c:pt>
                <c:pt idx="6">
                  <c:v>#N/A</c:v>
                </c:pt>
                <c:pt idx="7">
                  <c:v>1.956408682651075E-2</c:v>
                </c:pt>
                <c:pt idx="8">
                  <c:v>1.9069979159167555E-2</c:v>
                </c:pt>
              </c:numCache>
            </c:numRef>
          </c:val>
          <c:smooth val="1"/>
          <c:extLst>
            <c:ext xmlns:c16="http://schemas.microsoft.com/office/drawing/2014/chart" uri="{C3380CC4-5D6E-409C-BE32-E72D297353CC}">
              <c16:uniqueId val="{00000000-9A40-43B5-B5C9-065E46AF7DD3}"/>
            </c:ext>
          </c:extLst>
        </c:ser>
        <c:ser>
          <c:idx val="1"/>
          <c:order val="1"/>
          <c:tx>
            <c:strRef>
              <c:f>Charts!$CS$15:$CT$15</c:f>
              <c:strCache>
                <c:ptCount val="2"/>
                <c:pt idx="0">
                  <c:v>3P Pay Take Rate </c:v>
                </c:pt>
              </c:strCache>
            </c:strRef>
          </c:tx>
          <c:spPr>
            <a:ln w="28575" cap="rnd">
              <a:solidFill>
                <a:schemeClr val="accent4"/>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Charts!$CW$13:$DE$13</c:f>
              <c:numCache>
                <c:formatCode>0</c:formatCode>
                <c:ptCount val="9"/>
              </c:numCache>
            </c:numRef>
          </c:cat>
          <c:val>
            <c:numRef>
              <c:f>Charts!$CW$15:$DE$15</c:f>
              <c:numCache>
                <c:formatCode>0.0%_);\(0.0%\);0.0%_);@_)</c:formatCode>
                <c:ptCount val="9"/>
                <c:pt idx="0">
                  <c:v>7.8840408121596487E-3</c:v>
                </c:pt>
                <c:pt idx="1">
                  <c:v>8.5027752511654935E-3</c:v>
                </c:pt>
                <c:pt idx="2">
                  <c:v>9.4415110172379382E-3</c:v>
                </c:pt>
                <c:pt idx="3">
                  <c:v>1.0983023038307449E-2</c:v>
                </c:pt>
                <c:pt idx="4">
                  <c:v>1.2393430377457939E-2</c:v>
                </c:pt>
                <c:pt idx="5">
                  <c:v>1.3428112742484819E-2</c:v>
                </c:pt>
                <c:pt idx="6">
                  <c:v>#N/A</c:v>
                </c:pt>
                <c:pt idx="7">
                  <c:v>1.5958969562229912E-2</c:v>
                </c:pt>
                <c:pt idx="8">
                  <c:v>1.6258969562229914E-2</c:v>
                </c:pt>
              </c:numCache>
            </c:numRef>
          </c:val>
          <c:smooth val="1"/>
          <c:extLst>
            <c:ext xmlns:c16="http://schemas.microsoft.com/office/drawing/2014/chart" uri="{C3380CC4-5D6E-409C-BE32-E72D297353CC}">
              <c16:uniqueId val="{00000001-9A40-43B5-B5C9-065E46AF7DD3}"/>
            </c:ext>
          </c:extLst>
        </c:ser>
        <c:dLbls>
          <c:showLegendKey val="0"/>
          <c:showVal val="0"/>
          <c:showCatName val="0"/>
          <c:showSerName val="0"/>
          <c:showPercent val="0"/>
          <c:showBubbleSize val="0"/>
        </c:dLbls>
        <c:smooth val="0"/>
        <c:axId val="444967888"/>
        <c:axId val="444978448"/>
      </c:lineChart>
      <c:catAx>
        <c:axId val="444967888"/>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4978448"/>
        <c:crosses val="autoZero"/>
        <c:auto val="1"/>
        <c:lblAlgn val="ctr"/>
        <c:lblOffset val="100"/>
        <c:noMultiLvlLbl val="0"/>
      </c:catAx>
      <c:valAx>
        <c:axId val="444978448"/>
        <c:scaling>
          <c:orientation val="minMax"/>
        </c:scaling>
        <c:delete val="0"/>
        <c:axPos val="l"/>
        <c:numFmt formatCode="0.0%_);\(0.0%\);0.0%_);@_)"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4967888"/>
        <c:crosses val="autoZero"/>
        <c:crossBetween val="between"/>
      </c:valAx>
      <c:spPr>
        <a:noFill/>
        <a:ln>
          <a:noFill/>
        </a:ln>
        <a:effectLst/>
      </c:spPr>
    </c:plotArea>
    <c:legend>
      <c:legendPos val="b"/>
      <c:layout>
        <c:manualLayout>
          <c:xMode val="edge"/>
          <c:yMode val="edge"/>
          <c:x val="8.7848473721734752E-2"/>
          <c:y val="0.76156786921007857"/>
          <c:w val="0.87626924759405078"/>
          <c:h val="7.727763196267133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dLbls>
          <c:showLegendKey val="0"/>
          <c:showVal val="0"/>
          <c:showCatName val="0"/>
          <c:showSerName val="0"/>
          <c:showPercent val="0"/>
          <c:showBubbleSize val="0"/>
        </c:dLbls>
        <c:gapWidth val="219"/>
        <c:overlap val="-27"/>
        <c:axId val="1144541584"/>
        <c:axId val="1144540624"/>
        <c:extLst>
          <c:ext xmlns:c15="http://schemas.microsoft.com/office/drawing/2012/chart" uri="{02D57815-91ED-43cb-92C2-25804820EDAC}">
            <c15:filteredBarSeries>
              <c15:ser>
                <c:idx val="0"/>
                <c:order val="0"/>
                <c:tx>
                  <c:strRef>
                    <c:extLst>
                      <c:ext uri="{02D57815-91ED-43cb-92C2-25804820EDAC}">
                        <c15:formulaRef>
                          <c15:sqref>Charts!$CS$5</c15:sqref>
                        </c15:formulaRef>
                      </c:ext>
                    </c:extLst>
                    <c:strCache>
                      <c:ptCount val="1"/>
                      <c:pt idx="0">
                        <c:v>Shopify Total Revenue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Charts!$CT$4:$DE$4</c15:sqref>
                        </c15:formulaRef>
                      </c:ext>
                    </c:extLst>
                    <c:strCache>
                      <c:ptCount val="12"/>
                      <c:pt idx="0">
                        <c:v>2016A</c:v>
                      </c:pt>
                      <c:pt idx="1">
                        <c:v>2017A</c:v>
                      </c:pt>
                      <c:pt idx="2">
                        <c:v>2018A</c:v>
                      </c:pt>
                      <c:pt idx="3">
                        <c:v>2019A</c:v>
                      </c:pt>
                      <c:pt idx="4">
                        <c:v>2020A</c:v>
                      </c:pt>
                      <c:pt idx="5">
                        <c:v>2021A</c:v>
                      </c:pt>
                      <c:pt idx="6">
                        <c:v>2022A</c:v>
                      </c:pt>
                      <c:pt idx="7">
                        <c:v>2023A</c:v>
                      </c:pt>
                      <c:pt idx="8">
                        <c:v>2024A</c:v>
                      </c:pt>
                      <c:pt idx="9">
                        <c:v>2025E</c:v>
                      </c:pt>
                      <c:pt idx="10">
                        <c:v>2026E</c:v>
                      </c:pt>
                      <c:pt idx="11">
                        <c:v>2027E</c:v>
                      </c:pt>
                    </c:strCache>
                  </c:strRef>
                </c:cat>
                <c:val>
                  <c:numRef>
                    <c:extLst>
                      <c:ext uri="{02D57815-91ED-43cb-92C2-25804820EDAC}">
                        <c15:formulaRef>
                          <c15:sqref>Charts!$CT$5:$DE$5</c15:sqref>
                        </c15:formulaRef>
                      </c:ext>
                    </c:extLst>
                    <c:numCache>
                      <c:formatCode>"$"#,##0.0,"B"_);\("$"#,##0.0"B"\);"$"#,##0.00_);@_)</c:formatCode>
                      <c:ptCount val="12"/>
                      <c:pt idx="0">
                        <c:v>389.33</c:v>
                      </c:pt>
                      <c:pt idx="1">
                        <c:v>673.30399999999997</c:v>
                      </c:pt>
                      <c:pt idx="2">
                        <c:v>1073.2289999999998</c:v>
                      </c:pt>
                      <c:pt idx="3">
                        <c:v>1578.173</c:v>
                      </c:pt>
                      <c:pt idx="4">
                        <c:v>2929.491</c:v>
                      </c:pt>
                      <c:pt idx="5">
                        <c:v>4611.8559999999998</c:v>
                      </c:pt>
                      <c:pt idx="6">
                        <c:v>5599.8640000000005</c:v>
                      </c:pt>
                      <c:pt idx="7">
                        <c:v>7060</c:v>
                      </c:pt>
                      <c:pt idx="8">
                        <c:v>8880</c:v>
                      </c:pt>
                      <c:pt idx="9">
                        <c:v>11556</c:v>
                      </c:pt>
                      <c:pt idx="10">
                        <c:v>15211.685523769687</c:v>
                      </c:pt>
                      <c:pt idx="11">
                        <c:v>19134.27960159217</c:v>
                      </c:pt>
                    </c:numCache>
                  </c:numRef>
                </c:val>
                <c:extLst>
                  <c:ext xmlns:c16="http://schemas.microsoft.com/office/drawing/2014/chart" uri="{C3380CC4-5D6E-409C-BE32-E72D297353CC}">
                    <c16:uniqueId val="{00000000-FEA1-4AA4-B51E-F2198393BB58}"/>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Charts!$CS$7</c15:sqref>
                        </c15:formulaRef>
                      </c:ext>
                    </c:extLst>
                    <c:strCache>
                      <c:ptCount val="1"/>
                      <c:pt idx="0">
                        <c:v>Gross Merchandise Value (GMV)</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Charts!$CT$4:$DE$4</c15:sqref>
                        </c15:formulaRef>
                      </c:ext>
                    </c:extLst>
                    <c:strCache>
                      <c:ptCount val="12"/>
                      <c:pt idx="0">
                        <c:v>2016A</c:v>
                      </c:pt>
                      <c:pt idx="1">
                        <c:v>2017A</c:v>
                      </c:pt>
                      <c:pt idx="2">
                        <c:v>2018A</c:v>
                      </c:pt>
                      <c:pt idx="3">
                        <c:v>2019A</c:v>
                      </c:pt>
                      <c:pt idx="4">
                        <c:v>2020A</c:v>
                      </c:pt>
                      <c:pt idx="5">
                        <c:v>2021A</c:v>
                      </c:pt>
                      <c:pt idx="6">
                        <c:v>2022A</c:v>
                      </c:pt>
                      <c:pt idx="7">
                        <c:v>2023A</c:v>
                      </c:pt>
                      <c:pt idx="8">
                        <c:v>2024A</c:v>
                      </c:pt>
                      <c:pt idx="9">
                        <c:v>2025E</c:v>
                      </c:pt>
                      <c:pt idx="10">
                        <c:v>2026E</c:v>
                      </c:pt>
                      <c:pt idx="11">
                        <c:v>2027E</c:v>
                      </c:pt>
                    </c:strCache>
                  </c:strRef>
                </c:cat>
                <c:val>
                  <c:numRef>
                    <c:extLst xmlns:c15="http://schemas.microsoft.com/office/drawing/2012/chart">
                      <c:ext xmlns:c15="http://schemas.microsoft.com/office/drawing/2012/chart" uri="{02D57815-91ED-43cb-92C2-25804820EDAC}">
                        <c15:formulaRef>
                          <c15:sqref>Charts!$CT$7:$DE$7</c15:sqref>
                        </c15:formulaRef>
                      </c:ext>
                    </c:extLst>
                    <c:numCache>
                      <c:formatCode>"$"#,##0.0,"B"_);\("$"#,##0.0"B"\);"$"#,##0.00_);@_)</c:formatCode>
                      <c:ptCount val="12"/>
                      <c:pt idx="0">
                        <c:v>15374.165999999999</c:v>
                      </c:pt>
                      <c:pt idx="1">
                        <c:v>26320.15</c:v>
                      </c:pt>
                      <c:pt idx="2">
                        <c:v>41103.237999999998</c:v>
                      </c:pt>
                      <c:pt idx="3">
                        <c:v>61138.457000000002</c:v>
                      </c:pt>
                      <c:pt idx="4">
                        <c:v>119577.147</c:v>
                      </c:pt>
                      <c:pt idx="5">
                        <c:v>175361.81400000001</c:v>
                      </c:pt>
                      <c:pt idx="6">
                        <c:v>197250.171</c:v>
                      </c:pt>
                      <c:pt idx="7">
                        <c:v>235925</c:v>
                      </c:pt>
                      <c:pt idx="8">
                        <c:v>292275</c:v>
                      </c:pt>
                      <c:pt idx="9">
                        <c:v>378441</c:v>
                      </c:pt>
                      <c:pt idx="10">
                        <c:v>495681.79000000004</c:v>
                      </c:pt>
                      <c:pt idx="11">
                        <c:v>623338.3186</c:v>
                      </c:pt>
                    </c:numCache>
                  </c:numRef>
                </c:val>
                <c:extLst xmlns:c15="http://schemas.microsoft.com/office/drawing/2012/chart">
                  <c:ext xmlns:c16="http://schemas.microsoft.com/office/drawing/2014/chart" uri="{C3380CC4-5D6E-409C-BE32-E72D297353CC}">
                    <c16:uniqueId val="{00000001-FEA1-4AA4-B51E-F2198393BB58}"/>
                  </c:ext>
                </c:extLst>
              </c15:ser>
            </c15:filteredBarSeries>
          </c:ext>
        </c:extLst>
      </c:barChart>
      <c:lineChart>
        <c:grouping val="standard"/>
        <c:varyColors val="0"/>
        <c:ser>
          <c:idx val="2"/>
          <c:order val="2"/>
          <c:tx>
            <c:strRef>
              <c:f>Charts!$CS$9</c:f>
              <c:strCache>
                <c:ptCount val="1"/>
                <c:pt idx="0">
                  <c:v>Shopify total attach rate</c:v>
                </c:pt>
              </c:strCache>
            </c:strRef>
          </c:tx>
          <c:spPr>
            <a:ln w="28575" cap="rnd">
              <a:solidFill>
                <a:schemeClr val="accent3"/>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Charts!$CT$4:$DE$4</c:f>
              <c:strCache>
                <c:ptCount val="12"/>
                <c:pt idx="0">
                  <c:v>2016A</c:v>
                </c:pt>
                <c:pt idx="1">
                  <c:v>2017A</c:v>
                </c:pt>
                <c:pt idx="2">
                  <c:v>2018A</c:v>
                </c:pt>
                <c:pt idx="3">
                  <c:v>2019A</c:v>
                </c:pt>
                <c:pt idx="4">
                  <c:v>2020A</c:v>
                </c:pt>
                <c:pt idx="5">
                  <c:v>2021A</c:v>
                </c:pt>
                <c:pt idx="6">
                  <c:v>2022A</c:v>
                </c:pt>
                <c:pt idx="7">
                  <c:v>2023A</c:v>
                </c:pt>
                <c:pt idx="8">
                  <c:v>2024A</c:v>
                </c:pt>
                <c:pt idx="9">
                  <c:v>2025E</c:v>
                </c:pt>
                <c:pt idx="10">
                  <c:v>2026E</c:v>
                </c:pt>
                <c:pt idx="11">
                  <c:v>2027E</c:v>
                </c:pt>
              </c:strCache>
            </c:strRef>
          </c:cat>
          <c:val>
            <c:numRef>
              <c:f>Charts!$CT$9:$DE$9</c:f>
              <c:numCache>
                <c:formatCode>0.0%_);\(0.0%\);0.0%_);@_)</c:formatCode>
                <c:ptCount val="12"/>
                <c:pt idx="0">
                  <c:v>2.532365007636837E-2</c:v>
                </c:pt>
                <c:pt idx="1">
                  <c:v>2.5581313176406668E-2</c:v>
                </c:pt>
                <c:pt idx="2">
                  <c:v>2.611057065625827E-2</c:v>
                </c:pt>
                <c:pt idx="3">
                  <c:v>2.5813098292618016E-2</c:v>
                </c:pt>
                <c:pt idx="4">
                  <c:v>2.4498753093682692E-2</c:v>
                </c:pt>
                <c:pt idx="5">
                  <c:v>2.629908926466739E-2</c:v>
                </c:pt>
                <c:pt idx="6">
                  <c:v>2.8389653461948078E-2</c:v>
                </c:pt>
                <c:pt idx="7">
                  <c:v>2.9924764225919255E-2</c:v>
                </c:pt>
                <c:pt idx="8">
                  <c:v>3.0382345393892739E-2</c:v>
                </c:pt>
                <c:pt idx="9">
                  <c:v>3.0535803467383292E-2</c:v>
                </c:pt>
                <c:pt idx="10">
                  <c:v>3.0688409037115699E-2</c:v>
                </c:pt>
                <c:pt idx="11">
                  <c:v>3.0696459740461993E-2</c:v>
                </c:pt>
              </c:numCache>
            </c:numRef>
          </c:val>
          <c:smooth val="1"/>
          <c:extLst>
            <c:ext xmlns:c16="http://schemas.microsoft.com/office/drawing/2014/chart" uri="{C3380CC4-5D6E-409C-BE32-E72D297353CC}">
              <c16:uniqueId val="{00000002-FEA1-4AA4-B51E-F2198393BB58}"/>
            </c:ext>
          </c:extLst>
        </c:ser>
        <c:dLbls>
          <c:showLegendKey val="0"/>
          <c:showVal val="0"/>
          <c:showCatName val="0"/>
          <c:showSerName val="0"/>
          <c:showPercent val="0"/>
          <c:showBubbleSize val="0"/>
        </c:dLbls>
        <c:marker val="1"/>
        <c:smooth val="0"/>
        <c:axId val="1144535824"/>
        <c:axId val="1144541104"/>
      </c:lineChart>
      <c:catAx>
        <c:axId val="1144541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44540624"/>
        <c:crosses val="autoZero"/>
        <c:auto val="1"/>
        <c:lblAlgn val="ctr"/>
        <c:lblOffset val="100"/>
        <c:noMultiLvlLbl val="0"/>
      </c:catAx>
      <c:valAx>
        <c:axId val="1144540624"/>
        <c:scaling>
          <c:orientation val="minMax"/>
        </c:scaling>
        <c:delete val="0"/>
        <c:axPos val="l"/>
        <c:majorGridlines>
          <c:spPr>
            <a:ln w="9525" cap="flat" cmpd="sng" algn="ctr">
              <a:solidFill>
                <a:schemeClr val="tx1">
                  <a:lumMod val="15000"/>
                  <a:lumOff val="85000"/>
                </a:schemeClr>
              </a:solidFill>
              <a:round/>
            </a:ln>
            <a:effectLst/>
          </c:spPr>
        </c:majorGridlines>
        <c:numFmt formatCode="&quot;$&quot;#,##0,&quot;B&quot;_);\(&quot;$&quot;#,##0&quot;B&quot;\);&quot;$&quot;#,##0.00_);@_)" sourceLinked="0"/>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44541584"/>
        <c:crosses val="autoZero"/>
        <c:crossBetween val="between"/>
      </c:valAx>
      <c:valAx>
        <c:axId val="1144541104"/>
        <c:scaling>
          <c:orientation val="minMax"/>
        </c:scaling>
        <c:delete val="0"/>
        <c:axPos val="r"/>
        <c:numFmt formatCode="0.0%_);\(0.0%\);0.0%_);@_)"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44535824"/>
        <c:crosses val="max"/>
        <c:crossBetween val="between"/>
      </c:valAx>
      <c:catAx>
        <c:axId val="1144535824"/>
        <c:scaling>
          <c:orientation val="minMax"/>
        </c:scaling>
        <c:delete val="1"/>
        <c:axPos val="b"/>
        <c:numFmt formatCode="General" sourceLinked="1"/>
        <c:majorTickMark val="out"/>
        <c:minorTickMark val="none"/>
        <c:tickLblPos val="nextTo"/>
        <c:crossAx val="1144541104"/>
        <c:crosses val="autoZero"/>
        <c:auto val="1"/>
        <c:lblAlgn val="ctr"/>
        <c:lblOffset val="100"/>
        <c:noMultiLvlLbl val="0"/>
      </c:catAx>
      <c:spPr>
        <a:noFill/>
        <a:ln>
          <a:noFill/>
        </a:ln>
        <a:effectLst/>
      </c:spPr>
    </c:plotArea>
    <c:legend>
      <c:legendPos val="b"/>
      <c:layout>
        <c:manualLayout>
          <c:xMode val="edge"/>
          <c:yMode val="edge"/>
          <c:x val="0.28525103376162486"/>
          <c:y val="0.46327804024496938"/>
          <c:w val="0.39958530183727037"/>
          <c:h val="7.727763196267133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Charts!$CS$9</c:f>
              <c:strCache>
                <c:ptCount val="1"/>
                <c:pt idx="0">
                  <c:v>Shopify total attach rate</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Charts!$CT$4:$DE$4</c:f>
              <c:strCache>
                <c:ptCount val="12"/>
                <c:pt idx="0">
                  <c:v>2016A</c:v>
                </c:pt>
                <c:pt idx="1">
                  <c:v>2017A</c:v>
                </c:pt>
                <c:pt idx="2">
                  <c:v>2018A</c:v>
                </c:pt>
                <c:pt idx="3">
                  <c:v>2019A</c:v>
                </c:pt>
                <c:pt idx="4">
                  <c:v>2020A</c:v>
                </c:pt>
                <c:pt idx="5">
                  <c:v>2021A</c:v>
                </c:pt>
                <c:pt idx="6">
                  <c:v>2022A</c:v>
                </c:pt>
                <c:pt idx="7">
                  <c:v>2023A</c:v>
                </c:pt>
                <c:pt idx="8">
                  <c:v>2024A</c:v>
                </c:pt>
                <c:pt idx="9">
                  <c:v>2025E</c:v>
                </c:pt>
                <c:pt idx="10">
                  <c:v>2026E</c:v>
                </c:pt>
                <c:pt idx="11">
                  <c:v>2027E</c:v>
                </c:pt>
              </c:strCache>
            </c:strRef>
          </c:cat>
          <c:val>
            <c:numRef>
              <c:f>Charts!$CT$9:$DE$9</c:f>
              <c:numCache>
                <c:formatCode>0.0%_);\(0.0%\);0.0%_);@_)</c:formatCode>
                <c:ptCount val="12"/>
                <c:pt idx="0">
                  <c:v>2.532365007636837E-2</c:v>
                </c:pt>
                <c:pt idx="1">
                  <c:v>2.5581313176406668E-2</c:v>
                </c:pt>
                <c:pt idx="2">
                  <c:v>2.611057065625827E-2</c:v>
                </c:pt>
                <c:pt idx="3">
                  <c:v>2.5813098292618016E-2</c:v>
                </c:pt>
                <c:pt idx="4">
                  <c:v>2.4498753093682692E-2</c:v>
                </c:pt>
                <c:pt idx="5">
                  <c:v>2.629908926466739E-2</c:v>
                </c:pt>
                <c:pt idx="6">
                  <c:v>2.8389653461948078E-2</c:v>
                </c:pt>
                <c:pt idx="7">
                  <c:v>2.9924764225919255E-2</c:v>
                </c:pt>
                <c:pt idx="8">
                  <c:v>3.0382345393892739E-2</c:v>
                </c:pt>
                <c:pt idx="9">
                  <c:v>3.0535803467383292E-2</c:v>
                </c:pt>
                <c:pt idx="10">
                  <c:v>3.0688409037115699E-2</c:v>
                </c:pt>
                <c:pt idx="11">
                  <c:v>3.0696459740461993E-2</c:v>
                </c:pt>
              </c:numCache>
            </c:numRef>
          </c:val>
          <c:smooth val="1"/>
          <c:extLst>
            <c:ext xmlns:c16="http://schemas.microsoft.com/office/drawing/2014/chart" uri="{C3380CC4-5D6E-409C-BE32-E72D297353CC}">
              <c16:uniqueId val="{00000000-1D66-4922-98F6-B0A60B332ADF}"/>
            </c:ext>
          </c:extLst>
        </c:ser>
        <c:dLbls>
          <c:showLegendKey val="0"/>
          <c:showVal val="0"/>
          <c:showCatName val="0"/>
          <c:showSerName val="0"/>
          <c:showPercent val="0"/>
          <c:showBubbleSize val="0"/>
        </c:dLbls>
        <c:smooth val="0"/>
        <c:axId val="444977488"/>
        <c:axId val="444966928"/>
      </c:lineChart>
      <c:catAx>
        <c:axId val="4449774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4966928"/>
        <c:crosses val="autoZero"/>
        <c:auto val="1"/>
        <c:lblAlgn val="ctr"/>
        <c:lblOffset val="100"/>
        <c:noMultiLvlLbl val="0"/>
      </c:catAx>
      <c:valAx>
        <c:axId val="444966928"/>
        <c:scaling>
          <c:orientation val="minMax"/>
          <c:min val="1.5000000000000003E-2"/>
        </c:scaling>
        <c:delete val="0"/>
        <c:axPos val="l"/>
        <c:majorGridlines>
          <c:spPr>
            <a:ln w="9525" cap="flat" cmpd="sng" algn="ctr">
              <a:solidFill>
                <a:schemeClr val="tx1">
                  <a:lumMod val="15000"/>
                  <a:lumOff val="85000"/>
                </a:schemeClr>
              </a:solidFill>
              <a:round/>
            </a:ln>
            <a:effectLst/>
          </c:spPr>
        </c:majorGridlines>
        <c:numFmt formatCode="0.0%_);\(0.0%\);0.0%_);@_)"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497748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1956103491266451E-2"/>
          <c:y val="3.8800705467372132E-2"/>
          <c:w val="0.94778924942782961"/>
          <c:h val="0.89770723104056438"/>
        </c:manualLayout>
      </c:layout>
      <c:lineChart>
        <c:grouping val="standard"/>
        <c:varyColors val="0"/>
        <c:ser>
          <c:idx val="0"/>
          <c:order val="0"/>
          <c:tx>
            <c:strRef>
              <c:f>Charts!$CS$53</c:f>
              <c:strCache>
                <c:ptCount val="1"/>
                <c:pt idx="0">
                  <c:v>Subscription Solutions Gross margin</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Charts!$CT$52:$DE$52</c:f>
              <c:numCache>
                <c:formatCode>"$"#,##0.0,"B"_);\("$"#,##0.0"B"\);"$"#,##0.00_);@_)</c:formatCode>
                <c:ptCount val="12"/>
              </c:numCache>
            </c:numRef>
          </c:cat>
          <c:val>
            <c:numRef>
              <c:f>Charts!$CT$53:$DE$53</c:f>
              <c:numCache>
                <c:formatCode>0.0%_);\(0.0%\);0.0%_);@_)</c:formatCode>
                <c:ptCount val="12"/>
                <c:pt idx="0">
                  <c:v>0.79068534405056035</c:v>
                </c:pt>
                <c:pt idx="1">
                  <c:v>0.80238427770126219</c:v>
                </c:pt>
                <c:pt idx="2">
                  <c:v>0.78281533604590159</c:v>
                </c:pt>
                <c:pt idx="3">
                  <c:v>0.80045652644412302</c:v>
                </c:pt>
                <c:pt idx="4">
                  <c:v>0.78703657853529585</c:v>
                </c:pt>
                <c:pt idx="5">
                  <c:v>0.80306615194132025</c:v>
                </c:pt>
                <c:pt idx="6">
                  <c:v>0.77760712588530811</c:v>
                </c:pt>
                <c:pt idx="7">
                  <c:v>0.8072945019052804</c:v>
                </c:pt>
                <c:pt idx="8">
                  <c:v>0.81531914893617019</c:v>
                </c:pt>
                <c:pt idx="9">
                  <c:v>#N/A</c:v>
                </c:pt>
                <c:pt idx="10">
                  <c:v>0.80601630616771991</c:v>
                </c:pt>
                <c:pt idx="11">
                  <c:v>0.80490836627993689</c:v>
                </c:pt>
              </c:numCache>
            </c:numRef>
          </c:val>
          <c:smooth val="1"/>
          <c:extLst>
            <c:ext xmlns:c16="http://schemas.microsoft.com/office/drawing/2014/chart" uri="{C3380CC4-5D6E-409C-BE32-E72D297353CC}">
              <c16:uniqueId val="{00000000-1D5E-424C-B088-556D82F28A63}"/>
            </c:ext>
          </c:extLst>
        </c:ser>
        <c:ser>
          <c:idx val="1"/>
          <c:order val="1"/>
          <c:tx>
            <c:strRef>
              <c:f>Charts!$CS$54</c:f>
              <c:strCache>
                <c:ptCount val="1"/>
                <c:pt idx="0">
                  <c:v>Merchant Solutions Gross margin</c:v>
                </c:pt>
              </c:strCache>
            </c:strRef>
          </c:tx>
          <c:spPr>
            <a:ln w="28575"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Charts!$CT$52:$DE$52</c:f>
              <c:numCache>
                <c:formatCode>"$"#,##0.0,"B"_);\("$"#,##0.0"B"\);"$"#,##0.00_);@_)</c:formatCode>
                <c:ptCount val="12"/>
              </c:numCache>
            </c:numRef>
          </c:cat>
          <c:val>
            <c:numRef>
              <c:f>Charts!$CT$54:$DE$54</c:f>
              <c:numCache>
                <c:formatCode>0.0%_);\(0.0%\);0.0%_);@_)</c:formatCode>
                <c:ptCount val="12"/>
                <c:pt idx="0">
                  <c:v>0.30074629839979272</c:v>
                </c:pt>
                <c:pt idx="1">
                  <c:v>0.36195643496764135</c:v>
                </c:pt>
                <c:pt idx="2">
                  <c:v>0.38186188516571778</c:v>
                </c:pt>
                <c:pt idx="3">
                  <c:v>0.37562237427505418</c:v>
                </c:pt>
                <c:pt idx="4">
                  <c:v>0.40890834716494107</c:v>
                </c:pt>
                <c:pt idx="5">
                  <c:v>0.42916395730018031</c:v>
                </c:pt>
                <c:pt idx="6">
                  <c:v>0.38842077232950034</c:v>
                </c:pt>
                <c:pt idx="7">
                  <c:v>0.38904843959410301</c:v>
                </c:pt>
                <c:pt idx="8">
                  <c:v>0.39142419601837675</c:v>
                </c:pt>
                <c:pt idx="9">
                  <c:v>#N/A</c:v>
                </c:pt>
                <c:pt idx="10">
                  <c:v>0.38074909315477251</c:v>
                </c:pt>
                <c:pt idx="11">
                  <c:v>0.38133658437646639</c:v>
                </c:pt>
              </c:numCache>
            </c:numRef>
          </c:val>
          <c:smooth val="1"/>
          <c:extLst>
            <c:ext xmlns:c16="http://schemas.microsoft.com/office/drawing/2014/chart" uri="{C3380CC4-5D6E-409C-BE32-E72D297353CC}">
              <c16:uniqueId val="{00000001-1D5E-424C-B088-556D82F28A63}"/>
            </c:ext>
          </c:extLst>
        </c:ser>
        <c:ser>
          <c:idx val="2"/>
          <c:order val="2"/>
          <c:tx>
            <c:strRef>
              <c:f>Charts!$CS$55</c:f>
              <c:strCache>
                <c:ptCount val="1"/>
                <c:pt idx="0">
                  <c:v>Total Gross Margin</c:v>
                </c:pt>
              </c:strCache>
            </c:strRef>
          </c:tx>
          <c:spPr>
            <a:ln w="28575" cap="rnd">
              <a:solidFill>
                <a:schemeClr val="accent3"/>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Charts!$CT$52:$DE$52</c:f>
              <c:numCache>
                <c:formatCode>"$"#,##0.0,"B"_);\("$"#,##0.0"B"\);"$"#,##0.00_);@_)</c:formatCode>
                <c:ptCount val="12"/>
              </c:numCache>
            </c:numRef>
          </c:cat>
          <c:val>
            <c:numRef>
              <c:f>Charts!$CT$55:$DE$55</c:f>
              <c:numCache>
                <c:formatCode>0.0%_);\(0.0%\);0.0%_);@_)</c:formatCode>
                <c:ptCount val="12"/>
                <c:pt idx="0">
                  <c:v>0.53809107954691393</c:v>
                </c:pt>
                <c:pt idx="1">
                  <c:v>0.5647567814835498</c:v>
                </c:pt>
                <c:pt idx="2">
                  <c:v>0.55558226622649964</c:v>
                </c:pt>
                <c:pt idx="3">
                  <c:v>0.54850957404543099</c:v>
                </c:pt>
                <c:pt idx="4">
                  <c:v>0.52620745378634048</c:v>
                </c:pt>
                <c:pt idx="5">
                  <c:v>0.53799251320943231</c:v>
                </c:pt>
                <c:pt idx="6">
                  <c:v>0.4918189084592054</c:v>
                </c:pt>
                <c:pt idx="7">
                  <c:v>0.49787535410764872</c:v>
                </c:pt>
                <c:pt idx="8">
                  <c:v>0.50360360360360357</c:v>
                </c:pt>
                <c:pt idx="9">
                  <c:v>#N/A</c:v>
                </c:pt>
                <c:pt idx="10">
                  <c:v>0.47434642697487006</c:v>
                </c:pt>
                <c:pt idx="11">
                  <c:v>0.47049327896757775</c:v>
                </c:pt>
              </c:numCache>
            </c:numRef>
          </c:val>
          <c:smooth val="1"/>
          <c:extLst>
            <c:ext xmlns:c16="http://schemas.microsoft.com/office/drawing/2014/chart" uri="{C3380CC4-5D6E-409C-BE32-E72D297353CC}">
              <c16:uniqueId val="{00000002-1D5E-424C-B088-556D82F28A63}"/>
            </c:ext>
          </c:extLst>
        </c:ser>
        <c:dLbls>
          <c:showLegendKey val="0"/>
          <c:showVal val="0"/>
          <c:showCatName val="0"/>
          <c:showSerName val="0"/>
          <c:showPercent val="0"/>
          <c:showBubbleSize val="0"/>
        </c:dLbls>
        <c:smooth val="0"/>
        <c:axId val="1341463440"/>
        <c:axId val="1341452880"/>
      </c:lineChart>
      <c:catAx>
        <c:axId val="1341463440"/>
        <c:scaling>
          <c:orientation val="minMax"/>
        </c:scaling>
        <c:delete val="0"/>
        <c:axPos val="b"/>
        <c:numFmt formatCode="&quot;$&quot;#,##0.0,&quot;B&quot;_);\(&quot;$&quot;#,##0.0&quot;B&quot;\);&quot;$&quot;#,##0.00_);@_)"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41452880"/>
        <c:crosses val="autoZero"/>
        <c:auto val="1"/>
        <c:lblAlgn val="ctr"/>
        <c:lblOffset val="100"/>
        <c:noMultiLvlLbl val="0"/>
      </c:catAx>
      <c:valAx>
        <c:axId val="1341452880"/>
        <c:scaling>
          <c:orientation val="minMax"/>
        </c:scaling>
        <c:delete val="0"/>
        <c:axPos val="l"/>
        <c:numFmt formatCode="0.0%_);\(0.0%\);0.0%_);@_)"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41463440"/>
        <c:crosses val="autoZero"/>
        <c:crossBetween val="between"/>
      </c:valAx>
      <c:spPr>
        <a:noFill/>
        <a:ln>
          <a:noFill/>
        </a:ln>
        <a:effectLst/>
      </c:spPr>
    </c:plotArea>
    <c:legend>
      <c:legendPos val="b"/>
      <c:layout>
        <c:manualLayout>
          <c:xMode val="edge"/>
          <c:yMode val="edge"/>
          <c:x val="4.0899324583418717E-2"/>
          <c:y val="0.74706901158313299"/>
          <c:w val="0.89999998550127669"/>
          <c:h val="5.887819578108292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657570656230774E-2"/>
          <c:y val="3.9064815715856453E-2"/>
          <c:w val="0.88067647876386024"/>
          <c:h val="0.87679678577940035"/>
        </c:manualLayout>
      </c:layout>
      <c:barChart>
        <c:barDir val="col"/>
        <c:grouping val="clustered"/>
        <c:varyColors val="0"/>
        <c:ser>
          <c:idx val="0"/>
          <c:order val="0"/>
          <c:tx>
            <c:strRef>
              <c:f>Charts!$CS$48</c:f>
              <c:strCache>
                <c:ptCount val="1"/>
                <c:pt idx="0">
                  <c:v>Subscription Solutions Gross Profit</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Charts!$CT$4:$DE$4</c:f>
              <c:strCache>
                <c:ptCount val="12"/>
                <c:pt idx="0">
                  <c:v>2016A</c:v>
                </c:pt>
                <c:pt idx="1">
                  <c:v>2017A</c:v>
                </c:pt>
                <c:pt idx="2">
                  <c:v>2018A</c:v>
                </c:pt>
                <c:pt idx="3">
                  <c:v>2019A</c:v>
                </c:pt>
                <c:pt idx="4">
                  <c:v>2020A</c:v>
                </c:pt>
                <c:pt idx="5">
                  <c:v>2021A</c:v>
                </c:pt>
                <c:pt idx="6">
                  <c:v>2022A</c:v>
                </c:pt>
                <c:pt idx="7">
                  <c:v>2023A</c:v>
                </c:pt>
                <c:pt idx="8">
                  <c:v>2024A</c:v>
                </c:pt>
                <c:pt idx="9">
                  <c:v>2025E</c:v>
                </c:pt>
                <c:pt idx="10">
                  <c:v>2026E</c:v>
                </c:pt>
                <c:pt idx="11">
                  <c:v>2027E</c:v>
                </c:pt>
              </c:strCache>
            </c:strRef>
          </c:cat>
          <c:val>
            <c:numRef>
              <c:f>Charts!$CT$48:$DE$48</c:f>
              <c:numCache>
                <c:formatCode>"$"#,##0.0,"B"_);\("$"#,##0.0"B"\);"$"#,##0.00_);@_)</c:formatCode>
                <c:ptCount val="12"/>
                <c:pt idx="0">
                  <c:v>149.12799999999999</c:v>
                </c:pt>
                <c:pt idx="1">
                  <c:v>248.76400000000001</c:v>
                </c:pt>
                <c:pt idx="2">
                  <c:v>364.00600000000003</c:v>
                </c:pt>
                <c:pt idx="3">
                  <c:v>514.08600000000001</c:v>
                </c:pt>
                <c:pt idx="4">
                  <c:v>715.22499999999991</c:v>
                </c:pt>
                <c:pt idx="5">
                  <c:v>1077.9830000000002</c:v>
                </c:pt>
                <c:pt idx="6">
                  <c:v>1156.8920000000001</c:v>
                </c:pt>
                <c:pt idx="7">
                  <c:v>1483</c:v>
                </c:pt>
                <c:pt idx="8">
                  <c:v>1916</c:v>
                </c:pt>
                <c:pt idx="9">
                  <c:v>#N/A</c:v>
                </c:pt>
                <c:pt idx="10">
                  <c:v>2698.5019930165327</c:v>
                </c:pt>
                <c:pt idx="11">
                  <c:v>3241.7946141415728</c:v>
                </c:pt>
              </c:numCache>
            </c:numRef>
          </c:val>
          <c:extLst>
            <c:ext xmlns:c16="http://schemas.microsoft.com/office/drawing/2014/chart" uri="{C3380CC4-5D6E-409C-BE32-E72D297353CC}">
              <c16:uniqueId val="{00000000-9740-453E-B4E4-EF291E71751C}"/>
            </c:ext>
          </c:extLst>
        </c:ser>
        <c:ser>
          <c:idx val="1"/>
          <c:order val="1"/>
          <c:tx>
            <c:strRef>
              <c:f>Charts!$CS$49</c:f>
              <c:strCache>
                <c:ptCount val="1"/>
                <c:pt idx="0">
                  <c:v>Merchant Solutions Gross Profit</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Charts!$CT$4:$DE$4</c:f>
              <c:strCache>
                <c:ptCount val="12"/>
                <c:pt idx="0">
                  <c:v>2016A</c:v>
                </c:pt>
                <c:pt idx="1">
                  <c:v>2017A</c:v>
                </c:pt>
                <c:pt idx="2">
                  <c:v>2018A</c:v>
                </c:pt>
                <c:pt idx="3">
                  <c:v>2019A</c:v>
                </c:pt>
                <c:pt idx="4">
                  <c:v>2020A</c:v>
                </c:pt>
                <c:pt idx="5">
                  <c:v>2021A</c:v>
                </c:pt>
                <c:pt idx="6">
                  <c:v>2022A</c:v>
                </c:pt>
                <c:pt idx="7">
                  <c:v>2023A</c:v>
                </c:pt>
                <c:pt idx="8">
                  <c:v>2024A</c:v>
                </c:pt>
                <c:pt idx="9">
                  <c:v>2025E</c:v>
                </c:pt>
                <c:pt idx="10">
                  <c:v>2026E</c:v>
                </c:pt>
                <c:pt idx="11">
                  <c:v>2027E</c:v>
                </c:pt>
              </c:strCache>
            </c:strRef>
          </c:cat>
          <c:val>
            <c:numRef>
              <c:f>Charts!$CT$49:$DE$49</c:f>
              <c:numCache>
                <c:formatCode>"$"#,##0.0,"B"_);\("$"#,##0.0"B"\);"$"#,##0.00_);@_)</c:formatCode>
                <c:ptCount val="12"/>
                <c:pt idx="0">
                  <c:v>60.36699999999999</c:v>
                </c:pt>
                <c:pt idx="1">
                  <c:v>131.48899999999998</c:v>
                </c:pt>
                <c:pt idx="2">
                  <c:v>232.261</c:v>
                </c:pt>
                <c:pt idx="3">
                  <c:v>351.55700000000002</c:v>
                </c:pt>
                <c:pt idx="4">
                  <c:v>826.29499999999996</c:v>
                </c:pt>
                <c:pt idx="5">
                  <c:v>1403.1610000000001</c:v>
                </c:pt>
                <c:pt idx="6">
                  <c:v>1597.2269999999999</c:v>
                </c:pt>
                <c:pt idx="7">
                  <c:v>2032</c:v>
                </c:pt>
                <c:pt idx="8">
                  <c:v>2556</c:v>
                </c:pt>
                <c:pt idx="9">
                  <c:v>#N/A</c:v>
                </c:pt>
                <c:pt idx="10">
                  <c:v>4517.1066834489739</c:v>
                </c:pt>
                <c:pt idx="11">
                  <c:v>5760.7553362939634</c:v>
                </c:pt>
              </c:numCache>
            </c:numRef>
          </c:val>
          <c:extLst>
            <c:ext xmlns:c16="http://schemas.microsoft.com/office/drawing/2014/chart" uri="{C3380CC4-5D6E-409C-BE32-E72D297353CC}">
              <c16:uniqueId val="{00000001-9740-453E-B4E4-EF291E71751C}"/>
            </c:ext>
          </c:extLst>
        </c:ser>
        <c:dLbls>
          <c:showLegendKey val="0"/>
          <c:showVal val="0"/>
          <c:showCatName val="0"/>
          <c:showSerName val="0"/>
          <c:showPercent val="0"/>
          <c:showBubbleSize val="0"/>
        </c:dLbls>
        <c:gapWidth val="20"/>
        <c:axId val="1326694880"/>
        <c:axId val="1326709760"/>
      </c:barChart>
      <c:catAx>
        <c:axId val="13266948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26709760"/>
        <c:crosses val="autoZero"/>
        <c:auto val="1"/>
        <c:lblAlgn val="ctr"/>
        <c:lblOffset val="100"/>
        <c:noMultiLvlLbl val="0"/>
      </c:catAx>
      <c:valAx>
        <c:axId val="1326709760"/>
        <c:scaling>
          <c:orientation val="minMax"/>
        </c:scaling>
        <c:delete val="0"/>
        <c:axPos val="l"/>
        <c:numFmt formatCode="&quot;$&quot;#,##0.0,&quot;B&quot;_);\(&quot;$&quot;#,##0.0&quot;B&quot;\);&quot;$&quot;#,##0.00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26694880"/>
        <c:crosses val="autoZero"/>
        <c:crossBetween val="between"/>
      </c:valAx>
      <c:spPr>
        <a:noFill/>
        <a:ln>
          <a:noFill/>
        </a:ln>
        <a:effectLst/>
      </c:spPr>
    </c:plotArea>
    <c:legend>
      <c:legendPos val="b"/>
      <c:layout>
        <c:manualLayout>
          <c:xMode val="edge"/>
          <c:yMode val="edge"/>
          <c:x val="0.15320000389490446"/>
          <c:y val="0.14521932782790675"/>
          <c:w val="0.39027493799844903"/>
          <c:h val="0.1445112955201576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6826099880122948E-2"/>
          <c:y val="5.8422818104298738E-2"/>
          <c:w val="0.93512288758885986"/>
          <c:h val="0.82665290952330739"/>
        </c:manualLayout>
      </c:layout>
      <c:barChart>
        <c:barDir val="col"/>
        <c:grouping val="clustered"/>
        <c:varyColors val="0"/>
        <c:ser>
          <c:idx val="0"/>
          <c:order val="0"/>
          <c:tx>
            <c:strRef>
              <c:f>Charts!$CS$75</c:f>
              <c:strCache>
                <c:ptCount val="1"/>
                <c:pt idx="0">
                  <c:v>Free Cash Flow</c:v>
                </c:pt>
              </c:strCache>
            </c:strRef>
          </c:tx>
          <c:spPr>
            <a:solidFill>
              <a:schemeClr val="accent1"/>
            </a:solidFill>
            <a:ln>
              <a:noFill/>
            </a:ln>
            <a:effectLst/>
          </c:spPr>
          <c:invertIfNegative val="0"/>
          <c:dLbls>
            <c:numFmt formatCode="&quot;$&quot;0.0,&quot;B&quot;;\(&quot;$&quot;0.0,&quot;B&quot;\);&quot;-&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Charts!$CW$74:$DE$74</c:f>
              <c:numCache>
                <c:formatCode>0.0%_);\(0.0%\);0.0%_);@_)</c:formatCode>
                <c:ptCount val="9"/>
                <c:pt idx="0">
                  <c:v>0</c:v>
                </c:pt>
                <c:pt idx="1">
                  <c:v>0</c:v>
                </c:pt>
                <c:pt idx="2">
                  <c:v>0</c:v>
                </c:pt>
                <c:pt idx="3">
                  <c:v>0</c:v>
                </c:pt>
                <c:pt idx="4">
                  <c:v>0</c:v>
                </c:pt>
                <c:pt idx="5">
                  <c:v>0</c:v>
                </c:pt>
                <c:pt idx="6">
                  <c:v>0</c:v>
                </c:pt>
                <c:pt idx="7">
                  <c:v>0</c:v>
                </c:pt>
                <c:pt idx="8">
                  <c:v>0</c:v>
                </c:pt>
              </c:numCache>
            </c:numRef>
          </c:cat>
          <c:val>
            <c:numRef>
              <c:f>Charts!$CW$75:$DE$75</c:f>
              <c:numCache>
                <c:formatCode>"$"#,##0.0,"B"_);\("$"#,##0.0"B"\);"$"#,##0.00_);@_)</c:formatCode>
                <c:ptCount val="9"/>
                <c:pt idx="0">
                  <c:v>8.7797725597890779E-3</c:v>
                </c:pt>
                <c:pt idx="1">
                  <c:v>0.13081624077356782</c:v>
                </c:pt>
                <c:pt idx="2">
                  <c:v>9.8363869123407138E-2</c:v>
                </c:pt>
                <c:pt idx="3">
                  <c:v>-3.3298308673210632E-2</c:v>
                </c:pt>
                <c:pt idx="4">
                  <c:v>0.1281869688385269</c:v>
                </c:pt>
                <c:pt idx="5">
                  <c:v>0.17984234234234234</c:v>
                </c:pt>
                <c:pt idx="6">
                  <c:v>#N/A</c:v>
                </c:pt>
                <c:pt idx="7">
                  <c:v>0.19344305176271998</c:v>
                </c:pt>
                <c:pt idx="8">
                  <c:v>0.19605241870131701</c:v>
                </c:pt>
              </c:numCache>
            </c:numRef>
          </c:val>
          <c:extLst>
            <c:ext xmlns:c16="http://schemas.microsoft.com/office/drawing/2014/chart" uri="{C3380CC4-5D6E-409C-BE32-E72D297353CC}">
              <c16:uniqueId val="{00000000-95CD-4672-A3EA-DF62D571BBDA}"/>
            </c:ext>
          </c:extLst>
        </c:ser>
        <c:dLbls>
          <c:showLegendKey val="0"/>
          <c:showVal val="0"/>
          <c:showCatName val="0"/>
          <c:showSerName val="0"/>
          <c:showPercent val="0"/>
          <c:showBubbleSize val="0"/>
        </c:dLbls>
        <c:gapWidth val="20"/>
        <c:axId val="965551856"/>
        <c:axId val="965550416"/>
      </c:barChart>
      <c:lineChart>
        <c:grouping val="standard"/>
        <c:varyColors val="0"/>
        <c:ser>
          <c:idx val="1"/>
          <c:order val="1"/>
          <c:tx>
            <c:strRef>
              <c:f>Charts!$CS$76</c:f>
              <c:strCache>
                <c:ptCount val="1"/>
                <c:pt idx="0">
                  <c:v>FCF Margin</c:v>
                </c:pt>
              </c:strCache>
            </c:strRef>
          </c:tx>
          <c:spPr>
            <a:ln w="28575" cap="rnd">
              <a:solidFill>
                <a:schemeClr val="accent3"/>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Charts!$CW$74:$DE$74</c:f>
              <c:numCache>
                <c:formatCode>0.0%_);\(0.0%\);0.0%_);@_)</c:formatCode>
                <c:ptCount val="9"/>
                <c:pt idx="0">
                  <c:v>0</c:v>
                </c:pt>
                <c:pt idx="1">
                  <c:v>0</c:v>
                </c:pt>
                <c:pt idx="2">
                  <c:v>0</c:v>
                </c:pt>
                <c:pt idx="3">
                  <c:v>0</c:v>
                </c:pt>
                <c:pt idx="4">
                  <c:v>0</c:v>
                </c:pt>
                <c:pt idx="5">
                  <c:v>0</c:v>
                </c:pt>
                <c:pt idx="6">
                  <c:v>0</c:v>
                </c:pt>
                <c:pt idx="7">
                  <c:v>0</c:v>
                </c:pt>
                <c:pt idx="8">
                  <c:v>0</c:v>
                </c:pt>
              </c:numCache>
            </c:numRef>
          </c:cat>
          <c:val>
            <c:numRef>
              <c:f>Charts!$CW$76:$DE$76</c:f>
              <c:numCache>
                <c:formatCode>0.0%_);\(0.0%\);0.0%_);@_)</c:formatCode>
                <c:ptCount val="9"/>
                <c:pt idx="0">
                  <c:v>5.5632510249440826E-6</c:v>
                </c:pt>
                <c:pt idx="1">
                  <c:v>4.4654938613420497E-5</c:v>
                </c:pt>
                <c:pt idx="2">
                  <c:v>2.1328477975766622E-5</c:v>
                </c:pt>
                <c:pt idx="3">
                  <c:v>-5.9462709582251693E-6</c:v>
                </c:pt>
                <c:pt idx="4">
                  <c:v>1.8156794453049137E-5</c:v>
                </c:pt>
                <c:pt idx="5">
                  <c:v>2.0252516029543056E-5</c:v>
                </c:pt>
                <c:pt idx="6">
                  <c:v>#N/A</c:v>
                </c:pt>
                <c:pt idx="7">
                  <c:v>1.2716740131160813E-5</c:v>
                </c:pt>
                <c:pt idx="8">
                  <c:v>1.0246135354110923E-5</c:v>
                </c:pt>
              </c:numCache>
            </c:numRef>
          </c:val>
          <c:smooth val="1"/>
          <c:extLst>
            <c:ext xmlns:c16="http://schemas.microsoft.com/office/drawing/2014/chart" uri="{C3380CC4-5D6E-409C-BE32-E72D297353CC}">
              <c16:uniqueId val="{00000001-95CD-4672-A3EA-DF62D571BBDA}"/>
            </c:ext>
          </c:extLst>
        </c:ser>
        <c:dLbls>
          <c:showLegendKey val="0"/>
          <c:showVal val="0"/>
          <c:showCatName val="0"/>
          <c:showSerName val="0"/>
          <c:showPercent val="0"/>
          <c:showBubbleSize val="0"/>
        </c:dLbls>
        <c:marker val="1"/>
        <c:smooth val="0"/>
        <c:axId val="1316696208"/>
        <c:axId val="1316699568"/>
      </c:lineChart>
      <c:catAx>
        <c:axId val="965551856"/>
        <c:scaling>
          <c:orientation val="minMax"/>
        </c:scaling>
        <c:delete val="0"/>
        <c:axPos val="b"/>
        <c:numFmt formatCode="0.0%_);\(0.0%\);0.0%_);@_)"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65550416"/>
        <c:crosses val="autoZero"/>
        <c:auto val="1"/>
        <c:lblAlgn val="ctr"/>
        <c:lblOffset val="100"/>
        <c:noMultiLvlLbl val="0"/>
      </c:catAx>
      <c:valAx>
        <c:axId val="965550416"/>
        <c:scaling>
          <c:orientation val="minMax"/>
          <c:min val="-500"/>
        </c:scaling>
        <c:delete val="0"/>
        <c:axPos val="l"/>
        <c:numFmt formatCode="&quot;$&quot;0,&quot;B&quot;;\(&quot;$&quot;0,&quot;B&quot;\);&quot;-&quot;" sourceLinked="0"/>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65551856"/>
        <c:crosses val="autoZero"/>
        <c:crossBetween val="between"/>
      </c:valAx>
      <c:valAx>
        <c:axId val="1316699568"/>
        <c:scaling>
          <c:orientation val="minMax"/>
        </c:scaling>
        <c:delete val="0"/>
        <c:axPos val="r"/>
        <c:numFmt formatCode="0%_);\(0%\);0%_);@_)" sourceLinked="0"/>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6696208"/>
        <c:crosses val="max"/>
        <c:crossBetween val="between"/>
      </c:valAx>
      <c:catAx>
        <c:axId val="1316696208"/>
        <c:scaling>
          <c:orientation val="minMax"/>
        </c:scaling>
        <c:delete val="1"/>
        <c:axPos val="b"/>
        <c:numFmt formatCode="0.0%_);\(0.0%\);0.0%_);@_)" sourceLinked="1"/>
        <c:majorTickMark val="none"/>
        <c:minorTickMark val="none"/>
        <c:tickLblPos val="nextTo"/>
        <c:crossAx val="1316699568"/>
        <c:crosses val="autoZero"/>
        <c:auto val="1"/>
        <c:lblAlgn val="ctr"/>
        <c:lblOffset val="100"/>
        <c:noMultiLvlLbl val="0"/>
      </c:catAx>
      <c:spPr>
        <a:noFill/>
        <a:ln>
          <a:noFill/>
        </a:ln>
        <a:effectLst/>
      </c:spPr>
    </c:plotArea>
    <c:legend>
      <c:legendPos val="b"/>
      <c:layout>
        <c:manualLayout>
          <c:xMode val="edge"/>
          <c:yMode val="edge"/>
          <c:x val="0.10442462512424075"/>
          <c:y val="5.6248585954518884E-2"/>
          <c:w val="0.5261185886826516"/>
          <c:h val="8.865380360983594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Charts!$CS$7</c:f>
              <c:strCache>
                <c:ptCount val="1"/>
                <c:pt idx="0">
                  <c:v>Gross Merchandise Value (GMV)</c:v>
                </c:pt>
              </c:strCache>
            </c:strRef>
          </c:tx>
          <c:spPr>
            <a:solidFill>
              <a:schemeClr val="accent2"/>
            </a:solidFill>
            <a:ln>
              <a:noFill/>
            </a:ln>
            <a:effectLst/>
          </c:spPr>
          <c:invertIfNegative val="0"/>
          <c:dLbls>
            <c:numFmt formatCode="&quot;$&quot;#,##0,&quot;B&quot;_);\(&quot;$&quot;#,##0,&quot;B&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Charts!$CW$4:$DE$4</c:f>
              <c:strCache>
                <c:ptCount val="9"/>
                <c:pt idx="0">
                  <c:v>2019A</c:v>
                </c:pt>
                <c:pt idx="1">
                  <c:v>2020A</c:v>
                </c:pt>
                <c:pt idx="2">
                  <c:v>2021A</c:v>
                </c:pt>
                <c:pt idx="3">
                  <c:v>2022A</c:v>
                </c:pt>
                <c:pt idx="4">
                  <c:v>2023A</c:v>
                </c:pt>
                <c:pt idx="5">
                  <c:v>2024A</c:v>
                </c:pt>
                <c:pt idx="6">
                  <c:v>2025E</c:v>
                </c:pt>
                <c:pt idx="7">
                  <c:v>2026E</c:v>
                </c:pt>
                <c:pt idx="8">
                  <c:v>2027E</c:v>
                </c:pt>
              </c:strCache>
            </c:strRef>
          </c:cat>
          <c:val>
            <c:numRef>
              <c:f>Charts!$CW$7:$DE$7</c:f>
              <c:numCache>
                <c:formatCode>"$"#,##0.0,"B"_);\("$"#,##0.0"B"\);"$"#,##0.00_);@_)</c:formatCode>
                <c:ptCount val="9"/>
                <c:pt idx="0">
                  <c:v>61138.457000000002</c:v>
                </c:pt>
                <c:pt idx="1">
                  <c:v>119577.147</c:v>
                </c:pt>
                <c:pt idx="2">
                  <c:v>175361.81400000001</c:v>
                </c:pt>
                <c:pt idx="3">
                  <c:v>197250.171</c:v>
                </c:pt>
                <c:pt idx="4">
                  <c:v>235925</c:v>
                </c:pt>
                <c:pt idx="5">
                  <c:v>292275</c:v>
                </c:pt>
                <c:pt idx="6">
                  <c:v>378441</c:v>
                </c:pt>
                <c:pt idx="7">
                  <c:v>495681.79000000004</c:v>
                </c:pt>
                <c:pt idx="8">
                  <c:v>623338.3186</c:v>
                </c:pt>
              </c:numCache>
            </c:numRef>
          </c:val>
          <c:extLst>
            <c:ext xmlns:c16="http://schemas.microsoft.com/office/drawing/2014/chart" uri="{C3380CC4-5D6E-409C-BE32-E72D297353CC}">
              <c16:uniqueId val="{00000000-1082-4143-84FD-82BA6A4B0919}"/>
            </c:ext>
          </c:extLst>
        </c:ser>
        <c:dLbls>
          <c:showLegendKey val="0"/>
          <c:showVal val="0"/>
          <c:showCatName val="0"/>
          <c:showSerName val="0"/>
          <c:showPercent val="0"/>
          <c:showBubbleSize val="0"/>
        </c:dLbls>
        <c:gapWidth val="20"/>
        <c:axId val="2007434799"/>
        <c:axId val="2007436239"/>
      </c:barChart>
      <c:lineChart>
        <c:grouping val="standard"/>
        <c:varyColors val="0"/>
        <c:ser>
          <c:idx val="1"/>
          <c:order val="1"/>
          <c:tx>
            <c:strRef>
              <c:f>Charts!$CS$8</c:f>
              <c:strCache>
                <c:ptCount val="1"/>
                <c:pt idx="0">
                  <c:v>y/y growth</c:v>
                </c:pt>
              </c:strCache>
            </c:strRef>
          </c:tx>
          <c:spPr>
            <a:ln w="28575" cap="rnd">
              <a:solidFill>
                <a:schemeClr val="accent4"/>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Charts!$CW$4:$DE$4</c:f>
              <c:strCache>
                <c:ptCount val="9"/>
                <c:pt idx="0">
                  <c:v>2019A</c:v>
                </c:pt>
                <c:pt idx="1">
                  <c:v>2020A</c:v>
                </c:pt>
                <c:pt idx="2">
                  <c:v>2021A</c:v>
                </c:pt>
                <c:pt idx="3">
                  <c:v>2022A</c:v>
                </c:pt>
                <c:pt idx="4">
                  <c:v>2023A</c:v>
                </c:pt>
                <c:pt idx="5">
                  <c:v>2024A</c:v>
                </c:pt>
                <c:pt idx="6">
                  <c:v>2025E</c:v>
                </c:pt>
                <c:pt idx="7">
                  <c:v>2026E</c:v>
                </c:pt>
                <c:pt idx="8">
                  <c:v>2027E</c:v>
                </c:pt>
              </c:strCache>
            </c:strRef>
          </c:cat>
          <c:val>
            <c:numRef>
              <c:f>Charts!$CW$8:$DE$8</c:f>
              <c:numCache>
                <c:formatCode>0.0%_);\(0.0%\);0.0%_);@_)</c:formatCode>
                <c:ptCount val="9"/>
                <c:pt idx="0">
                  <c:v>0.48743651290927503</c:v>
                </c:pt>
                <c:pt idx="1">
                  <c:v>0.9558417543969091</c:v>
                </c:pt>
                <c:pt idx="2">
                  <c:v>0.4665161228507988</c:v>
                </c:pt>
                <c:pt idx="3">
                  <c:v>0.12481826288589826</c:v>
                </c:pt>
                <c:pt idx="4">
                  <c:v>0.19606993902175129</c:v>
                </c:pt>
                <c:pt idx="5">
                  <c:v>0.23884709123662184</c:v>
                </c:pt>
                <c:pt idx="6">
                  <c:v>0.29481139337952267</c:v>
                </c:pt>
                <c:pt idx="7">
                  <c:v>0.30979938748708524</c:v>
                </c:pt>
                <c:pt idx="8">
                  <c:v>0.25753725711812003</c:v>
                </c:pt>
              </c:numCache>
            </c:numRef>
          </c:val>
          <c:smooth val="1"/>
          <c:extLst>
            <c:ext xmlns:c16="http://schemas.microsoft.com/office/drawing/2014/chart" uri="{C3380CC4-5D6E-409C-BE32-E72D297353CC}">
              <c16:uniqueId val="{00000000-9143-498B-8596-1BC536ABC785}"/>
            </c:ext>
          </c:extLst>
        </c:ser>
        <c:dLbls>
          <c:showLegendKey val="0"/>
          <c:showVal val="0"/>
          <c:showCatName val="0"/>
          <c:showSerName val="0"/>
          <c:showPercent val="0"/>
          <c:showBubbleSize val="0"/>
        </c:dLbls>
        <c:marker val="1"/>
        <c:smooth val="0"/>
        <c:axId val="586415567"/>
        <c:axId val="586414607"/>
      </c:lineChart>
      <c:catAx>
        <c:axId val="20074347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07436239"/>
        <c:crosses val="autoZero"/>
        <c:auto val="1"/>
        <c:lblAlgn val="ctr"/>
        <c:lblOffset val="100"/>
        <c:noMultiLvlLbl val="0"/>
      </c:catAx>
      <c:valAx>
        <c:axId val="2007436239"/>
        <c:scaling>
          <c:orientation val="minMax"/>
        </c:scaling>
        <c:delete val="0"/>
        <c:axPos val="l"/>
        <c:numFmt formatCode="&quot;$&quot;#,##0,&quot;B&quot;_);\(&quot;$&quot;#,##0&quot;B&quot;\);&quot;$&quot;#,##0_);@_)" sourceLinked="0"/>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07434799"/>
        <c:crosses val="autoZero"/>
        <c:crossBetween val="between"/>
      </c:valAx>
      <c:valAx>
        <c:axId val="586414607"/>
        <c:scaling>
          <c:orientation val="minMax"/>
        </c:scaling>
        <c:delete val="0"/>
        <c:axPos val="r"/>
        <c:numFmt formatCode="0.0%_);\(0.0%\);0.0%_);@_)"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6415567"/>
        <c:crosses val="max"/>
        <c:crossBetween val="between"/>
      </c:valAx>
      <c:catAx>
        <c:axId val="586415567"/>
        <c:scaling>
          <c:orientation val="minMax"/>
        </c:scaling>
        <c:delete val="1"/>
        <c:axPos val="b"/>
        <c:numFmt formatCode="General" sourceLinked="1"/>
        <c:majorTickMark val="out"/>
        <c:minorTickMark val="none"/>
        <c:tickLblPos val="nextTo"/>
        <c:crossAx val="586414607"/>
        <c:crosses val="autoZero"/>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spPr>
            <a:ln w="28575" cap="rnd">
              <a:solidFill>
                <a:schemeClr val="accent1"/>
              </a:solidFill>
              <a:round/>
            </a:ln>
            <a:effectLst/>
          </c:spPr>
          <c:marker>
            <c:symbol val="none"/>
          </c:marker>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Charts!$Z$4:$AN$4</c:f>
              <c:strCache>
                <c:ptCount val="15"/>
                <c:pt idx="0">
                  <c:v>1Q21A</c:v>
                </c:pt>
                <c:pt idx="1">
                  <c:v>2Q21A</c:v>
                </c:pt>
                <c:pt idx="2">
                  <c:v>3Q21A</c:v>
                </c:pt>
                <c:pt idx="3">
                  <c:v>4Q21A</c:v>
                </c:pt>
                <c:pt idx="4">
                  <c:v>1Q22A</c:v>
                </c:pt>
                <c:pt idx="5">
                  <c:v>2Q22A</c:v>
                </c:pt>
                <c:pt idx="6">
                  <c:v>3Q22A</c:v>
                </c:pt>
                <c:pt idx="7">
                  <c:v>4Q22A</c:v>
                </c:pt>
                <c:pt idx="8">
                  <c:v>1Q23A</c:v>
                </c:pt>
                <c:pt idx="9">
                  <c:v>2Q23A</c:v>
                </c:pt>
                <c:pt idx="10">
                  <c:v>3Q23A</c:v>
                </c:pt>
                <c:pt idx="11">
                  <c:v>4Q23A</c:v>
                </c:pt>
                <c:pt idx="12">
                  <c:v>1Q24A</c:v>
                </c:pt>
                <c:pt idx="13">
                  <c:v>2Q24A</c:v>
                </c:pt>
                <c:pt idx="14">
                  <c:v>3Q24A</c:v>
                </c:pt>
              </c:strCache>
            </c:strRef>
          </c:cat>
          <c:val>
            <c:numRef>
              <c:f>Charts!$Z$80:$AN$80</c:f>
              <c:numCache>
                <c:formatCode>0.0%_);\(0.0%\);0.0%_);@_)</c:formatCode>
                <c:ptCount val="15"/>
                <c:pt idx="0">
                  <c:v>0.21</c:v>
                </c:pt>
                <c:pt idx="1">
                  <c:v>0.22</c:v>
                </c:pt>
                <c:pt idx="2">
                  <c:v>0.23</c:v>
                </c:pt>
                <c:pt idx="3">
                  <c:v>0.24</c:v>
                </c:pt>
                <c:pt idx="4">
                  <c:v>0.3</c:v>
                </c:pt>
                <c:pt idx="5">
                  <c:v>0.31</c:v>
                </c:pt>
                <c:pt idx="6">
                  <c:v>0.33</c:v>
                </c:pt>
                <c:pt idx="7">
                  <c:v>0.34</c:v>
                </c:pt>
                <c:pt idx="8">
                  <c:v>0.3</c:v>
                </c:pt>
                <c:pt idx="9">
                  <c:v>0.27</c:v>
                </c:pt>
                <c:pt idx="10">
                  <c:v>0.26</c:v>
                </c:pt>
                <c:pt idx="11">
                  <c:v>0.25</c:v>
                </c:pt>
                <c:pt idx="12">
                  <c:v>0.27</c:v>
                </c:pt>
                <c:pt idx="13">
                  <c:v>0.26</c:v>
                </c:pt>
                <c:pt idx="14">
                  <c:v>0.27</c:v>
                </c:pt>
              </c:numCache>
            </c:numRef>
          </c:val>
          <c:smooth val="0"/>
          <c:extLst>
            <c:ext xmlns:c16="http://schemas.microsoft.com/office/drawing/2014/chart" uri="{C3380CC4-5D6E-409C-BE32-E72D297353CC}">
              <c16:uniqueId val="{00000000-2C58-4E54-8A69-94E508F5EC31}"/>
            </c:ext>
          </c:extLst>
        </c:ser>
        <c:dLbls>
          <c:showLegendKey val="0"/>
          <c:showVal val="0"/>
          <c:showCatName val="0"/>
          <c:showSerName val="0"/>
          <c:showPercent val="0"/>
          <c:showBubbleSize val="0"/>
        </c:dLbls>
        <c:smooth val="0"/>
        <c:axId val="799829151"/>
        <c:axId val="799830111"/>
      </c:lineChart>
      <c:catAx>
        <c:axId val="7998291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99830111"/>
        <c:crosses val="autoZero"/>
        <c:auto val="1"/>
        <c:lblAlgn val="ctr"/>
        <c:lblOffset val="100"/>
        <c:noMultiLvlLbl val="0"/>
      </c:catAx>
      <c:valAx>
        <c:axId val="799830111"/>
        <c:scaling>
          <c:orientation val="minMax"/>
        </c:scaling>
        <c:delete val="0"/>
        <c:axPos val="l"/>
        <c:majorGridlines>
          <c:spPr>
            <a:ln w="9525" cap="flat" cmpd="sng" algn="ctr">
              <a:solidFill>
                <a:schemeClr val="tx1">
                  <a:lumMod val="15000"/>
                  <a:lumOff val="85000"/>
                </a:schemeClr>
              </a:solidFill>
              <a:round/>
            </a:ln>
            <a:effectLst/>
          </c:spPr>
        </c:majorGridlines>
        <c:numFmt formatCode="0.0%_);\(0.0%\);0.0%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99829151"/>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Summary!$K$86</c:f>
              <c:strCache>
                <c:ptCount val="1"/>
                <c:pt idx="0">
                  <c:v>SHOP EV/revenue</c:v>
                </c:pt>
              </c:strCache>
            </c:strRef>
          </c:tx>
          <c:spPr>
            <a:ln w="28575" cap="rnd">
              <a:solidFill>
                <a:schemeClr val="accent3"/>
              </a:solidFill>
              <a:round/>
            </a:ln>
            <a:effectLst/>
          </c:spPr>
          <c:marker>
            <c:symbol val="none"/>
          </c:marker>
          <c:cat>
            <c:numRef>
              <c:f>Summary!$B$87:$B$586</c:f>
              <c:numCache>
                <c:formatCode>m/d/yyyy</c:formatCode>
                <c:ptCount val="500"/>
                <c:pt idx="0">
                  <c:v>42741</c:v>
                </c:pt>
                <c:pt idx="1">
                  <c:v>42748</c:v>
                </c:pt>
                <c:pt idx="2">
                  <c:v>42755</c:v>
                </c:pt>
                <c:pt idx="3">
                  <c:v>42762</c:v>
                </c:pt>
                <c:pt idx="4">
                  <c:v>42769</c:v>
                </c:pt>
                <c:pt idx="5">
                  <c:v>42776</c:v>
                </c:pt>
                <c:pt idx="6">
                  <c:v>42783</c:v>
                </c:pt>
                <c:pt idx="7">
                  <c:v>42790</c:v>
                </c:pt>
                <c:pt idx="8">
                  <c:v>42797</c:v>
                </c:pt>
                <c:pt idx="9">
                  <c:v>42804</c:v>
                </c:pt>
                <c:pt idx="10">
                  <c:v>42811</c:v>
                </c:pt>
                <c:pt idx="11">
                  <c:v>42818</c:v>
                </c:pt>
                <c:pt idx="12">
                  <c:v>42825</c:v>
                </c:pt>
                <c:pt idx="13">
                  <c:v>42832</c:v>
                </c:pt>
                <c:pt idx="14">
                  <c:v>42839</c:v>
                </c:pt>
                <c:pt idx="15">
                  <c:v>42846</c:v>
                </c:pt>
                <c:pt idx="16">
                  <c:v>42853</c:v>
                </c:pt>
                <c:pt idx="17">
                  <c:v>42860</c:v>
                </c:pt>
                <c:pt idx="18">
                  <c:v>42867</c:v>
                </c:pt>
                <c:pt idx="19">
                  <c:v>42874</c:v>
                </c:pt>
                <c:pt idx="20">
                  <c:v>42881</c:v>
                </c:pt>
                <c:pt idx="21">
                  <c:v>42888</c:v>
                </c:pt>
                <c:pt idx="22">
                  <c:v>42895</c:v>
                </c:pt>
                <c:pt idx="23">
                  <c:v>42902</c:v>
                </c:pt>
                <c:pt idx="24">
                  <c:v>42909</c:v>
                </c:pt>
                <c:pt idx="25">
                  <c:v>42916</c:v>
                </c:pt>
                <c:pt idx="26">
                  <c:v>42923</c:v>
                </c:pt>
                <c:pt idx="27">
                  <c:v>42930</c:v>
                </c:pt>
                <c:pt idx="28">
                  <c:v>42937</c:v>
                </c:pt>
                <c:pt idx="29">
                  <c:v>42944</c:v>
                </c:pt>
                <c:pt idx="30">
                  <c:v>42951</c:v>
                </c:pt>
                <c:pt idx="31">
                  <c:v>42958</c:v>
                </c:pt>
                <c:pt idx="32">
                  <c:v>42965</c:v>
                </c:pt>
                <c:pt idx="33">
                  <c:v>42972</c:v>
                </c:pt>
                <c:pt idx="34">
                  <c:v>42979</c:v>
                </c:pt>
                <c:pt idx="35">
                  <c:v>42986</c:v>
                </c:pt>
                <c:pt idx="36">
                  <c:v>42993</c:v>
                </c:pt>
                <c:pt idx="37">
                  <c:v>43000</c:v>
                </c:pt>
                <c:pt idx="38">
                  <c:v>43007</c:v>
                </c:pt>
                <c:pt idx="39">
                  <c:v>43014</c:v>
                </c:pt>
                <c:pt idx="40">
                  <c:v>43021</c:v>
                </c:pt>
                <c:pt idx="41">
                  <c:v>43028</c:v>
                </c:pt>
                <c:pt idx="42">
                  <c:v>43035</c:v>
                </c:pt>
                <c:pt idx="43">
                  <c:v>43042</c:v>
                </c:pt>
                <c:pt idx="44">
                  <c:v>43049</c:v>
                </c:pt>
                <c:pt idx="45">
                  <c:v>43056</c:v>
                </c:pt>
                <c:pt idx="46">
                  <c:v>43063</c:v>
                </c:pt>
                <c:pt idx="47">
                  <c:v>43070</c:v>
                </c:pt>
                <c:pt idx="48">
                  <c:v>43077</c:v>
                </c:pt>
                <c:pt idx="49">
                  <c:v>43084</c:v>
                </c:pt>
                <c:pt idx="50">
                  <c:v>43091</c:v>
                </c:pt>
                <c:pt idx="51">
                  <c:v>43098</c:v>
                </c:pt>
                <c:pt idx="52">
                  <c:v>43105</c:v>
                </c:pt>
                <c:pt idx="53">
                  <c:v>43112</c:v>
                </c:pt>
                <c:pt idx="54">
                  <c:v>43119</c:v>
                </c:pt>
                <c:pt idx="55">
                  <c:v>43126</c:v>
                </c:pt>
                <c:pt idx="56">
                  <c:v>43133</c:v>
                </c:pt>
                <c:pt idx="57">
                  <c:v>43140</c:v>
                </c:pt>
                <c:pt idx="58">
                  <c:v>43147</c:v>
                </c:pt>
                <c:pt idx="59">
                  <c:v>43154</c:v>
                </c:pt>
                <c:pt idx="60">
                  <c:v>43161</c:v>
                </c:pt>
                <c:pt idx="61">
                  <c:v>43168</c:v>
                </c:pt>
                <c:pt idx="62">
                  <c:v>43175</c:v>
                </c:pt>
                <c:pt idx="63">
                  <c:v>43182</c:v>
                </c:pt>
                <c:pt idx="64">
                  <c:v>43189</c:v>
                </c:pt>
                <c:pt idx="65">
                  <c:v>43196</c:v>
                </c:pt>
                <c:pt idx="66">
                  <c:v>43203</c:v>
                </c:pt>
                <c:pt idx="67">
                  <c:v>43210</c:v>
                </c:pt>
                <c:pt idx="68">
                  <c:v>43217</c:v>
                </c:pt>
                <c:pt idx="69">
                  <c:v>43224</c:v>
                </c:pt>
                <c:pt idx="70">
                  <c:v>43231</c:v>
                </c:pt>
                <c:pt idx="71">
                  <c:v>43238</c:v>
                </c:pt>
                <c:pt idx="72">
                  <c:v>43245</c:v>
                </c:pt>
                <c:pt idx="73">
                  <c:v>43252</c:v>
                </c:pt>
                <c:pt idx="74">
                  <c:v>43259</c:v>
                </c:pt>
                <c:pt idx="75">
                  <c:v>43266</c:v>
                </c:pt>
                <c:pt idx="76">
                  <c:v>43273</c:v>
                </c:pt>
                <c:pt idx="77">
                  <c:v>43280</c:v>
                </c:pt>
                <c:pt idx="78">
                  <c:v>43287</c:v>
                </c:pt>
                <c:pt idx="79">
                  <c:v>43294</c:v>
                </c:pt>
                <c:pt idx="80">
                  <c:v>43301</c:v>
                </c:pt>
                <c:pt idx="81">
                  <c:v>43308</c:v>
                </c:pt>
                <c:pt idx="82">
                  <c:v>43315</c:v>
                </c:pt>
                <c:pt idx="83">
                  <c:v>43322</c:v>
                </c:pt>
                <c:pt idx="84">
                  <c:v>43329</c:v>
                </c:pt>
                <c:pt idx="85">
                  <c:v>43336</c:v>
                </c:pt>
                <c:pt idx="86">
                  <c:v>43343</c:v>
                </c:pt>
                <c:pt idx="87">
                  <c:v>43350</c:v>
                </c:pt>
                <c:pt idx="88">
                  <c:v>43357</c:v>
                </c:pt>
                <c:pt idx="89">
                  <c:v>43364</c:v>
                </c:pt>
                <c:pt idx="90">
                  <c:v>43371</c:v>
                </c:pt>
                <c:pt idx="91">
                  <c:v>43378</c:v>
                </c:pt>
                <c:pt idx="92">
                  <c:v>43385</c:v>
                </c:pt>
                <c:pt idx="93">
                  <c:v>43392</c:v>
                </c:pt>
                <c:pt idx="94">
                  <c:v>43399</c:v>
                </c:pt>
                <c:pt idx="95">
                  <c:v>43406</c:v>
                </c:pt>
                <c:pt idx="96">
                  <c:v>43413</c:v>
                </c:pt>
                <c:pt idx="97">
                  <c:v>43420</c:v>
                </c:pt>
                <c:pt idx="98">
                  <c:v>43427</c:v>
                </c:pt>
                <c:pt idx="99">
                  <c:v>43434</c:v>
                </c:pt>
                <c:pt idx="100">
                  <c:v>43441</c:v>
                </c:pt>
                <c:pt idx="101">
                  <c:v>43448</c:v>
                </c:pt>
                <c:pt idx="102">
                  <c:v>43455</c:v>
                </c:pt>
                <c:pt idx="103">
                  <c:v>43462</c:v>
                </c:pt>
                <c:pt idx="104">
                  <c:v>43469</c:v>
                </c:pt>
                <c:pt idx="105">
                  <c:v>43476</c:v>
                </c:pt>
                <c:pt idx="106">
                  <c:v>43483</c:v>
                </c:pt>
                <c:pt idx="107">
                  <c:v>43490</c:v>
                </c:pt>
                <c:pt idx="108">
                  <c:v>43497</c:v>
                </c:pt>
                <c:pt idx="109">
                  <c:v>43504</c:v>
                </c:pt>
                <c:pt idx="110">
                  <c:v>43511</c:v>
                </c:pt>
                <c:pt idx="111">
                  <c:v>43518</c:v>
                </c:pt>
                <c:pt idx="112">
                  <c:v>43525</c:v>
                </c:pt>
                <c:pt idx="113">
                  <c:v>43532</c:v>
                </c:pt>
                <c:pt idx="114">
                  <c:v>43539</c:v>
                </c:pt>
                <c:pt idx="115">
                  <c:v>43546</c:v>
                </c:pt>
                <c:pt idx="116">
                  <c:v>43553</c:v>
                </c:pt>
                <c:pt idx="117">
                  <c:v>43560</c:v>
                </c:pt>
                <c:pt idx="118">
                  <c:v>43567</c:v>
                </c:pt>
                <c:pt idx="119">
                  <c:v>43574</c:v>
                </c:pt>
                <c:pt idx="120">
                  <c:v>43581</c:v>
                </c:pt>
                <c:pt idx="121">
                  <c:v>43588</c:v>
                </c:pt>
                <c:pt idx="122">
                  <c:v>43595</c:v>
                </c:pt>
                <c:pt idx="123">
                  <c:v>43602</c:v>
                </c:pt>
                <c:pt idx="124">
                  <c:v>43609</c:v>
                </c:pt>
                <c:pt idx="125">
                  <c:v>43616</c:v>
                </c:pt>
                <c:pt idx="126">
                  <c:v>43623</c:v>
                </c:pt>
                <c:pt idx="127">
                  <c:v>43630</c:v>
                </c:pt>
                <c:pt idx="128">
                  <c:v>43637</c:v>
                </c:pt>
                <c:pt idx="129">
                  <c:v>43644</c:v>
                </c:pt>
                <c:pt idx="130">
                  <c:v>43651</c:v>
                </c:pt>
                <c:pt idx="131">
                  <c:v>43658</c:v>
                </c:pt>
                <c:pt idx="132">
                  <c:v>43665</c:v>
                </c:pt>
                <c:pt idx="133">
                  <c:v>43672</c:v>
                </c:pt>
                <c:pt idx="134">
                  <c:v>43679</c:v>
                </c:pt>
                <c:pt idx="135">
                  <c:v>43686</c:v>
                </c:pt>
                <c:pt idx="136">
                  <c:v>43693</c:v>
                </c:pt>
                <c:pt idx="137">
                  <c:v>43700</c:v>
                </c:pt>
                <c:pt idx="138">
                  <c:v>43707</c:v>
                </c:pt>
                <c:pt idx="139">
                  <c:v>43714</c:v>
                </c:pt>
                <c:pt idx="140">
                  <c:v>43721</c:v>
                </c:pt>
                <c:pt idx="141">
                  <c:v>43728</c:v>
                </c:pt>
                <c:pt idx="142">
                  <c:v>43735</c:v>
                </c:pt>
                <c:pt idx="143">
                  <c:v>43742</c:v>
                </c:pt>
                <c:pt idx="144">
                  <c:v>43749</c:v>
                </c:pt>
                <c:pt idx="145">
                  <c:v>43756</c:v>
                </c:pt>
                <c:pt idx="146">
                  <c:v>43763</c:v>
                </c:pt>
                <c:pt idx="147">
                  <c:v>43770</c:v>
                </c:pt>
                <c:pt idx="148">
                  <c:v>43777</c:v>
                </c:pt>
                <c:pt idx="149">
                  <c:v>43784</c:v>
                </c:pt>
                <c:pt idx="150">
                  <c:v>43791</c:v>
                </c:pt>
                <c:pt idx="151">
                  <c:v>43798</c:v>
                </c:pt>
                <c:pt idx="152">
                  <c:v>43805</c:v>
                </c:pt>
                <c:pt idx="153">
                  <c:v>43812</c:v>
                </c:pt>
                <c:pt idx="154">
                  <c:v>43819</c:v>
                </c:pt>
                <c:pt idx="155">
                  <c:v>43826</c:v>
                </c:pt>
                <c:pt idx="156">
                  <c:v>43833</c:v>
                </c:pt>
                <c:pt idx="157">
                  <c:v>43840</c:v>
                </c:pt>
                <c:pt idx="158">
                  <c:v>43847</c:v>
                </c:pt>
                <c:pt idx="159">
                  <c:v>43854</c:v>
                </c:pt>
                <c:pt idx="160">
                  <c:v>43861</c:v>
                </c:pt>
                <c:pt idx="161">
                  <c:v>43868</c:v>
                </c:pt>
                <c:pt idx="162">
                  <c:v>43875</c:v>
                </c:pt>
                <c:pt idx="163">
                  <c:v>43882</c:v>
                </c:pt>
                <c:pt idx="164">
                  <c:v>43889</c:v>
                </c:pt>
                <c:pt idx="165">
                  <c:v>43896</c:v>
                </c:pt>
                <c:pt idx="166">
                  <c:v>43903</c:v>
                </c:pt>
                <c:pt idx="167">
                  <c:v>43910</c:v>
                </c:pt>
                <c:pt idx="168">
                  <c:v>43917</c:v>
                </c:pt>
                <c:pt idx="169">
                  <c:v>43924</c:v>
                </c:pt>
                <c:pt idx="170">
                  <c:v>43931</c:v>
                </c:pt>
                <c:pt idx="171">
                  <c:v>43938</c:v>
                </c:pt>
                <c:pt idx="172">
                  <c:v>43945</c:v>
                </c:pt>
                <c:pt idx="173">
                  <c:v>43952</c:v>
                </c:pt>
                <c:pt idx="174">
                  <c:v>43959</c:v>
                </c:pt>
                <c:pt idx="175">
                  <c:v>43966</c:v>
                </c:pt>
                <c:pt idx="176">
                  <c:v>43973</c:v>
                </c:pt>
                <c:pt idx="177">
                  <c:v>43980</c:v>
                </c:pt>
                <c:pt idx="178">
                  <c:v>43987</c:v>
                </c:pt>
                <c:pt idx="179">
                  <c:v>43994</c:v>
                </c:pt>
                <c:pt idx="180">
                  <c:v>44001</c:v>
                </c:pt>
                <c:pt idx="181">
                  <c:v>44008</c:v>
                </c:pt>
                <c:pt idx="182">
                  <c:v>44015</c:v>
                </c:pt>
                <c:pt idx="183">
                  <c:v>44022</c:v>
                </c:pt>
                <c:pt idx="184">
                  <c:v>44029</c:v>
                </c:pt>
                <c:pt idx="185">
                  <c:v>44036</c:v>
                </c:pt>
                <c:pt idx="186">
                  <c:v>44043</c:v>
                </c:pt>
                <c:pt idx="187">
                  <c:v>44050</c:v>
                </c:pt>
                <c:pt idx="188">
                  <c:v>44057</c:v>
                </c:pt>
                <c:pt idx="189">
                  <c:v>44064</c:v>
                </c:pt>
                <c:pt idx="190">
                  <c:v>44071</c:v>
                </c:pt>
                <c:pt idx="191">
                  <c:v>44078</c:v>
                </c:pt>
                <c:pt idx="192">
                  <c:v>44085</c:v>
                </c:pt>
                <c:pt idx="193">
                  <c:v>44092</c:v>
                </c:pt>
                <c:pt idx="194">
                  <c:v>44099</c:v>
                </c:pt>
                <c:pt idx="195">
                  <c:v>44106</c:v>
                </c:pt>
                <c:pt idx="196">
                  <c:v>44113</c:v>
                </c:pt>
                <c:pt idx="197">
                  <c:v>44120</c:v>
                </c:pt>
                <c:pt idx="198">
                  <c:v>44127</c:v>
                </c:pt>
                <c:pt idx="199">
                  <c:v>44134</c:v>
                </c:pt>
                <c:pt idx="200">
                  <c:v>44141</c:v>
                </c:pt>
                <c:pt idx="201">
                  <c:v>44148</c:v>
                </c:pt>
                <c:pt idx="202">
                  <c:v>44155</c:v>
                </c:pt>
                <c:pt idx="203">
                  <c:v>44162</c:v>
                </c:pt>
                <c:pt idx="204">
                  <c:v>44169</c:v>
                </c:pt>
                <c:pt idx="205">
                  <c:v>44176</c:v>
                </c:pt>
                <c:pt idx="206">
                  <c:v>44183</c:v>
                </c:pt>
                <c:pt idx="207">
                  <c:v>44190</c:v>
                </c:pt>
                <c:pt idx="208">
                  <c:v>44197</c:v>
                </c:pt>
                <c:pt idx="209">
                  <c:v>44204</c:v>
                </c:pt>
                <c:pt idx="210">
                  <c:v>44211</c:v>
                </c:pt>
                <c:pt idx="211">
                  <c:v>44218</c:v>
                </c:pt>
                <c:pt idx="212">
                  <c:v>44225</c:v>
                </c:pt>
                <c:pt idx="213">
                  <c:v>44232</c:v>
                </c:pt>
                <c:pt idx="214">
                  <c:v>44239</c:v>
                </c:pt>
                <c:pt idx="215">
                  <c:v>44246</c:v>
                </c:pt>
                <c:pt idx="216">
                  <c:v>44253</c:v>
                </c:pt>
                <c:pt idx="217">
                  <c:v>44260</c:v>
                </c:pt>
                <c:pt idx="218">
                  <c:v>44267</c:v>
                </c:pt>
                <c:pt idx="219">
                  <c:v>44274</c:v>
                </c:pt>
                <c:pt idx="220">
                  <c:v>44281</c:v>
                </c:pt>
                <c:pt idx="221">
                  <c:v>44288</c:v>
                </c:pt>
                <c:pt idx="222">
                  <c:v>44295</c:v>
                </c:pt>
                <c:pt idx="223">
                  <c:v>44302</c:v>
                </c:pt>
                <c:pt idx="224">
                  <c:v>44309</c:v>
                </c:pt>
                <c:pt idx="225">
                  <c:v>44316</c:v>
                </c:pt>
                <c:pt idx="226">
                  <c:v>44323</c:v>
                </c:pt>
                <c:pt idx="227">
                  <c:v>44330</c:v>
                </c:pt>
                <c:pt idx="228">
                  <c:v>44337</c:v>
                </c:pt>
                <c:pt idx="229">
                  <c:v>44344</c:v>
                </c:pt>
                <c:pt idx="230">
                  <c:v>44351</c:v>
                </c:pt>
                <c:pt idx="231">
                  <c:v>44358</c:v>
                </c:pt>
                <c:pt idx="232">
                  <c:v>44365</c:v>
                </c:pt>
                <c:pt idx="233">
                  <c:v>44372</c:v>
                </c:pt>
                <c:pt idx="234">
                  <c:v>44379</c:v>
                </c:pt>
                <c:pt idx="235">
                  <c:v>44386</c:v>
                </c:pt>
                <c:pt idx="236">
                  <c:v>44393</c:v>
                </c:pt>
                <c:pt idx="237">
                  <c:v>44400</c:v>
                </c:pt>
                <c:pt idx="238">
                  <c:v>44407</c:v>
                </c:pt>
                <c:pt idx="239">
                  <c:v>44414</c:v>
                </c:pt>
                <c:pt idx="240">
                  <c:v>44421</c:v>
                </c:pt>
                <c:pt idx="241">
                  <c:v>44428</c:v>
                </c:pt>
                <c:pt idx="242">
                  <c:v>44435</c:v>
                </c:pt>
                <c:pt idx="243">
                  <c:v>44442</c:v>
                </c:pt>
                <c:pt idx="244">
                  <c:v>44449</c:v>
                </c:pt>
                <c:pt idx="245">
                  <c:v>44456</c:v>
                </c:pt>
                <c:pt idx="246">
                  <c:v>44463</c:v>
                </c:pt>
                <c:pt idx="247">
                  <c:v>44470</c:v>
                </c:pt>
                <c:pt idx="248">
                  <c:v>44477</c:v>
                </c:pt>
                <c:pt idx="249">
                  <c:v>44484</c:v>
                </c:pt>
                <c:pt idx="250">
                  <c:v>44491</c:v>
                </c:pt>
                <c:pt idx="251">
                  <c:v>44498</c:v>
                </c:pt>
                <c:pt idx="252">
                  <c:v>44505</c:v>
                </c:pt>
                <c:pt idx="253">
                  <c:v>44512</c:v>
                </c:pt>
                <c:pt idx="254">
                  <c:v>44519</c:v>
                </c:pt>
                <c:pt idx="255">
                  <c:v>44526</c:v>
                </c:pt>
                <c:pt idx="256">
                  <c:v>44533</c:v>
                </c:pt>
                <c:pt idx="257">
                  <c:v>44540</c:v>
                </c:pt>
                <c:pt idx="258">
                  <c:v>44547</c:v>
                </c:pt>
                <c:pt idx="259">
                  <c:v>44554</c:v>
                </c:pt>
                <c:pt idx="260">
                  <c:v>44561</c:v>
                </c:pt>
                <c:pt idx="261">
                  <c:v>44568</c:v>
                </c:pt>
                <c:pt idx="262">
                  <c:v>44575</c:v>
                </c:pt>
                <c:pt idx="263">
                  <c:v>44582</c:v>
                </c:pt>
                <c:pt idx="264">
                  <c:v>44589</c:v>
                </c:pt>
                <c:pt idx="265">
                  <c:v>44596</c:v>
                </c:pt>
                <c:pt idx="266">
                  <c:v>44603</c:v>
                </c:pt>
                <c:pt idx="267">
                  <c:v>44610</c:v>
                </c:pt>
                <c:pt idx="268">
                  <c:v>44617</c:v>
                </c:pt>
                <c:pt idx="269">
                  <c:v>44624</c:v>
                </c:pt>
                <c:pt idx="270">
                  <c:v>44631</c:v>
                </c:pt>
                <c:pt idx="271">
                  <c:v>44638</c:v>
                </c:pt>
                <c:pt idx="272">
                  <c:v>44645</c:v>
                </c:pt>
                <c:pt idx="273">
                  <c:v>44652</c:v>
                </c:pt>
                <c:pt idx="274">
                  <c:v>44659</c:v>
                </c:pt>
                <c:pt idx="275">
                  <c:v>44666</c:v>
                </c:pt>
                <c:pt idx="276">
                  <c:v>44673</c:v>
                </c:pt>
                <c:pt idx="277">
                  <c:v>44680</c:v>
                </c:pt>
                <c:pt idx="278">
                  <c:v>44687</c:v>
                </c:pt>
                <c:pt idx="279">
                  <c:v>44694</c:v>
                </c:pt>
                <c:pt idx="280">
                  <c:v>44701</c:v>
                </c:pt>
                <c:pt idx="281">
                  <c:v>44708</c:v>
                </c:pt>
                <c:pt idx="282">
                  <c:v>44715</c:v>
                </c:pt>
                <c:pt idx="283">
                  <c:v>44722</c:v>
                </c:pt>
                <c:pt idx="284">
                  <c:v>44729</c:v>
                </c:pt>
                <c:pt idx="285">
                  <c:v>44736</c:v>
                </c:pt>
                <c:pt idx="286">
                  <c:v>44743</c:v>
                </c:pt>
                <c:pt idx="287">
                  <c:v>44750</c:v>
                </c:pt>
                <c:pt idx="288">
                  <c:v>44757</c:v>
                </c:pt>
                <c:pt idx="289">
                  <c:v>44764</c:v>
                </c:pt>
                <c:pt idx="290">
                  <c:v>44771</c:v>
                </c:pt>
                <c:pt idx="291">
                  <c:v>44778</c:v>
                </c:pt>
                <c:pt idx="292">
                  <c:v>44785</c:v>
                </c:pt>
                <c:pt idx="293">
                  <c:v>44792</c:v>
                </c:pt>
                <c:pt idx="294">
                  <c:v>44799</c:v>
                </c:pt>
                <c:pt idx="295">
                  <c:v>44806</c:v>
                </c:pt>
                <c:pt idx="296">
                  <c:v>44813</c:v>
                </c:pt>
                <c:pt idx="297">
                  <c:v>44820</c:v>
                </c:pt>
                <c:pt idx="298">
                  <c:v>44827</c:v>
                </c:pt>
                <c:pt idx="299">
                  <c:v>44834</c:v>
                </c:pt>
                <c:pt idx="300">
                  <c:v>44841</c:v>
                </c:pt>
                <c:pt idx="301">
                  <c:v>44848</c:v>
                </c:pt>
                <c:pt idx="302">
                  <c:v>44855</c:v>
                </c:pt>
                <c:pt idx="303">
                  <c:v>44862</c:v>
                </c:pt>
                <c:pt idx="304">
                  <c:v>44869</c:v>
                </c:pt>
                <c:pt idx="305">
                  <c:v>44876</c:v>
                </c:pt>
                <c:pt idx="306">
                  <c:v>44883</c:v>
                </c:pt>
                <c:pt idx="307">
                  <c:v>44890</c:v>
                </c:pt>
                <c:pt idx="308">
                  <c:v>44897</c:v>
                </c:pt>
                <c:pt idx="309">
                  <c:v>44904</c:v>
                </c:pt>
                <c:pt idx="310">
                  <c:v>44911</c:v>
                </c:pt>
                <c:pt idx="311">
                  <c:v>44918</c:v>
                </c:pt>
                <c:pt idx="312">
                  <c:v>44925</c:v>
                </c:pt>
                <c:pt idx="313">
                  <c:v>44932</c:v>
                </c:pt>
                <c:pt idx="314">
                  <c:v>44939</c:v>
                </c:pt>
                <c:pt idx="315">
                  <c:v>44946</c:v>
                </c:pt>
                <c:pt idx="316">
                  <c:v>44953</c:v>
                </c:pt>
                <c:pt idx="317">
                  <c:v>44960</c:v>
                </c:pt>
                <c:pt idx="318">
                  <c:v>44967</c:v>
                </c:pt>
                <c:pt idx="319">
                  <c:v>44974</c:v>
                </c:pt>
                <c:pt idx="320">
                  <c:v>44981</c:v>
                </c:pt>
                <c:pt idx="321">
                  <c:v>44988</c:v>
                </c:pt>
                <c:pt idx="322">
                  <c:v>44995</c:v>
                </c:pt>
                <c:pt idx="323">
                  <c:v>45002</c:v>
                </c:pt>
                <c:pt idx="324">
                  <c:v>45009</c:v>
                </c:pt>
                <c:pt idx="325">
                  <c:v>45016</c:v>
                </c:pt>
                <c:pt idx="326">
                  <c:v>45023</c:v>
                </c:pt>
                <c:pt idx="327">
                  <c:v>45030</c:v>
                </c:pt>
                <c:pt idx="328">
                  <c:v>45037</c:v>
                </c:pt>
                <c:pt idx="329">
                  <c:v>45044</c:v>
                </c:pt>
                <c:pt idx="330">
                  <c:v>45051</c:v>
                </c:pt>
                <c:pt idx="331">
                  <c:v>45058</c:v>
                </c:pt>
                <c:pt idx="332">
                  <c:v>45065</c:v>
                </c:pt>
                <c:pt idx="333">
                  <c:v>45072</c:v>
                </c:pt>
                <c:pt idx="334">
                  <c:v>45079</c:v>
                </c:pt>
                <c:pt idx="335">
                  <c:v>45086</c:v>
                </c:pt>
                <c:pt idx="336">
                  <c:v>45093</c:v>
                </c:pt>
                <c:pt idx="337">
                  <c:v>45100</c:v>
                </c:pt>
                <c:pt idx="338">
                  <c:v>45107</c:v>
                </c:pt>
                <c:pt idx="339">
                  <c:v>45114</c:v>
                </c:pt>
                <c:pt idx="340">
                  <c:v>45121</c:v>
                </c:pt>
                <c:pt idx="341">
                  <c:v>45128</c:v>
                </c:pt>
                <c:pt idx="342">
                  <c:v>45135</c:v>
                </c:pt>
                <c:pt idx="343">
                  <c:v>45142</c:v>
                </c:pt>
                <c:pt idx="344">
                  <c:v>45149</c:v>
                </c:pt>
                <c:pt idx="345">
                  <c:v>45156</c:v>
                </c:pt>
                <c:pt idx="346">
                  <c:v>45163</c:v>
                </c:pt>
                <c:pt idx="347">
                  <c:v>45170</c:v>
                </c:pt>
                <c:pt idx="348">
                  <c:v>45177</c:v>
                </c:pt>
                <c:pt idx="349">
                  <c:v>45184</c:v>
                </c:pt>
                <c:pt idx="350">
                  <c:v>45191</c:v>
                </c:pt>
                <c:pt idx="351">
                  <c:v>45198</c:v>
                </c:pt>
                <c:pt idx="352">
                  <c:v>45205</c:v>
                </c:pt>
                <c:pt idx="353">
                  <c:v>45212</c:v>
                </c:pt>
                <c:pt idx="354">
                  <c:v>45219</c:v>
                </c:pt>
                <c:pt idx="355">
                  <c:v>45226</c:v>
                </c:pt>
                <c:pt idx="356">
                  <c:v>45233</c:v>
                </c:pt>
                <c:pt idx="357">
                  <c:v>45240</c:v>
                </c:pt>
                <c:pt idx="358">
                  <c:v>45247</c:v>
                </c:pt>
                <c:pt idx="359">
                  <c:v>45254</c:v>
                </c:pt>
                <c:pt idx="360">
                  <c:v>45261</c:v>
                </c:pt>
                <c:pt idx="361">
                  <c:v>45268</c:v>
                </c:pt>
                <c:pt idx="362">
                  <c:v>45275</c:v>
                </c:pt>
                <c:pt idx="363">
                  <c:v>45282</c:v>
                </c:pt>
                <c:pt idx="364">
                  <c:v>45289</c:v>
                </c:pt>
                <c:pt idx="365">
                  <c:v>45296</c:v>
                </c:pt>
                <c:pt idx="366">
                  <c:v>45303</c:v>
                </c:pt>
                <c:pt idx="367">
                  <c:v>45310</c:v>
                </c:pt>
                <c:pt idx="368">
                  <c:v>45317</c:v>
                </c:pt>
                <c:pt idx="369">
                  <c:v>45324</c:v>
                </c:pt>
                <c:pt idx="370">
                  <c:v>45331</c:v>
                </c:pt>
                <c:pt idx="371">
                  <c:v>45338</c:v>
                </c:pt>
                <c:pt idx="372">
                  <c:v>45345</c:v>
                </c:pt>
                <c:pt idx="373">
                  <c:v>45352</c:v>
                </c:pt>
                <c:pt idx="374">
                  <c:v>45359</c:v>
                </c:pt>
                <c:pt idx="375">
                  <c:v>45366</c:v>
                </c:pt>
                <c:pt idx="376">
                  <c:v>45373</c:v>
                </c:pt>
                <c:pt idx="377">
                  <c:v>45380</c:v>
                </c:pt>
                <c:pt idx="378">
                  <c:v>45387</c:v>
                </c:pt>
                <c:pt idx="379">
                  <c:v>45394</c:v>
                </c:pt>
                <c:pt idx="380">
                  <c:v>45401</c:v>
                </c:pt>
                <c:pt idx="381">
                  <c:v>45408</c:v>
                </c:pt>
                <c:pt idx="382">
                  <c:v>45415</c:v>
                </c:pt>
                <c:pt idx="383">
                  <c:v>45422</c:v>
                </c:pt>
                <c:pt idx="384">
                  <c:v>45429</c:v>
                </c:pt>
                <c:pt idx="385">
                  <c:v>45436</c:v>
                </c:pt>
                <c:pt idx="386">
                  <c:v>45443</c:v>
                </c:pt>
                <c:pt idx="387">
                  <c:v>45450</c:v>
                </c:pt>
                <c:pt idx="388">
                  <c:v>45457</c:v>
                </c:pt>
                <c:pt idx="389">
                  <c:v>45464</c:v>
                </c:pt>
                <c:pt idx="390">
                  <c:v>45471</c:v>
                </c:pt>
                <c:pt idx="391">
                  <c:v>45478</c:v>
                </c:pt>
                <c:pt idx="392">
                  <c:v>45485</c:v>
                </c:pt>
                <c:pt idx="393">
                  <c:v>45492</c:v>
                </c:pt>
                <c:pt idx="394">
                  <c:v>45499</c:v>
                </c:pt>
                <c:pt idx="395">
                  <c:v>45506</c:v>
                </c:pt>
                <c:pt idx="396">
                  <c:v>45513</c:v>
                </c:pt>
                <c:pt idx="397">
                  <c:v>45520</c:v>
                </c:pt>
                <c:pt idx="398">
                  <c:v>45527</c:v>
                </c:pt>
                <c:pt idx="399">
                  <c:v>45534</c:v>
                </c:pt>
                <c:pt idx="400">
                  <c:v>45541</c:v>
                </c:pt>
                <c:pt idx="401">
                  <c:v>45548</c:v>
                </c:pt>
                <c:pt idx="402">
                  <c:v>45555</c:v>
                </c:pt>
                <c:pt idx="403">
                  <c:v>45562</c:v>
                </c:pt>
                <c:pt idx="404">
                  <c:v>45569</c:v>
                </c:pt>
                <c:pt idx="405">
                  <c:v>45576</c:v>
                </c:pt>
                <c:pt idx="406">
                  <c:v>45583</c:v>
                </c:pt>
                <c:pt idx="407">
                  <c:v>45590</c:v>
                </c:pt>
                <c:pt idx="408">
                  <c:v>45597</c:v>
                </c:pt>
                <c:pt idx="409">
                  <c:v>45604</c:v>
                </c:pt>
                <c:pt idx="410">
                  <c:v>45611</c:v>
                </c:pt>
                <c:pt idx="411">
                  <c:v>45618</c:v>
                </c:pt>
                <c:pt idx="412">
                  <c:v>45625</c:v>
                </c:pt>
                <c:pt idx="413">
                  <c:v>45632</c:v>
                </c:pt>
                <c:pt idx="414">
                  <c:v>45639</c:v>
                </c:pt>
                <c:pt idx="415">
                  <c:v>45646</c:v>
                </c:pt>
                <c:pt idx="416">
                  <c:v>45653</c:v>
                </c:pt>
                <c:pt idx="417">
                  <c:v>45660</c:v>
                </c:pt>
                <c:pt idx="418">
                  <c:v>45667</c:v>
                </c:pt>
                <c:pt idx="419">
                  <c:v>45674</c:v>
                </c:pt>
                <c:pt idx="420">
                  <c:v>45681</c:v>
                </c:pt>
                <c:pt idx="421">
                  <c:v>45688</c:v>
                </c:pt>
                <c:pt idx="422">
                  <c:v>45695</c:v>
                </c:pt>
                <c:pt idx="423">
                  <c:v>45702</c:v>
                </c:pt>
                <c:pt idx="424">
                  <c:v>45709</c:v>
                </c:pt>
                <c:pt idx="425">
                  <c:v>45716</c:v>
                </c:pt>
                <c:pt idx="426">
                  <c:v>45723</c:v>
                </c:pt>
                <c:pt idx="427">
                  <c:v>45730</c:v>
                </c:pt>
                <c:pt idx="428">
                  <c:v>45737</c:v>
                </c:pt>
                <c:pt idx="429">
                  <c:v>45744</c:v>
                </c:pt>
                <c:pt idx="430">
                  <c:v>45751</c:v>
                </c:pt>
                <c:pt idx="431">
                  <c:v>45758</c:v>
                </c:pt>
                <c:pt idx="432">
                  <c:v>45765</c:v>
                </c:pt>
                <c:pt idx="433">
                  <c:v>45772</c:v>
                </c:pt>
                <c:pt idx="434">
                  <c:v>45779</c:v>
                </c:pt>
                <c:pt idx="435">
                  <c:v>45786</c:v>
                </c:pt>
                <c:pt idx="436">
                  <c:v>45793</c:v>
                </c:pt>
                <c:pt idx="437">
                  <c:v>45800</c:v>
                </c:pt>
                <c:pt idx="438">
                  <c:v>45807</c:v>
                </c:pt>
                <c:pt idx="439">
                  <c:v>45814</c:v>
                </c:pt>
                <c:pt idx="440">
                  <c:v>45821</c:v>
                </c:pt>
                <c:pt idx="441">
                  <c:v>45828</c:v>
                </c:pt>
                <c:pt idx="442">
                  <c:v>45835</c:v>
                </c:pt>
                <c:pt idx="443">
                  <c:v>45842</c:v>
                </c:pt>
                <c:pt idx="444">
                  <c:v>45849</c:v>
                </c:pt>
                <c:pt idx="445">
                  <c:v>45856</c:v>
                </c:pt>
                <c:pt idx="446">
                  <c:v>45863</c:v>
                </c:pt>
                <c:pt idx="447">
                  <c:v>45870</c:v>
                </c:pt>
                <c:pt idx="448">
                  <c:v>45877</c:v>
                </c:pt>
                <c:pt idx="449">
                  <c:v>45884</c:v>
                </c:pt>
                <c:pt idx="450">
                  <c:v>45891</c:v>
                </c:pt>
                <c:pt idx="451">
                  <c:v>45898</c:v>
                </c:pt>
                <c:pt idx="452">
                  <c:v>45905</c:v>
                </c:pt>
                <c:pt idx="453">
                  <c:v>45912</c:v>
                </c:pt>
                <c:pt idx="454">
                  <c:v>45919</c:v>
                </c:pt>
                <c:pt idx="455">
                  <c:v>45926</c:v>
                </c:pt>
                <c:pt idx="456">
                  <c:v>45933</c:v>
                </c:pt>
                <c:pt idx="457">
                  <c:v>45940</c:v>
                </c:pt>
                <c:pt idx="458">
                  <c:v>45947</c:v>
                </c:pt>
                <c:pt idx="459">
                  <c:v>45954</c:v>
                </c:pt>
                <c:pt idx="460">
                  <c:v>45961</c:v>
                </c:pt>
                <c:pt idx="461">
                  <c:v>45968</c:v>
                </c:pt>
                <c:pt idx="462">
                  <c:v>45975</c:v>
                </c:pt>
                <c:pt idx="463">
                  <c:v>45982</c:v>
                </c:pt>
                <c:pt idx="464">
                  <c:v>45989</c:v>
                </c:pt>
                <c:pt idx="465">
                  <c:v>45996</c:v>
                </c:pt>
                <c:pt idx="466">
                  <c:v>46003</c:v>
                </c:pt>
                <c:pt idx="467">
                  <c:v>46010</c:v>
                </c:pt>
                <c:pt idx="468">
                  <c:v>46017</c:v>
                </c:pt>
                <c:pt idx="469">
                  <c:v>46024</c:v>
                </c:pt>
                <c:pt idx="470">
                  <c:v>46031</c:v>
                </c:pt>
                <c:pt idx="471">
                  <c:v>46038</c:v>
                </c:pt>
                <c:pt idx="472">
                  <c:v>46045</c:v>
                </c:pt>
                <c:pt idx="473">
                  <c:v>46052</c:v>
                </c:pt>
                <c:pt idx="474">
                  <c:v>46059</c:v>
                </c:pt>
                <c:pt idx="475">
                  <c:v>46066</c:v>
                </c:pt>
                <c:pt idx="476">
                  <c:v>46073</c:v>
                </c:pt>
                <c:pt idx="477">
                  <c:v>46080</c:v>
                </c:pt>
                <c:pt idx="478">
                  <c:v>46087</c:v>
                </c:pt>
                <c:pt idx="479">
                  <c:v>46094</c:v>
                </c:pt>
                <c:pt idx="480">
                  <c:v>46101</c:v>
                </c:pt>
                <c:pt idx="481">
                  <c:v>46108</c:v>
                </c:pt>
                <c:pt idx="482">
                  <c:v>46115</c:v>
                </c:pt>
                <c:pt idx="483">
                  <c:v>46122</c:v>
                </c:pt>
                <c:pt idx="484">
                  <c:v>46129</c:v>
                </c:pt>
                <c:pt idx="485">
                  <c:v>46136</c:v>
                </c:pt>
                <c:pt idx="486">
                  <c:v>46143</c:v>
                </c:pt>
                <c:pt idx="487">
                  <c:v>46150</c:v>
                </c:pt>
                <c:pt idx="488">
                  <c:v>46157</c:v>
                </c:pt>
                <c:pt idx="489">
                  <c:v>46164</c:v>
                </c:pt>
                <c:pt idx="490">
                  <c:v>46171</c:v>
                </c:pt>
                <c:pt idx="491">
                  <c:v>46178</c:v>
                </c:pt>
                <c:pt idx="492">
                  <c:v>46185</c:v>
                </c:pt>
                <c:pt idx="493">
                  <c:v>46192</c:v>
                </c:pt>
                <c:pt idx="494">
                  <c:v>46199</c:v>
                </c:pt>
                <c:pt idx="495">
                  <c:v>46206</c:v>
                </c:pt>
                <c:pt idx="496">
                  <c:v>46213</c:v>
                </c:pt>
                <c:pt idx="497">
                  <c:v>46220</c:v>
                </c:pt>
                <c:pt idx="498">
                  <c:v>46227</c:v>
                </c:pt>
                <c:pt idx="499">
                  <c:v>46234</c:v>
                </c:pt>
              </c:numCache>
            </c:numRef>
          </c:cat>
          <c:val>
            <c:numRef>
              <c:f>Summary!$K$87:$K$586</c:f>
              <c:numCache>
                <c:formatCode>0.0\x_);\(0.0\x\)</c:formatCode>
                <c:ptCount val="500"/>
                <c:pt idx="0">
                  <c:v>6.2716608862213787</c:v>
                </c:pt>
                <c:pt idx="1">
                  <c:v>6.4099472059093081</c:v>
                </c:pt>
                <c:pt idx="2">
                  <c:v>6.6624179790675297</c:v>
                </c:pt>
                <c:pt idx="3">
                  <c:v>6.8330981047791912</c:v>
                </c:pt>
                <c:pt idx="4">
                  <c:v>6.8756048191515529</c:v>
                </c:pt>
                <c:pt idx="5">
                  <c:v>7.2553197699963308</c:v>
                </c:pt>
                <c:pt idx="6">
                  <c:v>7.6130230244236898</c:v>
                </c:pt>
                <c:pt idx="7">
                  <c:v>7.5919971358587954</c:v>
                </c:pt>
                <c:pt idx="8">
                  <c:v>7.3427156940333491</c:v>
                </c:pt>
                <c:pt idx="9">
                  <c:v>7.7994450072161952</c:v>
                </c:pt>
                <c:pt idx="10">
                  <c:v>8.1009519394447906</c:v>
                </c:pt>
                <c:pt idx="11">
                  <c:v>8.3046108543937507</c:v>
                </c:pt>
                <c:pt idx="12">
                  <c:v>8.7816155704016694</c:v>
                </c:pt>
                <c:pt idx="13">
                  <c:v>8.8094699326113144</c:v>
                </c:pt>
                <c:pt idx="14">
                  <c:v>9.0256043188564252</c:v>
                </c:pt>
                <c:pt idx="15">
                  <c:v>9.7316181890105806</c:v>
                </c:pt>
                <c:pt idx="16">
                  <c:v>9.5669284548041382</c:v>
                </c:pt>
                <c:pt idx="17">
                  <c:v>10.23506011254565</c:v>
                </c:pt>
                <c:pt idx="18">
                  <c:v>11.174965458530428</c:v>
                </c:pt>
                <c:pt idx="19">
                  <c:v>10.508015250882078</c:v>
                </c:pt>
                <c:pt idx="20">
                  <c:v>10.673563810011037</c:v>
                </c:pt>
                <c:pt idx="21">
                  <c:v>11.437009007776723</c:v>
                </c:pt>
                <c:pt idx="22">
                  <c:v>10.627751198331509</c:v>
                </c:pt>
                <c:pt idx="23">
                  <c:v>10.001901713614444</c:v>
                </c:pt>
                <c:pt idx="24">
                  <c:v>10.830688274888516</c:v>
                </c:pt>
                <c:pt idx="25">
                  <c:v>9.6101238642409896</c:v>
                </c:pt>
                <c:pt idx="26">
                  <c:v>9.8043235739460606</c:v>
                </c:pt>
                <c:pt idx="27">
                  <c:v>10.169455315373199</c:v>
                </c:pt>
                <c:pt idx="28">
                  <c:v>9.7385450132870197</c:v>
                </c:pt>
                <c:pt idx="29">
                  <c:v>10.108649418714261</c:v>
                </c:pt>
                <c:pt idx="30">
                  <c:v>10.002136504891373</c:v>
                </c:pt>
                <c:pt idx="31">
                  <c:v>9.4112212555650743</c:v>
                </c:pt>
                <c:pt idx="32">
                  <c:v>9.6781767339192548</c:v>
                </c:pt>
                <c:pt idx="33">
                  <c:v>10.662316505494006</c:v>
                </c:pt>
                <c:pt idx="34">
                  <c:v>11.397963753289925</c:v>
                </c:pt>
                <c:pt idx="35">
                  <c:v>11.620702608533435</c:v>
                </c:pt>
                <c:pt idx="36">
                  <c:v>12.287546249522258</c:v>
                </c:pt>
                <c:pt idx="37">
                  <c:v>12.211427952685918</c:v>
                </c:pt>
                <c:pt idx="38">
                  <c:v>12.33591912245234</c:v>
                </c:pt>
                <c:pt idx="39">
                  <c:v>10.133826780207929</c:v>
                </c:pt>
                <c:pt idx="40">
                  <c:v>9.650442363570777</c:v>
                </c:pt>
                <c:pt idx="41">
                  <c:v>10.454743685806301</c:v>
                </c:pt>
                <c:pt idx="42">
                  <c:v>10.970182118600466</c:v>
                </c:pt>
                <c:pt idx="43">
                  <c:v>9.7373801003370666</c:v>
                </c:pt>
                <c:pt idx="44">
                  <c:v>9.8183032255085632</c:v>
                </c:pt>
                <c:pt idx="45">
                  <c:v>10.283701251637863</c:v>
                </c:pt>
                <c:pt idx="46">
                  <c:v>10.961758056900088</c:v>
                </c:pt>
                <c:pt idx="47">
                  <c:v>9.9778473462083728</c:v>
                </c:pt>
                <c:pt idx="48">
                  <c:v>9.6537450845000485</c:v>
                </c:pt>
                <c:pt idx="49">
                  <c:v>10.063284220723295</c:v>
                </c:pt>
                <c:pt idx="50">
                  <c:v>9.8615127521809658</c:v>
                </c:pt>
                <c:pt idx="51">
                  <c:v>9.1710860503359566</c:v>
                </c:pt>
                <c:pt idx="52">
                  <c:v>10.071035166938133</c:v>
                </c:pt>
                <c:pt idx="53">
                  <c:v>10.226787948208644</c:v>
                </c:pt>
                <c:pt idx="54">
                  <c:v>10.425948608180692</c:v>
                </c:pt>
                <c:pt idx="55">
                  <c:v>11.692502042160845</c:v>
                </c:pt>
                <c:pt idx="56">
                  <c:v>11.192187447872476</c:v>
                </c:pt>
                <c:pt idx="57">
                  <c:v>10.58266898231372</c:v>
                </c:pt>
                <c:pt idx="58">
                  <c:v>11.693606594888056</c:v>
                </c:pt>
                <c:pt idx="59">
                  <c:v>11.566161710998358</c:v>
                </c:pt>
                <c:pt idx="60">
                  <c:v>11.465729301895298</c:v>
                </c:pt>
                <c:pt idx="61">
                  <c:v>12.502775088416435</c:v>
                </c:pt>
                <c:pt idx="62">
                  <c:v>12.246799399361834</c:v>
                </c:pt>
                <c:pt idx="63">
                  <c:v>11.662787279389649</c:v>
                </c:pt>
                <c:pt idx="64">
                  <c:v>10.26152277854718</c:v>
                </c:pt>
                <c:pt idx="65">
                  <c:v>9.5158551512894309</c:v>
                </c:pt>
                <c:pt idx="66">
                  <c:v>9.4624874502650549</c:v>
                </c:pt>
                <c:pt idx="67">
                  <c:v>10.256420161706972</c:v>
                </c:pt>
                <c:pt idx="68">
                  <c:v>10.175197584461259</c:v>
                </c:pt>
                <c:pt idx="69">
                  <c:v>10.782395615561182</c:v>
                </c:pt>
                <c:pt idx="70">
                  <c:v>11.453352360027207</c:v>
                </c:pt>
                <c:pt idx="71">
                  <c:v>11.610615044849569</c:v>
                </c:pt>
                <c:pt idx="72">
                  <c:v>11.238999429017721</c:v>
                </c:pt>
                <c:pt idx="73">
                  <c:v>11.793864598309487</c:v>
                </c:pt>
                <c:pt idx="74">
                  <c:v>12.761987770068659</c:v>
                </c:pt>
                <c:pt idx="75">
                  <c:v>13.141778905816981</c:v>
                </c:pt>
                <c:pt idx="76">
                  <c:v>12.557309874792098</c:v>
                </c:pt>
                <c:pt idx="77">
                  <c:v>11.524850517864049</c:v>
                </c:pt>
                <c:pt idx="78">
                  <c:v>12.410392726167627</c:v>
                </c:pt>
                <c:pt idx="79">
                  <c:v>13.150675640562966</c:v>
                </c:pt>
                <c:pt idx="80">
                  <c:v>13.49419085685617</c:v>
                </c:pt>
                <c:pt idx="81">
                  <c:v>12.413040931653155</c:v>
                </c:pt>
                <c:pt idx="82">
                  <c:v>10.639751017455245</c:v>
                </c:pt>
                <c:pt idx="83">
                  <c:v>11.192376560545961</c:v>
                </c:pt>
                <c:pt idx="84">
                  <c:v>10.12967844042444</c:v>
                </c:pt>
                <c:pt idx="85">
                  <c:v>10.3488023269806</c:v>
                </c:pt>
                <c:pt idx="86">
                  <c:v>10.686929111028938</c:v>
                </c:pt>
                <c:pt idx="87">
                  <c:v>10.215714960142845</c:v>
                </c:pt>
                <c:pt idx="88">
                  <c:v>11.292128616834725</c:v>
                </c:pt>
                <c:pt idx="89">
                  <c:v>11.753337839696362</c:v>
                </c:pt>
                <c:pt idx="90">
                  <c:v>11.977594413524216</c:v>
                </c:pt>
                <c:pt idx="91">
                  <c:v>10.399019291576664</c:v>
                </c:pt>
                <c:pt idx="92">
                  <c:v>9.5143046244938123</c:v>
                </c:pt>
                <c:pt idx="93">
                  <c:v>8.8185279831210135</c:v>
                </c:pt>
                <c:pt idx="94">
                  <c:v>9.0148263876622199</c:v>
                </c:pt>
                <c:pt idx="95">
                  <c:v>9.9194199517924666</c:v>
                </c:pt>
                <c:pt idx="96">
                  <c:v>9.5126159058982687</c:v>
                </c:pt>
                <c:pt idx="97">
                  <c:v>10.218222626794256</c:v>
                </c:pt>
                <c:pt idx="98">
                  <c:v>8.9519007501925518</c:v>
                </c:pt>
                <c:pt idx="99">
                  <c:v>10.226168608717867</c:v>
                </c:pt>
                <c:pt idx="100">
                  <c:v>9.745202440799023</c:v>
                </c:pt>
                <c:pt idx="101">
                  <c:v>9.1992193334256669</c:v>
                </c:pt>
                <c:pt idx="102">
                  <c:v>7.8530145611726336</c:v>
                </c:pt>
                <c:pt idx="103">
                  <c:v>8.6122401037968768</c:v>
                </c:pt>
                <c:pt idx="104">
                  <c:v>8.5378889630153338</c:v>
                </c:pt>
                <c:pt idx="105">
                  <c:v>9.2935017187319815</c:v>
                </c:pt>
                <c:pt idx="106">
                  <c:v>9.8699648309078327</c:v>
                </c:pt>
                <c:pt idx="107">
                  <c:v>10.118067799890198</c:v>
                </c:pt>
                <c:pt idx="108">
                  <c:v>10.592780231843435</c:v>
                </c:pt>
                <c:pt idx="109">
                  <c:v>10.898837872305718</c:v>
                </c:pt>
                <c:pt idx="110">
                  <c:v>10.892058563767304</c:v>
                </c:pt>
                <c:pt idx="111">
                  <c:v>11.197689637298344</c:v>
                </c:pt>
                <c:pt idx="112">
                  <c:v>11.65359259573391</c:v>
                </c:pt>
                <c:pt idx="113">
                  <c:v>11.468540898227126</c:v>
                </c:pt>
                <c:pt idx="114">
                  <c:v>12.483734725995397</c:v>
                </c:pt>
                <c:pt idx="115">
                  <c:v>11.933637751708508</c:v>
                </c:pt>
                <c:pt idx="116">
                  <c:v>13.032971643362911</c:v>
                </c:pt>
                <c:pt idx="117">
                  <c:v>12.271247750074361</c:v>
                </c:pt>
                <c:pt idx="118">
                  <c:v>13.444304705918434</c:v>
                </c:pt>
                <c:pt idx="119">
                  <c:v>13.780465257449919</c:v>
                </c:pt>
                <c:pt idx="120">
                  <c:v>13.781686489553296</c:v>
                </c:pt>
                <c:pt idx="121">
                  <c:v>16.232476922469285</c:v>
                </c:pt>
                <c:pt idx="122">
                  <c:v>15.800201286741459</c:v>
                </c:pt>
                <c:pt idx="123">
                  <c:v>16.667455727073918</c:v>
                </c:pt>
                <c:pt idx="124">
                  <c:v>16.727387574401803</c:v>
                </c:pt>
                <c:pt idx="125">
                  <c:v>16.583169436576309</c:v>
                </c:pt>
                <c:pt idx="126">
                  <c:v>18.422487833424416</c:v>
                </c:pt>
                <c:pt idx="127">
                  <c:v>18.325718195658155</c:v>
                </c:pt>
                <c:pt idx="128">
                  <c:v>19.59562412770925</c:v>
                </c:pt>
                <c:pt idx="129">
                  <c:v>17.968814733566894</c:v>
                </c:pt>
                <c:pt idx="130">
                  <c:v>18.721673106986987</c:v>
                </c:pt>
                <c:pt idx="131">
                  <c:v>18.387715873422021</c:v>
                </c:pt>
                <c:pt idx="132">
                  <c:v>19.540278308588306</c:v>
                </c:pt>
                <c:pt idx="133">
                  <c:v>19.843366406808457</c:v>
                </c:pt>
                <c:pt idx="134">
                  <c:v>19.086408029013651</c:v>
                </c:pt>
                <c:pt idx="135">
                  <c:v>21.243416677340974</c:v>
                </c:pt>
                <c:pt idx="136">
                  <c:v>20.447531199285432</c:v>
                </c:pt>
                <c:pt idx="137">
                  <c:v>21.771437001088792</c:v>
                </c:pt>
                <c:pt idx="138">
                  <c:v>21.80830388874455</c:v>
                </c:pt>
                <c:pt idx="139">
                  <c:v>21.384790151835599</c:v>
                </c:pt>
                <c:pt idx="140">
                  <c:v>18.782715740102411</c:v>
                </c:pt>
                <c:pt idx="141">
                  <c:v>17.547144834896873</c:v>
                </c:pt>
                <c:pt idx="142">
                  <c:v>16.685887749315878</c:v>
                </c:pt>
                <c:pt idx="143">
                  <c:v>17.683978337658157</c:v>
                </c:pt>
                <c:pt idx="144">
                  <c:v>17.61531284687813</c:v>
                </c:pt>
                <c:pt idx="145">
                  <c:v>16.60790930393085</c:v>
                </c:pt>
                <c:pt idx="146">
                  <c:v>16.794871946593453</c:v>
                </c:pt>
                <c:pt idx="147">
                  <c:v>16.37979527721679</c:v>
                </c:pt>
                <c:pt idx="148">
                  <c:v>15.231126412519263</c:v>
                </c:pt>
                <c:pt idx="149">
                  <c:v>15.961813035156673</c:v>
                </c:pt>
                <c:pt idx="150">
                  <c:v>15.909333268298742</c:v>
                </c:pt>
                <c:pt idx="151">
                  <c:v>17.035206680804123</c:v>
                </c:pt>
                <c:pt idx="152">
                  <c:v>18.453333250460542</c:v>
                </c:pt>
                <c:pt idx="153">
                  <c:v>19.486365978824644</c:v>
                </c:pt>
                <c:pt idx="154">
                  <c:v>19.612548536561668</c:v>
                </c:pt>
                <c:pt idx="155">
                  <c:v>20.466246273006234</c:v>
                </c:pt>
                <c:pt idx="156">
                  <c:v>20.24140632880011</c:v>
                </c:pt>
                <c:pt idx="157">
                  <c:v>21.416196468827895</c:v>
                </c:pt>
                <c:pt idx="158">
                  <c:v>22.593129064680472</c:v>
                </c:pt>
                <c:pt idx="159">
                  <c:v>23.222379672603559</c:v>
                </c:pt>
                <c:pt idx="160">
                  <c:v>23.076125607818696</c:v>
                </c:pt>
                <c:pt idx="161">
                  <c:v>23.592273517275334</c:v>
                </c:pt>
                <c:pt idx="162">
                  <c:v>25.243676673910336</c:v>
                </c:pt>
                <c:pt idx="163">
                  <c:v>24.559258664097577</c:v>
                </c:pt>
                <c:pt idx="164">
                  <c:v>21.595482943675474</c:v>
                </c:pt>
                <c:pt idx="165">
                  <c:v>21.902181969004875</c:v>
                </c:pt>
                <c:pt idx="166">
                  <c:v>17.804450887776859</c:v>
                </c:pt>
                <c:pt idx="167">
                  <c:v>15.585499069743909</c:v>
                </c:pt>
                <c:pt idx="168">
                  <c:v>19.15686775739735</c:v>
                </c:pt>
                <c:pt idx="169">
                  <c:v>17.274075145793173</c:v>
                </c:pt>
                <c:pt idx="170">
                  <c:v>20.401816541922052</c:v>
                </c:pt>
                <c:pt idx="171">
                  <c:v>29.17864365285601</c:v>
                </c:pt>
                <c:pt idx="172">
                  <c:v>31.741905323644218</c:v>
                </c:pt>
                <c:pt idx="173">
                  <c:v>29.976537868983563</c:v>
                </c:pt>
                <c:pt idx="174">
                  <c:v>33.073328961857733</c:v>
                </c:pt>
                <c:pt idx="175">
                  <c:v>35.647216173407884</c:v>
                </c:pt>
                <c:pt idx="176">
                  <c:v>38.160562663009358</c:v>
                </c:pt>
                <c:pt idx="177">
                  <c:v>34.812798484140629</c:v>
                </c:pt>
                <c:pt idx="178">
                  <c:v>33.200036846718106</c:v>
                </c:pt>
                <c:pt idx="179">
                  <c:v>33.633785161871209</c:v>
                </c:pt>
                <c:pt idx="180">
                  <c:v>39.845169366147303</c:v>
                </c:pt>
                <c:pt idx="181">
                  <c:v>40.914441055423538</c:v>
                </c:pt>
                <c:pt idx="182">
                  <c:v>47.95682121739928</c:v>
                </c:pt>
                <c:pt idx="183">
                  <c:v>47.733267801300308</c:v>
                </c:pt>
                <c:pt idx="184">
                  <c:v>42.348382980652893</c:v>
                </c:pt>
                <c:pt idx="185">
                  <c:v>41.964106892688861</c:v>
                </c:pt>
                <c:pt idx="186">
                  <c:v>40.217172529272489</c:v>
                </c:pt>
                <c:pt idx="187">
                  <c:v>41.180429915117095</c:v>
                </c:pt>
                <c:pt idx="188">
                  <c:v>38.228175279477945</c:v>
                </c:pt>
                <c:pt idx="189">
                  <c:v>39.357383241189197</c:v>
                </c:pt>
                <c:pt idx="190">
                  <c:v>39.968455832291696</c:v>
                </c:pt>
                <c:pt idx="191">
                  <c:v>37.048918210657362</c:v>
                </c:pt>
                <c:pt idx="192">
                  <c:v>34.570615828937989</c:v>
                </c:pt>
                <c:pt idx="193">
                  <c:v>33.869810360781081</c:v>
                </c:pt>
                <c:pt idx="194">
                  <c:v>36.014740089163318</c:v>
                </c:pt>
                <c:pt idx="195">
                  <c:v>38.624427615640116</c:v>
                </c:pt>
                <c:pt idx="196">
                  <c:v>40.98912993592073</c:v>
                </c:pt>
                <c:pt idx="197">
                  <c:v>39.529709555698744</c:v>
                </c:pt>
                <c:pt idx="198">
                  <c:v>37.740025107859125</c:v>
                </c:pt>
                <c:pt idx="199">
                  <c:v>30.839430619752942</c:v>
                </c:pt>
                <c:pt idx="200">
                  <c:v>34.571301837019639</c:v>
                </c:pt>
                <c:pt idx="201">
                  <c:v>30.054442155901679</c:v>
                </c:pt>
                <c:pt idx="202">
                  <c:v>32.274212513830904</c:v>
                </c:pt>
                <c:pt idx="203">
                  <c:v>33.678256911184739</c:v>
                </c:pt>
                <c:pt idx="204">
                  <c:v>34.057427735699278</c:v>
                </c:pt>
                <c:pt idx="205">
                  <c:v>34.0281533659914</c:v>
                </c:pt>
                <c:pt idx="206">
                  <c:v>37.640167437013879</c:v>
                </c:pt>
                <c:pt idx="207">
                  <c:v>39.300651583497654</c:v>
                </c:pt>
                <c:pt idx="208">
                  <c:v>35.518496781060527</c:v>
                </c:pt>
                <c:pt idx="209">
                  <c:v>37.027995021630566</c:v>
                </c:pt>
                <c:pt idx="210">
                  <c:v>36.013008891166784</c:v>
                </c:pt>
                <c:pt idx="211">
                  <c:v>36.654462657212235</c:v>
                </c:pt>
                <c:pt idx="212">
                  <c:v>33.237271291629504</c:v>
                </c:pt>
                <c:pt idx="213">
                  <c:v>38.766734709000787</c:v>
                </c:pt>
                <c:pt idx="214">
                  <c:v>43.625292310242074</c:v>
                </c:pt>
                <c:pt idx="215">
                  <c:v>40.367484846989626</c:v>
                </c:pt>
                <c:pt idx="216">
                  <c:v>35.665926359483088</c:v>
                </c:pt>
                <c:pt idx="217">
                  <c:v>31.140295813337033</c:v>
                </c:pt>
                <c:pt idx="218">
                  <c:v>31.232684971435791</c:v>
                </c:pt>
                <c:pt idx="219">
                  <c:v>30.386945309931484</c:v>
                </c:pt>
                <c:pt idx="220">
                  <c:v>28.634718455245583</c:v>
                </c:pt>
                <c:pt idx="221">
                  <c:v>31.499461925454145</c:v>
                </c:pt>
                <c:pt idx="222">
                  <c:v>33.322198589481246</c:v>
                </c:pt>
                <c:pt idx="223">
                  <c:v>32.567910148594535</c:v>
                </c:pt>
                <c:pt idx="224">
                  <c:v>29.093081362091013</c:v>
                </c:pt>
                <c:pt idx="225">
                  <c:v>29.247522073711242</c:v>
                </c:pt>
                <c:pt idx="226">
                  <c:v>27.175232594206193</c:v>
                </c:pt>
                <c:pt idx="227">
                  <c:v>26.350801355162591</c:v>
                </c:pt>
                <c:pt idx="228">
                  <c:v>29.74025395215499</c:v>
                </c:pt>
                <c:pt idx="229">
                  <c:v>29.914245775879756</c:v>
                </c:pt>
                <c:pt idx="230">
                  <c:v>28.81823548911256</c:v>
                </c:pt>
                <c:pt idx="231">
                  <c:v>29.688608755677155</c:v>
                </c:pt>
                <c:pt idx="232">
                  <c:v>34.970953747261717</c:v>
                </c:pt>
                <c:pt idx="233">
                  <c:v>34.947626110662611</c:v>
                </c:pt>
                <c:pt idx="234">
                  <c:v>34.787830188187527</c:v>
                </c:pt>
                <c:pt idx="235">
                  <c:v>35.290096899652156</c:v>
                </c:pt>
                <c:pt idx="236">
                  <c:v>33.641420676369172</c:v>
                </c:pt>
                <c:pt idx="237">
                  <c:v>38.133737489453495</c:v>
                </c:pt>
                <c:pt idx="238">
                  <c:v>33.307983157414192</c:v>
                </c:pt>
                <c:pt idx="239">
                  <c:v>33.626561080730824</c:v>
                </c:pt>
                <c:pt idx="240">
                  <c:v>32.843185190530185</c:v>
                </c:pt>
                <c:pt idx="241">
                  <c:v>31.596263457628762</c:v>
                </c:pt>
                <c:pt idx="242">
                  <c:v>33.242654542541551</c:v>
                </c:pt>
                <c:pt idx="243">
                  <c:v>33.57612641570622</c:v>
                </c:pt>
                <c:pt idx="244">
                  <c:v>31.832729630704844</c:v>
                </c:pt>
                <c:pt idx="245">
                  <c:v>31.713421612193891</c:v>
                </c:pt>
                <c:pt idx="246">
                  <c:v>30.727805033074514</c:v>
                </c:pt>
                <c:pt idx="247">
                  <c:v>28.570432285899805</c:v>
                </c:pt>
                <c:pt idx="248">
                  <c:v>29.000335332371236</c:v>
                </c:pt>
                <c:pt idx="249">
                  <c:v>29.810701160903598</c:v>
                </c:pt>
                <c:pt idx="250">
                  <c:v>29.796098094686027</c:v>
                </c:pt>
                <c:pt idx="251">
                  <c:v>30.938250535373061</c:v>
                </c:pt>
                <c:pt idx="252">
                  <c:v>32.138118710267541</c:v>
                </c:pt>
                <c:pt idx="253">
                  <c:v>35.08078371126058</c:v>
                </c:pt>
                <c:pt idx="254">
                  <c:v>35.3640665961791</c:v>
                </c:pt>
                <c:pt idx="255">
                  <c:v>32.746040756364792</c:v>
                </c:pt>
                <c:pt idx="256">
                  <c:v>28.939380904838067</c:v>
                </c:pt>
                <c:pt idx="257">
                  <c:v>29.881057578080163</c:v>
                </c:pt>
                <c:pt idx="258">
                  <c:v>26.821580729322772</c:v>
                </c:pt>
                <c:pt idx="259">
                  <c:v>29.145667954877904</c:v>
                </c:pt>
                <c:pt idx="260">
                  <c:v>27.590948260914786</c:v>
                </c:pt>
                <c:pt idx="261">
                  <c:v>22.578536153896355</c:v>
                </c:pt>
                <c:pt idx="262">
                  <c:v>21.574528491115696</c:v>
                </c:pt>
                <c:pt idx="263">
                  <c:v>16.922269326510563</c:v>
                </c:pt>
                <c:pt idx="264">
                  <c:v>16.609753030149523</c:v>
                </c:pt>
                <c:pt idx="265">
                  <c:v>16.57838128556164</c:v>
                </c:pt>
                <c:pt idx="266">
                  <c:v>16.082693480426112</c:v>
                </c:pt>
                <c:pt idx="267">
                  <c:v>12.119941529613531</c:v>
                </c:pt>
                <c:pt idx="268">
                  <c:v>12.447732588948963</c:v>
                </c:pt>
                <c:pt idx="269">
                  <c:v>10.86163090613042</c:v>
                </c:pt>
                <c:pt idx="270">
                  <c:v>9.7231265918215772</c:v>
                </c:pt>
                <c:pt idx="271">
                  <c:v>14.295985463401605</c:v>
                </c:pt>
                <c:pt idx="272">
                  <c:v>12.237620844109451</c:v>
                </c:pt>
                <c:pt idx="273">
                  <c:v>12.359277294335971</c:v>
                </c:pt>
                <c:pt idx="274">
                  <c:v>10.577959109758208</c:v>
                </c:pt>
                <c:pt idx="275">
                  <c:v>10.079907472828024</c:v>
                </c:pt>
                <c:pt idx="276">
                  <c:v>7.7602310493724174</c:v>
                </c:pt>
                <c:pt idx="277">
                  <c:v>7.1173461494980259</c:v>
                </c:pt>
                <c:pt idx="278">
                  <c:v>6.3549920158421331</c:v>
                </c:pt>
                <c:pt idx="279">
                  <c:v>6.8122560944757655</c:v>
                </c:pt>
                <c:pt idx="280">
                  <c:v>6.0367920157578441</c:v>
                </c:pt>
                <c:pt idx="281">
                  <c:v>6.148813771978765</c:v>
                </c:pt>
                <c:pt idx="282">
                  <c:v>5.8310580444062952</c:v>
                </c:pt>
                <c:pt idx="283">
                  <c:v>5.7040501574399931</c:v>
                </c:pt>
                <c:pt idx="284">
                  <c:v>5.0732303462782999</c:v>
                </c:pt>
                <c:pt idx="285">
                  <c:v>6.3565909325540355</c:v>
                </c:pt>
                <c:pt idx="286">
                  <c:v>5.0424026310215817</c:v>
                </c:pt>
                <c:pt idx="287">
                  <c:v>5.8046773686980373</c:v>
                </c:pt>
                <c:pt idx="288">
                  <c:v>4.9889505289305962</c:v>
                </c:pt>
                <c:pt idx="289">
                  <c:v>6.15816792923889</c:v>
                </c:pt>
                <c:pt idx="290">
                  <c:v>6.0209908310429521</c:v>
                </c:pt>
                <c:pt idx="291">
                  <c:v>7.1899611357575388</c:v>
                </c:pt>
                <c:pt idx="292">
                  <c:v>7.1754576658595104</c:v>
                </c:pt>
                <c:pt idx="293">
                  <c:v>5.844452720423245</c:v>
                </c:pt>
                <c:pt idx="294">
                  <c:v>5.4836129220061176</c:v>
                </c:pt>
                <c:pt idx="295">
                  <c:v>5.0052642030100172</c:v>
                </c:pt>
                <c:pt idx="296">
                  <c:v>5.9420084543905265</c:v>
                </c:pt>
                <c:pt idx="297">
                  <c:v>5.3119100979480285</c:v>
                </c:pt>
                <c:pt idx="298">
                  <c:v>4.7080803697453932</c:v>
                </c:pt>
                <c:pt idx="299">
                  <c:v>4.6799233004483138</c:v>
                </c:pt>
                <c:pt idx="300">
                  <c:v>4.7151314208652328</c:v>
                </c:pt>
                <c:pt idx="301">
                  <c:v>4.4761979375680028</c:v>
                </c:pt>
                <c:pt idx="302">
                  <c:v>5.1937788061102994</c:v>
                </c:pt>
                <c:pt idx="303">
                  <c:v>6.0853478359572089</c:v>
                </c:pt>
                <c:pt idx="304">
                  <c:v>5.6667093427733013</c:v>
                </c:pt>
                <c:pt idx="305">
                  <c:v>7.0704134983530809</c:v>
                </c:pt>
                <c:pt idx="306">
                  <c:v>6.4939886229622523</c:v>
                </c:pt>
                <c:pt idx="307">
                  <c:v>6.5099591226101445</c:v>
                </c:pt>
                <c:pt idx="308">
                  <c:v>7.6960017813326056</c:v>
                </c:pt>
                <c:pt idx="309">
                  <c:v>6.7859849985438592</c:v>
                </c:pt>
                <c:pt idx="310">
                  <c:v>6.3235916082055805</c:v>
                </c:pt>
                <c:pt idx="311">
                  <c:v>5.8397195593899749</c:v>
                </c:pt>
                <c:pt idx="312">
                  <c:v>5.9750990460173039</c:v>
                </c:pt>
                <c:pt idx="313">
                  <c:v>6.4167549189526474</c:v>
                </c:pt>
                <c:pt idx="314">
                  <c:v>6.7779813623522713</c:v>
                </c:pt>
                <c:pt idx="315">
                  <c:v>7.0600415908108953</c:v>
                </c:pt>
                <c:pt idx="316">
                  <c:v>8.8171020016180357</c:v>
                </c:pt>
                <c:pt idx="317">
                  <c:v>9.2994194000407404</c:v>
                </c:pt>
                <c:pt idx="318">
                  <c:v>8.3407189193054929</c:v>
                </c:pt>
                <c:pt idx="319">
                  <c:v>7.4699228944641627</c:v>
                </c:pt>
                <c:pt idx="320">
                  <c:v>6.9128090672305378</c:v>
                </c:pt>
                <c:pt idx="321">
                  <c:v>7.3680342153585974</c:v>
                </c:pt>
                <c:pt idx="322">
                  <c:v>6.9842205637884875</c:v>
                </c:pt>
                <c:pt idx="323">
                  <c:v>7.5466485242095596</c:v>
                </c:pt>
                <c:pt idx="324">
                  <c:v>7.5716274974588069</c:v>
                </c:pt>
                <c:pt idx="325">
                  <c:v>8.0826707998816971</c:v>
                </c:pt>
                <c:pt idx="326">
                  <c:v>7.7901205925269288</c:v>
                </c:pt>
                <c:pt idx="327">
                  <c:v>7.7411913150839604</c:v>
                </c:pt>
                <c:pt idx="328">
                  <c:v>8.3735008568286613</c:v>
                </c:pt>
                <c:pt idx="329">
                  <c:v>8.0490111041033536</c:v>
                </c:pt>
                <c:pt idx="330">
                  <c:v>10.653581328744318</c:v>
                </c:pt>
                <c:pt idx="331">
                  <c:v>10.491648187582877</c:v>
                </c:pt>
                <c:pt idx="332">
                  <c:v>10.255371107757506</c:v>
                </c:pt>
                <c:pt idx="333">
                  <c:v>10.049125901303366</c:v>
                </c:pt>
                <c:pt idx="334">
                  <c:v>9.8618654327488446</c:v>
                </c:pt>
                <c:pt idx="335">
                  <c:v>10.3722082288291</c:v>
                </c:pt>
                <c:pt idx="336">
                  <c:v>10.962530509250097</c:v>
                </c:pt>
                <c:pt idx="337">
                  <c:v>10.744255877286239</c:v>
                </c:pt>
                <c:pt idx="338">
                  <c:v>10.786980256570384</c:v>
                </c:pt>
                <c:pt idx="339">
                  <c:v>10.307912078576676</c:v>
                </c:pt>
                <c:pt idx="340">
                  <c:v>11.396780286732499</c:v>
                </c:pt>
                <c:pt idx="341">
                  <c:v>10.897007607251492</c:v>
                </c:pt>
                <c:pt idx="342">
                  <c:v>10.865265094858646</c:v>
                </c:pt>
                <c:pt idx="343">
                  <c:v>9.1484951206292617</c:v>
                </c:pt>
                <c:pt idx="344">
                  <c:v>8.665860958103087</c:v>
                </c:pt>
                <c:pt idx="345">
                  <c:v>8.2610876517540426</c:v>
                </c:pt>
                <c:pt idx="346">
                  <c:v>8.6213333150845024</c:v>
                </c:pt>
                <c:pt idx="347">
                  <c:v>10.444262297469185</c:v>
                </c:pt>
                <c:pt idx="348">
                  <c:v>9.8056864242339721</c:v>
                </c:pt>
                <c:pt idx="349">
                  <c:v>9.7318234821225715</c:v>
                </c:pt>
                <c:pt idx="350">
                  <c:v>8.1403373189467221</c:v>
                </c:pt>
                <c:pt idx="351">
                  <c:v>8.4725858841480655</c:v>
                </c:pt>
                <c:pt idx="352">
                  <c:v>8.2165129641122761</c:v>
                </c:pt>
                <c:pt idx="353">
                  <c:v>7.8894963614578844</c:v>
                </c:pt>
                <c:pt idx="354">
                  <c:v>7.7124409564025358</c:v>
                </c:pt>
                <c:pt idx="355">
                  <c:v>6.9188404367826024</c:v>
                </c:pt>
                <c:pt idx="356">
                  <c:v>9.3381701436686129</c:v>
                </c:pt>
                <c:pt idx="357">
                  <c:v>9.2585096036806931</c:v>
                </c:pt>
                <c:pt idx="358">
                  <c:v>10.374425442110146</c:v>
                </c:pt>
                <c:pt idx="359">
                  <c:v>10.731286762594038</c:v>
                </c:pt>
                <c:pt idx="360">
                  <c:v>11.171931148072625</c:v>
                </c:pt>
                <c:pt idx="361">
                  <c:v>10.92763022610997</c:v>
                </c:pt>
                <c:pt idx="362">
                  <c:v>11.55056282841354</c:v>
                </c:pt>
                <c:pt idx="363">
                  <c:v>11.505017161275783</c:v>
                </c:pt>
                <c:pt idx="364">
                  <c:v>11.674121732582423</c:v>
                </c:pt>
                <c:pt idx="365">
                  <c:v>11.088020321351701</c:v>
                </c:pt>
                <c:pt idx="366">
                  <c:v>12.077489310333664</c:v>
                </c:pt>
                <c:pt idx="367">
                  <c:v>11.791381365578376</c:v>
                </c:pt>
                <c:pt idx="368">
                  <c:v>12.010296207030912</c:v>
                </c:pt>
                <c:pt idx="369">
                  <c:v>12.182973418936552</c:v>
                </c:pt>
                <c:pt idx="370">
                  <c:v>13.283877897512927</c:v>
                </c:pt>
                <c:pt idx="371">
                  <c:v>11.579545623600753</c:v>
                </c:pt>
                <c:pt idx="372">
                  <c:v>10.759339213518508</c:v>
                </c:pt>
                <c:pt idx="373">
                  <c:v>10.7797299680243</c:v>
                </c:pt>
                <c:pt idx="374">
                  <c:v>10.699737035503594</c:v>
                </c:pt>
                <c:pt idx="375">
                  <c:v>10.777106033667623</c:v>
                </c:pt>
                <c:pt idx="376">
                  <c:v>10.931743323166703</c:v>
                </c:pt>
                <c:pt idx="377">
                  <c:v>10.581071964738028</c:v>
                </c:pt>
                <c:pt idx="378">
                  <c:v>10.241772838584804</c:v>
                </c:pt>
                <c:pt idx="379">
                  <c:v>9.4764356018297153</c:v>
                </c:pt>
                <c:pt idx="380">
                  <c:v>9.3909973058023137</c:v>
                </c:pt>
                <c:pt idx="381">
                  <c:v>9.5574807540222508</c:v>
                </c:pt>
                <c:pt idx="382">
                  <c:v>9.9557522675126222</c:v>
                </c:pt>
                <c:pt idx="383">
                  <c:v>7.8024348869388955</c:v>
                </c:pt>
                <c:pt idx="384">
                  <c:v>7.7061428174451114</c:v>
                </c:pt>
                <c:pt idx="385">
                  <c:v>7.4864782985847702</c:v>
                </c:pt>
                <c:pt idx="386">
                  <c:v>7.7663114664989896</c:v>
                </c:pt>
                <c:pt idx="387">
                  <c:v>8.0785826554604494</c:v>
                </c:pt>
                <c:pt idx="388">
                  <c:v>8.8591764914367541</c:v>
                </c:pt>
                <c:pt idx="389">
                  <c:v>8.4760033843315163</c:v>
                </c:pt>
                <c:pt idx="390">
                  <c:v>8.5925478274947089</c:v>
                </c:pt>
                <c:pt idx="391">
                  <c:v>8.7730763722258889</c:v>
                </c:pt>
                <c:pt idx="392">
                  <c:v>8.3800693406357745</c:v>
                </c:pt>
                <c:pt idx="393">
                  <c:v>8.212681081545929</c:v>
                </c:pt>
                <c:pt idx="394">
                  <c:v>7.730764687697417</c:v>
                </c:pt>
                <c:pt idx="395">
                  <c:v>6.9559028894843156</c:v>
                </c:pt>
                <c:pt idx="396">
                  <c:v>8.8467015699941225</c:v>
                </c:pt>
                <c:pt idx="397">
                  <c:v>9.4811784175415852</c:v>
                </c:pt>
                <c:pt idx="398">
                  <c:v>9.6760731944477492</c:v>
                </c:pt>
                <c:pt idx="399">
                  <c:v>9.3705909433122745</c:v>
                </c:pt>
                <c:pt idx="400">
                  <c:v>8.4274792487429693</c:v>
                </c:pt>
                <c:pt idx="401">
                  <c:v>9.0937310346167095</c:v>
                </c:pt>
                <c:pt idx="402">
                  <c:v>9.8657536300652549</c:v>
                </c:pt>
                <c:pt idx="403">
                  <c:v>9.9345660848643149</c:v>
                </c:pt>
                <c:pt idx="404">
                  <c:v>10.316801439211275</c:v>
                </c:pt>
                <c:pt idx="405">
                  <c:v>10.36692980812372</c:v>
                </c:pt>
                <c:pt idx="406">
                  <c:v>10.269653606433442</c:v>
                </c:pt>
                <c:pt idx="407">
                  <c:v>9.7839203008245015</c:v>
                </c:pt>
                <c:pt idx="408">
                  <c:v>9.7448339505667843</c:v>
                </c:pt>
                <c:pt idx="409">
                  <c:v>10.739521818136966</c:v>
                </c:pt>
                <c:pt idx="410">
                  <c:v>13.016785279640747</c:v>
                </c:pt>
                <c:pt idx="411">
                  <c:v>12.766625690224409</c:v>
                </c:pt>
                <c:pt idx="412">
                  <c:v>13.779833089360157</c:v>
                </c:pt>
                <c:pt idx="413">
                  <c:v>14.075546544159135</c:v>
                </c:pt>
                <c:pt idx="414">
                  <c:v>13.529299203777072</c:v>
                </c:pt>
                <c:pt idx="415">
                  <c:v>12.795455591574513</c:v>
                </c:pt>
                <c:pt idx="416">
                  <c:v>12.653174049413897</c:v>
                </c:pt>
                <c:pt idx="417">
                  <c:v>12.722069493260292</c:v>
                </c:pt>
                <c:pt idx="418">
                  <c:v>12.008094428844167</c:v>
                </c:pt>
                <c:pt idx="419">
                  <c:v>11.967545577859317</c:v>
                </c:pt>
                <c:pt idx="420">
                  <c:v>12.390491630722181</c:v>
                </c:pt>
                <c:pt idx="421">
                  <c:v>13.437659367543587</c:v>
                </c:pt>
                <c:pt idx="422">
                  <c:v>13.396037720417684</c:v>
                </c:pt>
                <c:pt idx="423">
                  <c:v>14.432351517830444</c:v>
                </c:pt>
                <c:pt idx="424">
                  <c:v>12.940054589371055</c:v>
                </c:pt>
                <c:pt idx="425">
                  <c:v>12.506429195453164</c:v>
                </c:pt>
                <c:pt idx="426">
                  <c:v>11.043698192510668</c:v>
                </c:pt>
                <c:pt idx="427">
                  <c:v>10.391356558226661</c:v>
                </c:pt>
                <c:pt idx="428">
                  <c:v>11.423556000103408</c:v>
                </c:pt>
                <c:pt idx="429">
                  <c:v>10.545529294408816</c:v>
                </c:pt>
                <c:pt idx="430">
                  <c:v>8.2734257194512395</c:v>
                </c:pt>
                <c:pt idx="431">
                  <c:v>9.0268138848139436</c:v>
                </c:pt>
                <c:pt idx="432">
                  <c:v>9.0316987645370528</c:v>
                </c:pt>
                <c:pt idx="433">
                  <c:v>10.549573611405551</c:v>
                </c:pt>
                <c:pt idx="434">
                  <c:v>10.855531230436968</c:v>
                </c:pt>
                <c:pt idx="435">
                  <c:v>9.8016066397451276</c:v>
                </c:pt>
                <c:pt idx="436">
                  <c:v>11.845130849200629</c:v>
                </c:pt>
                <c:pt idx="437">
                  <c:v>10.770445281107634</c:v>
                </c:pt>
                <c:pt idx="438">
                  <c:v>11.304923132140235</c:v>
                </c:pt>
                <c:pt idx="439">
                  <c:v>11.789293590921847</c:v>
                </c:pt>
                <c:pt idx="440">
                  <c:v>11.067703542272554</c:v>
                </c:pt>
                <c:pt idx="441">
                  <c:v>11.159184395808348</c:v>
                </c:pt>
                <c:pt idx="442">
                  <c:v>11.95605706427917</c:v>
                </c:pt>
                <c:pt idx="443">
                  <c:v>12.167248873954788</c:v>
                </c:pt>
                <c:pt idx="444">
                  <c:v>11.652756664600822</c:v>
                </c:pt>
                <c:pt idx="445">
                  <c:v>13.213440296931754</c:v>
                </c:pt>
                <c:pt idx="446">
                  <c:v>12.988375671309125</c:v>
                </c:pt>
                <c:pt idx="447">
                  <c:v>12.316206781931863</c:v>
                </c:pt>
                <c:pt idx="448">
                  <c:v>14.962606416946967</c:v>
                </c:pt>
                <c:pt idx="449">
                  <c:v>14.059169204471166</c:v>
                </c:pt>
                <c:pt idx="450">
                  <c:v>14.023376672844954</c:v>
                </c:pt>
                <c:pt idx="451">
                  <c:v>13.892872915841028</c:v>
                </c:pt>
                <c:pt idx="452">
                  <c:v>14.417903484470763</c:v>
                </c:pt>
                <c:pt idx="453">
                  <c:v>13.991648375569824</c:v>
                </c:pt>
                <c:pt idx="454">
                  <c:v>14.967427641209762</c:v>
                </c:pt>
                <c:pt idx="455">
                  <c:v>13.5695044260969</c:v>
                </c:pt>
                <c:pt idx="456">
                  <c:v>15.592102191247401</c:v>
                </c:pt>
                <c:pt idx="457">
                  <c:v>14.521277951144759</c:v>
                </c:pt>
                <c:pt idx="458">
                  <c:v>15.075323496804275</c:v>
                </c:pt>
                <c:pt idx="459">
                  <c:v>16.530290045225023</c:v>
                </c:pt>
                <c:pt idx="460">
                  <c:v>16.610195792151796</c:v>
                </c:pt>
                <c:pt idx="461">
                  <c:v>14.106630161712745</c:v>
                </c:pt>
                <c:pt idx="462">
                  <c:v>13.448135983220398</c:v>
                </c:pt>
                <c:pt idx="463">
                  <c:v>13.531353657222924</c:v>
                </c:pt>
                <c:pt idx="464">
                  <c:v>14.667892450591056</c:v>
                </c:pt>
                <c:pt idx="465">
                  <c:v>14.670782904196162</c:v>
                </c:pt>
                <c:pt idx="466">
                  <c:v>14.926675013213226</c:v>
                </c:pt>
                <c:pt idx="467">
                  <c:v>15.365045079606016</c:v>
                </c:pt>
                <c:pt idx="468">
                  <c:v>15.303465267786207</c:v>
                </c:pt>
                <c:pt idx="469">
                  <c:v>14.130397258380988</c:v>
                </c:pt>
                <c:pt idx="470">
                  <c:v>14.732713421065069</c:v>
                </c:pt>
                <c:pt idx="471">
                  <c:v>13.746314997271734</c:v>
                </c:pt>
                <c:pt idx="472">
                  <c:v>12.030370658847046</c:v>
                </c:pt>
                <c:pt idx="473">
                  <c:v>11.460265751221003</c:v>
                </c:pt>
                <c:pt idx="474">
                  <c:v>9.6490587611910961</c:v>
                </c:pt>
                <c:pt idx="475">
                  <c:v>9.3858543703676389</c:v>
                </c:pt>
                <c:pt idx="476">
                  <c:v>10.492679989010918</c:v>
                </c:pt>
                <c:pt idx="477">
                  <c:v>9.9617634835612154</c:v>
                </c:pt>
                <c:pt idx="478">
                  <c:v>10.67555700698076</c:v>
                </c:pt>
                <c:pt idx="479">
                  <c:v>10.048152637576766</c:v>
                </c:pt>
                <c:pt idx="480">
                  <c:v>9.5029887059981881</c:v>
                </c:pt>
                <c:pt idx="481">
                  <c:v>9.0322157322685079</c:v>
                </c:pt>
                <c:pt idx="482">
                  <c:v>9.5227193978332512</c:v>
                </c:pt>
                <c:pt idx="483">
                  <c:v>8.8717542633298816</c:v>
                </c:pt>
                <c:pt idx="484">
                  <c:v>10.517910581593997</c:v>
                </c:pt>
                <c:pt idx="485">
                  <c:v>10.007756698283835</c:v>
                </c:pt>
                <c:pt idx="486">
                  <c:v>10.147994680359748</c:v>
                </c:pt>
                <c:pt idx="487">
                  <c:v>8.5675206589998911</c:v>
                </c:pt>
                <c:pt idx="488">
                  <c:v>7.7408889065251349</c:v>
                </c:pt>
                <c:pt idx="489">
                  <c:v>7.9397363734980138</c:v>
                </c:pt>
                <c:pt idx="490">
                  <c:v>9.2058992818501242</c:v>
                </c:pt>
                <c:pt idx="491">
                  <c:v>8.4040000184688051</c:v>
                </c:pt>
                <c:pt idx="492">
                  <c:v>8.2620537378352079</c:v>
                </c:pt>
                <c:pt idx="493">
                  <c:v>8.1124956505913772</c:v>
                </c:pt>
                <c:pt idx="494">
                  <c:v>8.8432903714987905</c:v>
                </c:pt>
                <c:pt idx="495">
                  <c:v>9.1296133210705861</c:v>
                </c:pt>
                <c:pt idx="496">
                  <c:v>9.2265257174375304</c:v>
                </c:pt>
                <c:pt idx="497">
                  <c:v>9.2642526073285261</c:v>
                </c:pt>
                <c:pt idx="498">
                  <c:v>8.4847907888010106</c:v>
                </c:pt>
                <c:pt idx="499">
                  <c:v>8.6912887870744981</c:v>
                </c:pt>
              </c:numCache>
            </c:numRef>
          </c:val>
          <c:smooth val="0"/>
          <c:extLst>
            <c:ext xmlns:c16="http://schemas.microsoft.com/office/drawing/2014/chart" uri="{C3380CC4-5D6E-409C-BE32-E72D297353CC}">
              <c16:uniqueId val="{00000000-0C61-472C-8756-900BB55EBDA5}"/>
            </c:ext>
          </c:extLst>
        </c:ser>
        <c:ser>
          <c:idx val="1"/>
          <c:order val="1"/>
          <c:tx>
            <c:strRef>
              <c:f>Summary!$L$86</c:f>
              <c:strCache>
                <c:ptCount val="1"/>
                <c:pt idx="0">
                  <c:v>SHOP Mean</c:v>
                </c:pt>
              </c:strCache>
            </c:strRef>
          </c:tx>
          <c:spPr>
            <a:ln w="28575" cap="rnd">
              <a:solidFill>
                <a:schemeClr val="accent3"/>
              </a:solidFill>
              <a:prstDash val="sysDash"/>
              <a:round/>
            </a:ln>
            <a:effectLst/>
          </c:spPr>
          <c:marker>
            <c:symbol val="none"/>
          </c:marker>
          <c:cat>
            <c:numRef>
              <c:f>Summary!$B$87:$B$586</c:f>
              <c:numCache>
                <c:formatCode>m/d/yyyy</c:formatCode>
                <c:ptCount val="500"/>
                <c:pt idx="0">
                  <c:v>42741</c:v>
                </c:pt>
                <c:pt idx="1">
                  <c:v>42748</c:v>
                </c:pt>
                <c:pt idx="2">
                  <c:v>42755</c:v>
                </c:pt>
                <c:pt idx="3">
                  <c:v>42762</c:v>
                </c:pt>
                <c:pt idx="4">
                  <c:v>42769</c:v>
                </c:pt>
                <c:pt idx="5">
                  <c:v>42776</c:v>
                </c:pt>
                <c:pt idx="6">
                  <c:v>42783</c:v>
                </c:pt>
                <c:pt idx="7">
                  <c:v>42790</c:v>
                </c:pt>
                <c:pt idx="8">
                  <c:v>42797</c:v>
                </c:pt>
                <c:pt idx="9">
                  <c:v>42804</c:v>
                </c:pt>
                <c:pt idx="10">
                  <c:v>42811</c:v>
                </c:pt>
                <c:pt idx="11">
                  <c:v>42818</c:v>
                </c:pt>
                <c:pt idx="12">
                  <c:v>42825</c:v>
                </c:pt>
                <c:pt idx="13">
                  <c:v>42832</c:v>
                </c:pt>
                <c:pt idx="14">
                  <c:v>42839</c:v>
                </c:pt>
                <c:pt idx="15">
                  <c:v>42846</c:v>
                </c:pt>
                <c:pt idx="16">
                  <c:v>42853</c:v>
                </c:pt>
                <c:pt idx="17">
                  <c:v>42860</c:v>
                </c:pt>
                <c:pt idx="18">
                  <c:v>42867</c:v>
                </c:pt>
                <c:pt idx="19">
                  <c:v>42874</c:v>
                </c:pt>
                <c:pt idx="20">
                  <c:v>42881</c:v>
                </c:pt>
                <c:pt idx="21">
                  <c:v>42888</c:v>
                </c:pt>
                <c:pt idx="22">
                  <c:v>42895</c:v>
                </c:pt>
                <c:pt idx="23">
                  <c:v>42902</c:v>
                </c:pt>
                <c:pt idx="24">
                  <c:v>42909</c:v>
                </c:pt>
                <c:pt idx="25">
                  <c:v>42916</c:v>
                </c:pt>
                <c:pt idx="26">
                  <c:v>42923</c:v>
                </c:pt>
                <c:pt idx="27">
                  <c:v>42930</c:v>
                </c:pt>
                <c:pt idx="28">
                  <c:v>42937</c:v>
                </c:pt>
                <c:pt idx="29">
                  <c:v>42944</c:v>
                </c:pt>
                <c:pt idx="30">
                  <c:v>42951</c:v>
                </c:pt>
                <c:pt idx="31">
                  <c:v>42958</c:v>
                </c:pt>
                <c:pt idx="32">
                  <c:v>42965</c:v>
                </c:pt>
                <c:pt idx="33">
                  <c:v>42972</c:v>
                </c:pt>
                <c:pt idx="34">
                  <c:v>42979</c:v>
                </c:pt>
                <c:pt idx="35">
                  <c:v>42986</c:v>
                </c:pt>
                <c:pt idx="36">
                  <c:v>42993</c:v>
                </c:pt>
                <c:pt idx="37">
                  <c:v>43000</c:v>
                </c:pt>
                <c:pt idx="38">
                  <c:v>43007</c:v>
                </c:pt>
                <c:pt idx="39">
                  <c:v>43014</c:v>
                </c:pt>
                <c:pt idx="40">
                  <c:v>43021</c:v>
                </c:pt>
                <c:pt idx="41">
                  <c:v>43028</c:v>
                </c:pt>
                <c:pt idx="42">
                  <c:v>43035</c:v>
                </c:pt>
                <c:pt idx="43">
                  <c:v>43042</c:v>
                </c:pt>
                <c:pt idx="44">
                  <c:v>43049</c:v>
                </c:pt>
                <c:pt idx="45">
                  <c:v>43056</c:v>
                </c:pt>
                <c:pt idx="46">
                  <c:v>43063</c:v>
                </c:pt>
                <c:pt idx="47">
                  <c:v>43070</c:v>
                </c:pt>
                <c:pt idx="48">
                  <c:v>43077</c:v>
                </c:pt>
                <c:pt idx="49">
                  <c:v>43084</c:v>
                </c:pt>
                <c:pt idx="50">
                  <c:v>43091</c:v>
                </c:pt>
                <c:pt idx="51">
                  <c:v>43098</c:v>
                </c:pt>
                <c:pt idx="52">
                  <c:v>43105</c:v>
                </c:pt>
                <c:pt idx="53">
                  <c:v>43112</c:v>
                </c:pt>
                <c:pt idx="54">
                  <c:v>43119</c:v>
                </c:pt>
                <c:pt idx="55">
                  <c:v>43126</c:v>
                </c:pt>
                <c:pt idx="56">
                  <c:v>43133</c:v>
                </c:pt>
                <c:pt idx="57">
                  <c:v>43140</c:v>
                </c:pt>
                <c:pt idx="58">
                  <c:v>43147</c:v>
                </c:pt>
                <c:pt idx="59">
                  <c:v>43154</c:v>
                </c:pt>
                <c:pt idx="60">
                  <c:v>43161</c:v>
                </c:pt>
                <c:pt idx="61">
                  <c:v>43168</c:v>
                </c:pt>
                <c:pt idx="62">
                  <c:v>43175</c:v>
                </c:pt>
                <c:pt idx="63">
                  <c:v>43182</c:v>
                </c:pt>
                <c:pt idx="64">
                  <c:v>43189</c:v>
                </c:pt>
                <c:pt idx="65">
                  <c:v>43196</c:v>
                </c:pt>
                <c:pt idx="66">
                  <c:v>43203</c:v>
                </c:pt>
                <c:pt idx="67">
                  <c:v>43210</c:v>
                </c:pt>
                <c:pt idx="68">
                  <c:v>43217</c:v>
                </c:pt>
                <c:pt idx="69">
                  <c:v>43224</c:v>
                </c:pt>
                <c:pt idx="70">
                  <c:v>43231</c:v>
                </c:pt>
                <c:pt idx="71">
                  <c:v>43238</c:v>
                </c:pt>
                <c:pt idx="72">
                  <c:v>43245</c:v>
                </c:pt>
                <c:pt idx="73">
                  <c:v>43252</c:v>
                </c:pt>
                <c:pt idx="74">
                  <c:v>43259</c:v>
                </c:pt>
                <c:pt idx="75">
                  <c:v>43266</c:v>
                </c:pt>
                <c:pt idx="76">
                  <c:v>43273</c:v>
                </c:pt>
                <c:pt idx="77">
                  <c:v>43280</c:v>
                </c:pt>
                <c:pt idx="78">
                  <c:v>43287</c:v>
                </c:pt>
                <c:pt idx="79">
                  <c:v>43294</c:v>
                </c:pt>
                <c:pt idx="80">
                  <c:v>43301</c:v>
                </c:pt>
                <c:pt idx="81">
                  <c:v>43308</c:v>
                </c:pt>
                <c:pt idx="82">
                  <c:v>43315</c:v>
                </c:pt>
                <c:pt idx="83">
                  <c:v>43322</c:v>
                </c:pt>
                <c:pt idx="84">
                  <c:v>43329</c:v>
                </c:pt>
                <c:pt idx="85">
                  <c:v>43336</c:v>
                </c:pt>
                <c:pt idx="86">
                  <c:v>43343</c:v>
                </c:pt>
                <c:pt idx="87">
                  <c:v>43350</c:v>
                </c:pt>
                <c:pt idx="88">
                  <c:v>43357</c:v>
                </c:pt>
                <c:pt idx="89">
                  <c:v>43364</c:v>
                </c:pt>
                <c:pt idx="90">
                  <c:v>43371</c:v>
                </c:pt>
                <c:pt idx="91">
                  <c:v>43378</c:v>
                </c:pt>
                <c:pt idx="92">
                  <c:v>43385</c:v>
                </c:pt>
                <c:pt idx="93">
                  <c:v>43392</c:v>
                </c:pt>
                <c:pt idx="94">
                  <c:v>43399</c:v>
                </c:pt>
                <c:pt idx="95">
                  <c:v>43406</c:v>
                </c:pt>
                <c:pt idx="96">
                  <c:v>43413</c:v>
                </c:pt>
                <c:pt idx="97">
                  <c:v>43420</c:v>
                </c:pt>
                <c:pt idx="98">
                  <c:v>43427</c:v>
                </c:pt>
                <c:pt idx="99">
                  <c:v>43434</c:v>
                </c:pt>
                <c:pt idx="100">
                  <c:v>43441</c:v>
                </c:pt>
                <c:pt idx="101">
                  <c:v>43448</c:v>
                </c:pt>
                <c:pt idx="102">
                  <c:v>43455</c:v>
                </c:pt>
                <c:pt idx="103">
                  <c:v>43462</c:v>
                </c:pt>
                <c:pt idx="104">
                  <c:v>43469</c:v>
                </c:pt>
                <c:pt idx="105">
                  <c:v>43476</c:v>
                </c:pt>
                <c:pt idx="106">
                  <c:v>43483</c:v>
                </c:pt>
                <c:pt idx="107">
                  <c:v>43490</c:v>
                </c:pt>
                <c:pt idx="108">
                  <c:v>43497</c:v>
                </c:pt>
                <c:pt idx="109">
                  <c:v>43504</c:v>
                </c:pt>
                <c:pt idx="110">
                  <c:v>43511</c:v>
                </c:pt>
                <c:pt idx="111">
                  <c:v>43518</c:v>
                </c:pt>
                <c:pt idx="112">
                  <c:v>43525</c:v>
                </c:pt>
                <c:pt idx="113">
                  <c:v>43532</c:v>
                </c:pt>
                <c:pt idx="114">
                  <c:v>43539</c:v>
                </c:pt>
                <c:pt idx="115">
                  <c:v>43546</c:v>
                </c:pt>
                <c:pt idx="116">
                  <c:v>43553</c:v>
                </c:pt>
                <c:pt idx="117">
                  <c:v>43560</c:v>
                </c:pt>
                <c:pt idx="118">
                  <c:v>43567</c:v>
                </c:pt>
                <c:pt idx="119">
                  <c:v>43574</c:v>
                </c:pt>
                <c:pt idx="120">
                  <c:v>43581</c:v>
                </c:pt>
                <c:pt idx="121">
                  <c:v>43588</c:v>
                </c:pt>
                <c:pt idx="122">
                  <c:v>43595</c:v>
                </c:pt>
                <c:pt idx="123">
                  <c:v>43602</c:v>
                </c:pt>
                <c:pt idx="124">
                  <c:v>43609</c:v>
                </c:pt>
                <c:pt idx="125">
                  <c:v>43616</c:v>
                </c:pt>
                <c:pt idx="126">
                  <c:v>43623</c:v>
                </c:pt>
                <c:pt idx="127">
                  <c:v>43630</c:v>
                </c:pt>
                <c:pt idx="128">
                  <c:v>43637</c:v>
                </c:pt>
                <c:pt idx="129">
                  <c:v>43644</c:v>
                </c:pt>
                <c:pt idx="130">
                  <c:v>43651</c:v>
                </c:pt>
                <c:pt idx="131">
                  <c:v>43658</c:v>
                </c:pt>
                <c:pt idx="132">
                  <c:v>43665</c:v>
                </c:pt>
                <c:pt idx="133">
                  <c:v>43672</c:v>
                </c:pt>
                <c:pt idx="134">
                  <c:v>43679</c:v>
                </c:pt>
                <c:pt idx="135">
                  <c:v>43686</c:v>
                </c:pt>
                <c:pt idx="136">
                  <c:v>43693</c:v>
                </c:pt>
                <c:pt idx="137">
                  <c:v>43700</c:v>
                </c:pt>
                <c:pt idx="138">
                  <c:v>43707</c:v>
                </c:pt>
                <c:pt idx="139">
                  <c:v>43714</c:v>
                </c:pt>
                <c:pt idx="140">
                  <c:v>43721</c:v>
                </c:pt>
                <c:pt idx="141">
                  <c:v>43728</c:v>
                </c:pt>
                <c:pt idx="142">
                  <c:v>43735</c:v>
                </c:pt>
                <c:pt idx="143">
                  <c:v>43742</c:v>
                </c:pt>
                <c:pt idx="144">
                  <c:v>43749</c:v>
                </c:pt>
                <c:pt idx="145">
                  <c:v>43756</c:v>
                </c:pt>
                <c:pt idx="146">
                  <c:v>43763</c:v>
                </c:pt>
                <c:pt idx="147">
                  <c:v>43770</c:v>
                </c:pt>
                <c:pt idx="148">
                  <c:v>43777</c:v>
                </c:pt>
                <c:pt idx="149">
                  <c:v>43784</c:v>
                </c:pt>
                <c:pt idx="150">
                  <c:v>43791</c:v>
                </c:pt>
                <c:pt idx="151">
                  <c:v>43798</c:v>
                </c:pt>
                <c:pt idx="152">
                  <c:v>43805</c:v>
                </c:pt>
                <c:pt idx="153">
                  <c:v>43812</c:v>
                </c:pt>
                <c:pt idx="154">
                  <c:v>43819</c:v>
                </c:pt>
                <c:pt idx="155">
                  <c:v>43826</c:v>
                </c:pt>
                <c:pt idx="156">
                  <c:v>43833</c:v>
                </c:pt>
                <c:pt idx="157">
                  <c:v>43840</c:v>
                </c:pt>
                <c:pt idx="158">
                  <c:v>43847</c:v>
                </c:pt>
                <c:pt idx="159">
                  <c:v>43854</c:v>
                </c:pt>
                <c:pt idx="160">
                  <c:v>43861</c:v>
                </c:pt>
                <c:pt idx="161">
                  <c:v>43868</c:v>
                </c:pt>
                <c:pt idx="162">
                  <c:v>43875</c:v>
                </c:pt>
                <c:pt idx="163">
                  <c:v>43882</c:v>
                </c:pt>
                <c:pt idx="164">
                  <c:v>43889</c:v>
                </c:pt>
                <c:pt idx="165">
                  <c:v>43896</c:v>
                </c:pt>
                <c:pt idx="166">
                  <c:v>43903</c:v>
                </c:pt>
                <c:pt idx="167">
                  <c:v>43910</c:v>
                </c:pt>
                <c:pt idx="168">
                  <c:v>43917</c:v>
                </c:pt>
                <c:pt idx="169">
                  <c:v>43924</c:v>
                </c:pt>
                <c:pt idx="170">
                  <c:v>43931</c:v>
                </c:pt>
                <c:pt idx="171">
                  <c:v>43938</c:v>
                </c:pt>
                <c:pt idx="172">
                  <c:v>43945</c:v>
                </c:pt>
                <c:pt idx="173">
                  <c:v>43952</c:v>
                </c:pt>
                <c:pt idx="174">
                  <c:v>43959</c:v>
                </c:pt>
                <c:pt idx="175">
                  <c:v>43966</c:v>
                </c:pt>
                <c:pt idx="176">
                  <c:v>43973</c:v>
                </c:pt>
                <c:pt idx="177">
                  <c:v>43980</c:v>
                </c:pt>
                <c:pt idx="178">
                  <c:v>43987</c:v>
                </c:pt>
                <c:pt idx="179">
                  <c:v>43994</c:v>
                </c:pt>
                <c:pt idx="180">
                  <c:v>44001</c:v>
                </c:pt>
                <c:pt idx="181">
                  <c:v>44008</c:v>
                </c:pt>
                <c:pt idx="182">
                  <c:v>44015</c:v>
                </c:pt>
                <c:pt idx="183">
                  <c:v>44022</c:v>
                </c:pt>
                <c:pt idx="184">
                  <c:v>44029</c:v>
                </c:pt>
                <c:pt idx="185">
                  <c:v>44036</c:v>
                </c:pt>
                <c:pt idx="186">
                  <c:v>44043</c:v>
                </c:pt>
                <c:pt idx="187">
                  <c:v>44050</c:v>
                </c:pt>
                <c:pt idx="188">
                  <c:v>44057</c:v>
                </c:pt>
                <c:pt idx="189">
                  <c:v>44064</c:v>
                </c:pt>
                <c:pt idx="190">
                  <c:v>44071</c:v>
                </c:pt>
                <c:pt idx="191">
                  <c:v>44078</c:v>
                </c:pt>
                <c:pt idx="192">
                  <c:v>44085</c:v>
                </c:pt>
                <c:pt idx="193">
                  <c:v>44092</c:v>
                </c:pt>
                <c:pt idx="194">
                  <c:v>44099</c:v>
                </c:pt>
                <c:pt idx="195">
                  <c:v>44106</c:v>
                </c:pt>
                <c:pt idx="196">
                  <c:v>44113</c:v>
                </c:pt>
                <c:pt idx="197">
                  <c:v>44120</c:v>
                </c:pt>
                <c:pt idx="198">
                  <c:v>44127</c:v>
                </c:pt>
                <c:pt idx="199">
                  <c:v>44134</c:v>
                </c:pt>
                <c:pt idx="200">
                  <c:v>44141</c:v>
                </c:pt>
                <c:pt idx="201">
                  <c:v>44148</c:v>
                </c:pt>
                <c:pt idx="202">
                  <c:v>44155</c:v>
                </c:pt>
                <c:pt idx="203">
                  <c:v>44162</c:v>
                </c:pt>
                <c:pt idx="204">
                  <c:v>44169</c:v>
                </c:pt>
                <c:pt idx="205">
                  <c:v>44176</c:v>
                </c:pt>
                <c:pt idx="206">
                  <c:v>44183</c:v>
                </c:pt>
                <c:pt idx="207">
                  <c:v>44190</c:v>
                </c:pt>
                <c:pt idx="208">
                  <c:v>44197</c:v>
                </c:pt>
                <c:pt idx="209">
                  <c:v>44204</c:v>
                </c:pt>
                <c:pt idx="210">
                  <c:v>44211</c:v>
                </c:pt>
                <c:pt idx="211">
                  <c:v>44218</c:v>
                </c:pt>
                <c:pt idx="212">
                  <c:v>44225</c:v>
                </c:pt>
                <c:pt idx="213">
                  <c:v>44232</c:v>
                </c:pt>
                <c:pt idx="214">
                  <c:v>44239</c:v>
                </c:pt>
                <c:pt idx="215">
                  <c:v>44246</c:v>
                </c:pt>
                <c:pt idx="216">
                  <c:v>44253</c:v>
                </c:pt>
                <c:pt idx="217">
                  <c:v>44260</c:v>
                </c:pt>
                <c:pt idx="218">
                  <c:v>44267</c:v>
                </c:pt>
                <c:pt idx="219">
                  <c:v>44274</c:v>
                </c:pt>
                <c:pt idx="220">
                  <c:v>44281</c:v>
                </c:pt>
                <c:pt idx="221">
                  <c:v>44288</c:v>
                </c:pt>
                <c:pt idx="222">
                  <c:v>44295</c:v>
                </c:pt>
                <c:pt idx="223">
                  <c:v>44302</c:v>
                </c:pt>
                <c:pt idx="224">
                  <c:v>44309</c:v>
                </c:pt>
                <c:pt idx="225">
                  <c:v>44316</c:v>
                </c:pt>
                <c:pt idx="226">
                  <c:v>44323</c:v>
                </c:pt>
                <c:pt idx="227">
                  <c:v>44330</c:v>
                </c:pt>
                <c:pt idx="228">
                  <c:v>44337</c:v>
                </c:pt>
                <c:pt idx="229">
                  <c:v>44344</c:v>
                </c:pt>
                <c:pt idx="230">
                  <c:v>44351</c:v>
                </c:pt>
                <c:pt idx="231">
                  <c:v>44358</c:v>
                </c:pt>
                <c:pt idx="232">
                  <c:v>44365</c:v>
                </c:pt>
                <c:pt idx="233">
                  <c:v>44372</c:v>
                </c:pt>
                <c:pt idx="234">
                  <c:v>44379</c:v>
                </c:pt>
                <c:pt idx="235">
                  <c:v>44386</c:v>
                </c:pt>
                <c:pt idx="236">
                  <c:v>44393</c:v>
                </c:pt>
                <c:pt idx="237">
                  <c:v>44400</c:v>
                </c:pt>
                <c:pt idx="238">
                  <c:v>44407</c:v>
                </c:pt>
                <c:pt idx="239">
                  <c:v>44414</c:v>
                </c:pt>
                <c:pt idx="240">
                  <c:v>44421</c:v>
                </c:pt>
                <c:pt idx="241">
                  <c:v>44428</c:v>
                </c:pt>
                <c:pt idx="242">
                  <c:v>44435</c:v>
                </c:pt>
                <c:pt idx="243">
                  <c:v>44442</c:v>
                </c:pt>
                <c:pt idx="244">
                  <c:v>44449</c:v>
                </c:pt>
                <c:pt idx="245">
                  <c:v>44456</c:v>
                </c:pt>
                <c:pt idx="246">
                  <c:v>44463</c:v>
                </c:pt>
                <c:pt idx="247">
                  <c:v>44470</c:v>
                </c:pt>
                <c:pt idx="248">
                  <c:v>44477</c:v>
                </c:pt>
                <c:pt idx="249">
                  <c:v>44484</c:v>
                </c:pt>
                <c:pt idx="250">
                  <c:v>44491</c:v>
                </c:pt>
                <c:pt idx="251">
                  <c:v>44498</c:v>
                </c:pt>
                <c:pt idx="252">
                  <c:v>44505</c:v>
                </c:pt>
                <c:pt idx="253">
                  <c:v>44512</c:v>
                </c:pt>
                <c:pt idx="254">
                  <c:v>44519</c:v>
                </c:pt>
                <c:pt idx="255">
                  <c:v>44526</c:v>
                </c:pt>
                <c:pt idx="256">
                  <c:v>44533</c:v>
                </c:pt>
                <c:pt idx="257">
                  <c:v>44540</c:v>
                </c:pt>
                <c:pt idx="258">
                  <c:v>44547</c:v>
                </c:pt>
                <c:pt idx="259">
                  <c:v>44554</c:v>
                </c:pt>
                <c:pt idx="260">
                  <c:v>44561</c:v>
                </c:pt>
                <c:pt idx="261">
                  <c:v>44568</c:v>
                </c:pt>
                <c:pt idx="262">
                  <c:v>44575</c:v>
                </c:pt>
                <c:pt idx="263">
                  <c:v>44582</c:v>
                </c:pt>
                <c:pt idx="264">
                  <c:v>44589</c:v>
                </c:pt>
                <c:pt idx="265">
                  <c:v>44596</c:v>
                </c:pt>
                <c:pt idx="266">
                  <c:v>44603</c:v>
                </c:pt>
                <c:pt idx="267">
                  <c:v>44610</c:v>
                </c:pt>
                <c:pt idx="268">
                  <c:v>44617</c:v>
                </c:pt>
                <c:pt idx="269">
                  <c:v>44624</c:v>
                </c:pt>
                <c:pt idx="270">
                  <c:v>44631</c:v>
                </c:pt>
                <c:pt idx="271">
                  <c:v>44638</c:v>
                </c:pt>
                <c:pt idx="272">
                  <c:v>44645</c:v>
                </c:pt>
                <c:pt idx="273">
                  <c:v>44652</c:v>
                </c:pt>
                <c:pt idx="274">
                  <c:v>44659</c:v>
                </c:pt>
                <c:pt idx="275">
                  <c:v>44666</c:v>
                </c:pt>
                <c:pt idx="276">
                  <c:v>44673</c:v>
                </c:pt>
                <c:pt idx="277">
                  <c:v>44680</c:v>
                </c:pt>
                <c:pt idx="278">
                  <c:v>44687</c:v>
                </c:pt>
                <c:pt idx="279">
                  <c:v>44694</c:v>
                </c:pt>
                <c:pt idx="280">
                  <c:v>44701</c:v>
                </c:pt>
                <c:pt idx="281">
                  <c:v>44708</c:v>
                </c:pt>
                <c:pt idx="282">
                  <c:v>44715</c:v>
                </c:pt>
                <c:pt idx="283">
                  <c:v>44722</c:v>
                </c:pt>
                <c:pt idx="284">
                  <c:v>44729</c:v>
                </c:pt>
                <c:pt idx="285">
                  <c:v>44736</c:v>
                </c:pt>
                <c:pt idx="286">
                  <c:v>44743</c:v>
                </c:pt>
                <c:pt idx="287">
                  <c:v>44750</c:v>
                </c:pt>
                <c:pt idx="288">
                  <c:v>44757</c:v>
                </c:pt>
                <c:pt idx="289">
                  <c:v>44764</c:v>
                </c:pt>
                <c:pt idx="290">
                  <c:v>44771</c:v>
                </c:pt>
                <c:pt idx="291">
                  <c:v>44778</c:v>
                </c:pt>
                <c:pt idx="292">
                  <c:v>44785</c:v>
                </c:pt>
                <c:pt idx="293">
                  <c:v>44792</c:v>
                </c:pt>
                <c:pt idx="294">
                  <c:v>44799</c:v>
                </c:pt>
                <c:pt idx="295">
                  <c:v>44806</c:v>
                </c:pt>
                <c:pt idx="296">
                  <c:v>44813</c:v>
                </c:pt>
                <c:pt idx="297">
                  <c:v>44820</c:v>
                </c:pt>
                <c:pt idx="298">
                  <c:v>44827</c:v>
                </c:pt>
                <c:pt idx="299">
                  <c:v>44834</c:v>
                </c:pt>
                <c:pt idx="300">
                  <c:v>44841</c:v>
                </c:pt>
                <c:pt idx="301">
                  <c:v>44848</c:v>
                </c:pt>
                <c:pt idx="302">
                  <c:v>44855</c:v>
                </c:pt>
                <c:pt idx="303">
                  <c:v>44862</c:v>
                </c:pt>
                <c:pt idx="304">
                  <c:v>44869</c:v>
                </c:pt>
                <c:pt idx="305">
                  <c:v>44876</c:v>
                </c:pt>
                <c:pt idx="306">
                  <c:v>44883</c:v>
                </c:pt>
                <c:pt idx="307">
                  <c:v>44890</c:v>
                </c:pt>
                <c:pt idx="308">
                  <c:v>44897</c:v>
                </c:pt>
                <c:pt idx="309">
                  <c:v>44904</c:v>
                </c:pt>
                <c:pt idx="310">
                  <c:v>44911</c:v>
                </c:pt>
                <c:pt idx="311">
                  <c:v>44918</c:v>
                </c:pt>
                <c:pt idx="312">
                  <c:v>44925</c:v>
                </c:pt>
                <c:pt idx="313">
                  <c:v>44932</c:v>
                </c:pt>
                <c:pt idx="314">
                  <c:v>44939</c:v>
                </c:pt>
                <c:pt idx="315">
                  <c:v>44946</c:v>
                </c:pt>
                <c:pt idx="316">
                  <c:v>44953</c:v>
                </c:pt>
                <c:pt idx="317">
                  <c:v>44960</c:v>
                </c:pt>
                <c:pt idx="318">
                  <c:v>44967</c:v>
                </c:pt>
                <c:pt idx="319">
                  <c:v>44974</c:v>
                </c:pt>
                <c:pt idx="320">
                  <c:v>44981</c:v>
                </c:pt>
                <c:pt idx="321">
                  <c:v>44988</c:v>
                </c:pt>
                <c:pt idx="322">
                  <c:v>44995</c:v>
                </c:pt>
                <c:pt idx="323">
                  <c:v>45002</c:v>
                </c:pt>
                <c:pt idx="324">
                  <c:v>45009</c:v>
                </c:pt>
                <c:pt idx="325">
                  <c:v>45016</c:v>
                </c:pt>
                <c:pt idx="326">
                  <c:v>45023</c:v>
                </c:pt>
                <c:pt idx="327">
                  <c:v>45030</c:v>
                </c:pt>
                <c:pt idx="328">
                  <c:v>45037</c:v>
                </c:pt>
                <c:pt idx="329">
                  <c:v>45044</c:v>
                </c:pt>
                <c:pt idx="330">
                  <c:v>45051</c:v>
                </c:pt>
                <c:pt idx="331">
                  <c:v>45058</c:v>
                </c:pt>
                <c:pt idx="332">
                  <c:v>45065</c:v>
                </c:pt>
                <c:pt idx="333">
                  <c:v>45072</c:v>
                </c:pt>
                <c:pt idx="334">
                  <c:v>45079</c:v>
                </c:pt>
                <c:pt idx="335">
                  <c:v>45086</c:v>
                </c:pt>
                <c:pt idx="336">
                  <c:v>45093</c:v>
                </c:pt>
                <c:pt idx="337">
                  <c:v>45100</c:v>
                </c:pt>
                <c:pt idx="338">
                  <c:v>45107</c:v>
                </c:pt>
                <c:pt idx="339">
                  <c:v>45114</c:v>
                </c:pt>
                <c:pt idx="340">
                  <c:v>45121</c:v>
                </c:pt>
                <c:pt idx="341">
                  <c:v>45128</c:v>
                </c:pt>
                <c:pt idx="342">
                  <c:v>45135</c:v>
                </c:pt>
                <c:pt idx="343">
                  <c:v>45142</c:v>
                </c:pt>
                <c:pt idx="344">
                  <c:v>45149</c:v>
                </c:pt>
                <c:pt idx="345">
                  <c:v>45156</c:v>
                </c:pt>
                <c:pt idx="346">
                  <c:v>45163</c:v>
                </c:pt>
                <c:pt idx="347">
                  <c:v>45170</c:v>
                </c:pt>
                <c:pt idx="348">
                  <c:v>45177</c:v>
                </c:pt>
                <c:pt idx="349">
                  <c:v>45184</c:v>
                </c:pt>
                <c:pt idx="350">
                  <c:v>45191</c:v>
                </c:pt>
                <c:pt idx="351">
                  <c:v>45198</c:v>
                </c:pt>
                <c:pt idx="352">
                  <c:v>45205</c:v>
                </c:pt>
                <c:pt idx="353">
                  <c:v>45212</c:v>
                </c:pt>
                <c:pt idx="354">
                  <c:v>45219</c:v>
                </c:pt>
                <c:pt idx="355">
                  <c:v>45226</c:v>
                </c:pt>
                <c:pt idx="356">
                  <c:v>45233</c:v>
                </c:pt>
                <c:pt idx="357">
                  <c:v>45240</c:v>
                </c:pt>
                <c:pt idx="358">
                  <c:v>45247</c:v>
                </c:pt>
                <c:pt idx="359">
                  <c:v>45254</c:v>
                </c:pt>
                <c:pt idx="360">
                  <c:v>45261</c:v>
                </c:pt>
                <c:pt idx="361">
                  <c:v>45268</c:v>
                </c:pt>
                <c:pt idx="362">
                  <c:v>45275</c:v>
                </c:pt>
                <c:pt idx="363">
                  <c:v>45282</c:v>
                </c:pt>
                <c:pt idx="364">
                  <c:v>45289</c:v>
                </c:pt>
                <c:pt idx="365">
                  <c:v>45296</c:v>
                </c:pt>
                <c:pt idx="366">
                  <c:v>45303</c:v>
                </c:pt>
                <c:pt idx="367">
                  <c:v>45310</c:v>
                </c:pt>
                <c:pt idx="368">
                  <c:v>45317</c:v>
                </c:pt>
                <c:pt idx="369">
                  <c:v>45324</c:v>
                </c:pt>
                <c:pt idx="370">
                  <c:v>45331</c:v>
                </c:pt>
                <c:pt idx="371">
                  <c:v>45338</c:v>
                </c:pt>
                <c:pt idx="372">
                  <c:v>45345</c:v>
                </c:pt>
                <c:pt idx="373">
                  <c:v>45352</c:v>
                </c:pt>
                <c:pt idx="374">
                  <c:v>45359</c:v>
                </c:pt>
                <c:pt idx="375">
                  <c:v>45366</c:v>
                </c:pt>
                <c:pt idx="376">
                  <c:v>45373</c:v>
                </c:pt>
                <c:pt idx="377">
                  <c:v>45380</c:v>
                </c:pt>
                <c:pt idx="378">
                  <c:v>45387</c:v>
                </c:pt>
                <c:pt idx="379">
                  <c:v>45394</c:v>
                </c:pt>
                <c:pt idx="380">
                  <c:v>45401</c:v>
                </c:pt>
                <c:pt idx="381">
                  <c:v>45408</c:v>
                </c:pt>
                <c:pt idx="382">
                  <c:v>45415</c:v>
                </c:pt>
                <c:pt idx="383">
                  <c:v>45422</c:v>
                </c:pt>
                <c:pt idx="384">
                  <c:v>45429</c:v>
                </c:pt>
                <c:pt idx="385">
                  <c:v>45436</c:v>
                </c:pt>
                <c:pt idx="386">
                  <c:v>45443</c:v>
                </c:pt>
                <c:pt idx="387">
                  <c:v>45450</c:v>
                </c:pt>
                <c:pt idx="388">
                  <c:v>45457</c:v>
                </c:pt>
                <c:pt idx="389">
                  <c:v>45464</c:v>
                </c:pt>
                <c:pt idx="390">
                  <c:v>45471</c:v>
                </c:pt>
                <c:pt idx="391">
                  <c:v>45478</c:v>
                </c:pt>
                <c:pt idx="392">
                  <c:v>45485</c:v>
                </c:pt>
                <c:pt idx="393">
                  <c:v>45492</c:v>
                </c:pt>
                <c:pt idx="394">
                  <c:v>45499</c:v>
                </c:pt>
                <c:pt idx="395">
                  <c:v>45506</c:v>
                </c:pt>
                <c:pt idx="396">
                  <c:v>45513</c:v>
                </c:pt>
                <c:pt idx="397">
                  <c:v>45520</c:v>
                </c:pt>
                <c:pt idx="398">
                  <c:v>45527</c:v>
                </c:pt>
                <c:pt idx="399">
                  <c:v>45534</c:v>
                </c:pt>
                <c:pt idx="400">
                  <c:v>45541</c:v>
                </c:pt>
                <c:pt idx="401">
                  <c:v>45548</c:v>
                </c:pt>
                <c:pt idx="402">
                  <c:v>45555</c:v>
                </c:pt>
                <c:pt idx="403">
                  <c:v>45562</c:v>
                </c:pt>
                <c:pt idx="404">
                  <c:v>45569</c:v>
                </c:pt>
                <c:pt idx="405">
                  <c:v>45576</c:v>
                </c:pt>
                <c:pt idx="406">
                  <c:v>45583</c:v>
                </c:pt>
                <c:pt idx="407">
                  <c:v>45590</c:v>
                </c:pt>
                <c:pt idx="408">
                  <c:v>45597</c:v>
                </c:pt>
                <c:pt idx="409">
                  <c:v>45604</c:v>
                </c:pt>
                <c:pt idx="410">
                  <c:v>45611</c:v>
                </c:pt>
                <c:pt idx="411">
                  <c:v>45618</c:v>
                </c:pt>
                <c:pt idx="412">
                  <c:v>45625</c:v>
                </c:pt>
                <c:pt idx="413">
                  <c:v>45632</c:v>
                </c:pt>
                <c:pt idx="414">
                  <c:v>45639</c:v>
                </c:pt>
                <c:pt idx="415">
                  <c:v>45646</c:v>
                </c:pt>
                <c:pt idx="416">
                  <c:v>45653</c:v>
                </c:pt>
                <c:pt idx="417">
                  <c:v>45660</c:v>
                </c:pt>
                <c:pt idx="418">
                  <c:v>45667</c:v>
                </c:pt>
                <c:pt idx="419">
                  <c:v>45674</c:v>
                </c:pt>
                <c:pt idx="420">
                  <c:v>45681</c:v>
                </c:pt>
                <c:pt idx="421">
                  <c:v>45688</c:v>
                </c:pt>
                <c:pt idx="422">
                  <c:v>45695</c:v>
                </c:pt>
                <c:pt idx="423">
                  <c:v>45702</c:v>
                </c:pt>
                <c:pt idx="424">
                  <c:v>45709</c:v>
                </c:pt>
                <c:pt idx="425">
                  <c:v>45716</c:v>
                </c:pt>
                <c:pt idx="426">
                  <c:v>45723</c:v>
                </c:pt>
                <c:pt idx="427">
                  <c:v>45730</c:v>
                </c:pt>
                <c:pt idx="428">
                  <c:v>45737</c:v>
                </c:pt>
                <c:pt idx="429">
                  <c:v>45744</c:v>
                </c:pt>
                <c:pt idx="430">
                  <c:v>45751</c:v>
                </c:pt>
                <c:pt idx="431">
                  <c:v>45758</c:v>
                </c:pt>
                <c:pt idx="432">
                  <c:v>45765</c:v>
                </c:pt>
                <c:pt idx="433">
                  <c:v>45772</c:v>
                </c:pt>
                <c:pt idx="434">
                  <c:v>45779</c:v>
                </c:pt>
                <c:pt idx="435">
                  <c:v>45786</c:v>
                </c:pt>
                <c:pt idx="436">
                  <c:v>45793</c:v>
                </c:pt>
                <c:pt idx="437">
                  <c:v>45800</c:v>
                </c:pt>
                <c:pt idx="438">
                  <c:v>45807</c:v>
                </c:pt>
                <c:pt idx="439">
                  <c:v>45814</c:v>
                </c:pt>
                <c:pt idx="440">
                  <c:v>45821</c:v>
                </c:pt>
                <c:pt idx="441">
                  <c:v>45828</c:v>
                </c:pt>
                <c:pt idx="442">
                  <c:v>45835</c:v>
                </c:pt>
                <c:pt idx="443">
                  <c:v>45842</c:v>
                </c:pt>
                <c:pt idx="444">
                  <c:v>45849</c:v>
                </c:pt>
                <c:pt idx="445">
                  <c:v>45856</c:v>
                </c:pt>
                <c:pt idx="446">
                  <c:v>45863</c:v>
                </c:pt>
                <c:pt idx="447">
                  <c:v>45870</c:v>
                </c:pt>
                <c:pt idx="448">
                  <c:v>45877</c:v>
                </c:pt>
                <c:pt idx="449">
                  <c:v>45884</c:v>
                </c:pt>
                <c:pt idx="450">
                  <c:v>45891</c:v>
                </c:pt>
                <c:pt idx="451">
                  <c:v>45898</c:v>
                </c:pt>
                <c:pt idx="452">
                  <c:v>45905</c:v>
                </c:pt>
                <c:pt idx="453">
                  <c:v>45912</c:v>
                </c:pt>
                <c:pt idx="454">
                  <c:v>45919</c:v>
                </c:pt>
                <c:pt idx="455">
                  <c:v>45926</c:v>
                </c:pt>
                <c:pt idx="456">
                  <c:v>45933</c:v>
                </c:pt>
                <c:pt idx="457">
                  <c:v>45940</c:v>
                </c:pt>
                <c:pt idx="458">
                  <c:v>45947</c:v>
                </c:pt>
                <c:pt idx="459">
                  <c:v>45954</c:v>
                </c:pt>
                <c:pt idx="460">
                  <c:v>45961</c:v>
                </c:pt>
                <c:pt idx="461">
                  <c:v>45968</c:v>
                </c:pt>
                <c:pt idx="462">
                  <c:v>45975</c:v>
                </c:pt>
                <c:pt idx="463">
                  <c:v>45982</c:v>
                </c:pt>
                <c:pt idx="464">
                  <c:v>45989</c:v>
                </c:pt>
                <c:pt idx="465">
                  <c:v>45996</c:v>
                </c:pt>
                <c:pt idx="466">
                  <c:v>46003</c:v>
                </c:pt>
                <c:pt idx="467">
                  <c:v>46010</c:v>
                </c:pt>
                <c:pt idx="468">
                  <c:v>46017</c:v>
                </c:pt>
                <c:pt idx="469">
                  <c:v>46024</c:v>
                </c:pt>
                <c:pt idx="470">
                  <c:v>46031</c:v>
                </c:pt>
                <c:pt idx="471">
                  <c:v>46038</c:v>
                </c:pt>
                <c:pt idx="472">
                  <c:v>46045</c:v>
                </c:pt>
                <c:pt idx="473">
                  <c:v>46052</c:v>
                </c:pt>
                <c:pt idx="474">
                  <c:v>46059</c:v>
                </c:pt>
                <c:pt idx="475">
                  <c:v>46066</c:v>
                </c:pt>
                <c:pt idx="476">
                  <c:v>46073</c:v>
                </c:pt>
                <c:pt idx="477">
                  <c:v>46080</c:v>
                </c:pt>
                <c:pt idx="478">
                  <c:v>46087</c:v>
                </c:pt>
                <c:pt idx="479">
                  <c:v>46094</c:v>
                </c:pt>
                <c:pt idx="480">
                  <c:v>46101</c:v>
                </c:pt>
                <c:pt idx="481">
                  <c:v>46108</c:v>
                </c:pt>
                <c:pt idx="482">
                  <c:v>46115</c:v>
                </c:pt>
                <c:pt idx="483">
                  <c:v>46122</c:v>
                </c:pt>
                <c:pt idx="484">
                  <c:v>46129</c:v>
                </c:pt>
                <c:pt idx="485">
                  <c:v>46136</c:v>
                </c:pt>
                <c:pt idx="486">
                  <c:v>46143</c:v>
                </c:pt>
                <c:pt idx="487">
                  <c:v>46150</c:v>
                </c:pt>
                <c:pt idx="488">
                  <c:v>46157</c:v>
                </c:pt>
                <c:pt idx="489">
                  <c:v>46164</c:v>
                </c:pt>
                <c:pt idx="490">
                  <c:v>46171</c:v>
                </c:pt>
                <c:pt idx="491">
                  <c:v>46178</c:v>
                </c:pt>
                <c:pt idx="492">
                  <c:v>46185</c:v>
                </c:pt>
                <c:pt idx="493">
                  <c:v>46192</c:v>
                </c:pt>
                <c:pt idx="494">
                  <c:v>46199</c:v>
                </c:pt>
                <c:pt idx="495">
                  <c:v>46206</c:v>
                </c:pt>
                <c:pt idx="496">
                  <c:v>46213</c:v>
                </c:pt>
                <c:pt idx="497">
                  <c:v>46220</c:v>
                </c:pt>
                <c:pt idx="498">
                  <c:v>46227</c:v>
                </c:pt>
                <c:pt idx="499">
                  <c:v>46234</c:v>
                </c:pt>
              </c:numCache>
            </c:numRef>
          </c:cat>
          <c:val>
            <c:numRef>
              <c:f>Summary!$L$87:$L$586</c:f>
              <c:numCache>
                <c:formatCode>0.0\x_);\(0.0\x\)</c:formatCode>
                <c:ptCount val="500"/>
                <c:pt idx="0">
                  <c:v>15.420000037248862</c:v>
                </c:pt>
                <c:pt idx="1">
                  <c:v>15.420000037248862</c:v>
                </c:pt>
                <c:pt idx="2">
                  <c:v>15.420000037248862</c:v>
                </c:pt>
                <c:pt idx="3">
                  <c:v>15.420000037248862</c:v>
                </c:pt>
                <c:pt idx="4">
                  <c:v>15.420000037248862</c:v>
                </c:pt>
                <c:pt idx="5">
                  <c:v>15.420000037248862</c:v>
                </c:pt>
                <c:pt idx="6">
                  <c:v>15.420000037248862</c:v>
                </c:pt>
                <c:pt idx="7">
                  <c:v>15.420000037248862</c:v>
                </c:pt>
                <c:pt idx="8">
                  <c:v>15.420000037248862</c:v>
                </c:pt>
                <c:pt idx="9">
                  <c:v>15.420000037248862</c:v>
                </c:pt>
                <c:pt idx="10">
                  <c:v>15.420000037248862</c:v>
                </c:pt>
                <c:pt idx="11">
                  <c:v>15.420000037248862</c:v>
                </c:pt>
                <c:pt idx="12">
                  <c:v>15.420000037248862</c:v>
                </c:pt>
                <c:pt idx="13">
                  <c:v>15.420000037248862</c:v>
                </c:pt>
                <c:pt idx="14">
                  <c:v>15.420000037248862</c:v>
                </c:pt>
                <c:pt idx="15">
                  <c:v>15.420000037248862</c:v>
                </c:pt>
                <c:pt idx="16">
                  <c:v>15.420000037248862</c:v>
                </c:pt>
                <c:pt idx="17">
                  <c:v>15.420000037248862</c:v>
                </c:pt>
                <c:pt idx="18">
                  <c:v>15.420000037248862</c:v>
                </c:pt>
                <c:pt idx="19">
                  <c:v>15.420000037248862</c:v>
                </c:pt>
                <c:pt idx="20">
                  <c:v>15.420000037248862</c:v>
                </c:pt>
                <c:pt idx="21">
                  <c:v>15.420000037248862</c:v>
                </c:pt>
                <c:pt idx="22">
                  <c:v>15.420000037248862</c:v>
                </c:pt>
                <c:pt idx="23">
                  <c:v>15.420000037248862</c:v>
                </c:pt>
                <c:pt idx="24">
                  <c:v>15.420000037248862</c:v>
                </c:pt>
                <c:pt idx="25">
                  <c:v>15.420000037248862</c:v>
                </c:pt>
                <c:pt idx="26">
                  <c:v>15.420000037248862</c:v>
                </c:pt>
                <c:pt idx="27">
                  <c:v>15.420000037248862</c:v>
                </c:pt>
                <c:pt idx="28">
                  <c:v>15.420000037248862</c:v>
                </c:pt>
                <c:pt idx="29">
                  <c:v>15.420000037248862</c:v>
                </c:pt>
                <c:pt idx="30">
                  <c:v>15.420000037248862</c:v>
                </c:pt>
                <c:pt idx="31">
                  <c:v>15.420000037248862</c:v>
                </c:pt>
                <c:pt idx="32">
                  <c:v>15.420000037248862</c:v>
                </c:pt>
                <c:pt idx="33">
                  <c:v>15.420000037248862</c:v>
                </c:pt>
                <c:pt idx="34">
                  <c:v>15.420000037248862</c:v>
                </c:pt>
                <c:pt idx="35">
                  <c:v>15.420000037248862</c:v>
                </c:pt>
                <c:pt idx="36">
                  <c:v>15.420000037248862</c:v>
                </c:pt>
                <c:pt idx="37">
                  <c:v>15.420000037248862</c:v>
                </c:pt>
                <c:pt idx="38">
                  <c:v>15.420000037248862</c:v>
                </c:pt>
                <c:pt idx="39">
                  <c:v>15.420000037248862</c:v>
                </c:pt>
                <c:pt idx="40">
                  <c:v>15.420000037248862</c:v>
                </c:pt>
                <c:pt idx="41">
                  <c:v>15.420000037248862</c:v>
                </c:pt>
                <c:pt idx="42">
                  <c:v>15.420000037248862</c:v>
                </c:pt>
                <c:pt idx="43">
                  <c:v>15.420000037248862</c:v>
                </c:pt>
                <c:pt idx="44">
                  <c:v>15.420000037248862</c:v>
                </c:pt>
                <c:pt idx="45">
                  <c:v>15.420000037248862</c:v>
                </c:pt>
                <c:pt idx="46">
                  <c:v>15.420000037248862</c:v>
                </c:pt>
                <c:pt idx="47">
                  <c:v>15.420000037248862</c:v>
                </c:pt>
                <c:pt idx="48">
                  <c:v>15.420000037248862</c:v>
                </c:pt>
                <c:pt idx="49">
                  <c:v>15.420000037248862</c:v>
                </c:pt>
                <c:pt idx="50">
                  <c:v>15.420000037248862</c:v>
                </c:pt>
                <c:pt idx="51">
                  <c:v>15.420000037248862</c:v>
                </c:pt>
                <c:pt idx="52">
                  <c:v>15.420000037248862</c:v>
                </c:pt>
                <c:pt idx="53">
                  <c:v>15.420000037248862</c:v>
                </c:pt>
                <c:pt idx="54">
                  <c:v>15.420000037248862</c:v>
                </c:pt>
                <c:pt idx="55">
                  <c:v>15.420000037248862</c:v>
                </c:pt>
                <c:pt idx="56">
                  <c:v>15.420000037248862</c:v>
                </c:pt>
                <c:pt idx="57">
                  <c:v>15.420000037248862</c:v>
                </c:pt>
                <c:pt idx="58">
                  <c:v>15.420000037248862</c:v>
                </c:pt>
                <c:pt idx="59">
                  <c:v>15.420000037248862</c:v>
                </c:pt>
                <c:pt idx="60">
                  <c:v>15.420000037248862</c:v>
                </c:pt>
                <c:pt idx="61">
                  <c:v>15.420000037248862</c:v>
                </c:pt>
                <c:pt idx="62">
                  <c:v>15.420000037248862</c:v>
                </c:pt>
                <c:pt idx="63">
                  <c:v>15.420000037248862</c:v>
                </c:pt>
                <c:pt idx="64">
                  <c:v>15.420000037248862</c:v>
                </c:pt>
                <c:pt idx="65">
                  <c:v>15.420000037248862</c:v>
                </c:pt>
                <c:pt idx="66">
                  <c:v>15.420000037248862</c:v>
                </c:pt>
                <c:pt idx="67">
                  <c:v>15.420000037248862</c:v>
                </c:pt>
                <c:pt idx="68">
                  <c:v>15.420000037248862</c:v>
                </c:pt>
                <c:pt idx="69">
                  <c:v>15.420000037248862</c:v>
                </c:pt>
                <c:pt idx="70">
                  <c:v>15.420000037248862</c:v>
                </c:pt>
                <c:pt idx="71">
                  <c:v>15.420000037248862</c:v>
                </c:pt>
                <c:pt idx="72">
                  <c:v>15.420000037248862</c:v>
                </c:pt>
                <c:pt idx="73">
                  <c:v>15.420000037248862</c:v>
                </c:pt>
                <c:pt idx="74">
                  <c:v>15.420000037248862</c:v>
                </c:pt>
                <c:pt idx="75">
                  <c:v>15.420000037248862</c:v>
                </c:pt>
                <c:pt idx="76">
                  <c:v>15.420000037248862</c:v>
                </c:pt>
                <c:pt idx="77">
                  <c:v>15.420000037248862</c:v>
                </c:pt>
                <c:pt idx="78">
                  <c:v>15.420000037248862</c:v>
                </c:pt>
                <c:pt idx="79">
                  <c:v>15.420000037248862</c:v>
                </c:pt>
                <c:pt idx="80">
                  <c:v>15.420000037248862</c:v>
                </c:pt>
                <c:pt idx="81">
                  <c:v>15.420000037248862</c:v>
                </c:pt>
                <c:pt idx="82">
                  <c:v>15.420000037248862</c:v>
                </c:pt>
                <c:pt idx="83">
                  <c:v>15.420000037248862</c:v>
                </c:pt>
                <c:pt idx="84">
                  <c:v>15.420000037248862</c:v>
                </c:pt>
                <c:pt idx="85">
                  <c:v>15.420000037248862</c:v>
                </c:pt>
                <c:pt idx="86">
                  <c:v>15.420000037248862</c:v>
                </c:pt>
                <c:pt idx="87">
                  <c:v>15.420000037248862</c:v>
                </c:pt>
                <c:pt idx="88">
                  <c:v>15.420000037248862</c:v>
                </c:pt>
                <c:pt idx="89">
                  <c:v>15.420000037248862</c:v>
                </c:pt>
                <c:pt idx="90">
                  <c:v>15.420000037248862</c:v>
                </c:pt>
                <c:pt idx="91">
                  <c:v>15.420000037248862</c:v>
                </c:pt>
                <c:pt idx="92">
                  <c:v>15.420000037248862</c:v>
                </c:pt>
                <c:pt idx="93">
                  <c:v>15.420000037248862</c:v>
                </c:pt>
                <c:pt idx="94">
                  <c:v>15.420000037248862</c:v>
                </c:pt>
                <c:pt idx="95">
                  <c:v>15.420000037248862</c:v>
                </c:pt>
                <c:pt idx="96">
                  <c:v>15.420000037248862</c:v>
                </c:pt>
                <c:pt idx="97">
                  <c:v>15.420000037248862</c:v>
                </c:pt>
                <c:pt idx="98">
                  <c:v>15.420000037248862</c:v>
                </c:pt>
                <c:pt idx="99">
                  <c:v>15.420000037248862</c:v>
                </c:pt>
                <c:pt idx="100">
                  <c:v>15.420000037248862</c:v>
                </c:pt>
                <c:pt idx="101">
                  <c:v>15.420000037248862</c:v>
                </c:pt>
                <c:pt idx="102">
                  <c:v>15.420000037248862</c:v>
                </c:pt>
                <c:pt idx="103">
                  <c:v>15.420000037248862</c:v>
                </c:pt>
                <c:pt idx="104">
                  <c:v>15.420000037248862</c:v>
                </c:pt>
                <c:pt idx="105">
                  <c:v>15.420000037248862</c:v>
                </c:pt>
                <c:pt idx="106">
                  <c:v>15.420000037248862</c:v>
                </c:pt>
                <c:pt idx="107">
                  <c:v>15.420000037248862</c:v>
                </c:pt>
                <c:pt idx="108">
                  <c:v>15.420000037248862</c:v>
                </c:pt>
                <c:pt idx="109">
                  <c:v>15.420000037248862</c:v>
                </c:pt>
                <c:pt idx="110">
                  <c:v>15.420000037248862</c:v>
                </c:pt>
                <c:pt idx="111">
                  <c:v>15.420000037248862</c:v>
                </c:pt>
                <c:pt idx="112">
                  <c:v>15.420000037248862</c:v>
                </c:pt>
                <c:pt idx="113">
                  <c:v>15.420000037248862</c:v>
                </c:pt>
                <c:pt idx="114">
                  <c:v>15.420000037248862</c:v>
                </c:pt>
                <c:pt idx="115">
                  <c:v>15.420000037248862</c:v>
                </c:pt>
                <c:pt idx="116">
                  <c:v>15.420000037248862</c:v>
                </c:pt>
                <c:pt idx="117">
                  <c:v>15.420000037248862</c:v>
                </c:pt>
                <c:pt idx="118">
                  <c:v>15.420000037248862</c:v>
                </c:pt>
                <c:pt idx="119">
                  <c:v>15.420000037248862</c:v>
                </c:pt>
                <c:pt idx="120">
                  <c:v>15.420000037248862</c:v>
                </c:pt>
                <c:pt idx="121">
                  <c:v>15.420000037248862</c:v>
                </c:pt>
                <c:pt idx="122">
                  <c:v>15.420000037248862</c:v>
                </c:pt>
                <c:pt idx="123">
                  <c:v>15.420000037248862</c:v>
                </c:pt>
                <c:pt idx="124">
                  <c:v>15.420000037248862</c:v>
                </c:pt>
                <c:pt idx="125">
                  <c:v>15.420000037248862</c:v>
                </c:pt>
                <c:pt idx="126">
                  <c:v>15.420000037248862</c:v>
                </c:pt>
                <c:pt idx="127">
                  <c:v>15.420000037248862</c:v>
                </c:pt>
                <c:pt idx="128">
                  <c:v>15.420000037248862</c:v>
                </c:pt>
                <c:pt idx="129">
                  <c:v>15.420000037248862</c:v>
                </c:pt>
                <c:pt idx="130">
                  <c:v>15.420000037248862</c:v>
                </c:pt>
                <c:pt idx="131">
                  <c:v>15.420000037248862</c:v>
                </c:pt>
                <c:pt idx="132">
                  <c:v>15.420000037248862</c:v>
                </c:pt>
                <c:pt idx="133">
                  <c:v>15.420000037248862</c:v>
                </c:pt>
                <c:pt idx="134">
                  <c:v>15.420000037248862</c:v>
                </c:pt>
                <c:pt idx="135">
                  <c:v>15.420000037248862</c:v>
                </c:pt>
                <c:pt idx="136">
                  <c:v>15.420000037248862</c:v>
                </c:pt>
                <c:pt idx="137">
                  <c:v>15.420000037248862</c:v>
                </c:pt>
                <c:pt idx="138">
                  <c:v>15.420000037248862</c:v>
                </c:pt>
                <c:pt idx="139">
                  <c:v>15.420000037248862</c:v>
                </c:pt>
                <c:pt idx="140">
                  <c:v>15.420000037248862</c:v>
                </c:pt>
                <c:pt idx="141">
                  <c:v>15.420000037248862</c:v>
                </c:pt>
                <c:pt idx="142">
                  <c:v>15.420000037248862</c:v>
                </c:pt>
                <c:pt idx="143">
                  <c:v>15.420000037248862</c:v>
                </c:pt>
                <c:pt idx="144">
                  <c:v>15.420000037248862</c:v>
                </c:pt>
                <c:pt idx="145">
                  <c:v>15.420000037248862</c:v>
                </c:pt>
                <c:pt idx="146">
                  <c:v>15.420000037248862</c:v>
                </c:pt>
                <c:pt idx="147">
                  <c:v>15.420000037248862</c:v>
                </c:pt>
                <c:pt idx="148">
                  <c:v>15.420000037248862</c:v>
                </c:pt>
                <c:pt idx="149">
                  <c:v>15.420000037248862</c:v>
                </c:pt>
                <c:pt idx="150">
                  <c:v>15.420000037248862</c:v>
                </c:pt>
                <c:pt idx="151">
                  <c:v>15.420000037248862</c:v>
                </c:pt>
                <c:pt idx="152">
                  <c:v>15.420000037248862</c:v>
                </c:pt>
                <c:pt idx="153">
                  <c:v>15.420000037248862</c:v>
                </c:pt>
                <c:pt idx="154">
                  <c:v>15.420000037248862</c:v>
                </c:pt>
                <c:pt idx="155">
                  <c:v>15.420000037248862</c:v>
                </c:pt>
                <c:pt idx="156">
                  <c:v>15.420000037248862</c:v>
                </c:pt>
                <c:pt idx="157">
                  <c:v>15.420000037248862</c:v>
                </c:pt>
                <c:pt idx="158">
                  <c:v>15.420000037248862</c:v>
                </c:pt>
                <c:pt idx="159">
                  <c:v>15.420000037248862</c:v>
                </c:pt>
                <c:pt idx="160">
                  <c:v>15.420000037248862</c:v>
                </c:pt>
                <c:pt idx="161">
                  <c:v>15.420000037248862</c:v>
                </c:pt>
                <c:pt idx="162">
                  <c:v>15.420000037248862</c:v>
                </c:pt>
                <c:pt idx="163">
                  <c:v>15.420000037248862</c:v>
                </c:pt>
                <c:pt idx="164">
                  <c:v>15.420000037248862</c:v>
                </c:pt>
                <c:pt idx="165">
                  <c:v>15.420000037248862</c:v>
                </c:pt>
                <c:pt idx="166">
                  <c:v>15.420000037248862</c:v>
                </c:pt>
                <c:pt idx="167">
                  <c:v>15.420000037248862</c:v>
                </c:pt>
                <c:pt idx="168">
                  <c:v>15.420000037248862</c:v>
                </c:pt>
                <c:pt idx="169">
                  <c:v>15.420000037248862</c:v>
                </c:pt>
                <c:pt idx="170">
                  <c:v>15.420000037248862</c:v>
                </c:pt>
                <c:pt idx="171">
                  <c:v>15.420000037248862</c:v>
                </c:pt>
                <c:pt idx="172">
                  <c:v>15.420000037248862</c:v>
                </c:pt>
                <c:pt idx="173">
                  <c:v>15.420000037248862</c:v>
                </c:pt>
                <c:pt idx="174">
                  <c:v>15.420000037248862</c:v>
                </c:pt>
                <c:pt idx="175">
                  <c:v>15.420000037248862</c:v>
                </c:pt>
                <c:pt idx="176">
                  <c:v>15.420000037248862</c:v>
                </c:pt>
                <c:pt idx="177">
                  <c:v>15.420000037248862</c:v>
                </c:pt>
                <c:pt idx="178">
                  <c:v>15.420000037248862</c:v>
                </c:pt>
                <c:pt idx="179">
                  <c:v>15.420000037248862</c:v>
                </c:pt>
                <c:pt idx="180">
                  <c:v>15.420000037248862</c:v>
                </c:pt>
                <c:pt idx="181">
                  <c:v>15.420000037248862</c:v>
                </c:pt>
                <c:pt idx="182">
                  <c:v>15.420000037248862</c:v>
                </c:pt>
                <c:pt idx="183">
                  <c:v>15.420000037248862</c:v>
                </c:pt>
                <c:pt idx="184">
                  <c:v>15.420000037248862</c:v>
                </c:pt>
                <c:pt idx="185">
                  <c:v>15.420000037248862</c:v>
                </c:pt>
                <c:pt idx="186">
                  <c:v>15.420000037248862</c:v>
                </c:pt>
                <c:pt idx="187">
                  <c:v>15.420000037248862</c:v>
                </c:pt>
                <c:pt idx="188">
                  <c:v>15.420000037248862</c:v>
                </c:pt>
                <c:pt idx="189">
                  <c:v>15.420000037248862</c:v>
                </c:pt>
                <c:pt idx="190">
                  <c:v>15.420000037248862</c:v>
                </c:pt>
                <c:pt idx="191">
                  <c:v>15.420000037248862</c:v>
                </c:pt>
                <c:pt idx="192">
                  <c:v>15.420000037248862</c:v>
                </c:pt>
                <c:pt idx="193">
                  <c:v>15.420000037248862</c:v>
                </c:pt>
                <c:pt idx="194">
                  <c:v>15.420000037248862</c:v>
                </c:pt>
                <c:pt idx="195">
                  <c:v>15.420000037248862</c:v>
                </c:pt>
                <c:pt idx="196">
                  <c:v>15.420000037248862</c:v>
                </c:pt>
                <c:pt idx="197">
                  <c:v>15.420000037248862</c:v>
                </c:pt>
                <c:pt idx="198">
                  <c:v>15.420000037248862</c:v>
                </c:pt>
                <c:pt idx="199">
                  <c:v>15.420000037248862</c:v>
                </c:pt>
                <c:pt idx="200">
                  <c:v>15.420000037248862</c:v>
                </c:pt>
                <c:pt idx="201">
                  <c:v>15.420000037248862</c:v>
                </c:pt>
                <c:pt idx="202">
                  <c:v>15.420000037248862</c:v>
                </c:pt>
                <c:pt idx="203">
                  <c:v>15.420000037248862</c:v>
                </c:pt>
                <c:pt idx="204">
                  <c:v>15.420000037248862</c:v>
                </c:pt>
                <c:pt idx="205">
                  <c:v>15.420000037248862</c:v>
                </c:pt>
                <c:pt idx="206">
                  <c:v>15.420000037248862</c:v>
                </c:pt>
                <c:pt idx="207">
                  <c:v>15.420000037248862</c:v>
                </c:pt>
                <c:pt idx="208">
                  <c:v>15.420000037248862</c:v>
                </c:pt>
                <c:pt idx="209">
                  <c:v>15.420000037248862</c:v>
                </c:pt>
                <c:pt idx="210">
                  <c:v>15.420000037248862</c:v>
                </c:pt>
                <c:pt idx="211">
                  <c:v>15.420000037248862</c:v>
                </c:pt>
                <c:pt idx="212">
                  <c:v>15.420000037248862</c:v>
                </c:pt>
                <c:pt idx="213">
                  <c:v>15.420000037248862</c:v>
                </c:pt>
                <c:pt idx="214">
                  <c:v>15.420000037248862</c:v>
                </c:pt>
                <c:pt idx="215">
                  <c:v>15.420000037248862</c:v>
                </c:pt>
                <c:pt idx="216">
                  <c:v>15.420000037248862</c:v>
                </c:pt>
                <c:pt idx="217">
                  <c:v>15.420000037248862</c:v>
                </c:pt>
                <c:pt idx="218">
                  <c:v>15.420000037248862</c:v>
                </c:pt>
                <c:pt idx="219">
                  <c:v>15.420000037248862</c:v>
                </c:pt>
                <c:pt idx="220">
                  <c:v>15.420000037248862</c:v>
                </c:pt>
                <c:pt idx="221">
                  <c:v>15.420000037248862</c:v>
                </c:pt>
                <c:pt idx="222">
                  <c:v>15.420000037248862</c:v>
                </c:pt>
                <c:pt idx="223">
                  <c:v>15.420000037248862</c:v>
                </c:pt>
                <c:pt idx="224">
                  <c:v>15.420000037248862</c:v>
                </c:pt>
                <c:pt idx="225">
                  <c:v>15.420000037248862</c:v>
                </c:pt>
                <c:pt idx="226">
                  <c:v>15.420000037248862</c:v>
                </c:pt>
                <c:pt idx="227">
                  <c:v>15.420000037248862</c:v>
                </c:pt>
                <c:pt idx="228">
                  <c:v>15.420000037248862</c:v>
                </c:pt>
                <c:pt idx="229">
                  <c:v>15.420000037248862</c:v>
                </c:pt>
                <c:pt idx="230">
                  <c:v>15.420000037248862</c:v>
                </c:pt>
                <c:pt idx="231">
                  <c:v>15.420000037248862</c:v>
                </c:pt>
                <c:pt idx="232">
                  <c:v>15.420000037248862</c:v>
                </c:pt>
                <c:pt idx="233">
                  <c:v>15.420000037248862</c:v>
                </c:pt>
                <c:pt idx="234">
                  <c:v>15.420000037248862</c:v>
                </c:pt>
                <c:pt idx="235">
                  <c:v>15.420000037248862</c:v>
                </c:pt>
                <c:pt idx="236">
                  <c:v>15.420000037248862</c:v>
                </c:pt>
                <c:pt idx="237">
                  <c:v>15.420000037248862</c:v>
                </c:pt>
                <c:pt idx="238">
                  <c:v>15.420000037248862</c:v>
                </c:pt>
                <c:pt idx="239">
                  <c:v>15.420000037248862</c:v>
                </c:pt>
                <c:pt idx="240">
                  <c:v>15.420000037248862</c:v>
                </c:pt>
                <c:pt idx="241">
                  <c:v>15.420000037248862</c:v>
                </c:pt>
                <c:pt idx="242">
                  <c:v>15.420000037248862</c:v>
                </c:pt>
                <c:pt idx="243">
                  <c:v>15.420000037248862</c:v>
                </c:pt>
                <c:pt idx="244">
                  <c:v>15.420000037248862</c:v>
                </c:pt>
                <c:pt idx="245">
                  <c:v>15.420000037248862</c:v>
                </c:pt>
                <c:pt idx="246">
                  <c:v>15.420000037248862</c:v>
                </c:pt>
                <c:pt idx="247">
                  <c:v>15.420000037248862</c:v>
                </c:pt>
                <c:pt idx="248">
                  <c:v>15.420000037248862</c:v>
                </c:pt>
                <c:pt idx="249">
                  <c:v>15.420000037248862</c:v>
                </c:pt>
                <c:pt idx="250">
                  <c:v>15.420000037248862</c:v>
                </c:pt>
                <c:pt idx="251">
                  <c:v>15.420000037248862</c:v>
                </c:pt>
                <c:pt idx="252">
                  <c:v>15.420000037248862</c:v>
                </c:pt>
                <c:pt idx="253">
                  <c:v>15.420000037248862</c:v>
                </c:pt>
                <c:pt idx="254">
                  <c:v>15.420000037248862</c:v>
                </c:pt>
                <c:pt idx="255">
                  <c:v>15.420000037248862</c:v>
                </c:pt>
                <c:pt idx="256">
                  <c:v>15.420000037248862</c:v>
                </c:pt>
                <c:pt idx="257">
                  <c:v>15.420000037248862</c:v>
                </c:pt>
                <c:pt idx="258">
                  <c:v>15.420000037248862</c:v>
                </c:pt>
                <c:pt idx="259">
                  <c:v>15.420000037248862</c:v>
                </c:pt>
                <c:pt idx="260">
                  <c:v>15.420000037248862</c:v>
                </c:pt>
                <c:pt idx="261">
                  <c:v>15.420000037248862</c:v>
                </c:pt>
                <c:pt idx="262">
                  <c:v>15.420000037248862</c:v>
                </c:pt>
                <c:pt idx="263">
                  <c:v>15.420000037248862</c:v>
                </c:pt>
                <c:pt idx="264">
                  <c:v>15.420000037248862</c:v>
                </c:pt>
                <c:pt idx="265">
                  <c:v>15.420000037248862</c:v>
                </c:pt>
                <c:pt idx="266">
                  <c:v>15.420000037248862</c:v>
                </c:pt>
                <c:pt idx="267">
                  <c:v>15.420000037248862</c:v>
                </c:pt>
                <c:pt idx="268">
                  <c:v>15.420000037248862</c:v>
                </c:pt>
                <c:pt idx="269">
                  <c:v>15.420000037248862</c:v>
                </c:pt>
                <c:pt idx="270">
                  <c:v>15.420000037248862</c:v>
                </c:pt>
                <c:pt idx="271">
                  <c:v>15.420000037248862</c:v>
                </c:pt>
                <c:pt idx="272">
                  <c:v>15.420000037248862</c:v>
                </c:pt>
                <c:pt idx="273">
                  <c:v>15.420000037248862</c:v>
                </c:pt>
                <c:pt idx="274">
                  <c:v>15.420000037248862</c:v>
                </c:pt>
                <c:pt idx="275">
                  <c:v>15.420000037248862</c:v>
                </c:pt>
                <c:pt idx="276">
                  <c:v>15.420000037248862</c:v>
                </c:pt>
                <c:pt idx="277">
                  <c:v>15.420000037248862</c:v>
                </c:pt>
                <c:pt idx="278">
                  <c:v>15.420000037248862</c:v>
                </c:pt>
                <c:pt idx="279">
                  <c:v>15.420000037248862</c:v>
                </c:pt>
                <c:pt idx="280">
                  <c:v>15.420000037248862</c:v>
                </c:pt>
                <c:pt idx="281">
                  <c:v>15.420000037248862</c:v>
                </c:pt>
                <c:pt idx="282">
                  <c:v>15.420000037248862</c:v>
                </c:pt>
                <c:pt idx="283">
                  <c:v>15.420000037248862</c:v>
                </c:pt>
                <c:pt idx="284">
                  <c:v>15.420000037248862</c:v>
                </c:pt>
                <c:pt idx="285">
                  <c:v>15.420000037248862</c:v>
                </c:pt>
                <c:pt idx="286">
                  <c:v>15.420000037248862</c:v>
                </c:pt>
                <c:pt idx="287">
                  <c:v>15.420000037248862</c:v>
                </c:pt>
                <c:pt idx="288">
                  <c:v>15.420000037248862</c:v>
                </c:pt>
                <c:pt idx="289">
                  <c:v>15.420000037248862</c:v>
                </c:pt>
                <c:pt idx="290">
                  <c:v>15.420000037248862</c:v>
                </c:pt>
                <c:pt idx="291">
                  <c:v>15.420000037248862</c:v>
                </c:pt>
                <c:pt idx="292">
                  <c:v>15.420000037248862</c:v>
                </c:pt>
                <c:pt idx="293">
                  <c:v>15.420000037248862</c:v>
                </c:pt>
                <c:pt idx="294">
                  <c:v>15.420000037248862</c:v>
                </c:pt>
                <c:pt idx="295">
                  <c:v>15.420000037248862</c:v>
                </c:pt>
                <c:pt idx="296">
                  <c:v>15.420000037248862</c:v>
                </c:pt>
                <c:pt idx="297">
                  <c:v>15.420000037248862</c:v>
                </c:pt>
                <c:pt idx="298">
                  <c:v>15.420000037248862</c:v>
                </c:pt>
                <c:pt idx="299">
                  <c:v>15.420000037248862</c:v>
                </c:pt>
                <c:pt idx="300">
                  <c:v>15.420000037248862</c:v>
                </c:pt>
                <c:pt idx="301">
                  <c:v>15.420000037248862</c:v>
                </c:pt>
                <c:pt idx="302">
                  <c:v>15.420000037248862</c:v>
                </c:pt>
                <c:pt idx="303">
                  <c:v>15.420000037248862</c:v>
                </c:pt>
                <c:pt idx="304">
                  <c:v>15.420000037248862</c:v>
                </c:pt>
                <c:pt idx="305">
                  <c:v>15.420000037248862</c:v>
                </c:pt>
                <c:pt idx="306">
                  <c:v>15.420000037248862</c:v>
                </c:pt>
                <c:pt idx="307">
                  <c:v>15.420000037248862</c:v>
                </c:pt>
                <c:pt idx="308">
                  <c:v>15.420000037248862</c:v>
                </c:pt>
                <c:pt idx="309">
                  <c:v>15.420000037248862</c:v>
                </c:pt>
                <c:pt idx="310">
                  <c:v>15.420000037248862</c:v>
                </c:pt>
                <c:pt idx="311">
                  <c:v>15.420000037248862</c:v>
                </c:pt>
                <c:pt idx="312">
                  <c:v>15.420000037248862</c:v>
                </c:pt>
                <c:pt idx="313">
                  <c:v>15.420000037248862</c:v>
                </c:pt>
                <c:pt idx="314">
                  <c:v>15.420000037248862</c:v>
                </c:pt>
                <c:pt idx="315">
                  <c:v>15.420000037248862</c:v>
                </c:pt>
                <c:pt idx="316">
                  <c:v>15.420000037248862</c:v>
                </c:pt>
                <c:pt idx="317">
                  <c:v>15.420000037248862</c:v>
                </c:pt>
                <c:pt idx="318">
                  <c:v>15.420000037248862</c:v>
                </c:pt>
                <c:pt idx="319">
                  <c:v>15.420000037248862</c:v>
                </c:pt>
                <c:pt idx="320">
                  <c:v>15.420000037248862</c:v>
                </c:pt>
                <c:pt idx="321">
                  <c:v>15.420000037248862</c:v>
                </c:pt>
                <c:pt idx="322">
                  <c:v>15.420000037248862</c:v>
                </c:pt>
                <c:pt idx="323">
                  <c:v>15.420000037248862</c:v>
                </c:pt>
                <c:pt idx="324">
                  <c:v>15.420000037248862</c:v>
                </c:pt>
                <c:pt idx="325">
                  <c:v>15.420000037248862</c:v>
                </c:pt>
                <c:pt idx="326">
                  <c:v>15.420000037248862</c:v>
                </c:pt>
                <c:pt idx="327">
                  <c:v>15.420000037248862</c:v>
                </c:pt>
                <c:pt idx="328">
                  <c:v>15.420000037248862</c:v>
                </c:pt>
                <c:pt idx="329">
                  <c:v>15.420000037248862</c:v>
                </c:pt>
                <c:pt idx="330">
                  <c:v>15.420000037248862</c:v>
                </c:pt>
                <c:pt idx="331">
                  <c:v>15.420000037248862</c:v>
                </c:pt>
                <c:pt idx="332">
                  <c:v>15.420000037248862</c:v>
                </c:pt>
                <c:pt idx="333">
                  <c:v>15.420000037248862</c:v>
                </c:pt>
                <c:pt idx="334">
                  <c:v>15.420000037248862</c:v>
                </c:pt>
                <c:pt idx="335">
                  <c:v>15.420000037248862</c:v>
                </c:pt>
                <c:pt idx="336">
                  <c:v>15.420000037248862</c:v>
                </c:pt>
                <c:pt idx="337">
                  <c:v>15.420000037248862</c:v>
                </c:pt>
                <c:pt idx="338">
                  <c:v>15.420000037248862</c:v>
                </c:pt>
                <c:pt idx="339">
                  <c:v>15.420000037248862</c:v>
                </c:pt>
                <c:pt idx="340">
                  <c:v>15.420000037248862</c:v>
                </c:pt>
                <c:pt idx="341">
                  <c:v>15.420000037248862</c:v>
                </c:pt>
                <c:pt idx="342">
                  <c:v>15.420000037248862</c:v>
                </c:pt>
                <c:pt idx="343">
                  <c:v>15.420000037248862</c:v>
                </c:pt>
                <c:pt idx="344">
                  <c:v>15.420000037248862</c:v>
                </c:pt>
                <c:pt idx="345">
                  <c:v>15.420000037248862</c:v>
                </c:pt>
                <c:pt idx="346">
                  <c:v>15.420000037248862</c:v>
                </c:pt>
                <c:pt idx="347">
                  <c:v>15.420000037248862</c:v>
                </c:pt>
                <c:pt idx="348">
                  <c:v>15.420000037248862</c:v>
                </c:pt>
                <c:pt idx="349">
                  <c:v>15.420000037248862</c:v>
                </c:pt>
                <c:pt idx="350">
                  <c:v>15.420000037248862</c:v>
                </c:pt>
                <c:pt idx="351">
                  <c:v>15.420000037248862</c:v>
                </c:pt>
                <c:pt idx="352">
                  <c:v>15.420000037248862</c:v>
                </c:pt>
                <c:pt idx="353">
                  <c:v>15.420000037248862</c:v>
                </c:pt>
                <c:pt idx="354">
                  <c:v>15.420000037248862</c:v>
                </c:pt>
                <c:pt idx="355">
                  <c:v>15.420000037248862</c:v>
                </c:pt>
                <c:pt idx="356">
                  <c:v>15.420000037248862</c:v>
                </c:pt>
                <c:pt idx="357">
                  <c:v>15.420000037248862</c:v>
                </c:pt>
                <c:pt idx="358">
                  <c:v>15.420000037248862</c:v>
                </c:pt>
                <c:pt idx="359">
                  <c:v>15.420000037248862</c:v>
                </c:pt>
                <c:pt idx="360">
                  <c:v>15.420000037248862</c:v>
                </c:pt>
                <c:pt idx="361">
                  <c:v>15.420000037248862</c:v>
                </c:pt>
                <c:pt idx="362">
                  <c:v>15.420000037248862</c:v>
                </c:pt>
                <c:pt idx="363">
                  <c:v>15.420000037248862</c:v>
                </c:pt>
                <c:pt idx="364">
                  <c:v>15.420000037248862</c:v>
                </c:pt>
                <c:pt idx="365">
                  <c:v>15.420000037248862</c:v>
                </c:pt>
                <c:pt idx="366">
                  <c:v>15.420000037248862</c:v>
                </c:pt>
                <c:pt idx="367">
                  <c:v>15.420000037248862</c:v>
                </c:pt>
                <c:pt idx="368">
                  <c:v>15.420000037248862</c:v>
                </c:pt>
                <c:pt idx="369">
                  <c:v>15.420000037248862</c:v>
                </c:pt>
                <c:pt idx="370">
                  <c:v>15.420000037248862</c:v>
                </c:pt>
                <c:pt idx="371">
                  <c:v>15.420000037248862</c:v>
                </c:pt>
                <c:pt idx="372">
                  <c:v>15.420000037248862</c:v>
                </c:pt>
                <c:pt idx="373">
                  <c:v>15.420000037248862</c:v>
                </c:pt>
                <c:pt idx="374">
                  <c:v>15.420000037248862</c:v>
                </c:pt>
                <c:pt idx="375">
                  <c:v>15.420000037248862</c:v>
                </c:pt>
                <c:pt idx="376">
                  <c:v>15.420000037248862</c:v>
                </c:pt>
                <c:pt idx="377">
                  <c:v>15.420000037248862</c:v>
                </c:pt>
                <c:pt idx="378">
                  <c:v>15.420000037248862</c:v>
                </c:pt>
                <c:pt idx="379">
                  <c:v>15.420000037248862</c:v>
                </c:pt>
                <c:pt idx="380">
                  <c:v>15.420000037248862</c:v>
                </c:pt>
                <c:pt idx="381">
                  <c:v>15.420000037248862</c:v>
                </c:pt>
                <c:pt idx="382">
                  <c:v>15.420000037248862</c:v>
                </c:pt>
                <c:pt idx="383">
                  <c:v>15.420000037248862</c:v>
                </c:pt>
                <c:pt idx="384">
                  <c:v>15.420000037248862</c:v>
                </c:pt>
                <c:pt idx="385">
                  <c:v>15.420000037248862</c:v>
                </c:pt>
                <c:pt idx="386">
                  <c:v>15.420000037248862</c:v>
                </c:pt>
                <c:pt idx="387">
                  <c:v>15.420000037248862</c:v>
                </c:pt>
                <c:pt idx="388">
                  <c:v>15.420000037248862</c:v>
                </c:pt>
                <c:pt idx="389">
                  <c:v>15.420000037248862</c:v>
                </c:pt>
                <c:pt idx="390">
                  <c:v>15.420000037248862</c:v>
                </c:pt>
                <c:pt idx="391">
                  <c:v>15.420000037248862</c:v>
                </c:pt>
                <c:pt idx="392">
                  <c:v>15.420000037248862</c:v>
                </c:pt>
                <c:pt idx="393">
                  <c:v>15.420000037248862</c:v>
                </c:pt>
                <c:pt idx="394">
                  <c:v>15.420000037248862</c:v>
                </c:pt>
                <c:pt idx="395">
                  <c:v>15.420000037248862</c:v>
                </c:pt>
                <c:pt idx="396">
                  <c:v>15.420000037248862</c:v>
                </c:pt>
                <c:pt idx="397">
                  <c:v>15.420000037248862</c:v>
                </c:pt>
                <c:pt idx="398">
                  <c:v>15.420000037248862</c:v>
                </c:pt>
                <c:pt idx="399">
                  <c:v>15.420000037248862</c:v>
                </c:pt>
                <c:pt idx="400">
                  <c:v>15.420000037248862</c:v>
                </c:pt>
                <c:pt idx="401">
                  <c:v>15.420000037248862</c:v>
                </c:pt>
                <c:pt idx="402">
                  <c:v>15.420000037248862</c:v>
                </c:pt>
                <c:pt idx="403">
                  <c:v>15.420000037248862</c:v>
                </c:pt>
                <c:pt idx="404">
                  <c:v>15.420000037248862</c:v>
                </c:pt>
                <c:pt idx="405">
                  <c:v>15.420000037248862</c:v>
                </c:pt>
                <c:pt idx="406">
                  <c:v>15.420000037248862</c:v>
                </c:pt>
                <c:pt idx="407">
                  <c:v>15.420000037248862</c:v>
                </c:pt>
                <c:pt idx="408">
                  <c:v>15.420000037248862</c:v>
                </c:pt>
                <c:pt idx="409">
                  <c:v>15.420000037248862</c:v>
                </c:pt>
                <c:pt idx="410">
                  <c:v>15.420000037248862</c:v>
                </c:pt>
                <c:pt idx="411">
                  <c:v>15.420000037248862</c:v>
                </c:pt>
                <c:pt idx="412">
                  <c:v>15.420000037248862</c:v>
                </c:pt>
                <c:pt idx="413">
                  <c:v>15.420000037248862</c:v>
                </c:pt>
                <c:pt idx="414">
                  <c:v>15.420000037248862</c:v>
                </c:pt>
                <c:pt idx="415">
                  <c:v>15.420000037248862</c:v>
                </c:pt>
                <c:pt idx="416">
                  <c:v>15.420000037248862</c:v>
                </c:pt>
                <c:pt idx="417">
                  <c:v>15.420000037248862</c:v>
                </c:pt>
                <c:pt idx="418">
                  <c:v>15.420000037248862</c:v>
                </c:pt>
                <c:pt idx="419">
                  <c:v>15.420000037248862</c:v>
                </c:pt>
                <c:pt idx="420">
                  <c:v>15.420000037248862</c:v>
                </c:pt>
                <c:pt idx="421">
                  <c:v>15.420000037248862</c:v>
                </c:pt>
                <c:pt idx="422">
                  <c:v>15.420000037248862</c:v>
                </c:pt>
                <c:pt idx="423">
                  <c:v>15.420000037248862</c:v>
                </c:pt>
                <c:pt idx="424">
                  <c:v>15.420000037248862</c:v>
                </c:pt>
                <c:pt idx="425">
                  <c:v>15.420000037248862</c:v>
                </c:pt>
                <c:pt idx="426">
                  <c:v>15.420000037248862</c:v>
                </c:pt>
                <c:pt idx="427">
                  <c:v>15.420000037248862</c:v>
                </c:pt>
                <c:pt idx="428">
                  <c:v>15.420000037248862</c:v>
                </c:pt>
                <c:pt idx="429">
                  <c:v>15.420000037248862</c:v>
                </c:pt>
                <c:pt idx="430">
                  <c:v>15.420000037248862</c:v>
                </c:pt>
                <c:pt idx="431">
                  <c:v>15.420000037248862</c:v>
                </c:pt>
                <c:pt idx="432">
                  <c:v>15.420000037248862</c:v>
                </c:pt>
                <c:pt idx="433">
                  <c:v>15.420000037248862</c:v>
                </c:pt>
                <c:pt idx="434">
                  <c:v>15.420000037248862</c:v>
                </c:pt>
                <c:pt idx="435">
                  <c:v>15.420000037248862</c:v>
                </c:pt>
                <c:pt idx="436">
                  <c:v>15.420000037248862</c:v>
                </c:pt>
                <c:pt idx="437">
                  <c:v>15.420000037248862</c:v>
                </c:pt>
                <c:pt idx="438">
                  <c:v>15.420000037248862</c:v>
                </c:pt>
                <c:pt idx="439">
                  <c:v>15.420000037248862</c:v>
                </c:pt>
                <c:pt idx="440">
                  <c:v>15.420000037248862</c:v>
                </c:pt>
                <c:pt idx="441">
                  <c:v>15.420000037248862</c:v>
                </c:pt>
                <c:pt idx="442">
                  <c:v>15.420000037248862</c:v>
                </c:pt>
                <c:pt idx="443">
                  <c:v>15.420000037248862</c:v>
                </c:pt>
                <c:pt idx="444">
                  <c:v>15.420000037248862</c:v>
                </c:pt>
                <c:pt idx="445">
                  <c:v>15.420000037248862</c:v>
                </c:pt>
                <c:pt idx="446">
                  <c:v>15.420000037248862</c:v>
                </c:pt>
                <c:pt idx="447">
                  <c:v>15.420000037248862</c:v>
                </c:pt>
                <c:pt idx="448">
                  <c:v>15.420000037248862</c:v>
                </c:pt>
                <c:pt idx="449">
                  <c:v>15.420000037248862</c:v>
                </c:pt>
                <c:pt idx="450">
                  <c:v>15.420000037248862</c:v>
                </c:pt>
                <c:pt idx="451">
                  <c:v>15.420000037248862</c:v>
                </c:pt>
                <c:pt idx="452">
                  <c:v>15.420000037248862</c:v>
                </c:pt>
                <c:pt idx="453">
                  <c:v>15.420000037248862</c:v>
                </c:pt>
                <c:pt idx="454">
                  <c:v>15.420000037248862</c:v>
                </c:pt>
                <c:pt idx="455">
                  <c:v>15.420000037248862</c:v>
                </c:pt>
                <c:pt idx="456">
                  <c:v>15.420000037248862</c:v>
                </c:pt>
                <c:pt idx="457">
                  <c:v>15.420000037248862</c:v>
                </c:pt>
                <c:pt idx="458">
                  <c:v>15.420000037248862</c:v>
                </c:pt>
                <c:pt idx="459">
                  <c:v>15.420000037248862</c:v>
                </c:pt>
                <c:pt idx="460">
                  <c:v>15.420000037248862</c:v>
                </c:pt>
                <c:pt idx="461">
                  <c:v>15.420000037248862</c:v>
                </c:pt>
                <c:pt idx="462">
                  <c:v>15.420000037248862</c:v>
                </c:pt>
                <c:pt idx="463">
                  <c:v>15.420000037248862</c:v>
                </c:pt>
                <c:pt idx="464">
                  <c:v>15.420000037248862</c:v>
                </c:pt>
                <c:pt idx="465">
                  <c:v>15.420000037248862</c:v>
                </c:pt>
                <c:pt idx="466">
                  <c:v>15.420000037248862</c:v>
                </c:pt>
                <c:pt idx="467">
                  <c:v>15.420000037248862</c:v>
                </c:pt>
                <c:pt idx="468">
                  <c:v>15.420000037248862</c:v>
                </c:pt>
                <c:pt idx="469">
                  <c:v>15.420000037248862</c:v>
                </c:pt>
                <c:pt idx="470">
                  <c:v>15.420000037248862</c:v>
                </c:pt>
                <c:pt idx="471">
                  <c:v>15.420000037248862</c:v>
                </c:pt>
                <c:pt idx="472">
                  <c:v>15.420000037248862</c:v>
                </c:pt>
                <c:pt idx="473">
                  <c:v>15.420000037248862</c:v>
                </c:pt>
                <c:pt idx="474">
                  <c:v>15.420000037248862</c:v>
                </c:pt>
                <c:pt idx="475">
                  <c:v>15.420000037248862</c:v>
                </c:pt>
                <c:pt idx="476">
                  <c:v>15.420000037248862</c:v>
                </c:pt>
                <c:pt idx="477">
                  <c:v>15.420000037248862</c:v>
                </c:pt>
                <c:pt idx="478">
                  <c:v>15.420000037248862</c:v>
                </c:pt>
                <c:pt idx="479">
                  <c:v>15.420000037248862</c:v>
                </c:pt>
                <c:pt idx="480">
                  <c:v>15.420000037248862</c:v>
                </c:pt>
                <c:pt idx="481">
                  <c:v>15.420000037248862</c:v>
                </c:pt>
                <c:pt idx="482">
                  <c:v>15.420000037248862</c:v>
                </c:pt>
                <c:pt idx="483">
                  <c:v>15.420000037248862</c:v>
                </c:pt>
                <c:pt idx="484">
                  <c:v>15.420000037248862</c:v>
                </c:pt>
                <c:pt idx="485">
                  <c:v>15.420000037248862</c:v>
                </c:pt>
                <c:pt idx="486">
                  <c:v>15.420000037248862</c:v>
                </c:pt>
                <c:pt idx="487">
                  <c:v>15.420000037248862</c:v>
                </c:pt>
                <c:pt idx="488">
                  <c:v>15.420000037248862</c:v>
                </c:pt>
                <c:pt idx="489">
                  <c:v>15.420000037248862</c:v>
                </c:pt>
                <c:pt idx="490">
                  <c:v>15.420000037248862</c:v>
                </c:pt>
                <c:pt idx="491">
                  <c:v>15.420000037248862</c:v>
                </c:pt>
                <c:pt idx="492">
                  <c:v>15.420000037248862</c:v>
                </c:pt>
                <c:pt idx="493">
                  <c:v>15.420000037248862</c:v>
                </c:pt>
                <c:pt idx="494">
                  <c:v>15.420000037248862</c:v>
                </c:pt>
                <c:pt idx="495">
                  <c:v>15.420000037248862</c:v>
                </c:pt>
                <c:pt idx="496">
                  <c:v>15.420000037248862</c:v>
                </c:pt>
                <c:pt idx="497">
                  <c:v>15.420000037248862</c:v>
                </c:pt>
                <c:pt idx="498">
                  <c:v>15.420000037248862</c:v>
                </c:pt>
                <c:pt idx="499">
                  <c:v>15.420000037248862</c:v>
                </c:pt>
              </c:numCache>
            </c:numRef>
          </c:val>
          <c:smooth val="0"/>
          <c:extLst>
            <c:ext xmlns:c16="http://schemas.microsoft.com/office/drawing/2014/chart" uri="{C3380CC4-5D6E-409C-BE32-E72D297353CC}">
              <c16:uniqueId val="{00000001-0C61-472C-8756-900BB55EBDA5}"/>
            </c:ext>
          </c:extLst>
        </c:ser>
        <c:ser>
          <c:idx val="2"/>
          <c:order val="2"/>
          <c:tx>
            <c:strRef>
              <c:f>Summary!$M$86</c:f>
              <c:strCache>
                <c:ptCount val="1"/>
                <c:pt idx="0">
                  <c:v>eCom Software EV/Rev</c:v>
                </c:pt>
              </c:strCache>
            </c:strRef>
          </c:tx>
          <c:spPr>
            <a:ln w="28575" cap="rnd">
              <a:solidFill>
                <a:schemeClr val="accent1"/>
              </a:solidFill>
              <a:round/>
            </a:ln>
            <a:effectLst/>
          </c:spPr>
          <c:marker>
            <c:symbol val="none"/>
          </c:marker>
          <c:cat>
            <c:numRef>
              <c:f>Summary!$B$87:$B$586</c:f>
              <c:numCache>
                <c:formatCode>m/d/yyyy</c:formatCode>
                <c:ptCount val="500"/>
                <c:pt idx="0">
                  <c:v>42741</c:v>
                </c:pt>
                <c:pt idx="1">
                  <c:v>42748</c:v>
                </c:pt>
                <c:pt idx="2">
                  <c:v>42755</c:v>
                </c:pt>
                <c:pt idx="3">
                  <c:v>42762</c:v>
                </c:pt>
                <c:pt idx="4">
                  <c:v>42769</c:v>
                </c:pt>
                <c:pt idx="5">
                  <c:v>42776</c:v>
                </c:pt>
                <c:pt idx="6">
                  <c:v>42783</c:v>
                </c:pt>
                <c:pt idx="7">
                  <c:v>42790</c:v>
                </c:pt>
                <c:pt idx="8">
                  <c:v>42797</c:v>
                </c:pt>
                <c:pt idx="9">
                  <c:v>42804</c:v>
                </c:pt>
                <c:pt idx="10">
                  <c:v>42811</c:v>
                </c:pt>
                <c:pt idx="11">
                  <c:v>42818</c:v>
                </c:pt>
                <c:pt idx="12">
                  <c:v>42825</c:v>
                </c:pt>
                <c:pt idx="13">
                  <c:v>42832</c:v>
                </c:pt>
                <c:pt idx="14">
                  <c:v>42839</c:v>
                </c:pt>
                <c:pt idx="15">
                  <c:v>42846</c:v>
                </c:pt>
                <c:pt idx="16">
                  <c:v>42853</c:v>
                </c:pt>
                <c:pt idx="17">
                  <c:v>42860</c:v>
                </c:pt>
                <c:pt idx="18">
                  <c:v>42867</c:v>
                </c:pt>
                <c:pt idx="19">
                  <c:v>42874</c:v>
                </c:pt>
                <c:pt idx="20">
                  <c:v>42881</c:v>
                </c:pt>
                <c:pt idx="21">
                  <c:v>42888</c:v>
                </c:pt>
                <c:pt idx="22">
                  <c:v>42895</c:v>
                </c:pt>
                <c:pt idx="23">
                  <c:v>42902</c:v>
                </c:pt>
                <c:pt idx="24">
                  <c:v>42909</c:v>
                </c:pt>
                <c:pt idx="25">
                  <c:v>42916</c:v>
                </c:pt>
                <c:pt idx="26">
                  <c:v>42923</c:v>
                </c:pt>
                <c:pt idx="27">
                  <c:v>42930</c:v>
                </c:pt>
                <c:pt idx="28">
                  <c:v>42937</c:v>
                </c:pt>
                <c:pt idx="29">
                  <c:v>42944</c:v>
                </c:pt>
                <c:pt idx="30">
                  <c:v>42951</c:v>
                </c:pt>
                <c:pt idx="31">
                  <c:v>42958</c:v>
                </c:pt>
                <c:pt idx="32">
                  <c:v>42965</c:v>
                </c:pt>
                <c:pt idx="33">
                  <c:v>42972</c:v>
                </c:pt>
                <c:pt idx="34">
                  <c:v>42979</c:v>
                </c:pt>
                <c:pt idx="35">
                  <c:v>42986</c:v>
                </c:pt>
                <c:pt idx="36">
                  <c:v>42993</c:v>
                </c:pt>
                <c:pt idx="37">
                  <c:v>43000</c:v>
                </c:pt>
                <c:pt idx="38">
                  <c:v>43007</c:v>
                </c:pt>
                <c:pt idx="39">
                  <c:v>43014</c:v>
                </c:pt>
                <c:pt idx="40">
                  <c:v>43021</c:v>
                </c:pt>
                <c:pt idx="41">
                  <c:v>43028</c:v>
                </c:pt>
                <c:pt idx="42">
                  <c:v>43035</c:v>
                </c:pt>
                <c:pt idx="43">
                  <c:v>43042</c:v>
                </c:pt>
                <c:pt idx="44">
                  <c:v>43049</c:v>
                </c:pt>
                <c:pt idx="45">
                  <c:v>43056</c:v>
                </c:pt>
                <c:pt idx="46">
                  <c:v>43063</c:v>
                </c:pt>
                <c:pt idx="47">
                  <c:v>43070</c:v>
                </c:pt>
                <c:pt idx="48">
                  <c:v>43077</c:v>
                </c:pt>
                <c:pt idx="49">
                  <c:v>43084</c:v>
                </c:pt>
                <c:pt idx="50">
                  <c:v>43091</c:v>
                </c:pt>
                <c:pt idx="51">
                  <c:v>43098</c:v>
                </c:pt>
                <c:pt idx="52">
                  <c:v>43105</c:v>
                </c:pt>
                <c:pt idx="53">
                  <c:v>43112</c:v>
                </c:pt>
                <c:pt idx="54">
                  <c:v>43119</c:v>
                </c:pt>
                <c:pt idx="55">
                  <c:v>43126</c:v>
                </c:pt>
                <c:pt idx="56">
                  <c:v>43133</c:v>
                </c:pt>
                <c:pt idx="57">
                  <c:v>43140</c:v>
                </c:pt>
                <c:pt idx="58">
                  <c:v>43147</c:v>
                </c:pt>
                <c:pt idx="59">
                  <c:v>43154</c:v>
                </c:pt>
                <c:pt idx="60">
                  <c:v>43161</c:v>
                </c:pt>
                <c:pt idx="61">
                  <c:v>43168</c:v>
                </c:pt>
                <c:pt idx="62">
                  <c:v>43175</c:v>
                </c:pt>
                <c:pt idx="63">
                  <c:v>43182</c:v>
                </c:pt>
                <c:pt idx="64">
                  <c:v>43189</c:v>
                </c:pt>
                <c:pt idx="65">
                  <c:v>43196</c:v>
                </c:pt>
                <c:pt idx="66">
                  <c:v>43203</c:v>
                </c:pt>
                <c:pt idx="67">
                  <c:v>43210</c:v>
                </c:pt>
                <c:pt idx="68">
                  <c:v>43217</c:v>
                </c:pt>
                <c:pt idx="69">
                  <c:v>43224</c:v>
                </c:pt>
                <c:pt idx="70">
                  <c:v>43231</c:v>
                </c:pt>
                <c:pt idx="71">
                  <c:v>43238</c:v>
                </c:pt>
                <c:pt idx="72">
                  <c:v>43245</c:v>
                </c:pt>
                <c:pt idx="73">
                  <c:v>43252</c:v>
                </c:pt>
                <c:pt idx="74">
                  <c:v>43259</c:v>
                </c:pt>
                <c:pt idx="75">
                  <c:v>43266</c:v>
                </c:pt>
                <c:pt idx="76">
                  <c:v>43273</c:v>
                </c:pt>
                <c:pt idx="77">
                  <c:v>43280</c:v>
                </c:pt>
                <c:pt idx="78">
                  <c:v>43287</c:v>
                </c:pt>
                <c:pt idx="79">
                  <c:v>43294</c:v>
                </c:pt>
                <c:pt idx="80">
                  <c:v>43301</c:v>
                </c:pt>
                <c:pt idx="81">
                  <c:v>43308</c:v>
                </c:pt>
                <c:pt idx="82">
                  <c:v>43315</c:v>
                </c:pt>
                <c:pt idx="83">
                  <c:v>43322</c:v>
                </c:pt>
                <c:pt idx="84">
                  <c:v>43329</c:v>
                </c:pt>
                <c:pt idx="85">
                  <c:v>43336</c:v>
                </c:pt>
                <c:pt idx="86">
                  <c:v>43343</c:v>
                </c:pt>
                <c:pt idx="87">
                  <c:v>43350</c:v>
                </c:pt>
                <c:pt idx="88">
                  <c:v>43357</c:v>
                </c:pt>
                <c:pt idx="89">
                  <c:v>43364</c:v>
                </c:pt>
                <c:pt idx="90">
                  <c:v>43371</c:v>
                </c:pt>
                <c:pt idx="91">
                  <c:v>43378</c:v>
                </c:pt>
                <c:pt idx="92">
                  <c:v>43385</c:v>
                </c:pt>
                <c:pt idx="93">
                  <c:v>43392</c:v>
                </c:pt>
                <c:pt idx="94">
                  <c:v>43399</c:v>
                </c:pt>
                <c:pt idx="95">
                  <c:v>43406</c:v>
                </c:pt>
                <c:pt idx="96">
                  <c:v>43413</c:v>
                </c:pt>
                <c:pt idx="97">
                  <c:v>43420</c:v>
                </c:pt>
                <c:pt idx="98">
                  <c:v>43427</c:v>
                </c:pt>
                <c:pt idx="99">
                  <c:v>43434</c:v>
                </c:pt>
                <c:pt idx="100">
                  <c:v>43441</c:v>
                </c:pt>
                <c:pt idx="101">
                  <c:v>43448</c:v>
                </c:pt>
                <c:pt idx="102">
                  <c:v>43455</c:v>
                </c:pt>
                <c:pt idx="103">
                  <c:v>43462</c:v>
                </c:pt>
                <c:pt idx="104">
                  <c:v>43469</c:v>
                </c:pt>
                <c:pt idx="105">
                  <c:v>43476</c:v>
                </c:pt>
                <c:pt idx="106">
                  <c:v>43483</c:v>
                </c:pt>
                <c:pt idx="107">
                  <c:v>43490</c:v>
                </c:pt>
                <c:pt idx="108">
                  <c:v>43497</c:v>
                </c:pt>
                <c:pt idx="109">
                  <c:v>43504</c:v>
                </c:pt>
                <c:pt idx="110">
                  <c:v>43511</c:v>
                </c:pt>
                <c:pt idx="111">
                  <c:v>43518</c:v>
                </c:pt>
                <c:pt idx="112">
                  <c:v>43525</c:v>
                </c:pt>
                <c:pt idx="113">
                  <c:v>43532</c:v>
                </c:pt>
                <c:pt idx="114">
                  <c:v>43539</c:v>
                </c:pt>
                <c:pt idx="115">
                  <c:v>43546</c:v>
                </c:pt>
                <c:pt idx="116">
                  <c:v>43553</c:v>
                </c:pt>
                <c:pt idx="117">
                  <c:v>43560</c:v>
                </c:pt>
                <c:pt idx="118">
                  <c:v>43567</c:v>
                </c:pt>
                <c:pt idx="119">
                  <c:v>43574</c:v>
                </c:pt>
                <c:pt idx="120">
                  <c:v>43581</c:v>
                </c:pt>
                <c:pt idx="121">
                  <c:v>43588</c:v>
                </c:pt>
                <c:pt idx="122">
                  <c:v>43595</c:v>
                </c:pt>
                <c:pt idx="123">
                  <c:v>43602</c:v>
                </c:pt>
                <c:pt idx="124">
                  <c:v>43609</c:v>
                </c:pt>
                <c:pt idx="125">
                  <c:v>43616</c:v>
                </c:pt>
                <c:pt idx="126">
                  <c:v>43623</c:v>
                </c:pt>
                <c:pt idx="127">
                  <c:v>43630</c:v>
                </c:pt>
                <c:pt idx="128">
                  <c:v>43637</c:v>
                </c:pt>
                <c:pt idx="129">
                  <c:v>43644</c:v>
                </c:pt>
                <c:pt idx="130">
                  <c:v>43651</c:v>
                </c:pt>
                <c:pt idx="131">
                  <c:v>43658</c:v>
                </c:pt>
                <c:pt idx="132">
                  <c:v>43665</c:v>
                </c:pt>
                <c:pt idx="133">
                  <c:v>43672</c:v>
                </c:pt>
                <c:pt idx="134">
                  <c:v>43679</c:v>
                </c:pt>
                <c:pt idx="135">
                  <c:v>43686</c:v>
                </c:pt>
                <c:pt idx="136">
                  <c:v>43693</c:v>
                </c:pt>
                <c:pt idx="137">
                  <c:v>43700</c:v>
                </c:pt>
                <c:pt idx="138">
                  <c:v>43707</c:v>
                </c:pt>
                <c:pt idx="139">
                  <c:v>43714</c:v>
                </c:pt>
                <c:pt idx="140">
                  <c:v>43721</c:v>
                </c:pt>
                <c:pt idx="141">
                  <c:v>43728</c:v>
                </c:pt>
                <c:pt idx="142">
                  <c:v>43735</c:v>
                </c:pt>
                <c:pt idx="143">
                  <c:v>43742</c:v>
                </c:pt>
                <c:pt idx="144">
                  <c:v>43749</c:v>
                </c:pt>
                <c:pt idx="145">
                  <c:v>43756</c:v>
                </c:pt>
                <c:pt idx="146">
                  <c:v>43763</c:v>
                </c:pt>
                <c:pt idx="147">
                  <c:v>43770</c:v>
                </c:pt>
                <c:pt idx="148">
                  <c:v>43777</c:v>
                </c:pt>
                <c:pt idx="149">
                  <c:v>43784</c:v>
                </c:pt>
                <c:pt idx="150">
                  <c:v>43791</c:v>
                </c:pt>
                <c:pt idx="151">
                  <c:v>43798</c:v>
                </c:pt>
                <c:pt idx="152">
                  <c:v>43805</c:v>
                </c:pt>
                <c:pt idx="153">
                  <c:v>43812</c:v>
                </c:pt>
                <c:pt idx="154">
                  <c:v>43819</c:v>
                </c:pt>
                <c:pt idx="155">
                  <c:v>43826</c:v>
                </c:pt>
                <c:pt idx="156">
                  <c:v>43833</c:v>
                </c:pt>
                <c:pt idx="157">
                  <c:v>43840</c:v>
                </c:pt>
                <c:pt idx="158">
                  <c:v>43847</c:v>
                </c:pt>
                <c:pt idx="159">
                  <c:v>43854</c:v>
                </c:pt>
                <c:pt idx="160">
                  <c:v>43861</c:v>
                </c:pt>
                <c:pt idx="161">
                  <c:v>43868</c:v>
                </c:pt>
                <c:pt idx="162">
                  <c:v>43875</c:v>
                </c:pt>
                <c:pt idx="163">
                  <c:v>43882</c:v>
                </c:pt>
                <c:pt idx="164">
                  <c:v>43889</c:v>
                </c:pt>
                <c:pt idx="165">
                  <c:v>43896</c:v>
                </c:pt>
                <c:pt idx="166">
                  <c:v>43903</c:v>
                </c:pt>
                <c:pt idx="167">
                  <c:v>43910</c:v>
                </c:pt>
                <c:pt idx="168">
                  <c:v>43917</c:v>
                </c:pt>
                <c:pt idx="169">
                  <c:v>43924</c:v>
                </c:pt>
                <c:pt idx="170">
                  <c:v>43931</c:v>
                </c:pt>
                <c:pt idx="171">
                  <c:v>43938</c:v>
                </c:pt>
                <c:pt idx="172">
                  <c:v>43945</c:v>
                </c:pt>
                <c:pt idx="173">
                  <c:v>43952</c:v>
                </c:pt>
                <c:pt idx="174">
                  <c:v>43959</c:v>
                </c:pt>
                <c:pt idx="175">
                  <c:v>43966</c:v>
                </c:pt>
                <c:pt idx="176">
                  <c:v>43973</c:v>
                </c:pt>
                <c:pt idx="177">
                  <c:v>43980</c:v>
                </c:pt>
                <c:pt idx="178">
                  <c:v>43987</c:v>
                </c:pt>
                <c:pt idx="179">
                  <c:v>43994</c:v>
                </c:pt>
                <c:pt idx="180">
                  <c:v>44001</c:v>
                </c:pt>
                <c:pt idx="181">
                  <c:v>44008</c:v>
                </c:pt>
                <c:pt idx="182">
                  <c:v>44015</c:v>
                </c:pt>
                <c:pt idx="183">
                  <c:v>44022</c:v>
                </c:pt>
                <c:pt idx="184">
                  <c:v>44029</c:v>
                </c:pt>
                <c:pt idx="185">
                  <c:v>44036</c:v>
                </c:pt>
                <c:pt idx="186">
                  <c:v>44043</c:v>
                </c:pt>
                <c:pt idx="187">
                  <c:v>44050</c:v>
                </c:pt>
                <c:pt idx="188">
                  <c:v>44057</c:v>
                </c:pt>
                <c:pt idx="189">
                  <c:v>44064</c:v>
                </c:pt>
                <c:pt idx="190">
                  <c:v>44071</c:v>
                </c:pt>
                <c:pt idx="191">
                  <c:v>44078</c:v>
                </c:pt>
                <c:pt idx="192">
                  <c:v>44085</c:v>
                </c:pt>
                <c:pt idx="193">
                  <c:v>44092</c:v>
                </c:pt>
                <c:pt idx="194">
                  <c:v>44099</c:v>
                </c:pt>
                <c:pt idx="195">
                  <c:v>44106</c:v>
                </c:pt>
                <c:pt idx="196">
                  <c:v>44113</c:v>
                </c:pt>
                <c:pt idx="197">
                  <c:v>44120</c:v>
                </c:pt>
                <c:pt idx="198">
                  <c:v>44127</c:v>
                </c:pt>
                <c:pt idx="199">
                  <c:v>44134</c:v>
                </c:pt>
                <c:pt idx="200">
                  <c:v>44141</c:v>
                </c:pt>
                <c:pt idx="201">
                  <c:v>44148</c:v>
                </c:pt>
                <c:pt idx="202">
                  <c:v>44155</c:v>
                </c:pt>
                <c:pt idx="203">
                  <c:v>44162</c:v>
                </c:pt>
                <c:pt idx="204">
                  <c:v>44169</c:v>
                </c:pt>
                <c:pt idx="205">
                  <c:v>44176</c:v>
                </c:pt>
                <c:pt idx="206">
                  <c:v>44183</c:v>
                </c:pt>
                <c:pt idx="207">
                  <c:v>44190</c:v>
                </c:pt>
                <c:pt idx="208">
                  <c:v>44197</c:v>
                </c:pt>
                <c:pt idx="209">
                  <c:v>44204</c:v>
                </c:pt>
                <c:pt idx="210">
                  <c:v>44211</c:v>
                </c:pt>
                <c:pt idx="211">
                  <c:v>44218</c:v>
                </c:pt>
                <c:pt idx="212">
                  <c:v>44225</c:v>
                </c:pt>
                <c:pt idx="213">
                  <c:v>44232</c:v>
                </c:pt>
                <c:pt idx="214">
                  <c:v>44239</c:v>
                </c:pt>
                <c:pt idx="215">
                  <c:v>44246</c:v>
                </c:pt>
                <c:pt idx="216">
                  <c:v>44253</c:v>
                </c:pt>
                <c:pt idx="217">
                  <c:v>44260</c:v>
                </c:pt>
                <c:pt idx="218">
                  <c:v>44267</c:v>
                </c:pt>
                <c:pt idx="219">
                  <c:v>44274</c:v>
                </c:pt>
                <c:pt idx="220">
                  <c:v>44281</c:v>
                </c:pt>
                <c:pt idx="221">
                  <c:v>44288</c:v>
                </c:pt>
                <c:pt idx="222">
                  <c:v>44295</c:v>
                </c:pt>
                <c:pt idx="223">
                  <c:v>44302</c:v>
                </c:pt>
                <c:pt idx="224">
                  <c:v>44309</c:v>
                </c:pt>
                <c:pt idx="225">
                  <c:v>44316</c:v>
                </c:pt>
                <c:pt idx="226">
                  <c:v>44323</c:v>
                </c:pt>
                <c:pt idx="227">
                  <c:v>44330</c:v>
                </c:pt>
                <c:pt idx="228">
                  <c:v>44337</c:v>
                </c:pt>
                <c:pt idx="229">
                  <c:v>44344</c:v>
                </c:pt>
                <c:pt idx="230">
                  <c:v>44351</c:v>
                </c:pt>
                <c:pt idx="231">
                  <c:v>44358</c:v>
                </c:pt>
                <c:pt idx="232">
                  <c:v>44365</c:v>
                </c:pt>
                <c:pt idx="233">
                  <c:v>44372</c:v>
                </c:pt>
                <c:pt idx="234">
                  <c:v>44379</c:v>
                </c:pt>
                <c:pt idx="235">
                  <c:v>44386</c:v>
                </c:pt>
                <c:pt idx="236">
                  <c:v>44393</c:v>
                </c:pt>
                <c:pt idx="237">
                  <c:v>44400</c:v>
                </c:pt>
                <c:pt idx="238">
                  <c:v>44407</c:v>
                </c:pt>
                <c:pt idx="239">
                  <c:v>44414</c:v>
                </c:pt>
                <c:pt idx="240">
                  <c:v>44421</c:v>
                </c:pt>
                <c:pt idx="241">
                  <c:v>44428</c:v>
                </c:pt>
                <c:pt idx="242">
                  <c:v>44435</c:v>
                </c:pt>
                <c:pt idx="243">
                  <c:v>44442</c:v>
                </c:pt>
                <c:pt idx="244">
                  <c:v>44449</c:v>
                </c:pt>
                <c:pt idx="245">
                  <c:v>44456</c:v>
                </c:pt>
                <c:pt idx="246">
                  <c:v>44463</c:v>
                </c:pt>
                <c:pt idx="247">
                  <c:v>44470</c:v>
                </c:pt>
                <c:pt idx="248">
                  <c:v>44477</c:v>
                </c:pt>
                <c:pt idx="249">
                  <c:v>44484</c:v>
                </c:pt>
                <c:pt idx="250">
                  <c:v>44491</c:v>
                </c:pt>
                <c:pt idx="251">
                  <c:v>44498</c:v>
                </c:pt>
                <c:pt idx="252">
                  <c:v>44505</c:v>
                </c:pt>
                <c:pt idx="253">
                  <c:v>44512</c:v>
                </c:pt>
                <c:pt idx="254">
                  <c:v>44519</c:v>
                </c:pt>
                <c:pt idx="255">
                  <c:v>44526</c:v>
                </c:pt>
                <c:pt idx="256">
                  <c:v>44533</c:v>
                </c:pt>
                <c:pt idx="257">
                  <c:v>44540</c:v>
                </c:pt>
                <c:pt idx="258">
                  <c:v>44547</c:v>
                </c:pt>
                <c:pt idx="259">
                  <c:v>44554</c:v>
                </c:pt>
                <c:pt idx="260">
                  <c:v>44561</c:v>
                </c:pt>
                <c:pt idx="261">
                  <c:v>44568</c:v>
                </c:pt>
                <c:pt idx="262">
                  <c:v>44575</c:v>
                </c:pt>
                <c:pt idx="263">
                  <c:v>44582</c:v>
                </c:pt>
                <c:pt idx="264">
                  <c:v>44589</c:v>
                </c:pt>
                <c:pt idx="265">
                  <c:v>44596</c:v>
                </c:pt>
                <c:pt idx="266">
                  <c:v>44603</c:v>
                </c:pt>
                <c:pt idx="267">
                  <c:v>44610</c:v>
                </c:pt>
                <c:pt idx="268">
                  <c:v>44617</c:v>
                </c:pt>
                <c:pt idx="269">
                  <c:v>44624</c:v>
                </c:pt>
                <c:pt idx="270">
                  <c:v>44631</c:v>
                </c:pt>
                <c:pt idx="271">
                  <c:v>44638</c:v>
                </c:pt>
                <c:pt idx="272">
                  <c:v>44645</c:v>
                </c:pt>
                <c:pt idx="273">
                  <c:v>44652</c:v>
                </c:pt>
                <c:pt idx="274">
                  <c:v>44659</c:v>
                </c:pt>
                <c:pt idx="275">
                  <c:v>44666</c:v>
                </c:pt>
                <c:pt idx="276">
                  <c:v>44673</c:v>
                </c:pt>
                <c:pt idx="277">
                  <c:v>44680</c:v>
                </c:pt>
                <c:pt idx="278">
                  <c:v>44687</c:v>
                </c:pt>
                <c:pt idx="279">
                  <c:v>44694</c:v>
                </c:pt>
                <c:pt idx="280">
                  <c:v>44701</c:v>
                </c:pt>
                <c:pt idx="281">
                  <c:v>44708</c:v>
                </c:pt>
                <c:pt idx="282">
                  <c:v>44715</c:v>
                </c:pt>
                <c:pt idx="283">
                  <c:v>44722</c:v>
                </c:pt>
                <c:pt idx="284">
                  <c:v>44729</c:v>
                </c:pt>
                <c:pt idx="285">
                  <c:v>44736</c:v>
                </c:pt>
                <c:pt idx="286">
                  <c:v>44743</c:v>
                </c:pt>
                <c:pt idx="287">
                  <c:v>44750</c:v>
                </c:pt>
                <c:pt idx="288">
                  <c:v>44757</c:v>
                </c:pt>
                <c:pt idx="289">
                  <c:v>44764</c:v>
                </c:pt>
                <c:pt idx="290">
                  <c:v>44771</c:v>
                </c:pt>
                <c:pt idx="291">
                  <c:v>44778</c:v>
                </c:pt>
                <c:pt idx="292">
                  <c:v>44785</c:v>
                </c:pt>
                <c:pt idx="293">
                  <c:v>44792</c:v>
                </c:pt>
                <c:pt idx="294">
                  <c:v>44799</c:v>
                </c:pt>
                <c:pt idx="295">
                  <c:v>44806</c:v>
                </c:pt>
                <c:pt idx="296">
                  <c:v>44813</c:v>
                </c:pt>
                <c:pt idx="297">
                  <c:v>44820</c:v>
                </c:pt>
                <c:pt idx="298">
                  <c:v>44827</c:v>
                </c:pt>
                <c:pt idx="299">
                  <c:v>44834</c:v>
                </c:pt>
                <c:pt idx="300">
                  <c:v>44841</c:v>
                </c:pt>
                <c:pt idx="301">
                  <c:v>44848</c:v>
                </c:pt>
                <c:pt idx="302">
                  <c:v>44855</c:v>
                </c:pt>
                <c:pt idx="303">
                  <c:v>44862</c:v>
                </c:pt>
                <c:pt idx="304">
                  <c:v>44869</c:v>
                </c:pt>
                <c:pt idx="305">
                  <c:v>44876</c:v>
                </c:pt>
                <c:pt idx="306">
                  <c:v>44883</c:v>
                </c:pt>
                <c:pt idx="307">
                  <c:v>44890</c:v>
                </c:pt>
                <c:pt idx="308">
                  <c:v>44897</c:v>
                </c:pt>
                <c:pt idx="309">
                  <c:v>44904</c:v>
                </c:pt>
                <c:pt idx="310">
                  <c:v>44911</c:v>
                </c:pt>
                <c:pt idx="311">
                  <c:v>44918</c:v>
                </c:pt>
                <c:pt idx="312">
                  <c:v>44925</c:v>
                </c:pt>
                <c:pt idx="313">
                  <c:v>44932</c:v>
                </c:pt>
                <c:pt idx="314">
                  <c:v>44939</c:v>
                </c:pt>
                <c:pt idx="315">
                  <c:v>44946</c:v>
                </c:pt>
                <c:pt idx="316">
                  <c:v>44953</c:v>
                </c:pt>
                <c:pt idx="317">
                  <c:v>44960</c:v>
                </c:pt>
                <c:pt idx="318">
                  <c:v>44967</c:v>
                </c:pt>
                <c:pt idx="319">
                  <c:v>44974</c:v>
                </c:pt>
                <c:pt idx="320">
                  <c:v>44981</c:v>
                </c:pt>
                <c:pt idx="321">
                  <c:v>44988</c:v>
                </c:pt>
                <c:pt idx="322">
                  <c:v>44995</c:v>
                </c:pt>
                <c:pt idx="323">
                  <c:v>45002</c:v>
                </c:pt>
                <c:pt idx="324">
                  <c:v>45009</c:v>
                </c:pt>
                <c:pt idx="325">
                  <c:v>45016</c:v>
                </c:pt>
                <c:pt idx="326">
                  <c:v>45023</c:v>
                </c:pt>
                <c:pt idx="327">
                  <c:v>45030</c:v>
                </c:pt>
                <c:pt idx="328">
                  <c:v>45037</c:v>
                </c:pt>
                <c:pt idx="329">
                  <c:v>45044</c:v>
                </c:pt>
                <c:pt idx="330">
                  <c:v>45051</c:v>
                </c:pt>
                <c:pt idx="331">
                  <c:v>45058</c:v>
                </c:pt>
                <c:pt idx="332">
                  <c:v>45065</c:v>
                </c:pt>
                <c:pt idx="333">
                  <c:v>45072</c:v>
                </c:pt>
                <c:pt idx="334">
                  <c:v>45079</c:v>
                </c:pt>
                <c:pt idx="335">
                  <c:v>45086</c:v>
                </c:pt>
                <c:pt idx="336">
                  <c:v>45093</c:v>
                </c:pt>
                <c:pt idx="337">
                  <c:v>45100</c:v>
                </c:pt>
                <c:pt idx="338">
                  <c:v>45107</c:v>
                </c:pt>
                <c:pt idx="339">
                  <c:v>45114</c:v>
                </c:pt>
                <c:pt idx="340">
                  <c:v>45121</c:v>
                </c:pt>
                <c:pt idx="341">
                  <c:v>45128</c:v>
                </c:pt>
                <c:pt idx="342">
                  <c:v>45135</c:v>
                </c:pt>
                <c:pt idx="343">
                  <c:v>45142</c:v>
                </c:pt>
                <c:pt idx="344">
                  <c:v>45149</c:v>
                </c:pt>
                <c:pt idx="345">
                  <c:v>45156</c:v>
                </c:pt>
                <c:pt idx="346">
                  <c:v>45163</c:v>
                </c:pt>
                <c:pt idx="347">
                  <c:v>45170</c:v>
                </c:pt>
                <c:pt idx="348">
                  <c:v>45177</c:v>
                </c:pt>
                <c:pt idx="349">
                  <c:v>45184</c:v>
                </c:pt>
                <c:pt idx="350">
                  <c:v>45191</c:v>
                </c:pt>
                <c:pt idx="351">
                  <c:v>45198</c:v>
                </c:pt>
                <c:pt idx="352">
                  <c:v>45205</c:v>
                </c:pt>
                <c:pt idx="353">
                  <c:v>45212</c:v>
                </c:pt>
                <c:pt idx="354">
                  <c:v>45219</c:v>
                </c:pt>
                <c:pt idx="355">
                  <c:v>45226</c:v>
                </c:pt>
                <c:pt idx="356">
                  <c:v>45233</c:v>
                </c:pt>
                <c:pt idx="357">
                  <c:v>45240</c:v>
                </c:pt>
                <c:pt idx="358">
                  <c:v>45247</c:v>
                </c:pt>
                <c:pt idx="359">
                  <c:v>45254</c:v>
                </c:pt>
                <c:pt idx="360">
                  <c:v>45261</c:v>
                </c:pt>
                <c:pt idx="361">
                  <c:v>45268</c:v>
                </c:pt>
                <c:pt idx="362">
                  <c:v>45275</c:v>
                </c:pt>
                <c:pt idx="363">
                  <c:v>45282</c:v>
                </c:pt>
                <c:pt idx="364">
                  <c:v>45289</c:v>
                </c:pt>
                <c:pt idx="365">
                  <c:v>45296</c:v>
                </c:pt>
                <c:pt idx="366">
                  <c:v>45303</c:v>
                </c:pt>
                <c:pt idx="367">
                  <c:v>45310</c:v>
                </c:pt>
                <c:pt idx="368">
                  <c:v>45317</c:v>
                </c:pt>
                <c:pt idx="369">
                  <c:v>45324</c:v>
                </c:pt>
                <c:pt idx="370">
                  <c:v>45331</c:v>
                </c:pt>
                <c:pt idx="371">
                  <c:v>45338</c:v>
                </c:pt>
                <c:pt idx="372">
                  <c:v>45345</c:v>
                </c:pt>
                <c:pt idx="373">
                  <c:v>45352</c:v>
                </c:pt>
                <c:pt idx="374">
                  <c:v>45359</c:v>
                </c:pt>
                <c:pt idx="375">
                  <c:v>45366</c:v>
                </c:pt>
                <c:pt idx="376">
                  <c:v>45373</c:v>
                </c:pt>
                <c:pt idx="377">
                  <c:v>45380</c:v>
                </c:pt>
                <c:pt idx="378">
                  <c:v>45387</c:v>
                </c:pt>
                <c:pt idx="379">
                  <c:v>45394</c:v>
                </c:pt>
                <c:pt idx="380">
                  <c:v>45401</c:v>
                </c:pt>
                <c:pt idx="381">
                  <c:v>45408</c:v>
                </c:pt>
                <c:pt idx="382">
                  <c:v>45415</c:v>
                </c:pt>
                <c:pt idx="383">
                  <c:v>45422</c:v>
                </c:pt>
                <c:pt idx="384">
                  <c:v>45429</c:v>
                </c:pt>
                <c:pt idx="385">
                  <c:v>45436</c:v>
                </c:pt>
                <c:pt idx="386">
                  <c:v>45443</c:v>
                </c:pt>
                <c:pt idx="387">
                  <c:v>45450</c:v>
                </c:pt>
                <c:pt idx="388">
                  <c:v>45457</c:v>
                </c:pt>
                <c:pt idx="389">
                  <c:v>45464</c:v>
                </c:pt>
                <c:pt idx="390">
                  <c:v>45471</c:v>
                </c:pt>
                <c:pt idx="391">
                  <c:v>45478</c:v>
                </c:pt>
                <c:pt idx="392">
                  <c:v>45485</c:v>
                </c:pt>
                <c:pt idx="393">
                  <c:v>45492</c:v>
                </c:pt>
                <c:pt idx="394">
                  <c:v>45499</c:v>
                </c:pt>
                <c:pt idx="395">
                  <c:v>45506</c:v>
                </c:pt>
                <c:pt idx="396">
                  <c:v>45513</c:v>
                </c:pt>
                <c:pt idx="397">
                  <c:v>45520</c:v>
                </c:pt>
                <c:pt idx="398">
                  <c:v>45527</c:v>
                </c:pt>
                <c:pt idx="399">
                  <c:v>45534</c:v>
                </c:pt>
                <c:pt idx="400">
                  <c:v>45541</c:v>
                </c:pt>
                <c:pt idx="401">
                  <c:v>45548</c:v>
                </c:pt>
                <c:pt idx="402">
                  <c:v>45555</c:v>
                </c:pt>
                <c:pt idx="403">
                  <c:v>45562</c:v>
                </c:pt>
                <c:pt idx="404">
                  <c:v>45569</c:v>
                </c:pt>
                <c:pt idx="405">
                  <c:v>45576</c:v>
                </c:pt>
                <c:pt idx="406">
                  <c:v>45583</c:v>
                </c:pt>
                <c:pt idx="407">
                  <c:v>45590</c:v>
                </c:pt>
                <c:pt idx="408">
                  <c:v>45597</c:v>
                </c:pt>
                <c:pt idx="409">
                  <c:v>45604</c:v>
                </c:pt>
                <c:pt idx="410">
                  <c:v>45611</c:v>
                </c:pt>
                <c:pt idx="411">
                  <c:v>45618</c:v>
                </c:pt>
                <c:pt idx="412">
                  <c:v>45625</c:v>
                </c:pt>
                <c:pt idx="413">
                  <c:v>45632</c:v>
                </c:pt>
                <c:pt idx="414">
                  <c:v>45639</c:v>
                </c:pt>
                <c:pt idx="415">
                  <c:v>45646</c:v>
                </c:pt>
                <c:pt idx="416">
                  <c:v>45653</c:v>
                </c:pt>
                <c:pt idx="417">
                  <c:v>45660</c:v>
                </c:pt>
                <c:pt idx="418">
                  <c:v>45667</c:v>
                </c:pt>
                <c:pt idx="419">
                  <c:v>45674</c:v>
                </c:pt>
                <c:pt idx="420">
                  <c:v>45681</c:v>
                </c:pt>
                <c:pt idx="421">
                  <c:v>45688</c:v>
                </c:pt>
                <c:pt idx="422">
                  <c:v>45695</c:v>
                </c:pt>
                <c:pt idx="423">
                  <c:v>45702</c:v>
                </c:pt>
                <c:pt idx="424">
                  <c:v>45709</c:v>
                </c:pt>
                <c:pt idx="425">
                  <c:v>45716</c:v>
                </c:pt>
                <c:pt idx="426">
                  <c:v>45723</c:v>
                </c:pt>
                <c:pt idx="427">
                  <c:v>45730</c:v>
                </c:pt>
                <c:pt idx="428">
                  <c:v>45737</c:v>
                </c:pt>
                <c:pt idx="429">
                  <c:v>45744</c:v>
                </c:pt>
                <c:pt idx="430">
                  <c:v>45751</c:v>
                </c:pt>
                <c:pt idx="431">
                  <c:v>45758</c:v>
                </c:pt>
                <c:pt idx="432">
                  <c:v>45765</c:v>
                </c:pt>
                <c:pt idx="433">
                  <c:v>45772</c:v>
                </c:pt>
                <c:pt idx="434">
                  <c:v>45779</c:v>
                </c:pt>
                <c:pt idx="435">
                  <c:v>45786</c:v>
                </c:pt>
                <c:pt idx="436">
                  <c:v>45793</c:v>
                </c:pt>
                <c:pt idx="437">
                  <c:v>45800</c:v>
                </c:pt>
                <c:pt idx="438">
                  <c:v>45807</c:v>
                </c:pt>
                <c:pt idx="439">
                  <c:v>45814</c:v>
                </c:pt>
                <c:pt idx="440">
                  <c:v>45821</c:v>
                </c:pt>
                <c:pt idx="441">
                  <c:v>45828</c:v>
                </c:pt>
                <c:pt idx="442">
                  <c:v>45835</c:v>
                </c:pt>
                <c:pt idx="443">
                  <c:v>45842</c:v>
                </c:pt>
                <c:pt idx="444">
                  <c:v>45849</c:v>
                </c:pt>
                <c:pt idx="445">
                  <c:v>45856</c:v>
                </c:pt>
                <c:pt idx="446">
                  <c:v>45863</c:v>
                </c:pt>
                <c:pt idx="447">
                  <c:v>45870</c:v>
                </c:pt>
                <c:pt idx="448">
                  <c:v>45877</c:v>
                </c:pt>
                <c:pt idx="449">
                  <c:v>45884</c:v>
                </c:pt>
                <c:pt idx="450">
                  <c:v>45891</c:v>
                </c:pt>
                <c:pt idx="451">
                  <c:v>45898</c:v>
                </c:pt>
                <c:pt idx="452">
                  <c:v>45905</c:v>
                </c:pt>
                <c:pt idx="453">
                  <c:v>45912</c:v>
                </c:pt>
                <c:pt idx="454">
                  <c:v>45919</c:v>
                </c:pt>
                <c:pt idx="455">
                  <c:v>45926</c:v>
                </c:pt>
                <c:pt idx="456">
                  <c:v>45933</c:v>
                </c:pt>
                <c:pt idx="457">
                  <c:v>45940</c:v>
                </c:pt>
                <c:pt idx="458">
                  <c:v>45947</c:v>
                </c:pt>
                <c:pt idx="459">
                  <c:v>45954</c:v>
                </c:pt>
                <c:pt idx="460">
                  <c:v>45961</c:v>
                </c:pt>
                <c:pt idx="461">
                  <c:v>45968</c:v>
                </c:pt>
                <c:pt idx="462">
                  <c:v>45975</c:v>
                </c:pt>
                <c:pt idx="463">
                  <c:v>45982</c:v>
                </c:pt>
                <c:pt idx="464">
                  <c:v>45989</c:v>
                </c:pt>
                <c:pt idx="465">
                  <c:v>45996</c:v>
                </c:pt>
                <c:pt idx="466">
                  <c:v>46003</c:v>
                </c:pt>
                <c:pt idx="467">
                  <c:v>46010</c:v>
                </c:pt>
                <c:pt idx="468">
                  <c:v>46017</c:v>
                </c:pt>
                <c:pt idx="469">
                  <c:v>46024</c:v>
                </c:pt>
                <c:pt idx="470">
                  <c:v>46031</c:v>
                </c:pt>
                <c:pt idx="471">
                  <c:v>46038</c:v>
                </c:pt>
                <c:pt idx="472">
                  <c:v>46045</c:v>
                </c:pt>
                <c:pt idx="473">
                  <c:v>46052</c:v>
                </c:pt>
                <c:pt idx="474">
                  <c:v>46059</c:v>
                </c:pt>
                <c:pt idx="475">
                  <c:v>46066</c:v>
                </c:pt>
                <c:pt idx="476">
                  <c:v>46073</c:v>
                </c:pt>
                <c:pt idx="477">
                  <c:v>46080</c:v>
                </c:pt>
                <c:pt idx="478">
                  <c:v>46087</c:v>
                </c:pt>
                <c:pt idx="479">
                  <c:v>46094</c:v>
                </c:pt>
                <c:pt idx="480">
                  <c:v>46101</c:v>
                </c:pt>
                <c:pt idx="481">
                  <c:v>46108</c:v>
                </c:pt>
                <c:pt idx="482">
                  <c:v>46115</c:v>
                </c:pt>
                <c:pt idx="483">
                  <c:v>46122</c:v>
                </c:pt>
                <c:pt idx="484">
                  <c:v>46129</c:v>
                </c:pt>
                <c:pt idx="485">
                  <c:v>46136</c:v>
                </c:pt>
                <c:pt idx="486">
                  <c:v>46143</c:v>
                </c:pt>
                <c:pt idx="487">
                  <c:v>46150</c:v>
                </c:pt>
                <c:pt idx="488">
                  <c:v>46157</c:v>
                </c:pt>
                <c:pt idx="489">
                  <c:v>46164</c:v>
                </c:pt>
                <c:pt idx="490">
                  <c:v>46171</c:v>
                </c:pt>
                <c:pt idx="491">
                  <c:v>46178</c:v>
                </c:pt>
                <c:pt idx="492">
                  <c:v>46185</c:v>
                </c:pt>
                <c:pt idx="493">
                  <c:v>46192</c:v>
                </c:pt>
                <c:pt idx="494">
                  <c:v>46199</c:v>
                </c:pt>
                <c:pt idx="495">
                  <c:v>46206</c:v>
                </c:pt>
                <c:pt idx="496">
                  <c:v>46213</c:v>
                </c:pt>
                <c:pt idx="497">
                  <c:v>46220</c:v>
                </c:pt>
                <c:pt idx="498">
                  <c:v>46227</c:v>
                </c:pt>
                <c:pt idx="499">
                  <c:v>46234</c:v>
                </c:pt>
              </c:numCache>
            </c:numRef>
          </c:cat>
          <c:val>
            <c:numRef>
              <c:f>Summary!$M$87:$M$586</c:f>
              <c:numCache>
                <c:formatCode>0.0\x_);\(0.0\x\)</c:formatCode>
                <c:ptCount val="500"/>
                <c:pt idx="0">
                  <c:v>5.5495051448143347</c:v>
                </c:pt>
                <c:pt idx="1">
                  <c:v>5.6111657887830813</c:v>
                </c:pt>
                <c:pt idx="2">
                  <c:v>5.6831725820061276</c:v>
                </c:pt>
                <c:pt idx="3">
                  <c:v>5.7954294452848458</c:v>
                </c:pt>
                <c:pt idx="4">
                  <c:v>5.7839406396328332</c:v>
                </c:pt>
                <c:pt idx="5">
                  <c:v>5.873151452777817</c:v>
                </c:pt>
                <c:pt idx="6">
                  <c:v>6.0301649067214438</c:v>
                </c:pt>
                <c:pt idx="7">
                  <c:v>6.0317462933415866</c:v>
                </c:pt>
                <c:pt idx="8">
                  <c:v>5.9540027439423806</c:v>
                </c:pt>
                <c:pt idx="9">
                  <c:v>6.088968162535715</c:v>
                </c:pt>
                <c:pt idx="10">
                  <c:v>6.1991029289129305</c:v>
                </c:pt>
                <c:pt idx="11">
                  <c:v>6.1484573063413199</c:v>
                </c:pt>
                <c:pt idx="12">
                  <c:v>6.2854428115777266</c:v>
                </c:pt>
                <c:pt idx="13">
                  <c:v>6.4576384730831764</c:v>
                </c:pt>
                <c:pt idx="14">
                  <c:v>6.3787282536739962</c:v>
                </c:pt>
                <c:pt idx="15">
                  <c:v>6.3408527758454643</c:v>
                </c:pt>
                <c:pt idx="16">
                  <c:v>6.6348193089163416</c:v>
                </c:pt>
                <c:pt idx="17">
                  <c:v>6.4750091907475138</c:v>
                </c:pt>
                <c:pt idx="18">
                  <c:v>6.5611077365165018</c:v>
                </c:pt>
                <c:pt idx="19">
                  <c:v>6.4348606483520827</c:v>
                </c:pt>
                <c:pt idx="20">
                  <c:v>6.6294139103024063</c:v>
                </c:pt>
                <c:pt idx="21">
                  <c:v>6.6601418791706237</c:v>
                </c:pt>
                <c:pt idx="22">
                  <c:v>6.4714580634054526</c:v>
                </c:pt>
                <c:pt idx="23">
                  <c:v>6.3506796055142019</c:v>
                </c:pt>
                <c:pt idx="24">
                  <c:v>6.6334624739036672</c:v>
                </c:pt>
                <c:pt idx="25">
                  <c:v>6.8222096732870856</c:v>
                </c:pt>
                <c:pt idx="26">
                  <c:v>6.8661008809057638</c:v>
                </c:pt>
                <c:pt idx="27">
                  <c:v>7.0419706263946296</c:v>
                </c:pt>
                <c:pt idx="28">
                  <c:v>7.1007550200148586</c:v>
                </c:pt>
                <c:pt idx="29">
                  <c:v>6.9597910223730839</c:v>
                </c:pt>
                <c:pt idx="30">
                  <c:v>6.8151490917935673</c:v>
                </c:pt>
                <c:pt idx="31">
                  <c:v>6.6628456999753478</c:v>
                </c:pt>
                <c:pt idx="32">
                  <c:v>6.7453293911032031</c:v>
                </c:pt>
                <c:pt idx="33">
                  <c:v>6.8745982815490789</c:v>
                </c:pt>
                <c:pt idx="34">
                  <c:v>7.0767739480187348</c:v>
                </c:pt>
                <c:pt idx="35">
                  <c:v>7.0477023050137593</c:v>
                </c:pt>
                <c:pt idx="36">
                  <c:v>7.0961645228997607</c:v>
                </c:pt>
                <c:pt idx="37">
                  <c:v>7.0071197421868137</c:v>
                </c:pt>
                <c:pt idx="38">
                  <c:v>7.0039170307586689</c:v>
                </c:pt>
                <c:pt idx="39">
                  <c:v>7.0736906834610549</c:v>
                </c:pt>
                <c:pt idx="40">
                  <c:v>7.0599789323963149</c:v>
                </c:pt>
                <c:pt idx="41">
                  <c:v>7.3426161490879256</c:v>
                </c:pt>
                <c:pt idx="42">
                  <c:v>7.3637944366665362</c:v>
                </c:pt>
                <c:pt idx="43">
                  <c:v>7.4571736663565655</c:v>
                </c:pt>
                <c:pt idx="44">
                  <c:v>7.2672568033396558</c:v>
                </c:pt>
                <c:pt idx="45">
                  <c:v>7.3936474955745881</c:v>
                </c:pt>
                <c:pt idx="46">
                  <c:v>7.4616686530066403</c:v>
                </c:pt>
                <c:pt idx="47">
                  <c:v>7.2295070569376874</c:v>
                </c:pt>
                <c:pt idx="48">
                  <c:v>7.1101520219328709</c:v>
                </c:pt>
                <c:pt idx="49">
                  <c:v>7.2774677398680065</c:v>
                </c:pt>
                <c:pt idx="50">
                  <c:v>7.2061561716672431</c:v>
                </c:pt>
                <c:pt idx="51">
                  <c:v>7.1522982594578313</c:v>
                </c:pt>
                <c:pt idx="52">
                  <c:v>7.3498833315214416</c:v>
                </c:pt>
                <c:pt idx="53">
                  <c:v>7.5032259977130931</c:v>
                </c:pt>
                <c:pt idx="54">
                  <c:v>7.4714897166562348</c:v>
                </c:pt>
                <c:pt idx="55">
                  <c:v>7.6711003830291418</c:v>
                </c:pt>
                <c:pt idx="56">
                  <c:v>7.44794421587945</c:v>
                </c:pt>
                <c:pt idx="57">
                  <c:v>7.1594783991844411</c:v>
                </c:pt>
                <c:pt idx="58">
                  <c:v>7.8313542921233363</c:v>
                </c:pt>
                <c:pt idx="59">
                  <c:v>7.9290621072987246</c:v>
                </c:pt>
                <c:pt idx="60">
                  <c:v>7.9229009589079897</c:v>
                </c:pt>
                <c:pt idx="61">
                  <c:v>8.3095522635173307</c:v>
                </c:pt>
                <c:pt idx="62">
                  <c:v>8.4101749381644204</c:v>
                </c:pt>
                <c:pt idx="63">
                  <c:v>7.914291305268077</c:v>
                </c:pt>
                <c:pt idx="64">
                  <c:v>7.9417694303196926</c:v>
                </c:pt>
                <c:pt idx="65">
                  <c:v>7.9369441100952045</c:v>
                </c:pt>
                <c:pt idx="66">
                  <c:v>8.1548884198389153</c:v>
                </c:pt>
                <c:pt idx="67">
                  <c:v>8.2791885838816022</c:v>
                </c:pt>
                <c:pt idx="68">
                  <c:v>8.0140254226521037</c:v>
                </c:pt>
                <c:pt idx="69">
                  <c:v>8.2738897286940034</c:v>
                </c:pt>
                <c:pt idx="70">
                  <c:v>8.6011304808407125</c:v>
                </c:pt>
                <c:pt idx="71">
                  <c:v>8.5822192697082151</c:v>
                </c:pt>
                <c:pt idx="72">
                  <c:v>8.5965843731291276</c:v>
                </c:pt>
                <c:pt idx="73">
                  <c:v>8.8074960365502726</c:v>
                </c:pt>
                <c:pt idx="74">
                  <c:v>9.0247262836030586</c:v>
                </c:pt>
                <c:pt idx="75">
                  <c:v>9.1997158483867771</c:v>
                </c:pt>
                <c:pt idx="76">
                  <c:v>8.9545888770966933</c:v>
                </c:pt>
                <c:pt idx="77">
                  <c:v>8.9458244221651544</c:v>
                </c:pt>
                <c:pt idx="78">
                  <c:v>9.2208667315354571</c:v>
                </c:pt>
                <c:pt idx="79">
                  <c:v>9.5362705099054441</c:v>
                </c:pt>
                <c:pt idx="80">
                  <c:v>9.5125466554616001</c:v>
                </c:pt>
                <c:pt idx="81">
                  <c:v>9.3811862696504562</c:v>
                </c:pt>
                <c:pt idx="82">
                  <c:v>9.3679632678063562</c:v>
                </c:pt>
                <c:pt idx="83">
                  <c:v>9.5357177558446722</c:v>
                </c:pt>
                <c:pt idx="84">
                  <c:v>9.2981771097798429</c:v>
                </c:pt>
                <c:pt idx="85">
                  <c:v>9.7378159613452038</c:v>
                </c:pt>
                <c:pt idx="86">
                  <c:v>9.8899389167099176</c:v>
                </c:pt>
                <c:pt idx="87">
                  <c:v>9.7447239135060677</c:v>
                </c:pt>
                <c:pt idx="88">
                  <c:v>10.167449347971669</c:v>
                </c:pt>
                <c:pt idx="89">
                  <c:v>9.8380181641972708</c:v>
                </c:pt>
                <c:pt idx="90">
                  <c:v>10.057658989621777</c:v>
                </c:pt>
                <c:pt idx="91">
                  <c:v>9.6103322399444018</c:v>
                </c:pt>
                <c:pt idx="92">
                  <c:v>8.968964343245414</c:v>
                </c:pt>
                <c:pt idx="93">
                  <c:v>8.7452821636761762</c:v>
                </c:pt>
                <c:pt idx="94">
                  <c:v>8.5873357033778372</c:v>
                </c:pt>
                <c:pt idx="95">
                  <c:v>9.162151436646905</c:v>
                </c:pt>
                <c:pt idx="96">
                  <c:v>8.9031943456822571</c:v>
                </c:pt>
                <c:pt idx="97">
                  <c:v>8.6944353767219393</c:v>
                </c:pt>
                <c:pt idx="98">
                  <c:v>8.1925261691367623</c:v>
                </c:pt>
                <c:pt idx="99">
                  <c:v>8.9293958412699261</c:v>
                </c:pt>
                <c:pt idx="100">
                  <c:v>8.600109236094351</c:v>
                </c:pt>
                <c:pt idx="101">
                  <c:v>8.382631368443791</c:v>
                </c:pt>
                <c:pt idx="102">
                  <c:v>7.7387456188293582</c:v>
                </c:pt>
                <c:pt idx="103">
                  <c:v>8.1913514852610749</c:v>
                </c:pt>
                <c:pt idx="104">
                  <c:v>8.2646164896649399</c:v>
                </c:pt>
                <c:pt idx="105">
                  <c:v>8.7319181802513093</c:v>
                </c:pt>
                <c:pt idx="106">
                  <c:v>9.0352906714016061</c:v>
                </c:pt>
                <c:pt idx="107">
                  <c:v>9.0309210479689117</c:v>
                </c:pt>
                <c:pt idx="108">
                  <c:v>9.201346920183191</c:v>
                </c:pt>
                <c:pt idx="109">
                  <c:v>9.4310622567949896</c:v>
                </c:pt>
                <c:pt idx="110">
                  <c:v>9.7047415890062716</c:v>
                </c:pt>
                <c:pt idx="111">
                  <c:v>9.6905725698721632</c:v>
                </c:pt>
                <c:pt idx="112">
                  <c:v>9.7060072909100086</c:v>
                </c:pt>
                <c:pt idx="113">
                  <c:v>9.3951460424247077</c:v>
                </c:pt>
                <c:pt idx="114">
                  <c:v>9.5716797386237502</c:v>
                </c:pt>
                <c:pt idx="115">
                  <c:v>9.6962468182919075</c:v>
                </c:pt>
                <c:pt idx="116">
                  <c:v>9.7011255108747001</c:v>
                </c:pt>
                <c:pt idx="117">
                  <c:v>9.8218463526281958</c:v>
                </c:pt>
                <c:pt idx="118">
                  <c:v>9.9769303685613551</c:v>
                </c:pt>
                <c:pt idx="119">
                  <c:v>9.7990175796080674</c:v>
                </c:pt>
                <c:pt idx="120">
                  <c:v>10.36161288327123</c:v>
                </c:pt>
                <c:pt idx="121">
                  <c:v>10.368440984890306</c:v>
                </c:pt>
                <c:pt idx="122">
                  <c:v>10.215416006803991</c:v>
                </c:pt>
                <c:pt idx="123">
                  <c:v>10.06002855901453</c:v>
                </c:pt>
                <c:pt idx="124">
                  <c:v>9.9275641856832113</c:v>
                </c:pt>
                <c:pt idx="125">
                  <c:v>9.8586134534514525</c:v>
                </c:pt>
                <c:pt idx="126">
                  <c:v>10.277302764314042</c:v>
                </c:pt>
                <c:pt idx="127">
                  <c:v>10.009253691307661</c:v>
                </c:pt>
                <c:pt idx="128">
                  <c:v>10.432616937111797</c:v>
                </c:pt>
                <c:pt idx="129">
                  <c:v>10.158204564932166</c:v>
                </c:pt>
                <c:pt idx="130">
                  <c:v>10.422078986866966</c:v>
                </c:pt>
                <c:pt idx="131">
                  <c:v>10.526470988737135</c:v>
                </c:pt>
                <c:pt idx="132">
                  <c:v>10.387488020799257</c:v>
                </c:pt>
                <c:pt idx="133">
                  <c:v>10.515817420665286</c:v>
                </c:pt>
                <c:pt idx="134">
                  <c:v>10.042940520325459</c:v>
                </c:pt>
                <c:pt idx="135">
                  <c:v>9.8962164003934561</c:v>
                </c:pt>
                <c:pt idx="136">
                  <c:v>9.7097967161122032</c:v>
                </c:pt>
                <c:pt idx="137">
                  <c:v>9.6226198686581021</c:v>
                </c:pt>
                <c:pt idx="138">
                  <c:v>9.6312138950108697</c:v>
                </c:pt>
                <c:pt idx="139">
                  <c:v>9.5910661917164415</c:v>
                </c:pt>
                <c:pt idx="140">
                  <c:v>9.0778425493974471</c:v>
                </c:pt>
                <c:pt idx="141">
                  <c:v>9.0958653617541021</c:v>
                </c:pt>
                <c:pt idx="142">
                  <c:v>8.8636903926474595</c:v>
                </c:pt>
                <c:pt idx="143">
                  <c:v>8.8903757001862349</c:v>
                </c:pt>
                <c:pt idx="144">
                  <c:v>8.9280768966893955</c:v>
                </c:pt>
                <c:pt idx="145">
                  <c:v>8.6851792119872027</c:v>
                </c:pt>
                <c:pt idx="146">
                  <c:v>8.908301718012174</c:v>
                </c:pt>
                <c:pt idx="147">
                  <c:v>9.165217478378576</c:v>
                </c:pt>
                <c:pt idx="148">
                  <c:v>9.2411380684629822</c:v>
                </c:pt>
                <c:pt idx="149">
                  <c:v>9.3555336367453776</c:v>
                </c:pt>
                <c:pt idx="150">
                  <c:v>9.280933883907128</c:v>
                </c:pt>
                <c:pt idx="151">
                  <c:v>9.3410662808843981</c:v>
                </c:pt>
                <c:pt idx="152">
                  <c:v>9.2046432250910062</c:v>
                </c:pt>
                <c:pt idx="153">
                  <c:v>9.3449732079842427</c:v>
                </c:pt>
                <c:pt idx="154">
                  <c:v>9.4318102978007889</c:v>
                </c:pt>
                <c:pt idx="155">
                  <c:v>9.5140955618849468</c:v>
                </c:pt>
                <c:pt idx="156">
                  <c:v>9.7173537456481078</c:v>
                </c:pt>
                <c:pt idx="157">
                  <c:v>10.160394232199829</c:v>
                </c:pt>
                <c:pt idx="158">
                  <c:v>10.326162186384035</c:v>
                </c:pt>
                <c:pt idx="159">
                  <c:v>10.28475845279662</c:v>
                </c:pt>
                <c:pt idx="160">
                  <c:v>10.079256387752341</c:v>
                </c:pt>
                <c:pt idx="161">
                  <c:v>10.283208242665053</c:v>
                </c:pt>
                <c:pt idx="162">
                  <c:v>10.604782534327146</c:v>
                </c:pt>
                <c:pt idx="163">
                  <c:v>10.341947665379418</c:v>
                </c:pt>
                <c:pt idx="164">
                  <c:v>9.5108013599632493</c:v>
                </c:pt>
                <c:pt idx="165">
                  <c:v>9.3948169427877595</c:v>
                </c:pt>
                <c:pt idx="166">
                  <c:v>8.7282953696712777</c:v>
                </c:pt>
                <c:pt idx="167">
                  <c:v>7.6913293299142351</c:v>
                </c:pt>
                <c:pt idx="168">
                  <c:v>8.3043120253942018</c:v>
                </c:pt>
                <c:pt idx="169">
                  <c:v>8.1300161550830961</c:v>
                </c:pt>
                <c:pt idx="170">
                  <c:v>9.0231515102171613</c:v>
                </c:pt>
                <c:pt idx="171">
                  <c:v>9.6670146730049247</c:v>
                </c:pt>
                <c:pt idx="172">
                  <c:v>9.7042929281762937</c:v>
                </c:pt>
                <c:pt idx="173">
                  <c:v>9.5241291051519088</c:v>
                </c:pt>
                <c:pt idx="174">
                  <c:v>10.392933127749789</c:v>
                </c:pt>
                <c:pt idx="175">
                  <c:v>10.861109829159897</c:v>
                </c:pt>
                <c:pt idx="176">
                  <c:v>11.090954856538398</c:v>
                </c:pt>
                <c:pt idx="177">
                  <c:v>11.260705579210954</c:v>
                </c:pt>
                <c:pt idx="178">
                  <c:v>11.055375538615447</c:v>
                </c:pt>
                <c:pt idx="179">
                  <c:v>11.062805676874586</c:v>
                </c:pt>
                <c:pt idx="180">
                  <c:v>11.566139446869105</c:v>
                </c:pt>
                <c:pt idx="181">
                  <c:v>11.515199513704744</c:v>
                </c:pt>
                <c:pt idx="182">
                  <c:v>12.06362126555589</c:v>
                </c:pt>
                <c:pt idx="183">
                  <c:v>12.460394029210631</c:v>
                </c:pt>
                <c:pt idx="184">
                  <c:v>11.637966070168057</c:v>
                </c:pt>
                <c:pt idx="185">
                  <c:v>11.706921985372656</c:v>
                </c:pt>
                <c:pt idx="186">
                  <c:v>12.133051876171518</c:v>
                </c:pt>
                <c:pt idx="187">
                  <c:v>12.18295033238512</c:v>
                </c:pt>
                <c:pt idx="188">
                  <c:v>11.90887179334562</c:v>
                </c:pt>
                <c:pt idx="189">
                  <c:v>12.255164463400291</c:v>
                </c:pt>
                <c:pt idx="190">
                  <c:v>20.557758450706572</c:v>
                </c:pt>
                <c:pt idx="191">
                  <c:v>18.177472257406752</c:v>
                </c:pt>
                <c:pt idx="192">
                  <c:v>15.949668293374614</c:v>
                </c:pt>
                <c:pt idx="193">
                  <c:v>15.368093274598861</c:v>
                </c:pt>
                <c:pt idx="194">
                  <c:v>15.752942101945067</c:v>
                </c:pt>
                <c:pt idx="195">
                  <c:v>14.129719502527252</c:v>
                </c:pt>
                <c:pt idx="196">
                  <c:v>15.4295371133554</c:v>
                </c:pt>
                <c:pt idx="197">
                  <c:v>15.441386612391122</c:v>
                </c:pt>
                <c:pt idx="198">
                  <c:v>14.438799579708679</c:v>
                </c:pt>
                <c:pt idx="199">
                  <c:v>12.878583406449971</c:v>
                </c:pt>
                <c:pt idx="200">
                  <c:v>14.062131243661142</c:v>
                </c:pt>
                <c:pt idx="201">
                  <c:v>12.72096392498525</c:v>
                </c:pt>
                <c:pt idx="202">
                  <c:v>12.830498713992116</c:v>
                </c:pt>
                <c:pt idx="203">
                  <c:v>13.495619700883216</c:v>
                </c:pt>
                <c:pt idx="204">
                  <c:v>13.390193917079756</c:v>
                </c:pt>
                <c:pt idx="205">
                  <c:v>12.994256336715926</c:v>
                </c:pt>
                <c:pt idx="206">
                  <c:v>13.202293789416606</c:v>
                </c:pt>
                <c:pt idx="207">
                  <c:v>13.156825553249428</c:v>
                </c:pt>
                <c:pt idx="208">
                  <c:v>13.708083654683987</c:v>
                </c:pt>
                <c:pt idx="209">
                  <c:v>13.500011779760852</c:v>
                </c:pt>
                <c:pt idx="210">
                  <c:v>12.835309943998118</c:v>
                </c:pt>
                <c:pt idx="211">
                  <c:v>13.598486295844589</c:v>
                </c:pt>
                <c:pt idx="212">
                  <c:v>13.948764937534557</c:v>
                </c:pt>
                <c:pt idx="213">
                  <c:v>14.663814400913481</c:v>
                </c:pt>
                <c:pt idx="214">
                  <c:v>14.252376981730436</c:v>
                </c:pt>
                <c:pt idx="215">
                  <c:v>14.18961621812889</c:v>
                </c:pt>
                <c:pt idx="216">
                  <c:v>12.705665626491971</c:v>
                </c:pt>
                <c:pt idx="217">
                  <c:v>12.217199355241744</c:v>
                </c:pt>
                <c:pt idx="218">
                  <c:v>12.074568345065201</c:v>
                </c:pt>
                <c:pt idx="219">
                  <c:v>11.736295550372434</c:v>
                </c:pt>
                <c:pt idx="220">
                  <c:v>11.853626648418702</c:v>
                </c:pt>
                <c:pt idx="221">
                  <c:v>12.477842488984825</c:v>
                </c:pt>
                <c:pt idx="222">
                  <c:v>12.649497553589676</c:v>
                </c:pt>
                <c:pt idx="223">
                  <c:v>12.875407982158622</c:v>
                </c:pt>
                <c:pt idx="224">
                  <c:v>12.506329107697205</c:v>
                </c:pt>
                <c:pt idx="225">
                  <c:v>13.019952187578548</c:v>
                </c:pt>
                <c:pt idx="226">
                  <c:v>11.961426443816976</c:v>
                </c:pt>
                <c:pt idx="227">
                  <c:v>11.27311542064775</c:v>
                </c:pt>
                <c:pt idx="228">
                  <c:v>11.683070391302913</c:v>
                </c:pt>
                <c:pt idx="229">
                  <c:v>12.048489176762866</c:v>
                </c:pt>
                <c:pt idx="230">
                  <c:v>12.006070450208933</c:v>
                </c:pt>
                <c:pt idx="231">
                  <c:v>12.64071775387246</c:v>
                </c:pt>
                <c:pt idx="232">
                  <c:v>13.026294909918596</c:v>
                </c:pt>
                <c:pt idx="233">
                  <c:v>13.12748091495382</c:v>
                </c:pt>
                <c:pt idx="234">
                  <c:v>13.522608960511091</c:v>
                </c:pt>
                <c:pt idx="235">
                  <c:v>13.833532758658039</c:v>
                </c:pt>
                <c:pt idx="236">
                  <c:v>13.07495123302713</c:v>
                </c:pt>
                <c:pt idx="237">
                  <c:v>13.711983202669513</c:v>
                </c:pt>
                <c:pt idx="238">
                  <c:v>13.341487775448032</c:v>
                </c:pt>
                <c:pt idx="239">
                  <c:v>12.697906004459218</c:v>
                </c:pt>
                <c:pt idx="240">
                  <c:v>12.228469222635217</c:v>
                </c:pt>
                <c:pt idx="241">
                  <c:v>11.926844371301335</c:v>
                </c:pt>
                <c:pt idx="242">
                  <c:v>12.35440120214858</c:v>
                </c:pt>
                <c:pt idx="243">
                  <c:v>12.500601980058129</c:v>
                </c:pt>
                <c:pt idx="244">
                  <c:v>12.042978163294626</c:v>
                </c:pt>
                <c:pt idx="245">
                  <c:v>12.084582508960438</c:v>
                </c:pt>
                <c:pt idx="246">
                  <c:v>11.751085408054427</c:v>
                </c:pt>
                <c:pt idx="247">
                  <c:v>11.048867880871958</c:v>
                </c:pt>
                <c:pt idx="248">
                  <c:v>10.936846541713573</c:v>
                </c:pt>
                <c:pt idx="249">
                  <c:v>11.431727582318716</c:v>
                </c:pt>
                <c:pt idx="250">
                  <c:v>11.541761397452882</c:v>
                </c:pt>
                <c:pt idx="251">
                  <c:v>11.437305351096612</c:v>
                </c:pt>
                <c:pt idx="252">
                  <c:v>12.230441903470942</c:v>
                </c:pt>
                <c:pt idx="253">
                  <c:v>12.180540927814528</c:v>
                </c:pt>
                <c:pt idx="254">
                  <c:v>11.810804404500475</c:v>
                </c:pt>
                <c:pt idx="255">
                  <c:v>11.383723812548469</c:v>
                </c:pt>
                <c:pt idx="256">
                  <c:v>10.550022778073169</c:v>
                </c:pt>
                <c:pt idx="257">
                  <c:v>10.742351662040823</c:v>
                </c:pt>
                <c:pt idx="258">
                  <c:v>10.114041620871166</c:v>
                </c:pt>
                <c:pt idx="259">
                  <c:v>10.479225883341089</c:v>
                </c:pt>
                <c:pt idx="260">
                  <c:v>10.325385884763852</c:v>
                </c:pt>
                <c:pt idx="261">
                  <c:v>9.4674327341586526</c:v>
                </c:pt>
                <c:pt idx="262">
                  <c:v>9.243898845998201</c:v>
                </c:pt>
                <c:pt idx="263">
                  <c:v>8.6987746110169013</c:v>
                </c:pt>
                <c:pt idx="264">
                  <c:v>8.7647092677172775</c:v>
                </c:pt>
                <c:pt idx="265">
                  <c:v>8.8006448480762316</c:v>
                </c:pt>
                <c:pt idx="266">
                  <c:v>8.4999370265055862</c:v>
                </c:pt>
                <c:pt idx="267">
                  <c:v>7.8284131954366432</c:v>
                </c:pt>
                <c:pt idx="268">
                  <c:v>8.0509374424338151</c:v>
                </c:pt>
                <c:pt idx="269">
                  <c:v>7.6756846435391033</c:v>
                </c:pt>
                <c:pt idx="270">
                  <c:v>7.2363671529354567</c:v>
                </c:pt>
                <c:pt idx="271">
                  <c:v>7.896909578805416</c:v>
                </c:pt>
                <c:pt idx="272">
                  <c:v>7.7015568335206943</c:v>
                </c:pt>
                <c:pt idx="273">
                  <c:v>8.072850696157678</c:v>
                </c:pt>
                <c:pt idx="274">
                  <c:v>7.6918067723371708</c:v>
                </c:pt>
                <c:pt idx="275">
                  <c:v>7.4626492792959622</c:v>
                </c:pt>
                <c:pt idx="276">
                  <c:v>7.0177468590100558</c:v>
                </c:pt>
                <c:pt idx="277">
                  <c:v>6.5953063791169697</c:v>
                </c:pt>
                <c:pt idx="278">
                  <c:v>6.4219329630790467</c:v>
                </c:pt>
                <c:pt idx="279">
                  <c:v>6.2758438912111485</c:v>
                </c:pt>
                <c:pt idx="280">
                  <c:v>6.2576314879441455</c:v>
                </c:pt>
                <c:pt idx="281">
                  <c:v>6.591745362625069</c:v>
                </c:pt>
                <c:pt idx="282">
                  <c:v>6.5625758740486289</c:v>
                </c:pt>
                <c:pt idx="283">
                  <c:v>6.2121245777283827</c:v>
                </c:pt>
                <c:pt idx="284">
                  <c:v>5.7888670286164006</c:v>
                </c:pt>
                <c:pt idx="285">
                  <c:v>6.3590106698278133</c:v>
                </c:pt>
                <c:pt idx="286">
                  <c:v>6.1256823515591483</c:v>
                </c:pt>
                <c:pt idx="287">
                  <c:v>6.4057565665911342</c:v>
                </c:pt>
                <c:pt idx="288">
                  <c:v>6.1790288846859092</c:v>
                </c:pt>
                <c:pt idx="289">
                  <c:v>6.444278518177363</c:v>
                </c:pt>
                <c:pt idx="290">
                  <c:v>6.4732930238972353</c:v>
                </c:pt>
                <c:pt idx="291">
                  <c:v>6.9289181182473243</c:v>
                </c:pt>
                <c:pt idx="292">
                  <c:v>7.164295306938059</c:v>
                </c:pt>
                <c:pt idx="293">
                  <c:v>6.881583347630726</c:v>
                </c:pt>
                <c:pt idx="294">
                  <c:v>6.3601983184411353</c:v>
                </c:pt>
                <c:pt idx="295">
                  <c:v>6.0402173240031045</c:v>
                </c:pt>
                <c:pt idx="296">
                  <c:v>6.4347341890995979</c:v>
                </c:pt>
                <c:pt idx="297">
                  <c:v>5.7822163217874376</c:v>
                </c:pt>
                <c:pt idx="298">
                  <c:v>5.574522995636201</c:v>
                </c:pt>
                <c:pt idx="299">
                  <c:v>5.5491386137413707</c:v>
                </c:pt>
                <c:pt idx="300">
                  <c:v>5.7195401075345051</c:v>
                </c:pt>
                <c:pt idx="301">
                  <c:v>5.4486453671770176</c:v>
                </c:pt>
                <c:pt idx="302">
                  <c:v>5.8066472448638615</c:v>
                </c:pt>
                <c:pt idx="303">
                  <c:v>6.262012046380665</c:v>
                </c:pt>
                <c:pt idx="304">
                  <c:v>5.3075516732278478</c:v>
                </c:pt>
                <c:pt idx="305">
                  <c:v>5.9613432171567888</c:v>
                </c:pt>
                <c:pt idx="306">
                  <c:v>5.8236164490229747</c:v>
                </c:pt>
                <c:pt idx="307">
                  <c:v>5.9323215240186862</c:v>
                </c:pt>
                <c:pt idx="308">
                  <c:v>6.0545889971272482</c:v>
                </c:pt>
                <c:pt idx="309">
                  <c:v>5.7992282529143644</c:v>
                </c:pt>
                <c:pt idx="310">
                  <c:v>5.8472501537245991</c:v>
                </c:pt>
                <c:pt idx="311">
                  <c:v>5.8145927088751179</c:v>
                </c:pt>
                <c:pt idx="312">
                  <c:v>5.8967900030082978</c:v>
                </c:pt>
                <c:pt idx="313">
                  <c:v>5.879084074702412</c:v>
                </c:pt>
                <c:pt idx="314">
                  <c:v>6.1970438356217672</c:v>
                </c:pt>
                <c:pt idx="315">
                  <c:v>6.321613457072222</c:v>
                </c:pt>
                <c:pt idx="316">
                  <c:v>6.5716612607173301</c:v>
                </c:pt>
                <c:pt idx="317">
                  <c:v>6.6169513286837569</c:v>
                </c:pt>
                <c:pt idx="318">
                  <c:v>6.4257835636351315</c:v>
                </c:pt>
                <c:pt idx="319">
                  <c:v>6.2766181672567543</c:v>
                </c:pt>
                <c:pt idx="320">
                  <c:v>5.9843940197873051</c:v>
                </c:pt>
                <c:pt idx="321">
                  <c:v>6.239255639438106</c:v>
                </c:pt>
                <c:pt idx="322">
                  <c:v>5.8576213478508699</c:v>
                </c:pt>
                <c:pt idx="323">
                  <c:v>6.0496678449076748</c:v>
                </c:pt>
                <c:pt idx="324">
                  <c:v>6.2696447806703182</c:v>
                </c:pt>
                <c:pt idx="325">
                  <c:v>6.4202328453331887</c:v>
                </c:pt>
                <c:pt idx="326">
                  <c:v>6.308269792729738</c:v>
                </c:pt>
                <c:pt idx="327">
                  <c:v>6.2930246871851701</c:v>
                </c:pt>
                <c:pt idx="328">
                  <c:v>6.3325918522713209</c:v>
                </c:pt>
                <c:pt idx="329">
                  <c:v>6.2671705761134531</c:v>
                </c:pt>
                <c:pt idx="330">
                  <c:v>6.0155560900566272</c:v>
                </c:pt>
                <c:pt idx="331">
                  <c:v>6.0031552654943914</c:v>
                </c:pt>
                <c:pt idx="332">
                  <c:v>6.2365779000903698</c:v>
                </c:pt>
                <c:pt idx="333">
                  <c:v>6.4182572108548896</c:v>
                </c:pt>
                <c:pt idx="334">
                  <c:v>6.5520776887087377</c:v>
                </c:pt>
                <c:pt idx="335">
                  <c:v>6.5068871045519536</c:v>
                </c:pt>
                <c:pt idx="336">
                  <c:v>6.7492736017033907</c:v>
                </c:pt>
                <c:pt idx="337">
                  <c:v>6.5892308041013017</c:v>
                </c:pt>
                <c:pt idx="338">
                  <c:v>6.7302950360686467</c:v>
                </c:pt>
                <c:pt idx="339">
                  <c:v>6.6343680925732533</c:v>
                </c:pt>
                <c:pt idx="340">
                  <c:v>6.8131573544443986</c:v>
                </c:pt>
                <c:pt idx="341">
                  <c:v>6.8182316313656388</c:v>
                </c:pt>
                <c:pt idx="342">
                  <c:v>6.80156594210536</c:v>
                </c:pt>
                <c:pt idx="343">
                  <c:v>6.7764033239436792</c:v>
                </c:pt>
                <c:pt idx="344">
                  <c:v>6.6150204853765224</c:v>
                </c:pt>
                <c:pt idx="345">
                  <c:v>6.505065732250249</c:v>
                </c:pt>
                <c:pt idx="346">
                  <c:v>6.6566542650995402</c:v>
                </c:pt>
                <c:pt idx="347">
                  <c:v>6.8712018094421188</c:v>
                </c:pt>
                <c:pt idx="348">
                  <c:v>6.8582980613600739</c:v>
                </c:pt>
                <c:pt idx="349">
                  <c:v>6.6265646801864628</c:v>
                </c:pt>
                <c:pt idx="350">
                  <c:v>6.4334986985651703</c:v>
                </c:pt>
                <c:pt idx="351">
                  <c:v>6.3943917851204617</c:v>
                </c:pt>
                <c:pt idx="352">
                  <c:v>6.5010989499591139</c:v>
                </c:pt>
                <c:pt idx="353">
                  <c:v>6.4875228576683668</c:v>
                </c:pt>
                <c:pt idx="354">
                  <c:v>6.4699583725201633</c:v>
                </c:pt>
                <c:pt idx="355">
                  <c:v>6.0872077022880751</c:v>
                </c:pt>
                <c:pt idx="356">
                  <c:v>6.5927804721105732</c:v>
                </c:pt>
                <c:pt idx="357">
                  <c:v>6.7521898571304417</c:v>
                </c:pt>
                <c:pt idx="358">
                  <c:v>6.9210909953907453</c:v>
                </c:pt>
                <c:pt idx="359">
                  <c:v>7.0055152024124068</c:v>
                </c:pt>
                <c:pt idx="360">
                  <c:v>7.2843873539533988</c:v>
                </c:pt>
                <c:pt idx="361">
                  <c:v>7.1606045864583239</c:v>
                </c:pt>
                <c:pt idx="362">
                  <c:v>7.1271070943964387</c:v>
                </c:pt>
                <c:pt idx="363">
                  <c:v>7.2623371436998037</c:v>
                </c:pt>
                <c:pt idx="364">
                  <c:v>7.2415747775542378</c:v>
                </c:pt>
                <c:pt idx="365">
                  <c:v>6.8683338010905786</c:v>
                </c:pt>
                <c:pt idx="366">
                  <c:v>7.201151088280672</c:v>
                </c:pt>
                <c:pt idx="367">
                  <c:v>7.3159323691379434</c:v>
                </c:pt>
                <c:pt idx="368">
                  <c:v>7.2889634019431435</c:v>
                </c:pt>
                <c:pt idx="369">
                  <c:v>7.3321729608025157</c:v>
                </c:pt>
                <c:pt idx="370">
                  <c:v>7.3870233667415208</c:v>
                </c:pt>
                <c:pt idx="371">
                  <c:v>6.9991739003297626</c:v>
                </c:pt>
                <c:pt idx="372">
                  <c:v>7.1080357257752302</c:v>
                </c:pt>
                <c:pt idx="373">
                  <c:v>7.2779527680467728</c:v>
                </c:pt>
                <c:pt idx="374">
                  <c:v>7.0910023926318573</c:v>
                </c:pt>
                <c:pt idx="375">
                  <c:v>6.8077204879850148</c:v>
                </c:pt>
                <c:pt idx="376">
                  <c:v>6.9122138861753868</c:v>
                </c:pt>
                <c:pt idx="377">
                  <c:v>6.793772032656169</c:v>
                </c:pt>
                <c:pt idx="378">
                  <c:v>6.7103418142255178</c:v>
                </c:pt>
                <c:pt idx="379">
                  <c:v>6.5364282828259981</c:v>
                </c:pt>
                <c:pt idx="380">
                  <c:v>6.320474876319655</c:v>
                </c:pt>
                <c:pt idx="381">
                  <c:v>6.3241400246773907</c:v>
                </c:pt>
                <c:pt idx="382">
                  <c:v>6.2369584947872569</c:v>
                </c:pt>
                <c:pt idx="383">
                  <c:v>6.3831977326569875</c:v>
                </c:pt>
                <c:pt idx="384">
                  <c:v>6.5007318241582013</c:v>
                </c:pt>
                <c:pt idx="385">
                  <c:v>6.6268501097637014</c:v>
                </c:pt>
                <c:pt idx="386">
                  <c:v>6.335105047253065</c:v>
                </c:pt>
                <c:pt idx="387">
                  <c:v>6.524062009972682</c:v>
                </c:pt>
                <c:pt idx="388">
                  <c:v>6.6264222376774606</c:v>
                </c:pt>
                <c:pt idx="389">
                  <c:v>6.6605590565271813</c:v>
                </c:pt>
                <c:pt idx="390">
                  <c:v>6.7816548518916173</c:v>
                </c:pt>
                <c:pt idx="391">
                  <c:v>6.8499134169702032</c:v>
                </c:pt>
                <c:pt idx="392">
                  <c:v>6.81190329439585</c:v>
                </c:pt>
                <c:pt idx="393">
                  <c:v>6.7397337547461476</c:v>
                </c:pt>
                <c:pt idx="394">
                  <c:v>6.8103658460285414</c:v>
                </c:pt>
                <c:pt idx="395">
                  <c:v>6.6287629762954845</c:v>
                </c:pt>
                <c:pt idx="396">
                  <c:v>6.6337464907713466</c:v>
                </c:pt>
                <c:pt idx="397">
                  <c:v>6.8404871316523943</c:v>
                </c:pt>
                <c:pt idx="398">
                  <c:v>6.8555017962756741</c:v>
                </c:pt>
                <c:pt idx="399">
                  <c:v>6.9100932989351342</c:v>
                </c:pt>
                <c:pt idx="400">
                  <c:v>6.6650620816417474</c:v>
                </c:pt>
                <c:pt idx="401">
                  <c:v>6.6428982562588601</c:v>
                </c:pt>
                <c:pt idx="402">
                  <c:v>6.6899551299963411</c:v>
                </c:pt>
                <c:pt idx="403">
                  <c:v>6.8136026221555825</c:v>
                </c:pt>
                <c:pt idx="404">
                  <c:v>6.6503733072033349</c:v>
                </c:pt>
                <c:pt idx="405">
                  <c:v>6.6837434863490204</c:v>
                </c:pt>
                <c:pt idx="406">
                  <c:v>6.7298110344248938</c:v>
                </c:pt>
                <c:pt idx="407">
                  <c:v>6.5253461220662814</c:v>
                </c:pt>
                <c:pt idx="408">
                  <c:v>6.4910671894268708</c:v>
                </c:pt>
                <c:pt idx="409">
                  <c:v>6.8520294427035466</c:v>
                </c:pt>
                <c:pt idx="410">
                  <c:v>6.9103179354272726</c:v>
                </c:pt>
                <c:pt idx="411">
                  <c:v>7.2641419773110938</c:v>
                </c:pt>
                <c:pt idx="412">
                  <c:v>7.3465545209136387</c:v>
                </c:pt>
                <c:pt idx="413">
                  <c:v>7.6541481463884447</c:v>
                </c:pt>
                <c:pt idx="414">
                  <c:v>7.3890597621028791</c:v>
                </c:pt>
                <c:pt idx="415">
                  <c:v>7.2623163065352374</c:v>
                </c:pt>
                <c:pt idx="416">
                  <c:v>7.2561708438504526</c:v>
                </c:pt>
                <c:pt idx="417">
                  <c:v>7.2062751641775904</c:v>
                </c:pt>
                <c:pt idx="418">
                  <c:v>7.0075476706168205</c:v>
                </c:pt>
                <c:pt idx="419">
                  <c:v>7.274664243338349</c:v>
                </c:pt>
                <c:pt idx="420">
                  <c:v>7.3329061857291933</c:v>
                </c:pt>
                <c:pt idx="421">
                  <c:v>7.4640261681961055</c:v>
                </c:pt>
                <c:pt idx="422">
                  <c:v>7.3667518083159775</c:v>
                </c:pt>
                <c:pt idx="423">
                  <c:v>7.4099304376567217</c:v>
                </c:pt>
                <c:pt idx="424">
                  <c:v>7.1331674346556726</c:v>
                </c:pt>
                <c:pt idx="425">
                  <c:v>7.1760096115171601</c:v>
                </c:pt>
                <c:pt idx="426">
                  <c:v>7.0402214616592538</c:v>
                </c:pt>
                <c:pt idx="427">
                  <c:v>6.765976148706617</c:v>
                </c:pt>
                <c:pt idx="428">
                  <c:v>6.8222199752738808</c:v>
                </c:pt>
                <c:pt idx="429">
                  <c:v>6.7918561514664937</c:v>
                </c:pt>
                <c:pt idx="430">
                  <c:v>6.2866253097557383</c:v>
                </c:pt>
                <c:pt idx="431">
                  <c:v>6.490328338480194</c:v>
                </c:pt>
                <c:pt idx="432">
                  <c:v>6.4389764418589301</c:v>
                </c:pt>
                <c:pt idx="433">
                  <c:v>6.7901402431636066</c:v>
                </c:pt>
                <c:pt idx="434">
                  <c:v>6.9094223854449801</c:v>
                </c:pt>
                <c:pt idx="435">
                  <c:v>6.9506010000487564</c:v>
                </c:pt>
                <c:pt idx="436">
                  <c:v>7.209891035946363</c:v>
                </c:pt>
                <c:pt idx="437">
                  <c:v>6.8772704537071752</c:v>
                </c:pt>
                <c:pt idx="438">
                  <c:v>6.7592807993200319</c:v>
                </c:pt>
                <c:pt idx="439">
                  <c:v>6.939283706190448</c:v>
                </c:pt>
                <c:pt idx="440">
                  <c:v>6.6748416811201237</c:v>
                </c:pt>
                <c:pt idx="441">
                  <c:v>6.6807611750485689</c:v>
                </c:pt>
                <c:pt idx="442">
                  <c:v>6.8439913916154014</c:v>
                </c:pt>
                <c:pt idx="443">
                  <c:v>6.8021873706986655</c:v>
                </c:pt>
                <c:pt idx="444">
                  <c:v>6.5347522238831219</c:v>
                </c:pt>
                <c:pt idx="445">
                  <c:v>6.5878316621147706</c:v>
                </c:pt>
                <c:pt idx="446">
                  <c:v>6.7345777300834344</c:v>
                </c:pt>
                <c:pt idx="447">
                  <c:v>6.03787246774574</c:v>
                </c:pt>
                <c:pt idx="448">
                  <c:v>5.8898512492101167</c:v>
                </c:pt>
                <c:pt idx="449">
                  <c:v>5.9864633090236703</c:v>
                </c:pt>
                <c:pt idx="450">
                  <c:v>6.0651157722912901</c:v>
                </c:pt>
                <c:pt idx="451">
                  <c:v>6.1350452947804577</c:v>
                </c:pt>
                <c:pt idx="452">
                  <c:v>6.1821725060592412</c:v>
                </c:pt>
                <c:pt idx="453">
                  <c:v>6.2812421708448385</c:v>
                </c:pt>
                <c:pt idx="454">
                  <c:v>6.367572547131676</c:v>
                </c:pt>
                <c:pt idx="455">
                  <c:v>6.315906480120816</c:v>
                </c:pt>
                <c:pt idx="456">
                  <c:v>5.9390018994931539</c:v>
                </c:pt>
                <c:pt idx="457">
                  <c:v>5.6968360416579715</c:v>
                </c:pt>
                <c:pt idx="458">
                  <c:v>5.6865888187720017</c:v>
                </c:pt>
                <c:pt idx="459">
                  <c:v>5.6839330210656165</c:v>
                </c:pt>
                <c:pt idx="460">
                  <c:v>5.5858743203528931</c:v>
                </c:pt>
                <c:pt idx="461">
                  <c:v>5.4418194154164423</c:v>
                </c:pt>
                <c:pt idx="462">
                  <c:v>5.5144659540030352</c:v>
                </c:pt>
                <c:pt idx="463">
                  <c:v>5.2584067506421048</c:v>
                </c:pt>
                <c:pt idx="464">
                  <c:v>5.2775145588584564</c:v>
                </c:pt>
                <c:pt idx="465">
                  <c:v>5.4330718945741587</c:v>
                </c:pt>
                <c:pt idx="466">
                  <c:v>5.3911546750134747</c:v>
                </c:pt>
                <c:pt idx="467">
                  <c:v>5.4097780267206117</c:v>
                </c:pt>
                <c:pt idx="468">
                  <c:v>5.4427361723865495</c:v>
                </c:pt>
                <c:pt idx="469">
                  <c:v>5.2211358645213437</c:v>
                </c:pt>
                <c:pt idx="470">
                  <c:v>5.2708406365642544</c:v>
                </c:pt>
                <c:pt idx="471">
                  <c:v>4.9864551134696109</c:v>
                </c:pt>
                <c:pt idx="472">
                  <c:v>5.0203405694617604</c:v>
                </c:pt>
                <c:pt idx="473">
                  <c:v>4.8848126980249207</c:v>
                </c:pt>
                <c:pt idx="474">
                  <c:v>4.4785327761522371</c:v>
                </c:pt>
                <c:pt idx="475">
                  <c:v>4.3359231737450106</c:v>
                </c:pt>
                <c:pt idx="476">
                  <c:v>4.2786241146728194</c:v>
                </c:pt>
                <c:pt idx="477">
                  <c:v>4.3903044846211481</c:v>
                </c:pt>
                <c:pt idx="478">
                  <c:v>4.738336251119553</c:v>
                </c:pt>
                <c:pt idx="479">
                  <c:v>4.474702585796507</c:v>
                </c:pt>
                <c:pt idx="480">
                  <c:v>4.5089743089916698</c:v>
                </c:pt>
                <c:pt idx="481">
                  <c:v>4.4395583450865344</c:v>
                </c:pt>
                <c:pt idx="482">
                  <c:v>4.5363202755459193</c:v>
                </c:pt>
                <c:pt idx="483">
                  <c:v>4.3261883216582389</c:v>
                </c:pt>
                <c:pt idx="484">
                  <c:v>4.6038282840856022</c:v>
                </c:pt>
                <c:pt idx="485">
                  <c:v>4.5587797313087313</c:v>
                </c:pt>
                <c:pt idx="486">
                  <c:v>4.6401075896132644</c:v>
                </c:pt>
                <c:pt idx="487">
                  <c:v>4.7154731950429696</c:v>
                </c:pt>
                <c:pt idx="488">
                  <c:v>4.6200526666815964</c:v>
                </c:pt>
                <c:pt idx="489">
                  <c:v>4.75103811288625</c:v>
                </c:pt>
                <c:pt idx="490">
                  <c:v>4.5905946849353132</c:v>
                </c:pt>
                <c:pt idx="491">
                  <c:v>4.5981790754878835</c:v>
                </c:pt>
                <c:pt idx="492">
                  <c:v>4.2079027798450577</c:v>
                </c:pt>
                <c:pt idx="493">
                  <c:v>4.0013890051405561</c:v>
                </c:pt>
                <c:pt idx="494">
                  <c:v>3.999981304885845</c:v>
                </c:pt>
                <c:pt idx="495">
                  <c:v>4.1125632185412995</c:v>
                </c:pt>
                <c:pt idx="496">
                  <c:v>4.2258290313934213</c:v>
                </c:pt>
                <c:pt idx="497">
                  <c:v>4.3631407504498716</c:v>
                </c:pt>
                <c:pt idx="498">
                  <c:v>4.2484115819908022</c:v>
                </c:pt>
                <c:pt idx="499">
                  <c:v>4.4346726707762789</c:v>
                </c:pt>
              </c:numCache>
            </c:numRef>
          </c:val>
          <c:smooth val="0"/>
          <c:extLst>
            <c:ext xmlns:c16="http://schemas.microsoft.com/office/drawing/2014/chart" uri="{C3380CC4-5D6E-409C-BE32-E72D297353CC}">
              <c16:uniqueId val="{00000002-0C61-472C-8756-900BB55EBDA5}"/>
            </c:ext>
          </c:extLst>
        </c:ser>
        <c:ser>
          <c:idx val="3"/>
          <c:order val="3"/>
          <c:tx>
            <c:strRef>
              <c:f>Summary!$N$86</c:f>
              <c:strCache>
                <c:ptCount val="1"/>
                <c:pt idx="0">
                  <c:v>eCom software mean</c:v>
                </c:pt>
              </c:strCache>
            </c:strRef>
          </c:tx>
          <c:spPr>
            <a:ln w="28575" cap="rnd">
              <a:solidFill>
                <a:schemeClr val="accent1">
                  <a:lumMod val="75000"/>
                </a:schemeClr>
              </a:solidFill>
              <a:prstDash val="dash"/>
              <a:round/>
            </a:ln>
            <a:effectLst/>
          </c:spPr>
          <c:marker>
            <c:symbol val="none"/>
          </c:marker>
          <c:cat>
            <c:numRef>
              <c:f>Summary!$B$87:$B$586</c:f>
              <c:numCache>
                <c:formatCode>m/d/yyyy</c:formatCode>
                <c:ptCount val="500"/>
                <c:pt idx="0">
                  <c:v>42741</c:v>
                </c:pt>
                <c:pt idx="1">
                  <c:v>42748</c:v>
                </c:pt>
                <c:pt idx="2">
                  <c:v>42755</c:v>
                </c:pt>
                <c:pt idx="3">
                  <c:v>42762</c:v>
                </c:pt>
                <c:pt idx="4">
                  <c:v>42769</c:v>
                </c:pt>
                <c:pt idx="5">
                  <c:v>42776</c:v>
                </c:pt>
                <c:pt idx="6">
                  <c:v>42783</c:v>
                </c:pt>
                <c:pt idx="7">
                  <c:v>42790</c:v>
                </c:pt>
                <c:pt idx="8">
                  <c:v>42797</c:v>
                </c:pt>
                <c:pt idx="9">
                  <c:v>42804</c:v>
                </c:pt>
                <c:pt idx="10">
                  <c:v>42811</c:v>
                </c:pt>
                <c:pt idx="11">
                  <c:v>42818</c:v>
                </c:pt>
                <c:pt idx="12">
                  <c:v>42825</c:v>
                </c:pt>
                <c:pt idx="13">
                  <c:v>42832</c:v>
                </c:pt>
                <c:pt idx="14">
                  <c:v>42839</c:v>
                </c:pt>
                <c:pt idx="15">
                  <c:v>42846</c:v>
                </c:pt>
                <c:pt idx="16">
                  <c:v>42853</c:v>
                </c:pt>
                <c:pt idx="17">
                  <c:v>42860</c:v>
                </c:pt>
                <c:pt idx="18">
                  <c:v>42867</c:v>
                </c:pt>
                <c:pt idx="19">
                  <c:v>42874</c:v>
                </c:pt>
                <c:pt idx="20">
                  <c:v>42881</c:v>
                </c:pt>
                <c:pt idx="21">
                  <c:v>42888</c:v>
                </c:pt>
                <c:pt idx="22">
                  <c:v>42895</c:v>
                </c:pt>
                <c:pt idx="23">
                  <c:v>42902</c:v>
                </c:pt>
                <c:pt idx="24">
                  <c:v>42909</c:v>
                </c:pt>
                <c:pt idx="25">
                  <c:v>42916</c:v>
                </c:pt>
                <c:pt idx="26">
                  <c:v>42923</c:v>
                </c:pt>
                <c:pt idx="27">
                  <c:v>42930</c:v>
                </c:pt>
                <c:pt idx="28">
                  <c:v>42937</c:v>
                </c:pt>
                <c:pt idx="29">
                  <c:v>42944</c:v>
                </c:pt>
                <c:pt idx="30">
                  <c:v>42951</c:v>
                </c:pt>
                <c:pt idx="31">
                  <c:v>42958</c:v>
                </c:pt>
                <c:pt idx="32">
                  <c:v>42965</c:v>
                </c:pt>
                <c:pt idx="33">
                  <c:v>42972</c:v>
                </c:pt>
                <c:pt idx="34">
                  <c:v>42979</c:v>
                </c:pt>
                <c:pt idx="35">
                  <c:v>42986</c:v>
                </c:pt>
                <c:pt idx="36">
                  <c:v>42993</c:v>
                </c:pt>
                <c:pt idx="37">
                  <c:v>43000</c:v>
                </c:pt>
                <c:pt idx="38">
                  <c:v>43007</c:v>
                </c:pt>
                <c:pt idx="39">
                  <c:v>43014</c:v>
                </c:pt>
                <c:pt idx="40">
                  <c:v>43021</c:v>
                </c:pt>
                <c:pt idx="41">
                  <c:v>43028</c:v>
                </c:pt>
                <c:pt idx="42">
                  <c:v>43035</c:v>
                </c:pt>
                <c:pt idx="43">
                  <c:v>43042</c:v>
                </c:pt>
                <c:pt idx="44">
                  <c:v>43049</c:v>
                </c:pt>
                <c:pt idx="45">
                  <c:v>43056</c:v>
                </c:pt>
                <c:pt idx="46">
                  <c:v>43063</c:v>
                </c:pt>
                <c:pt idx="47">
                  <c:v>43070</c:v>
                </c:pt>
                <c:pt idx="48">
                  <c:v>43077</c:v>
                </c:pt>
                <c:pt idx="49">
                  <c:v>43084</c:v>
                </c:pt>
                <c:pt idx="50">
                  <c:v>43091</c:v>
                </c:pt>
                <c:pt idx="51">
                  <c:v>43098</c:v>
                </c:pt>
                <c:pt idx="52">
                  <c:v>43105</c:v>
                </c:pt>
                <c:pt idx="53">
                  <c:v>43112</c:v>
                </c:pt>
                <c:pt idx="54">
                  <c:v>43119</c:v>
                </c:pt>
                <c:pt idx="55">
                  <c:v>43126</c:v>
                </c:pt>
                <c:pt idx="56">
                  <c:v>43133</c:v>
                </c:pt>
                <c:pt idx="57">
                  <c:v>43140</c:v>
                </c:pt>
                <c:pt idx="58">
                  <c:v>43147</c:v>
                </c:pt>
                <c:pt idx="59">
                  <c:v>43154</c:v>
                </c:pt>
                <c:pt idx="60">
                  <c:v>43161</c:v>
                </c:pt>
                <c:pt idx="61">
                  <c:v>43168</c:v>
                </c:pt>
                <c:pt idx="62">
                  <c:v>43175</c:v>
                </c:pt>
                <c:pt idx="63">
                  <c:v>43182</c:v>
                </c:pt>
                <c:pt idx="64">
                  <c:v>43189</c:v>
                </c:pt>
                <c:pt idx="65">
                  <c:v>43196</c:v>
                </c:pt>
                <c:pt idx="66">
                  <c:v>43203</c:v>
                </c:pt>
                <c:pt idx="67">
                  <c:v>43210</c:v>
                </c:pt>
                <c:pt idx="68">
                  <c:v>43217</c:v>
                </c:pt>
                <c:pt idx="69">
                  <c:v>43224</c:v>
                </c:pt>
                <c:pt idx="70">
                  <c:v>43231</c:v>
                </c:pt>
                <c:pt idx="71">
                  <c:v>43238</c:v>
                </c:pt>
                <c:pt idx="72">
                  <c:v>43245</c:v>
                </c:pt>
                <c:pt idx="73">
                  <c:v>43252</c:v>
                </c:pt>
                <c:pt idx="74">
                  <c:v>43259</c:v>
                </c:pt>
                <c:pt idx="75">
                  <c:v>43266</c:v>
                </c:pt>
                <c:pt idx="76">
                  <c:v>43273</c:v>
                </c:pt>
                <c:pt idx="77">
                  <c:v>43280</c:v>
                </c:pt>
                <c:pt idx="78">
                  <c:v>43287</c:v>
                </c:pt>
                <c:pt idx="79">
                  <c:v>43294</c:v>
                </c:pt>
                <c:pt idx="80">
                  <c:v>43301</c:v>
                </c:pt>
                <c:pt idx="81">
                  <c:v>43308</c:v>
                </c:pt>
                <c:pt idx="82">
                  <c:v>43315</c:v>
                </c:pt>
                <c:pt idx="83">
                  <c:v>43322</c:v>
                </c:pt>
                <c:pt idx="84">
                  <c:v>43329</c:v>
                </c:pt>
                <c:pt idx="85">
                  <c:v>43336</c:v>
                </c:pt>
                <c:pt idx="86">
                  <c:v>43343</c:v>
                </c:pt>
                <c:pt idx="87">
                  <c:v>43350</c:v>
                </c:pt>
                <c:pt idx="88">
                  <c:v>43357</c:v>
                </c:pt>
                <c:pt idx="89">
                  <c:v>43364</c:v>
                </c:pt>
                <c:pt idx="90">
                  <c:v>43371</c:v>
                </c:pt>
                <c:pt idx="91">
                  <c:v>43378</c:v>
                </c:pt>
                <c:pt idx="92">
                  <c:v>43385</c:v>
                </c:pt>
                <c:pt idx="93">
                  <c:v>43392</c:v>
                </c:pt>
                <c:pt idx="94">
                  <c:v>43399</c:v>
                </c:pt>
                <c:pt idx="95">
                  <c:v>43406</c:v>
                </c:pt>
                <c:pt idx="96">
                  <c:v>43413</c:v>
                </c:pt>
                <c:pt idx="97">
                  <c:v>43420</c:v>
                </c:pt>
                <c:pt idx="98">
                  <c:v>43427</c:v>
                </c:pt>
                <c:pt idx="99">
                  <c:v>43434</c:v>
                </c:pt>
                <c:pt idx="100">
                  <c:v>43441</c:v>
                </c:pt>
                <c:pt idx="101">
                  <c:v>43448</c:v>
                </c:pt>
                <c:pt idx="102">
                  <c:v>43455</c:v>
                </c:pt>
                <c:pt idx="103">
                  <c:v>43462</c:v>
                </c:pt>
                <c:pt idx="104">
                  <c:v>43469</c:v>
                </c:pt>
                <c:pt idx="105">
                  <c:v>43476</c:v>
                </c:pt>
                <c:pt idx="106">
                  <c:v>43483</c:v>
                </c:pt>
                <c:pt idx="107">
                  <c:v>43490</c:v>
                </c:pt>
                <c:pt idx="108">
                  <c:v>43497</c:v>
                </c:pt>
                <c:pt idx="109">
                  <c:v>43504</c:v>
                </c:pt>
                <c:pt idx="110">
                  <c:v>43511</c:v>
                </c:pt>
                <c:pt idx="111">
                  <c:v>43518</c:v>
                </c:pt>
                <c:pt idx="112">
                  <c:v>43525</c:v>
                </c:pt>
                <c:pt idx="113">
                  <c:v>43532</c:v>
                </c:pt>
                <c:pt idx="114">
                  <c:v>43539</c:v>
                </c:pt>
                <c:pt idx="115">
                  <c:v>43546</c:v>
                </c:pt>
                <c:pt idx="116">
                  <c:v>43553</c:v>
                </c:pt>
                <c:pt idx="117">
                  <c:v>43560</c:v>
                </c:pt>
                <c:pt idx="118">
                  <c:v>43567</c:v>
                </c:pt>
                <c:pt idx="119">
                  <c:v>43574</c:v>
                </c:pt>
                <c:pt idx="120">
                  <c:v>43581</c:v>
                </c:pt>
                <c:pt idx="121">
                  <c:v>43588</c:v>
                </c:pt>
                <c:pt idx="122">
                  <c:v>43595</c:v>
                </c:pt>
                <c:pt idx="123">
                  <c:v>43602</c:v>
                </c:pt>
                <c:pt idx="124">
                  <c:v>43609</c:v>
                </c:pt>
                <c:pt idx="125">
                  <c:v>43616</c:v>
                </c:pt>
                <c:pt idx="126">
                  <c:v>43623</c:v>
                </c:pt>
                <c:pt idx="127">
                  <c:v>43630</c:v>
                </c:pt>
                <c:pt idx="128">
                  <c:v>43637</c:v>
                </c:pt>
                <c:pt idx="129">
                  <c:v>43644</c:v>
                </c:pt>
                <c:pt idx="130">
                  <c:v>43651</c:v>
                </c:pt>
                <c:pt idx="131">
                  <c:v>43658</c:v>
                </c:pt>
                <c:pt idx="132">
                  <c:v>43665</c:v>
                </c:pt>
                <c:pt idx="133">
                  <c:v>43672</c:v>
                </c:pt>
                <c:pt idx="134">
                  <c:v>43679</c:v>
                </c:pt>
                <c:pt idx="135">
                  <c:v>43686</c:v>
                </c:pt>
                <c:pt idx="136">
                  <c:v>43693</c:v>
                </c:pt>
                <c:pt idx="137">
                  <c:v>43700</c:v>
                </c:pt>
                <c:pt idx="138">
                  <c:v>43707</c:v>
                </c:pt>
                <c:pt idx="139">
                  <c:v>43714</c:v>
                </c:pt>
                <c:pt idx="140">
                  <c:v>43721</c:v>
                </c:pt>
                <c:pt idx="141">
                  <c:v>43728</c:v>
                </c:pt>
                <c:pt idx="142">
                  <c:v>43735</c:v>
                </c:pt>
                <c:pt idx="143">
                  <c:v>43742</c:v>
                </c:pt>
                <c:pt idx="144">
                  <c:v>43749</c:v>
                </c:pt>
                <c:pt idx="145">
                  <c:v>43756</c:v>
                </c:pt>
                <c:pt idx="146">
                  <c:v>43763</c:v>
                </c:pt>
                <c:pt idx="147">
                  <c:v>43770</c:v>
                </c:pt>
                <c:pt idx="148">
                  <c:v>43777</c:v>
                </c:pt>
                <c:pt idx="149">
                  <c:v>43784</c:v>
                </c:pt>
                <c:pt idx="150">
                  <c:v>43791</c:v>
                </c:pt>
                <c:pt idx="151">
                  <c:v>43798</c:v>
                </c:pt>
                <c:pt idx="152">
                  <c:v>43805</c:v>
                </c:pt>
                <c:pt idx="153">
                  <c:v>43812</c:v>
                </c:pt>
                <c:pt idx="154">
                  <c:v>43819</c:v>
                </c:pt>
                <c:pt idx="155">
                  <c:v>43826</c:v>
                </c:pt>
                <c:pt idx="156">
                  <c:v>43833</c:v>
                </c:pt>
                <c:pt idx="157">
                  <c:v>43840</c:v>
                </c:pt>
                <c:pt idx="158">
                  <c:v>43847</c:v>
                </c:pt>
                <c:pt idx="159">
                  <c:v>43854</c:v>
                </c:pt>
                <c:pt idx="160">
                  <c:v>43861</c:v>
                </c:pt>
                <c:pt idx="161">
                  <c:v>43868</c:v>
                </c:pt>
                <c:pt idx="162">
                  <c:v>43875</c:v>
                </c:pt>
                <c:pt idx="163">
                  <c:v>43882</c:v>
                </c:pt>
                <c:pt idx="164">
                  <c:v>43889</c:v>
                </c:pt>
                <c:pt idx="165">
                  <c:v>43896</c:v>
                </c:pt>
                <c:pt idx="166">
                  <c:v>43903</c:v>
                </c:pt>
                <c:pt idx="167">
                  <c:v>43910</c:v>
                </c:pt>
                <c:pt idx="168">
                  <c:v>43917</c:v>
                </c:pt>
                <c:pt idx="169">
                  <c:v>43924</c:v>
                </c:pt>
                <c:pt idx="170">
                  <c:v>43931</c:v>
                </c:pt>
                <c:pt idx="171">
                  <c:v>43938</c:v>
                </c:pt>
                <c:pt idx="172">
                  <c:v>43945</c:v>
                </c:pt>
                <c:pt idx="173">
                  <c:v>43952</c:v>
                </c:pt>
                <c:pt idx="174">
                  <c:v>43959</c:v>
                </c:pt>
                <c:pt idx="175">
                  <c:v>43966</c:v>
                </c:pt>
                <c:pt idx="176">
                  <c:v>43973</c:v>
                </c:pt>
                <c:pt idx="177">
                  <c:v>43980</c:v>
                </c:pt>
                <c:pt idx="178">
                  <c:v>43987</c:v>
                </c:pt>
                <c:pt idx="179">
                  <c:v>43994</c:v>
                </c:pt>
                <c:pt idx="180">
                  <c:v>44001</c:v>
                </c:pt>
                <c:pt idx="181">
                  <c:v>44008</c:v>
                </c:pt>
                <c:pt idx="182">
                  <c:v>44015</c:v>
                </c:pt>
                <c:pt idx="183">
                  <c:v>44022</c:v>
                </c:pt>
                <c:pt idx="184">
                  <c:v>44029</c:v>
                </c:pt>
                <c:pt idx="185">
                  <c:v>44036</c:v>
                </c:pt>
                <c:pt idx="186">
                  <c:v>44043</c:v>
                </c:pt>
                <c:pt idx="187">
                  <c:v>44050</c:v>
                </c:pt>
                <c:pt idx="188">
                  <c:v>44057</c:v>
                </c:pt>
                <c:pt idx="189">
                  <c:v>44064</c:v>
                </c:pt>
                <c:pt idx="190">
                  <c:v>44071</c:v>
                </c:pt>
                <c:pt idx="191">
                  <c:v>44078</c:v>
                </c:pt>
                <c:pt idx="192">
                  <c:v>44085</c:v>
                </c:pt>
                <c:pt idx="193">
                  <c:v>44092</c:v>
                </c:pt>
                <c:pt idx="194">
                  <c:v>44099</c:v>
                </c:pt>
                <c:pt idx="195">
                  <c:v>44106</c:v>
                </c:pt>
                <c:pt idx="196">
                  <c:v>44113</c:v>
                </c:pt>
                <c:pt idx="197">
                  <c:v>44120</c:v>
                </c:pt>
                <c:pt idx="198">
                  <c:v>44127</c:v>
                </c:pt>
                <c:pt idx="199">
                  <c:v>44134</c:v>
                </c:pt>
                <c:pt idx="200">
                  <c:v>44141</c:v>
                </c:pt>
                <c:pt idx="201">
                  <c:v>44148</c:v>
                </c:pt>
                <c:pt idx="202">
                  <c:v>44155</c:v>
                </c:pt>
                <c:pt idx="203">
                  <c:v>44162</c:v>
                </c:pt>
                <c:pt idx="204">
                  <c:v>44169</c:v>
                </c:pt>
                <c:pt idx="205">
                  <c:v>44176</c:v>
                </c:pt>
                <c:pt idx="206">
                  <c:v>44183</c:v>
                </c:pt>
                <c:pt idx="207">
                  <c:v>44190</c:v>
                </c:pt>
                <c:pt idx="208">
                  <c:v>44197</c:v>
                </c:pt>
                <c:pt idx="209">
                  <c:v>44204</c:v>
                </c:pt>
                <c:pt idx="210">
                  <c:v>44211</c:v>
                </c:pt>
                <c:pt idx="211">
                  <c:v>44218</c:v>
                </c:pt>
                <c:pt idx="212">
                  <c:v>44225</c:v>
                </c:pt>
                <c:pt idx="213">
                  <c:v>44232</c:v>
                </c:pt>
                <c:pt idx="214">
                  <c:v>44239</c:v>
                </c:pt>
                <c:pt idx="215">
                  <c:v>44246</c:v>
                </c:pt>
                <c:pt idx="216">
                  <c:v>44253</c:v>
                </c:pt>
                <c:pt idx="217">
                  <c:v>44260</c:v>
                </c:pt>
                <c:pt idx="218">
                  <c:v>44267</c:v>
                </c:pt>
                <c:pt idx="219">
                  <c:v>44274</c:v>
                </c:pt>
                <c:pt idx="220">
                  <c:v>44281</c:v>
                </c:pt>
                <c:pt idx="221">
                  <c:v>44288</c:v>
                </c:pt>
                <c:pt idx="222">
                  <c:v>44295</c:v>
                </c:pt>
                <c:pt idx="223">
                  <c:v>44302</c:v>
                </c:pt>
                <c:pt idx="224">
                  <c:v>44309</c:v>
                </c:pt>
                <c:pt idx="225">
                  <c:v>44316</c:v>
                </c:pt>
                <c:pt idx="226">
                  <c:v>44323</c:v>
                </c:pt>
                <c:pt idx="227">
                  <c:v>44330</c:v>
                </c:pt>
                <c:pt idx="228">
                  <c:v>44337</c:v>
                </c:pt>
                <c:pt idx="229">
                  <c:v>44344</c:v>
                </c:pt>
                <c:pt idx="230">
                  <c:v>44351</c:v>
                </c:pt>
                <c:pt idx="231">
                  <c:v>44358</c:v>
                </c:pt>
                <c:pt idx="232">
                  <c:v>44365</c:v>
                </c:pt>
                <c:pt idx="233">
                  <c:v>44372</c:v>
                </c:pt>
                <c:pt idx="234">
                  <c:v>44379</c:v>
                </c:pt>
                <c:pt idx="235">
                  <c:v>44386</c:v>
                </c:pt>
                <c:pt idx="236">
                  <c:v>44393</c:v>
                </c:pt>
                <c:pt idx="237">
                  <c:v>44400</c:v>
                </c:pt>
                <c:pt idx="238">
                  <c:v>44407</c:v>
                </c:pt>
                <c:pt idx="239">
                  <c:v>44414</c:v>
                </c:pt>
                <c:pt idx="240">
                  <c:v>44421</c:v>
                </c:pt>
                <c:pt idx="241">
                  <c:v>44428</c:v>
                </c:pt>
                <c:pt idx="242">
                  <c:v>44435</c:v>
                </c:pt>
                <c:pt idx="243">
                  <c:v>44442</c:v>
                </c:pt>
                <c:pt idx="244">
                  <c:v>44449</c:v>
                </c:pt>
                <c:pt idx="245">
                  <c:v>44456</c:v>
                </c:pt>
                <c:pt idx="246">
                  <c:v>44463</c:v>
                </c:pt>
                <c:pt idx="247">
                  <c:v>44470</c:v>
                </c:pt>
                <c:pt idx="248">
                  <c:v>44477</c:v>
                </c:pt>
                <c:pt idx="249">
                  <c:v>44484</c:v>
                </c:pt>
                <c:pt idx="250">
                  <c:v>44491</c:v>
                </c:pt>
                <c:pt idx="251">
                  <c:v>44498</c:v>
                </c:pt>
                <c:pt idx="252">
                  <c:v>44505</c:v>
                </c:pt>
                <c:pt idx="253">
                  <c:v>44512</c:v>
                </c:pt>
                <c:pt idx="254">
                  <c:v>44519</c:v>
                </c:pt>
                <c:pt idx="255">
                  <c:v>44526</c:v>
                </c:pt>
                <c:pt idx="256">
                  <c:v>44533</c:v>
                </c:pt>
                <c:pt idx="257">
                  <c:v>44540</c:v>
                </c:pt>
                <c:pt idx="258">
                  <c:v>44547</c:v>
                </c:pt>
                <c:pt idx="259">
                  <c:v>44554</c:v>
                </c:pt>
                <c:pt idx="260">
                  <c:v>44561</c:v>
                </c:pt>
                <c:pt idx="261">
                  <c:v>44568</c:v>
                </c:pt>
                <c:pt idx="262">
                  <c:v>44575</c:v>
                </c:pt>
                <c:pt idx="263">
                  <c:v>44582</c:v>
                </c:pt>
                <c:pt idx="264">
                  <c:v>44589</c:v>
                </c:pt>
                <c:pt idx="265">
                  <c:v>44596</c:v>
                </c:pt>
                <c:pt idx="266">
                  <c:v>44603</c:v>
                </c:pt>
                <c:pt idx="267">
                  <c:v>44610</c:v>
                </c:pt>
                <c:pt idx="268">
                  <c:v>44617</c:v>
                </c:pt>
                <c:pt idx="269">
                  <c:v>44624</c:v>
                </c:pt>
                <c:pt idx="270">
                  <c:v>44631</c:v>
                </c:pt>
                <c:pt idx="271">
                  <c:v>44638</c:v>
                </c:pt>
                <c:pt idx="272">
                  <c:v>44645</c:v>
                </c:pt>
                <c:pt idx="273">
                  <c:v>44652</c:v>
                </c:pt>
                <c:pt idx="274">
                  <c:v>44659</c:v>
                </c:pt>
                <c:pt idx="275">
                  <c:v>44666</c:v>
                </c:pt>
                <c:pt idx="276">
                  <c:v>44673</c:v>
                </c:pt>
                <c:pt idx="277">
                  <c:v>44680</c:v>
                </c:pt>
                <c:pt idx="278">
                  <c:v>44687</c:v>
                </c:pt>
                <c:pt idx="279">
                  <c:v>44694</c:v>
                </c:pt>
                <c:pt idx="280">
                  <c:v>44701</c:v>
                </c:pt>
                <c:pt idx="281">
                  <c:v>44708</c:v>
                </c:pt>
                <c:pt idx="282">
                  <c:v>44715</c:v>
                </c:pt>
                <c:pt idx="283">
                  <c:v>44722</c:v>
                </c:pt>
                <c:pt idx="284">
                  <c:v>44729</c:v>
                </c:pt>
                <c:pt idx="285">
                  <c:v>44736</c:v>
                </c:pt>
                <c:pt idx="286">
                  <c:v>44743</c:v>
                </c:pt>
                <c:pt idx="287">
                  <c:v>44750</c:v>
                </c:pt>
                <c:pt idx="288">
                  <c:v>44757</c:v>
                </c:pt>
                <c:pt idx="289">
                  <c:v>44764</c:v>
                </c:pt>
                <c:pt idx="290">
                  <c:v>44771</c:v>
                </c:pt>
                <c:pt idx="291">
                  <c:v>44778</c:v>
                </c:pt>
                <c:pt idx="292">
                  <c:v>44785</c:v>
                </c:pt>
                <c:pt idx="293">
                  <c:v>44792</c:v>
                </c:pt>
                <c:pt idx="294">
                  <c:v>44799</c:v>
                </c:pt>
                <c:pt idx="295">
                  <c:v>44806</c:v>
                </c:pt>
                <c:pt idx="296">
                  <c:v>44813</c:v>
                </c:pt>
                <c:pt idx="297">
                  <c:v>44820</c:v>
                </c:pt>
                <c:pt idx="298">
                  <c:v>44827</c:v>
                </c:pt>
                <c:pt idx="299">
                  <c:v>44834</c:v>
                </c:pt>
                <c:pt idx="300">
                  <c:v>44841</c:v>
                </c:pt>
                <c:pt idx="301">
                  <c:v>44848</c:v>
                </c:pt>
                <c:pt idx="302">
                  <c:v>44855</c:v>
                </c:pt>
                <c:pt idx="303">
                  <c:v>44862</c:v>
                </c:pt>
                <c:pt idx="304">
                  <c:v>44869</c:v>
                </c:pt>
                <c:pt idx="305">
                  <c:v>44876</c:v>
                </c:pt>
                <c:pt idx="306">
                  <c:v>44883</c:v>
                </c:pt>
                <c:pt idx="307">
                  <c:v>44890</c:v>
                </c:pt>
                <c:pt idx="308">
                  <c:v>44897</c:v>
                </c:pt>
                <c:pt idx="309">
                  <c:v>44904</c:v>
                </c:pt>
                <c:pt idx="310">
                  <c:v>44911</c:v>
                </c:pt>
                <c:pt idx="311">
                  <c:v>44918</c:v>
                </c:pt>
                <c:pt idx="312">
                  <c:v>44925</c:v>
                </c:pt>
                <c:pt idx="313">
                  <c:v>44932</c:v>
                </c:pt>
                <c:pt idx="314">
                  <c:v>44939</c:v>
                </c:pt>
                <c:pt idx="315">
                  <c:v>44946</c:v>
                </c:pt>
                <c:pt idx="316">
                  <c:v>44953</c:v>
                </c:pt>
                <c:pt idx="317">
                  <c:v>44960</c:v>
                </c:pt>
                <c:pt idx="318">
                  <c:v>44967</c:v>
                </c:pt>
                <c:pt idx="319">
                  <c:v>44974</c:v>
                </c:pt>
                <c:pt idx="320">
                  <c:v>44981</c:v>
                </c:pt>
                <c:pt idx="321">
                  <c:v>44988</c:v>
                </c:pt>
                <c:pt idx="322">
                  <c:v>44995</c:v>
                </c:pt>
                <c:pt idx="323">
                  <c:v>45002</c:v>
                </c:pt>
                <c:pt idx="324">
                  <c:v>45009</c:v>
                </c:pt>
                <c:pt idx="325">
                  <c:v>45016</c:v>
                </c:pt>
                <c:pt idx="326">
                  <c:v>45023</c:v>
                </c:pt>
                <c:pt idx="327">
                  <c:v>45030</c:v>
                </c:pt>
                <c:pt idx="328">
                  <c:v>45037</c:v>
                </c:pt>
                <c:pt idx="329">
                  <c:v>45044</c:v>
                </c:pt>
                <c:pt idx="330">
                  <c:v>45051</c:v>
                </c:pt>
                <c:pt idx="331">
                  <c:v>45058</c:v>
                </c:pt>
                <c:pt idx="332">
                  <c:v>45065</c:v>
                </c:pt>
                <c:pt idx="333">
                  <c:v>45072</c:v>
                </c:pt>
                <c:pt idx="334">
                  <c:v>45079</c:v>
                </c:pt>
                <c:pt idx="335">
                  <c:v>45086</c:v>
                </c:pt>
                <c:pt idx="336">
                  <c:v>45093</c:v>
                </c:pt>
                <c:pt idx="337">
                  <c:v>45100</c:v>
                </c:pt>
                <c:pt idx="338">
                  <c:v>45107</c:v>
                </c:pt>
                <c:pt idx="339">
                  <c:v>45114</c:v>
                </c:pt>
                <c:pt idx="340">
                  <c:v>45121</c:v>
                </c:pt>
                <c:pt idx="341">
                  <c:v>45128</c:v>
                </c:pt>
                <c:pt idx="342">
                  <c:v>45135</c:v>
                </c:pt>
                <c:pt idx="343">
                  <c:v>45142</c:v>
                </c:pt>
                <c:pt idx="344">
                  <c:v>45149</c:v>
                </c:pt>
                <c:pt idx="345">
                  <c:v>45156</c:v>
                </c:pt>
                <c:pt idx="346">
                  <c:v>45163</c:v>
                </c:pt>
                <c:pt idx="347">
                  <c:v>45170</c:v>
                </c:pt>
                <c:pt idx="348">
                  <c:v>45177</c:v>
                </c:pt>
                <c:pt idx="349">
                  <c:v>45184</c:v>
                </c:pt>
                <c:pt idx="350">
                  <c:v>45191</c:v>
                </c:pt>
                <c:pt idx="351">
                  <c:v>45198</c:v>
                </c:pt>
                <c:pt idx="352">
                  <c:v>45205</c:v>
                </c:pt>
                <c:pt idx="353">
                  <c:v>45212</c:v>
                </c:pt>
                <c:pt idx="354">
                  <c:v>45219</c:v>
                </c:pt>
                <c:pt idx="355">
                  <c:v>45226</c:v>
                </c:pt>
                <c:pt idx="356">
                  <c:v>45233</c:v>
                </c:pt>
                <c:pt idx="357">
                  <c:v>45240</c:v>
                </c:pt>
                <c:pt idx="358">
                  <c:v>45247</c:v>
                </c:pt>
                <c:pt idx="359">
                  <c:v>45254</c:v>
                </c:pt>
                <c:pt idx="360">
                  <c:v>45261</c:v>
                </c:pt>
                <c:pt idx="361">
                  <c:v>45268</c:v>
                </c:pt>
                <c:pt idx="362">
                  <c:v>45275</c:v>
                </c:pt>
                <c:pt idx="363">
                  <c:v>45282</c:v>
                </c:pt>
                <c:pt idx="364">
                  <c:v>45289</c:v>
                </c:pt>
                <c:pt idx="365">
                  <c:v>45296</c:v>
                </c:pt>
                <c:pt idx="366">
                  <c:v>45303</c:v>
                </c:pt>
                <c:pt idx="367">
                  <c:v>45310</c:v>
                </c:pt>
                <c:pt idx="368">
                  <c:v>45317</c:v>
                </c:pt>
                <c:pt idx="369">
                  <c:v>45324</c:v>
                </c:pt>
                <c:pt idx="370">
                  <c:v>45331</c:v>
                </c:pt>
                <c:pt idx="371">
                  <c:v>45338</c:v>
                </c:pt>
                <c:pt idx="372">
                  <c:v>45345</c:v>
                </c:pt>
                <c:pt idx="373">
                  <c:v>45352</c:v>
                </c:pt>
                <c:pt idx="374">
                  <c:v>45359</c:v>
                </c:pt>
                <c:pt idx="375">
                  <c:v>45366</c:v>
                </c:pt>
                <c:pt idx="376">
                  <c:v>45373</c:v>
                </c:pt>
                <c:pt idx="377">
                  <c:v>45380</c:v>
                </c:pt>
                <c:pt idx="378">
                  <c:v>45387</c:v>
                </c:pt>
                <c:pt idx="379">
                  <c:v>45394</c:v>
                </c:pt>
                <c:pt idx="380">
                  <c:v>45401</c:v>
                </c:pt>
                <c:pt idx="381">
                  <c:v>45408</c:v>
                </c:pt>
                <c:pt idx="382">
                  <c:v>45415</c:v>
                </c:pt>
                <c:pt idx="383">
                  <c:v>45422</c:v>
                </c:pt>
                <c:pt idx="384">
                  <c:v>45429</c:v>
                </c:pt>
                <c:pt idx="385">
                  <c:v>45436</c:v>
                </c:pt>
                <c:pt idx="386">
                  <c:v>45443</c:v>
                </c:pt>
                <c:pt idx="387">
                  <c:v>45450</c:v>
                </c:pt>
                <c:pt idx="388">
                  <c:v>45457</c:v>
                </c:pt>
                <c:pt idx="389">
                  <c:v>45464</c:v>
                </c:pt>
                <c:pt idx="390">
                  <c:v>45471</c:v>
                </c:pt>
                <c:pt idx="391">
                  <c:v>45478</c:v>
                </c:pt>
                <c:pt idx="392">
                  <c:v>45485</c:v>
                </c:pt>
                <c:pt idx="393">
                  <c:v>45492</c:v>
                </c:pt>
                <c:pt idx="394">
                  <c:v>45499</c:v>
                </c:pt>
                <c:pt idx="395">
                  <c:v>45506</c:v>
                </c:pt>
                <c:pt idx="396">
                  <c:v>45513</c:v>
                </c:pt>
                <c:pt idx="397">
                  <c:v>45520</c:v>
                </c:pt>
                <c:pt idx="398">
                  <c:v>45527</c:v>
                </c:pt>
                <c:pt idx="399">
                  <c:v>45534</c:v>
                </c:pt>
                <c:pt idx="400">
                  <c:v>45541</c:v>
                </c:pt>
                <c:pt idx="401">
                  <c:v>45548</c:v>
                </c:pt>
                <c:pt idx="402">
                  <c:v>45555</c:v>
                </c:pt>
                <c:pt idx="403">
                  <c:v>45562</c:v>
                </c:pt>
                <c:pt idx="404">
                  <c:v>45569</c:v>
                </c:pt>
                <c:pt idx="405">
                  <c:v>45576</c:v>
                </c:pt>
                <c:pt idx="406">
                  <c:v>45583</c:v>
                </c:pt>
                <c:pt idx="407">
                  <c:v>45590</c:v>
                </c:pt>
                <c:pt idx="408">
                  <c:v>45597</c:v>
                </c:pt>
                <c:pt idx="409">
                  <c:v>45604</c:v>
                </c:pt>
                <c:pt idx="410">
                  <c:v>45611</c:v>
                </c:pt>
                <c:pt idx="411">
                  <c:v>45618</c:v>
                </c:pt>
                <c:pt idx="412">
                  <c:v>45625</c:v>
                </c:pt>
                <c:pt idx="413">
                  <c:v>45632</c:v>
                </c:pt>
                <c:pt idx="414">
                  <c:v>45639</c:v>
                </c:pt>
                <c:pt idx="415">
                  <c:v>45646</c:v>
                </c:pt>
                <c:pt idx="416">
                  <c:v>45653</c:v>
                </c:pt>
                <c:pt idx="417">
                  <c:v>45660</c:v>
                </c:pt>
                <c:pt idx="418">
                  <c:v>45667</c:v>
                </c:pt>
                <c:pt idx="419">
                  <c:v>45674</c:v>
                </c:pt>
                <c:pt idx="420">
                  <c:v>45681</c:v>
                </c:pt>
                <c:pt idx="421">
                  <c:v>45688</c:v>
                </c:pt>
                <c:pt idx="422">
                  <c:v>45695</c:v>
                </c:pt>
                <c:pt idx="423">
                  <c:v>45702</c:v>
                </c:pt>
                <c:pt idx="424">
                  <c:v>45709</c:v>
                </c:pt>
                <c:pt idx="425">
                  <c:v>45716</c:v>
                </c:pt>
                <c:pt idx="426">
                  <c:v>45723</c:v>
                </c:pt>
                <c:pt idx="427">
                  <c:v>45730</c:v>
                </c:pt>
                <c:pt idx="428">
                  <c:v>45737</c:v>
                </c:pt>
                <c:pt idx="429">
                  <c:v>45744</c:v>
                </c:pt>
                <c:pt idx="430">
                  <c:v>45751</c:v>
                </c:pt>
                <c:pt idx="431">
                  <c:v>45758</c:v>
                </c:pt>
                <c:pt idx="432">
                  <c:v>45765</c:v>
                </c:pt>
                <c:pt idx="433">
                  <c:v>45772</c:v>
                </c:pt>
                <c:pt idx="434">
                  <c:v>45779</c:v>
                </c:pt>
                <c:pt idx="435">
                  <c:v>45786</c:v>
                </c:pt>
                <c:pt idx="436">
                  <c:v>45793</c:v>
                </c:pt>
                <c:pt idx="437">
                  <c:v>45800</c:v>
                </c:pt>
                <c:pt idx="438">
                  <c:v>45807</c:v>
                </c:pt>
                <c:pt idx="439">
                  <c:v>45814</c:v>
                </c:pt>
                <c:pt idx="440">
                  <c:v>45821</c:v>
                </c:pt>
                <c:pt idx="441">
                  <c:v>45828</c:v>
                </c:pt>
                <c:pt idx="442">
                  <c:v>45835</c:v>
                </c:pt>
                <c:pt idx="443">
                  <c:v>45842</c:v>
                </c:pt>
                <c:pt idx="444">
                  <c:v>45849</c:v>
                </c:pt>
                <c:pt idx="445">
                  <c:v>45856</c:v>
                </c:pt>
                <c:pt idx="446">
                  <c:v>45863</c:v>
                </c:pt>
                <c:pt idx="447">
                  <c:v>45870</c:v>
                </c:pt>
                <c:pt idx="448">
                  <c:v>45877</c:v>
                </c:pt>
                <c:pt idx="449">
                  <c:v>45884</c:v>
                </c:pt>
                <c:pt idx="450">
                  <c:v>45891</c:v>
                </c:pt>
                <c:pt idx="451">
                  <c:v>45898</c:v>
                </c:pt>
                <c:pt idx="452">
                  <c:v>45905</c:v>
                </c:pt>
                <c:pt idx="453">
                  <c:v>45912</c:v>
                </c:pt>
                <c:pt idx="454">
                  <c:v>45919</c:v>
                </c:pt>
                <c:pt idx="455">
                  <c:v>45926</c:v>
                </c:pt>
                <c:pt idx="456">
                  <c:v>45933</c:v>
                </c:pt>
                <c:pt idx="457">
                  <c:v>45940</c:v>
                </c:pt>
                <c:pt idx="458">
                  <c:v>45947</c:v>
                </c:pt>
                <c:pt idx="459">
                  <c:v>45954</c:v>
                </c:pt>
                <c:pt idx="460">
                  <c:v>45961</c:v>
                </c:pt>
                <c:pt idx="461">
                  <c:v>45968</c:v>
                </c:pt>
                <c:pt idx="462">
                  <c:v>45975</c:v>
                </c:pt>
                <c:pt idx="463">
                  <c:v>45982</c:v>
                </c:pt>
                <c:pt idx="464">
                  <c:v>45989</c:v>
                </c:pt>
                <c:pt idx="465">
                  <c:v>45996</c:v>
                </c:pt>
                <c:pt idx="466">
                  <c:v>46003</c:v>
                </c:pt>
                <c:pt idx="467">
                  <c:v>46010</c:v>
                </c:pt>
                <c:pt idx="468">
                  <c:v>46017</c:v>
                </c:pt>
                <c:pt idx="469">
                  <c:v>46024</c:v>
                </c:pt>
                <c:pt idx="470">
                  <c:v>46031</c:v>
                </c:pt>
                <c:pt idx="471">
                  <c:v>46038</c:v>
                </c:pt>
                <c:pt idx="472">
                  <c:v>46045</c:v>
                </c:pt>
                <c:pt idx="473">
                  <c:v>46052</c:v>
                </c:pt>
                <c:pt idx="474">
                  <c:v>46059</c:v>
                </c:pt>
                <c:pt idx="475">
                  <c:v>46066</c:v>
                </c:pt>
                <c:pt idx="476">
                  <c:v>46073</c:v>
                </c:pt>
                <c:pt idx="477">
                  <c:v>46080</c:v>
                </c:pt>
                <c:pt idx="478">
                  <c:v>46087</c:v>
                </c:pt>
                <c:pt idx="479">
                  <c:v>46094</c:v>
                </c:pt>
                <c:pt idx="480">
                  <c:v>46101</c:v>
                </c:pt>
                <c:pt idx="481">
                  <c:v>46108</c:v>
                </c:pt>
                <c:pt idx="482">
                  <c:v>46115</c:v>
                </c:pt>
                <c:pt idx="483">
                  <c:v>46122</c:v>
                </c:pt>
                <c:pt idx="484">
                  <c:v>46129</c:v>
                </c:pt>
                <c:pt idx="485">
                  <c:v>46136</c:v>
                </c:pt>
                <c:pt idx="486">
                  <c:v>46143</c:v>
                </c:pt>
                <c:pt idx="487">
                  <c:v>46150</c:v>
                </c:pt>
                <c:pt idx="488">
                  <c:v>46157</c:v>
                </c:pt>
                <c:pt idx="489">
                  <c:v>46164</c:v>
                </c:pt>
                <c:pt idx="490">
                  <c:v>46171</c:v>
                </c:pt>
                <c:pt idx="491">
                  <c:v>46178</c:v>
                </c:pt>
                <c:pt idx="492">
                  <c:v>46185</c:v>
                </c:pt>
                <c:pt idx="493">
                  <c:v>46192</c:v>
                </c:pt>
                <c:pt idx="494">
                  <c:v>46199</c:v>
                </c:pt>
                <c:pt idx="495">
                  <c:v>46206</c:v>
                </c:pt>
                <c:pt idx="496">
                  <c:v>46213</c:v>
                </c:pt>
                <c:pt idx="497">
                  <c:v>46220</c:v>
                </c:pt>
                <c:pt idx="498">
                  <c:v>46227</c:v>
                </c:pt>
                <c:pt idx="499">
                  <c:v>46234</c:v>
                </c:pt>
              </c:numCache>
            </c:numRef>
          </c:cat>
          <c:val>
            <c:numRef>
              <c:f>Summary!$N$87:$N$586</c:f>
              <c:numCache>
                <c:formatCode>0.0\x_);\(0.0\x\)</c:formatCode>
                <c:ptCount val="500"/>
                <c:pt idx="0">
                  <c:v>8.1842553963144997</c:v>
                </c:pt>
                <c:pt idx="1">
                  <c:v>8.1842553963144997</c:v>
                </c:pt>
                <c:pt idx="2">
                  <c:v>8.1842553963144997</c:v>
                </c:pt>
                <c:pt idx="3">
                  <c:v>8.1842553963144997</c:v>
                </c:pt>
                <c:pt idx="4">
                  <c:v>8.1842553963144997</c:v>
                </c:pt>
                <c:pt idx="5">
                  <c:v>8.1842553963144997</c:v>
                </c:pt>
                <c:pt idx="6">
                  <c:v>8.1842553963144997</c:v>
                </c:pt>
                <c:pt idx="7">
                  <c:v>8.1842553963144997</c:v>
                </c:pt>
                <c:pt idx="8">
                  <c:v>8.1842553963144997</c:v>
                </c:pt>
                <c:pt idx="9">
                  <c:v>8.1842553963144997</c:v>
                </c:pt>
                <c:pt idx="10">
                  <c:v>8.1842553963144997</c:v>
                </c:pt>
                <c:pt idx="11">
                  <c:v>8.1842553963144997</c:v>
                </c:pt>
                <c:pt idx="12">
                  <c:v>8.1842553963144997</c:v>
                </c:pt>
                <c:pt idx="13">
                  <c:v>8.1842553963144997</c:v>
                </c:pt>
                <c:pt idx="14">
                  <c:v>8.1842553963144997</c:v>
                </c:pt>
                <c:pt idx="15">
                  <c:v>8.1842553963144997</c:v>
                </c:pt>
                <c:pt idx="16">
                  <c:v>8.1842553963144997</c:v>
                </c:pt>
                <c:pt idx="17">
                  <c:v>8.1842553963144997</c:v>
                </c:pt>
                <c:pt idx="18">
                  <c:v>8.1842553963144997</c:v>
                </c:pt>
                <c:pt idx="19">
                  <c:v>8.1842553963144997</c:v>
                </c:pt>
                <c:pt idx="20">
                  <c:v>8.1842553963144997</c:v>
                </c:pt>
                <c:pt idx="21">
                  <c:v>8.1842553963144997</c:v>
                </c:pt>
                <c:pt idx="22">
                  <c:v>8.1842553963144997</c:v>
                </c:pt>
                <c:pt idx="23">
                  <c:v>8.1842553963144997</c:v>
                </c:pt>
                <c:pt idx="24">
                  <c:v>8.1842553963144997</c:v>
                </c:pt>
                <c:pt idx="25">
                  <c:v>8.1842553963144997</c:v>
                </c:pt>
                <c:pt idx="26">
                  <c:v>8.1842553963144997</c:v>
                </c:pt>
                <c:pt idx="27">
                  <c:v>8.1842553963144997</c:v>
                </c:pt>
                <c:pt idx="28">
                  <c:v>8.1842553963144997</c:v>
                </c:pt>
                <c:pt idx="29">
                  <c:v>8.1842553963144997</c:v>
                </c:pt>
                <c:pt idx="30">
                  <c:v>8.1842553963144997</c:v>
                </c:pt>
                <c:pt idx="31">
                  <c:v>8.1842553963144997</c:v>
                </c:pt>
                <c:pt idx="32">
                  <c:v>8.1842553963144997</c:v>
                </c:pt>
                <c:pt idx="33">
                  <c:v>8.1842553963144997</c:v>
                </c:pt>
                <c:pt idx="34">
                  <c:v>8.1842553963144997</c:v>
                </c:pt>
                <c:pt idx="35">
                  <c:v>8.1842553963144997</c:v>
                </c:pt>
                <c:pt idx="36">
                  <c:v>8.1842553963144997</c:v>
                </c:pt>
                <c:pt idx="37">
                  <c:v>8.1842553963144997</c:v>
                </c:pt>
                <c:pt idx="38">
                  <c:v>8.1842553963144997</c:v>
                </c:pt>
                <c:pt idx="39">
                  <c:v>8.1842553963144997</c:v>
                </c:pt>
                <c:pt idx="40">
                  <c:v>8.1842553963144997</c:v>
                </c:pt>
                <c:pt idx="41">
                  <c:v>8.1842553963144997</c:v>
                </c:pt>
                <c:pt idx="42">
                  <c:v>8.1842553963144997</c:v>
                </c:pt>
                <c:pt idx="43">
                  <c:v>8.1842553963144997</c:v>
                </c:pt>
                <c:pt idx="44">
                  <c:v>8.1842553963144997</c:v>
                </c:pt>
                <c:pt idx="45">
                  <c:v>8.1842553963144997</c:v>
                </c:pt>
                <c:pt idx="46">
                  <c:v>8.1842553963144997</c:v>
                </c:pt>
                <c:pt idx="47">
                  <c:v>8.1842553963144997</c:v>
                </c:pt>
                <c:pt idx="48">
                  <c:v>8.1842553963144997</c:v>
                </c:pt>
                <c:pt idx="49">
                  <c:v>8.1842553963144997</c:v>
                </c:pt>
                <c:pt idx="50">
                  <c:v>8.1842553963144997</c:v>
                </c:pt>
                <c:pt idx="51">
                  <c:v>8.1842553963144997</c:v>
                </c:pt>
                <c:pt idx="52">
                  <c:v>8.1842553963144997</c:v>
                </c:pt>
                <c:pt idx="53">
                  <c:v>8.1842553963144997</c:v>
                </c:pt>
                <c:pt idx="54">
                  <c:v>8.1842553963144997</c:v>
                </c:pt>
                <c:pt idx="55">
                  <c:v>8.1842553963144997</c:v>
                </c:pt>
                <c:pt idx="56">
                  <c:v>8.1842553963144997</c:v>
                </c:pt>
                <c:pt idx="57">
                  <c:v>8.1842553963144997</c:v>
                </c:pt>
                <c:pt idx="58">
                  <c:v>8.1842553963144997</c:v>
                </c:pt>
                <c:pt idx="59">
                  <c:v>8.1842553963144997</c:v>
                </c:pt>
                <c:pt idx="60">
                  <c:v>8.1842553963144997</c:v>
                </c:pt>
                <c:pt idx="61">
                  <c:v>8.1842553963144997</c:v>
                </c:pt>
                <c:pt idx="62">
                  <c:v>8.1842553963144997</c:v>
                </c:pt>
                <c:pt idx="63">
                  <c:v>8.1842553963144997</c:v>
                </c:pt>
                <c:pt idx="64">
                  <c:v>8.1842553963144997</c:v>
                </c:pt>
                <c:pt idx="65">
                  <c:v>8.1842553963144997</c:v>
                </c:pt>
                <c:pt idx="66">
                  <c:v>8.1842553963144997</c:v>
                </c:pt>
                <c:pt idx="67">
                  <c:v>8.1842553963144997</c:v>
                </c:pt>
                <c:pt idx="68">
                  <c:v>8.1842553963144997</c:v>
                </c:pt>
                <c:pt idx="69">
                  <c:v>8.1842553963144997</c:v>
                </c:pt>
                <c:pt idx="70">
                  <c:v>8.1842553963144997</c:v>
                </c:pt>
                <c:pt idx="71">
                  <c:v>8.1842553963144997</c:v>
                </c:pt>
                <c:pt idx="72">
                  <c:v>8.1842553963144997</c:v>
                </c:pt>
                <c:pt idx="73">
                  <c:v>8.1842553963144997</c:v>
                </c:pt>
                <c:pt idx="74">
                  <c:v>8.1842553963144997</c:v>
                </c:pt>
                <c:pt idx="75">
                  <c:v>8.1842553963144997</c:v>
                </c:pt>
                <c:pt idx="76">
                  <c:v>8.1842553963144997</c:v>
                </c:pt>
                <c:pt idx="77">
                  <c:v>8.1842553963144997</c:v>
                </c:pt>
                <c:pt idx="78">
                  <c:v>8.1842553963144997</c:v>
                </c:pt>
                <c:pt idx="79">
                  <c:v>8.1842553963144997</c:v>
                </c:pt>
                <c:pt idx="80">
                  <c:v>8.1842553963144997</c:v>
                </c:pt>
                <c:pt idx="81">
                  <c:v>8.1842553963144997</c:v>
                </c:pt>
                <c:pt idx="82">
                  <c:v>8.1842553963144997</c:v>
                </c:pt>
                <c:pt idx="83">
                  <c:v>8.1842553963144997</c:v>
                </c:pt>
                <c:pt idx="84">
                  <c:v>8.1842553963144997</c:v>
                </c:pt>
                <c:pt idx="85">
                  <c:v>8.1842553963144997</c:v>
                </c:pt>
                <c:pt idx="86">
                  <c:v>8.1842553963144997</c:v>
                </c:pt>
                <c:pt idx="87">
                  <c:v>8.1842553963144997</c:v>
                </c:pt>
                <c:pt idx="88">
                  <c:v>8.1842553963144997</c:v>
                </c:pt>
                <c:pt idx="89">
                  <c:v>8.1842553963144997</c:v>
                </c:pt>
                <c:pt idx="90">
                  <c:v>8.1842553963144997</c:v>
                </c:pt>
                <c:pt idx="91">
                  <c:v>8.1842553963144997</c:v>
                </c:pt>
                <c:pt idx="92">
                  <c:v>8.1842553963144997</c:v>
                </c:pt>
                <c:pt idx="93">
                  <c:v>8.1842553963144997</c:v>
                </c:pt>
                <c:pt idx="94">
                  <c:v>8.1842553963144997</c:v>
                </c:pt>
                <c:pt idx="95">
                  <c:v>8.1842553963144997</c:v>
                </c:pt>
                <c:pt idx="96">
                  <c:v>8.1842553963144997</c:v>
                </c:pt>
                <c:pt idx="97">
                  <c:v>8.1842553963144997</c:v>
                </c:pt>
                <c:pt idx="98">
                  <c:v>8.1842553963144997</c:v>
                </c:pt>
                <c:pt idx="99">
                  <c:v>8.1842553963144997</c:v>
                </c:pt>
                <c:pt idx="100">
                  <c:v>8.1842553963144997</c:v>
                </c:pt>
                <c:pt idx="101">
                  <c:v>8.1842553963144997</c:v>
                </c:pt>
                <c:pt idx="102">
                  <c:v>8.1842553963144997</c:v>
                </c:pt>
                <c:pt idx="103">
                  <c:v>8.1842553963144997</c:v>
                </c:pt>
                <c:pt idx="104">
                  <c:v>8.1842553963144997</c:v>
                </c:pt>
                <c:pt idx="105">
                  <c:v>8.1842553963144997</c:v>
                </c:pt>
                <c:pt idx="106">
                  <c:v>8.1842553963144997</c:v>
                </c:pt>
                <c:pt idx="107">
                  <c:v>8.1842553963144997</c:v>
                </c:pt>
                <c:pt idx="108">
                  <c:v>8.1842553963144997</c:v>
                </c:pt>
                <c:pt idx="109">
                  <c:v>8.1842553963144997</c:v>
                </c:pt>
                <c:pt idx="110">
                  <c:v>8.1842553963144997</c:v>
                </c:pt>
                <c:pt idx="111">
                  <c:v>8.1842553963144997</c:v>
                </c:pt>
                <c:pt idx="112">
                  <c:v>8.1842553963144997</c:v>
                </c:pt>
                <c:pt idx="113">
                  <c:v>8.1842553963144997</c:v>
                </c:pt>
                <c:pt idx="114">
                  <c:v>8.1842553963144997</c:v>
                </c:pt>
                <c:pt idx="115">
                  <c:v>8.1842553963144997</c:v>
                </c:pt>
                <c:pt idx="116">
                  <c:v>8.1842553963144997</c:v>
                </c:pt>
                <c:pt idx="117">
                  <c:v>8.1842553963144997</c:v>
                </c:pt>
                <c:pt idx="118">
                  <c:v>8.1842553963144997</c:v>
                </c:pt>
                <c:pt idx="119">
                  <c:v>8.1842553963144997</c:v>
                </c:pt>
                <c:pt idx="120">
                  <c:v>8.1842553963144997</c:v>
                </c:pt>
                <c:pt idx="121">
                  <c:v>8.1842553963144997</c:v>
                </c:pt>
                <c:pt idx="122">
                  <c:v>8.1842553963144997</c:v>
                </c:pt>
                <c:pt idx="123">
                  <c:v>8.1842553963144997</c:v>
                </c:pt>
                <c:pt idx="124">
                  <c:v>8.1842553963144997</c:v>
                </c:pt>
                <c:pt idx="125">
                  <c:v>8.1842553963144997</c:v>
                </c:pt>
                <c:pt idx="126">
                  <c:v>8.1842553963144997</c:v>
                </c:pt>
                <c:pt idx="127">
                  <c:v>8.1842553963144997</c:v>
                </c:pt>
                <c:pt idx="128">
                  <c:v>8.1842553963144997</c:v>
                </c:pt>
                <c:pt idx="129">
                  <c:v>8.1842553963144997</c:v>
                </c:pt>
                <c:pt idx="130">
                  <c:v>8.1842553963144997</c:v>
                </c:pt>
                <c:pt idx="131">
                  <c:v>8.1842553963144997</c:v>
                </c:pt>
                <c:pt idx="132">
                  <c:v>8.1842553963144997</c:v>
                </c:pt>
                <c:pt idx="133">
                  <c:v>8.1842553963144997</c:v>
                </c:pt>
                <c:pt idx="134">
                  <c:v>8.1842553963144997</c:v>
                </c:pt>
                <c:pt idx="135">
                  <c:v>8.1842553963144997</c:v>
                </c:pt>
                <c:pt idx="136">
                  <c:v>8.1842553963144997</c:v>
                </c:pt>
                <c:pt idx="137">
                  <c:v>8.1842553963144997</c:v>
                </c:pt>
                <c:pt idx="138">
                  <c:v>8.1842553963144997</c:v>
                </c:pt>
                <c:pt idx="139">
                  <c:v>8.1842553963144997</c:v>
                </c:pt>
                <c:pt idx="140">
                  <c:v>8.1842553963144997</c:v>
                </c:pt>
                <c:pt idx="141">
                  <c:v>8.1842553963144997</c:v>
                </c:pt>
                <c:pt idx="142">
                  <c:v>8.1842553963144997</c:v>
                </c:pt>
                <c:pt idx="143">
                  <c:v>8.1842553963144997</c:v>
                </c:pt>
                <c:pt idx="144">
                  <c:v>8.1842553963144997</c:v>
                </c:pt>
                <c:pt idx="145">
                  <c:v>8.1842553963144997</c:v>
                </c:pt>
                <c:pt idx="146">
                  <c:v>8.1842553963144997</c:v>
                </c:pt>
                <c:pt idx="147">
                  <c:v>8.1842553963144997</c:v>
                </c:pt>
                <c:pt idx="148">
                  <c:v>8.1842553963144997</c:v>
                </c:pt>
                <c:pt idx="149">
                  <c:v>8.1842553963144997</c:v>
                </c:pt>
                <c:pt idx="150">
                  <c:v>8.1842553963144997</c:v>
                </c:pt>
                <c:pt idx="151">
                  <c:v>8.1842553963144997</c:v>
                </c:pt>
                <c:pt idx="152">
                  <c:v>8.1842553963144997</c:v>
                </c:pt>
                <c:pt idx="153">
                  <c:v>8.1842553963144997</c:v>
                </c:pt>
                <c:pt idx="154">
                  <c:v>8.1842553963144997</c:v>
                </c:pt>
                <c:pt idx="155">
                  <c:v>8.1842553963144997</c:v>
                </c:pt>
                <c:pt idx="156">
                  <c:v>8.1842553963144997</c:v>
                </c:pt>
                <c:pt idx="157">
                  <c:v>8.1842553963144997</c:v>
                </c:pt>
                <c:pt idx="158">
                  <c:v>8.1842553963144997</c:v>
                </c:pt>
                <c:pt idx="159">
                  <c:v>8.1842553963144997</c:v>
                </c:pt>
                <c:pt idx="160">
                  <c:v>8.1842553963144997</c:v>
                </c:pt>
                <c:pt idx="161">
                  <c:v>8.1842553963144997</c:v>
                </c:pt>
                <c:pt idx="162">
                  <c:v>8.1842553963144997</c:v>
                </c:pt>
                <c:pt idx="163">
                  <c:v>8.1842553963144997</c:v>
                </c:pt>
                <c:pt idx="164">
                  <c:v>8.1842553963144997</c:v>
                </c:pt>
                <c:pt idx="165">
                  <c:v>8.1842553963144997</c:v>
                </c:pt>
                <c:pt idx="166">
                  <c:v>8.1842553963144997</c:v>
                </c:pt>
                <c:pt idx="167">
                  <c:v>8.1842553963144997</c:v>
                </c:pt>
                <c:pt idx="168">
                  <c:v>8.1842553963144997</c:v>
                </c:pt>
                <c:pt idx="169">
                  <c:v>8.1842553963144997</c:v>
                </c:pt>
                <c:pt idx="170">
                  <c:v>8.1842553963144997</c:v>
                </c:pt>
                <c:pt idx="171">
                  <c:v>8.1842553963144997</c:v>
                </c:pt>
                <c:pt idx="172">
                  <c:v>8.1842553963144997</c:v>
                </c:pt>
                <c:pt idx="173">
                  <c:v>8.1842553963144997</c:v>
                </c:pt>
                <c:pt idx="174">
                  <c:v>8.1842553963144997</c:v>
                </c:pt>
                <c:pt idx="175">
                  <c:v>8.1842553963144997</c:v>
                </c:pt>
                <c:pt idx="176">
                  <c:v>8.1842553963144997</c:v>
                </c:pt>
                <c:pt idx="177">
                  <c:v>8.1842553963144997</c:v>
                </c:pt>
                <c:pt idx="178">
                  <c:v>8.1842553963144997</c:v>
                </c:pt>
                <c:pt idx="179">
                  <c:v>8.1842553963144997</c:v>
                </c:pt>
                <c:pt idx="180">
                  <c:v>8.1842553963144997</c:v>
                </c:pt>
                <c:pt idx="181">
                  <c:v>8.1842553963144997</c:v>
                </c:pt>
                <c:pt idx="182">
                  <c:v>8.1842553963144997</c:v>
                </c:pt>
                <c:pt idx="183">
                  <c:v>8.1842553963144997</c:v>
                </c:pt>
                <c:pt idx="184">
                  <c:v>8.1842553963144997</c:v>
                </c:pt>
                <c:pt idx="185">
                  <c:v>8.1842553963144997</c:v>
                </c:pt>
                <c:pt idx="186">
                  <c:v>8.1842553963144997</c:v>
                </c:pt>
                <c:pt idx="187">
                  <c:v>8.1842553963144997</c:v>
                </c:pt>
                <c:pt idx="188">
                  <c:v>8.1842553963144997</c:v>
                </c:pt>
                <c:pt idx="189">
                  <c:v>8.1842553963144997</c:v>
                </c:pt>
                <c:pt idx="190">
                  <c:v>8.1842553963144997</c:v>
                </c:pt>
                <c:pt idx="191">
                  <c:v>8.1842553963144997</c:v>
                </c:pt>
                <c:pt idx="192">
                  <c:v>8.1842553963144997</c:v>
                </c:pt>
                <c:pt idx="193">
                  <c:v>8.1842553963144997</c:v>
                </c:pt>
                <c:pt idx="194">
                  <c:v>8.1842553963144997</c:v>
                </c:pt>
                <c:pt idx="195">
                  <c:v>8.1842553963144997</c:v>
                </c:pt>
                <c:pt idx="196">
                  <c:v>8.1842553963144997</c:v>
                </c:pt>
                <c:pt idx="197">
                  <c:v>8.1842553963144997</c:v>
                </c:pt>
                <c:pt idx="198">
                  <c:v>8.1842553963144997</c:v>
                </c:pt>
                <c:pt idx="199">
                  <c:v>8.1842553963144997</c:v>
                </c:pt>
                <c:pt idx="200">
                  <c:v>8.1842553963144997</c:v>
                </c:pt>
                <c:pt idx="201">
                  <c:v>8.1842553963144997</c:v>
                </c:pt>
                <c:pt idx="202">
                  <c:v>8.1842553963144997</c:v>
                </c:pt>
                <c:pt idx="203">
                  <c:v>8.1842553963144997</c:v>
                </c:pt>
                <c:pt idx="204">
                  <c:v>8.1842553963144997</c:v>
                </c:pt>
                <c:pt idx="205">
                  <c:v>8.1842553963144997</c:v>
                </c:pt>
                <c:pt idx="206">
                  <c:v>8.1842553963144997</c:v>
                </c:pt>
                <c:pt idx="207">
                  <c:v>8.1842553963144997</c:v>
                </c:pt>
                <c:pt idx="208">
                  <c:v>8.1842553963144997</c:v>
                </c:pt>
                <c:pt idx="209">
                  <c:v>8.1842553963144997</c:v>
                </c:pt>
                <c:pt idx="210">
                  <c:v>8.1842553963144997</c:v>
                </c:pt>
                <c:pt idx="211">
                  <c:v>8.1842553963144997</c:v>
                </c:pt>
                <c:pt idx="212">
                  <c:v>8.1842553963144997</c:v>
                </c:pt>
                <c:pt idx="213">
                  <c:v>8.1842553963144997</c:v>
                </c:pt>
                <c:pt idx="214">
                  <c:v>8.1842553963144997</c:v>
                </c:pt>
                <c:pt idx="215">
                  <c:v>8.1842553963144997</c:v>
                </c:pt>
                <c:pt idx="216">
                  <c:v>8.1842553963144997</c:v>
                </c:pt>
                <c:pt idx="217">
                  <c:v>8.1842553963144997</c:v>
                </c:pt>
                <c:pt idx="218">
                  <c:v>8.1842553963144997</c:v>
                </c:pt>
                <c:pt idx="219">
                  <c:v>8.1842553963144997</c:v>
                </c:pt>
                <c:pt idx="220">
                  <c:v>8.1842553963144997</c:v>
                </c:pt>
                <c:pt idx="221">
                  <c:v>8.1842553963144997</c:v>
                </c:pt>
                <c:pt idx="222">
                  <c:v>8.1842553963144997</c:v>
                </c:pt>
                <c:pt idx="223">
                  <c:v>8.1842553963144997</c:v>
                </c:pt>
                <c:pt idx="224">
                  <c:v>8.1842553963144997</c:v>
                </c:pt>
                <c:pt idx="225">
                  <c:v>8.1842553963144997</c:v>
                </c:pt>
                <c:pt idx="226">
                  <c:v>8.1842553963144997</c:v>
                </c:pt>
                <c:pt idx="227">
                  <c:v>8.1842553963144997</c:v>
                </c:pt>
                <c:pt idx="228">
                  <c:v>8.1842553963144997</c:v>
                </c:pt>
                <c:pt idx="229">
                  <c:v>8.1842553963144997</c:v>
                </c:pt>
                <c:pt idx="230">
                  <c:v>8.1842553963144997</c:v>
                </c:pt>
                <c:pt idx="231">
                  <c:v>8.1842553963144997</c:v>
                </c:pt>
                <c:pt idx="232">
                  <c:v>8.1842553963144997</c:v>
                </c:pt>
                <c:pt idx="233">
                  <c:v>8.1842553963144997</c:v>
                </c:pt>
                <c:pt idx="234">
                  <c:v>8.1842553963144997</c:v>
                </c:pt>
                <c:pt idx="235">
                  <c:v>8.1842553963144997</c:v>
                </c:pt>
                <c:pt idx="236">
                  <c:v>8.1842553963144997</c:v>
                </c:pt>
                <c:pt idx="237">
                  <c:v>8.1842553963144997</c:v>
                </c:pt>
                <c:pt idx="238">
                  <c:v>8.1842553963144997</c:v>
                </c:pt>
                <c:pt idx="239">
                  <c:v>8.1842553963144997</c:v>
                </c:pt>
                <c:pt idx="240">
                  <c:v>8.1842553963144997</c:v>
                </c:pt>
                <c:pt idx="241">
                  <c:v>8.1842553963144997</c:v>
                </c:pt>
                <c:pt idx="242">
                  <c:v>8.1842553963144997</c:v>
                </c:pt>
                <c:pt idx="243">
                  <c:v>8.1842553963144997</c:v>
                </c:pt>
                <c:pt idx="244">
                  <c:v>8.1842553963144997</c:v>
                </c:pt>
                <c:pt idx="245">
                  <c:v>8.1842553963144997</c:v>
                </c:pt>
                <c:pt idx="246">
                  <c:v>8.1842553963144997</c:v>
                </c:pt>
                <c:pt idx="247">
                  <c:v>8.1842553963144997</c:v>
                </c:pt>
                <c:pt idx="248">
                  <c:v>8.1842553963144997</c:v>
                </c:pt>
                <c:pt idx="249">
                  <c:v>8.1842553963144997</c:v>
                </c:pt>
                <c:pt idx="250">
                  <c:v>8.1842553963144997</c:v>
                </c:pt>
                <c:pt idx="251">
                  <c:v>8.1842553963144997</c:v>
                </c:pt>
                <c:pt idx="252">
                  <c:v>8.1842553963144997</c:v>
                </c:pt>
                <c:pt idx="253">
                  <c:v>8.1842553963144997</c:v>
                </c:pt>
                <c:pt idx="254">
                  <c:v>8.1842553963144997</c:v>
                </c:pt>
                <c:pt idx="255">
                  <c:v>8.1842553963144997</c:v>
                </c:pt>
                <c:pt idx="256">
                  <c:v>8.1842553963144997</c:v>
                </c:pt>
                <c:pt idx="257">
                  <c:v>8.1842553963144997</c:v>
                </c:pt>
                <c:pt idx="258">
                  <c:v>8.1842553963144997</c:v>
                </c:pt>
                <c:pt idx="259">
                  <c:v>8.1842553963144997</c:v>
                </c:pt>
                <c:pt idx="260">
                  <c:v>8.1842553963144997</c:v>
                </c:pt>
                <c:pt idx="261">
                  <c:v>8.1842553963144997</c:v>
                </c:pt>
                <c:pt idx="262">
                  <c:v>8.1842553963144997</c:v>
                </c:pt>
                <c:pt idx="263">
                  <c:v>8.1842553963144997</c:v>
                </c:pt>
                <c:pt idx="264">
                  <c:v>8.1842553963144997</c:v>
                </c:pt>
                <c:pt idx="265">
                  <c:v>8.1842553963144997</c:v>
                </c:pt>
                <c:pt idx="266">
                  <c:v>8.1842553963144997</c:v>
                </c:pt>
                <c:pt idx="267">
                  <c:v>8.1842553963144997</c:v>
                </c:pt>
                <c:pt idx="268">
                  <c:v>8.1842553963144997</c:v>
                </c:pt>
                <c:pt idx="269">
                  <c:v>8.1842553963144997</c:v>
                </c:pt>
                <c:pt idx="270">
                  <c:v>8.1842553963144997</c:v>
                </c:pt>
                <c:pt idx="271">
                  <c:v>8.1842553963144997</c:v>
                </c:pt>
                <c:pt idx="272">
                  <c:v>8.1842553963144997</c:v>
                </c:pt>
                <c:pt idx="273">
                  <c:v>8.1842553963144997</c:v>
                </c:pt>
                <c:pt idx="274">
                  <c:v>8.1842553963144997</c:v>
                </c:pt>
                <c:pt idx="275">
                  <c:v>8.1842553963144997</c:v>
                </c:pt>
                <c:pt idx="276">
                  <c:v>8.1842553963144997</c:v>
                </c:pt>
                <c:pt idx="277">
                  <c:v>8.1842553963144997</c:v>
                </c:pt>
                <c:pt idx="278">
                  <c:v>8.1842553963144997</c:v>
                </c:pt>
                <c:pt idx="279">
                  <c:v>8.1842553963144997</c:v>
                </c:pt>
                <c:pt idx="280">
                  <c:v>8.1842553963144997</c:v>
                </c:pt>
                <c:pt idx="281">
                  <c:v>8.1842553963144997</c:v>
                </c:pt>
                <c:pt idx="282">
                  <c:v>8.1842553963144997</c:v>
                </c:pt>
                <c:pt idx="283">
                  <c:v>8.1842553963144997</c:v>
                </c:pt>
                <c:pt idx="284">
                  <c:v>8.1842553963144997</c:v>
                </c:pt>
                <c:pt idx="285">
                  <c:v>8.1842553963144997</c:v>
                </c:pt>
                <c:pt idx="286">
                  <c:v>8.1842553963144997</c:v>
                </c:pt>
                <c:pt idx="287">
                  <c:v>8.1842553963144997</c:v>
                </c:pt>
                <c:pt idx="288">
                  <c:v>8.1842553963144997</c:v>
                </c:pt>
                <c:pt idx="289">
                  <c:v>8.1842553963144997</c:v>
                </c:pt>
                <c:pt idx="290">
                  <c:v>8.1842553963144997</c:v>
                </c:pt>
                <c:pt idx="291">
                  <c:v>8.1842553963144997</c:v>
                </c:pt>
                <c:pt idx="292">
                  <c:v>8.1842553963144997</c:v>
                </c:pt>
                <c:pt idx="293">
                  <c:v>8.1842553963144997</c:v>
                </c:pt>
                <c:pt idx="294">
                  <c:v>8.1842553963144997</c:v>
                </c:pt>
                <c:pt idx="295">
                  <c:v>8.1842553963144997</c:v>
                </c:pt>
                <c:pt idx="296">
                  <c:v>8.1842553963144997</c:v>
                </c:pt>
                <c:pt idx="297">
                  <c:v>8.1842553963144997</c:v>
                </c:pt>
                <c:pt idx="298">
                  <c:v>8.1842553963144997</c:v>
                </c:pt>
                <c:pt idx="299">
                  <c:v>8.1842553963144997</c:v>
                </c:pt>
                <c:pt idx="300">
                  <c:v>8.1842553963144997</c:v>
                </c:pt>
                <c:pt idx="301">
                  <c:v>8.1842553963144997</c:v>
                </c:pt>
                <c:pt idx="302">
                  <c:v>8.1842553963144997</c:v>
                </c:pt>
                <c:pt idx="303">
                  <c:v>8.1842553963144997</c:v>
                </c:pt>
                <c:pt idx="304">
                  <c:v>8.1842553963144997</c:v>
                </c:pt>
                <c:pt idx="305">
                  <c:v>8.1842553963144997</c:v>
                </c:pt>
                <c:pt idx="306">
                  <c:v>8.1842553963144997</c:v>
                </c:pt>
                <c:pt idx="307">
                  <c:v>8.1842553963144997</c:v>
                </c:pt>
                <c:pt idx="308">
                  <c:v>8.1842553963144997</c:v>
                </c:pt>
                <c:pt idx="309">
                  <c:v>8.1842553963144997</c:v>
                </c:pt>
                <c:pt idx="310">
                  <c:v>8.1842553963144997</c:v>
                </c:pt>
                <c:pt idx="311">
                  <c:v>8.1842553963144997</c:v>
                </c:pt>
                <c:pt idx="312">
                  <c:v>8.1842553963144997</c:v>
                </c:pt>
                <c:pt idx="313">
                  <c:v>8.1842553963144997</c:v>
                </c:pt>
                <c:pt idx="314">
                  <c:v>8.1842553963144997</c:v>
                </c:pt>
                <c:pt idx="315">
                  <c:v>8.1842553963144997</c:v>
                </c:pt>
                <c:pt idx="316">
                  <c:v>8.1842553963144997</c:v>
                </c:pt>
                <c:pt idx="317">
                  <c:v>8.1842553963144997</c:v>
                </c:pt>
                <c:pt idx="318">
                  <c:v>8.1842553963144997</c:v>
                </c:pt>
                <c:pt idx="319">
                  <c:v>8.1842553963144997</c:v>
                </c:pt>
                <c:pt idx="320">
                  <c:v>8.1842553963144997</c:v>
                </c:pt>
                <c:pt idx="321">
                  <c:v>8.1842553963144997</c:v>
                </c:pt>
                <c:pt idx="322">
                  <c:v>8.1842553963144997</c:v>
                </c:pt>
                <c:pt idx="323">
                  <c:v>8.1842553963144997</c:v>
                </c:pt>
                <c:pt idx="324">
                  <c:v>8.1842553963144997</c:v>
                </c:pt>
                <c:pt idx="325">
                  <c:v>8.1842553963144997</c:v>
                </c:pt>
                <c:pt idx="326">
                  <c:v>8.1842553963144997</c:v>
                </c:pt>
                <c:pt idx="327">
                  <c:v>8.1842553963144997</c:v>
                </c:pt>
                <c:pt idx="328">
                  <c:v>8.1842553963144997</c:v>
                </c:pt>
                <c:pt idx="329">
                  <c:v>8.1842553963144997</c:v>
                </c:pt>
                <c:pt idx="330">
                  <c:v>8.1842553963144997</c:v>
                </c:pt>
                <c:pt idx="331">
                  <c:v>8.1842553963144997</c:v>
                </c:pt>
                <c:pt idx="332">
                  <c:v>8.1842553963144997</c:v>
                </c:pt>
                <c:pt idx="333">
                  <c:v>8.1842553963144997</c:v>
                </c:pt>
                <c:pt idx="334">
                  <c:v>8.1842553963144997</c:v>
                </c:pt>
                <c:pt idx="335">
                  <c:v>8.1842553963144997</c:v>
                </c:pt>
                <c:pt idx="336">
                  <c:v>8.1842553963144997</c:v>
                </c:pt>
                <c:pt idx="337">
                  <c:v>8.1842553963144997</c:v>
                </c:pt>
                <c:pt idx="338">
                  <c:v>8.1842553963144997</c:v>
                </c:pt>
                <c:pt idx="339">
                  <c:v>8.1842553963144997</c:v>
                </c:pt>
                <c:pt idx="340">
                  <c:v>8.1842553963144997</c:v>
                </c:pt>
                <c:pt idx="341">
                  <c:v>8.1842553963144997</c:v>
                </c:pt>
                <c:pt idx="342">
                  <c:v>8.1842553963144997</c:v>
                </c:pt>
                <c:pt idx="343">
                  <c:v>8.1842553963144997</c:v>
                </c:pt>
                <c:pt idx="344">
                  <c:v>8.1842553963144997</c:v>
                </c:pt>
                <c:pt idx="345">
                  <c:v>8.1842553963144997</c:v>
                </c:pt>
                <c:pt idx="346">
                  <c:v>8.1842553963144997</c:v>
                </c:pt>
                <c:pt idx="347">
                  <c:v>8.1842553963144997</c:v>
                </c:pt>
                <c:pt idx="348">
                  <c:v>8.1842553963144997</c:v>
                </c:pt>
                <c:pt idx="349">
                  <c:v>8.1842553963144997</c:v>
                </c:pt>
                <c:pt idx="350">
                  <c:v>8.1842553963144997</c:v>
                </c:pt>
                <c:pt idx="351">
                  <c:v>8.1842553963144997</c:v>
                </c:pt>
                <c:pt idx="352">
                  <c:v>8.1842553963144997</c:v>
                </c:pt>
                <c:pt idx="353">
                  <c:v>8.1842553963144997</c:v>
                </c:pt>
                <c:pt idx="354">
                  <c:v>8.1842553963144997</c:v>
                </c:pt>
                <c:pt idx="355">
                  <c:v>8.1842553963144997</c:v>
                </c:pt>
                <c:pt idx="356">
                  <c:v>8.1842553963144997</c:v>
                </c:pt>
                <c:pt idx="357">
                  <c:v>8.1842553963144997</c:v>
                </c:pt>
                <c:pt idx="358">
                  <c:v>8.1842553963144997</c:v>
                </c:pt>
                <c:pt idx="359">
                  <c:v>8.1842553963144997</c:v>
                </c:pt>
                <c:pt idx="360">
                  <c:v>8.1842553963144997</c:v>
                </c:pt>
                <c:pt idx="361">
                  <c:v>8.1842553963144997</c:v>
                </c:pt>
                <c:pt idx="362">
                  <c:v>8.1842553963144997</c:v>
                </c:pt>
                <c:pt idx="363">
                  <c:v>8.1842553963144997</c:v>
                </c:pt>
                <c:pt idx="364">
                  <c:v>8.1842553963144997</c:v>
                </c:pt>
                <c:pt idx="365">
                  <c:v>8.1842553963144997</c:v>
                </c:pt>
                <c:pt idx="366">
                  <c:v>8.1842553963144997</c:v>
                </c:pt>
                <c:pt idx="367">
                  <c:v>8.1842553963144997</c:v>
                </c:pt>
                <c:pt idx="368">
                  <c:v>8.1842553963144997</c:v>
                </c:pt>
                <c:pt idx="369">
                  <c:v>8.1842553963144997</c:v>
                </c:pt>
                <c:pt idx="370">
                  <c:v>8.1842553963144997</c:v>
                </c:pt>
                <c:pt idx="371">
                  <c:v>8.1842553963144997</c:v>
                </c:pt>
                <c:pt idx="372">
                  <c:v>8.1842553963144997</c:v>
                </c:pt>
                <c:pt idx="373">
                  <c:v>8.1842553963144997</c:v>
                </c:pt>
                <c:pt idx="374">
                  <c:v>8.1842553963144997</c:v>
                </c:pt>
                <c:pt idx="375">
                  <c:v>8.1842553963144997</c:v>
                </c:pt>
                <c:pt idx="376">
                  <c:v>8.1842553963144997</c:v>
                </c:pt>
                <c:pt idx="377">
                  <c:v>8.1842553963144997</c:v>
                </c:pt>
                <c:pt idx="378">
                  <c:v>8.1842553963144997</c:v>
                </c:pt>
                <c:pt idx="379">
                  <c:v>8.1842553963144997</c:v>
                </c:pt>
                <c:pt idx="380">
                  <c:v>8.1842553963144997</c:v>
                </c:pt>
                <c:pt idx="381">
                  <c:v>8.1842553963144997</c:v>
                </c:pt>
                <c:pt idx="382">
                  <c:v>8.1842553963144997</c:v>
                </c:pt>
                <c:pt idx="383">
                  <c:v>8.1842553963144997</c:v>
                </c:pt>
                <c:pt idx="384">
                  <c:v>8.1842553963144997</c:v>
                </c:pt>
                <c:pt idx="385">
                  <c:v>8.1842553963144997</c:v>
                </c:pt>
                <c:pt idx="386">
                  <c:v>8.1842553963144997</c:v>
                </c:pt>
                <c:pt idx="387">
                  <c:v>8.1842553963144997</c:v>
                </c:pt>
                <c:pt idx="388">
                  <c:v>8.1842553963144997</c:v>
                </c:pt>
                <c:pt idx="389">
                  <c:v>8.1842553963144997</c:v>
                </c:pt>
                <c:pt idx="390">
                  <c:v>8.1842553963144997</c:v>
                </c:pt>
                <c:pt idx="391">
                  <c:v>8.1842553963144997</c:v>
                </c:pt>
                <c:pt idx="392">
                  <c:v>8.1842553963144997</c:v>
                </c:pt>
                <c:pt idx="393">
                  <c:v>8.1842553963144997</c:v>
                </c:pt>
                <c:pt idx="394">
                  <c:v>8.1842553963144997</c:v>
                </c:pt>
                <c:pt idx="395">
                  <c:v>8.1842553963144997</c:v>
                </c:pt>
                <c:pt idx="396">
                  <c:v>8.1842553963144997</c:v>
                </c:pt>
                <c:pt idx="397">
                  <c:v>8.1842553963144997</c:v>
                </c:pt>
                <c:pt idx="398">
                  <c:v>8.1842553963144997</c:v>
                </c:pt>
                <c:pt idx="399">
                  <c:v>8.1842553963144997</c:v>
                </c:pt>
                <c:pt idx="400">
                  <c:v>8.1842553963144997</c:v>
                </c:pt>
                <c:pt idx="401">
                  <c:v>8.1842553963144997</c:v>
                </c:pt>
                <c:pt idx="402">
                  <c:v>8.1842553963144997</c:v>
                </c:pt>
                <c:pt idx="403">
                  <c:v>8.1842553963144997</c:v>
                </c:pt>
                <c:pt idx="404">
                  <c:v>8.1842553963144997</c:v>
                </c:pt>
                <c:pt idx="405">
                  <c:v>8.1842553963144997</c:v>
                </c:pt>
                <c:pt idx="406">
                  <c:v>8.1842553963144997</c:v>
                </c:pt>
                <c:pt idx="407">
                  <c:v>8.1842553963144997</c:v>
                </c:pt>
                <c:pt idx="408">
                  <c:v>8.1842553963144997</c:v>
                </c:pt>
                <c:pt idx="409">
                  <c:v>8.1842553963144997</c:v>
                </c:pt>
                <c:pt idx="410">
                  <c:v>8.1842553963144997</c:v>
                </c:pt>
                <c:pt idx="411">
                  <c:v>8.1842553963144997</c:v>
                </c:pt>
                <c:pt idx="412">
                  <c:v>8.1842553963144997</c:v>
                </c:pt>
                <c:pt idx="413">
                  <c:v>8.1842553963144997</c:v>
                </c:pt>
                <c:pt idx="414">
                  <c:v>8.1842553963144997</c:v>
                </c:pt>
                <c:pt idx="415">
                  <c:v>8.1842553963144997</c:v>
                </c:pt>
                <c:pt idx="416">
                  <c:v>8.1842553963144997</c:v>
                </c:pt>
                <c:pt idx="417">
                  <c:v>8.1842553963144997</c:v>
                </c:pt>
                <c:pt idx="418">
                  <c:v>8.1842553963144997</c:v>
                </c:pt>
                <c:pt idx="419">
                  <c:v>8.1842553963144997</c:v>
                </c:pt>
                <c:pt idx="420">
                  <c:v>8.1842553963144997</c:v>
                </c:pt>
                <c:pt idx="421">
                  <c:v>8.1842553963144997</c:v>
                </c:pt>
                <c:pt idx="422">
                  <c:v>8.1842553963144997</c:v>
                </c:pt>
                <c:pt idx="423">
                  <c:v>8.1842553963144997</c:v>
                </c:pt>
                <c:pt idx="424">
                  <c:v>8.1842553963144997</c:v>
                </c:pt>
                <c:pt idx="425">
                  <c:v>8.1842553963144997</c:v>
                </c:pt>
                <c:pt idx="426">
                  <c:v>8.1842553963144997</c:v>
                </c:pt>
                <c:pt idx="427">
                  <c:v>8.1842553963144997</c:v>
                </c:pt>
                <c:pt idx="428">
                  <c:v>8.1842553963144997</c:v>
                </c:pt>
                <c:pt idx="429">
                  <c:v>8.1842553963144997</c:v>
                </c:pt>
                <c:pt idx="430">
                  <c:v>8.1842553963144997</c:v>
                </c:pt>
                <c:pt idx="431">
                  <c:v>8.1842553963144997</c:v>
                </c:pt>
                <c:pt idx="432">
                  <c:v>8.1842553963144997</c:v>
                </c:pt>
                <c:pt idx="433">
                  <c:v>8.1842553963144997</c:v>
                </c:pt>
                <c:pt idx="434">
                  <c:v>8.1842553963144997</c:v>
                </c:pt>
                <c:pt idx="435">
                  <c:v>8.1842553963144997</c:v>
                </c:pt>
                <c:pt idx="436">
                  <c:v>8.1842553963144997</c:v>
                </c:pt>
                <c:pt idx="437">
                  <c:v>8.1842553963144997</c:v>
                </c:pt>
                <c:pt idx="438">
                  <c:v>8.1842553963144997</c:v>
                </c:pt>
                <c:pt idx="439">
                  <c:v>8.1842553963144997</c:v>
                </c:pt>
                <c:pt idx="440">
                  <c:v>8.1842553963144997</c:v>
                </c:pt>
                <c:pt idx="441">
                  <c:v>8.1842553963144997</c:v>
                </c:pt>
                <c:pt idx="442">
                  <c:v>8.1842553963144997</c:v>
                </c:pt>
                <c:pt idx="443">
                  <c:v>8.1842553963144997</c:v>
                </c:pt>
                <c:pt idx="444">
                  <c:v>8.1842553963144997</c:v>
                </c:pt>
                <c:pt idx="445">
                  <c:v>8.1842553963144997</c:v>
                </c:pt>
                <c:pt idx="446">
                  <c:v>8.1842553963144997</c:v>
                </c:pt>
                <c:pt idx="447">
                  <c:v>8.1842553963144997</c:v>
                </c:pt>
                <c:pt idx="448">
                  <c:v>8.1842553963144997</c:v>
                </c:pt>
                <c:pt idx="449">
                  <c:v>8.1842553963144997</c:v>
                </c:pt>
                <c:pt idx="450">
                  <c:v>8.1842553963144997</c:v>
                </c:pt>
                <c:pt idx="451">
                  <c:v>8.1842553963144997</c:v>
                </c:pt>
                <c:pt idx="452">
                  <c:v>8.1842553963144997</c:v>
                </c:pt>
                <c:pt idx="453">
                  <c:v>8.1842553963144997</c:v>
                </c:pt>
                <c:pt idx="454">
                  <c:v>8.1842553963144997</c:v>
                </c:pt>
                <c:pt idx="455">
                  <c:v>8.1842553963144997</c:v>
                </c:pt>
                <c:pt idx="456">
                  <c:v>8.1842553963144997</c:v>
                </c:pt>
                <c:pt idx="457">
                  <c:v>8.1842553963144997</c:v>
                </c:pt>
                <c:pt idx="458">
                  <c:v>8.1842553963144997</c:v>
                </c:pt>
                <c:pt idx="459">
                  <c:v>8.1842553963144997</c:v>
                </c:pt>
                <c:pt idx="460">
                  <c:v>8.1842553963144997</c:v>
                </c:pt>
                <c:pt idx="461">
                  <c:v>8.1842553963144997</c:v>
                </c:pt>
                <c:pt idx="462">
                  <c:v>8.1842553963144997</c:v>
                </c:pt>
                <c:pt idx="463">
                  <c:v>8.1842553963144997</c:v>
                </c:pt>
                <c:pt idx="464">
                  <c:v>8.1842553963144997</c:v>
                </c:pt>
                <c:pt idx="465">
                  <c:v>8.1842553963144997</c:v>
                </c:pt>
                <c:pt idx="466">
                  <c:v>8.1842553963144997</c:v>
                </c:pt>
                <c:pt idx="467">
                  <c:v>8.1842553963144997</c:v>
                </c:pt>
                <c:pt idx="468">
                  <c:v>8.1842553963144997</c:v>
                </c:pt>
                <c:pt idx="469">
                  <c:v>8.1842553963144997</c:v>
                </c:pt>
                <c:pt idx="470">
                  <c:v>8.1842553963144997</c:v>
                </c:pt>
                <c:pt idx="471">
                  <c:v>8.1842553963144997</c:v>
                </c:pt>
                <c:pt idx="472">
                  <c:v>8.1842553963144997</c:v>
                </c:pt>
                <c:pt idx="473">
                  <c:v>8.1842553963144997</c:v>
                </c:pt>
                <c:pt idx="474">
                  <c:v>8.1842553963144997</c:v>
                </c:pt>
                <c:pt idx="475">
                  <c:v>8.1842553963144997</c:v>
                </c:pt>
                <c:pt idx="476">
                  <c:v>8.1842553963144997</c:v>
                </c:pt>
                <c:pt idx="477">
                  <c:v>8.1842553963144997</c:v>
                </c:pt>
                <c:pt idx="478">
                  <c:v>8.1842553963144997</c:v>
                </c:pt>
                <c:pt idx="479">
                  <c:v>8.1842553963144997</c:v>
                </c:pt>
                <c:pt idx="480">
                  <c:v>8.1842553963144997</c:v>
                </c:pt>
                <c:pt idx="481">
                  <c:v>8.1842553963144997</c:v>
                </c:pt>
                <c:pt idx="482">
                  <c:v>8.1842553963144997</c:v>
                </c:pt>
                <c:pt idx="483">
                  <c:v>8.1842553963144997</c:v>
                </c:pt>
                <c:pt idx="484">
                  <c:v>8.1842553963144997</c:v>
                </c:pt>
                <c:pt idx="485">
                  <c:v>8.1842553963144997</c:v>
                </c:pt>
                <c:pt idx="486">
                  <c:v>8.1842553963144997</c:v>
                </c:pt>
                <c:pt idx="487">
                  <c:v>8.1842553963144997</c:v>
                </c:pt>
                <c:pt idx="488">
                  <c:v>8.1842553963144997</c:v>
                </c:pt>
                <c:pt idx="489">
                  <c:v>8.1842553963144997</c:v>
                </c:pt>
                <c:pt idx="490">
                  <c:v>8.1842553963144997</c:v>
                </c:pt>
                <c:pt idx="491">
                  <c:v>8.1842553963144997</c:v>
                </c:pt>
                <c:pt idx="492">
                  <c:v>8.1842553963144997</c:v>
                </c:pt>
                <c:pt idx="493">
                  <c:v>8.1842553963144997</c:v>
                </c:pt>
                <c:pt idx="494">
                  <c:v>8.1842553963144997</c:v>
                </c:pt>
                <c:pt idx="495">
                  <c:v>8.1842553963144997</c:v>
                </c:pt>
                <c:pt idx="496">
                  <c:v>8.1842553963144997</c:v>
                </c:pt>
                <c:pt idx="497">
                  <c:v>8.1842553963144997</c:v>
                </c:pt>
                <c:pt idx="498">
                  <c:v>8.1842553963144997</c:v>
                </c:pt>
                <c:pt idx="499">
                  <c:v>8.1842553963144997</c:v>
                </c:pt>
              </c:numCache>
            </c:numRef>
          </c:val>
          <c:smooth val="0"/>
          <c:extLst>
            <c:ext xmlns:c16="http://schemas.microsoft.com/office/drawing/2014/chart" uri="{C3380CC4-5D6E-409C-BE32-E72D297353CC}">
              <c16:uniqueId val="{00000003-0C61-472C-8756-900BB55EBDA5}"/>
            </c:ext>
          </c:extLst>
        </c:ser>
        <c:dLbls>
          <c:showLegendKey val="0"/>
          <c:showVal val="0"/>
          <c:showCatName val="0"/>
          <c:showSerName val="0"/>
          <c:showPercent val="0"/>
          <c:showBubbleSize val="0"/>
        </c:dLbls>
        <c:smooth val="0"/>
        <c:axId val="1683816912"/>
        <c:axId val="1683822672"/>
      </c:lineChart>
      <c:dateAx>
        <c:axId val="1683816912"/>
        <c:scaling>
          <c:orientation val="minMax"/>
        </c:scaling>
        <c:delete val="0"/>
        <c:axPos val="b"/>
        <c:numFmt formatCode="yyyy"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83822672"/>
        <c:crosses val="autoZero"/>
        <c:auto val="1"/>
        <c:lblOffset val="100"/>
        <c:baseTimeUnit val="days"/>
        <c:majorUnit val="1"/>
        <c:majorTimeUnit val="years"/>
      </c:dateAx>
      <c:valAx>
        <c:axId val="1683822672"/>
        <c:scaling>
          <c:orientation val="minMax"/>
        </c:scaling>
        <c:delete val="0"/>
        <c:axPos val="l"/>
        <c:majorGridlines>
          <c:spPr>
            <a:ln w="9525" cap="flat" cmpd="sng" algn="ctr">
              <a:solidFill>
                <a:schemeClr val="tx1">
                  <a:lumMod val="15000"/>
                  <a:lumOff val="85000"/>
                </a:schemeClr>
              </a:solidFill>
              <a:round/>
            </a:ln>
            <a:effectLst/>
          </c:spPr>
        </c:majorGridlines>
        <c:numFmt formatCode="0\x;\(0\x\)"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838169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0"/>
          <c:order val="0"/>
          <c:tx>
            <c:strRef>
              <c:f>Charts!$CS$151</c:f>
              <c:strCache>
                <c:ptCount val="1"/>
                <c:pt idx="0">
                  <c:v>Shopify Payments Revenue</c:v>
                </c:pt>
              </c:strCache>
            </c:strRef>
          </c:tx>
          <c:spPr>
            <a:solidFill>
              <a:schemeClr val="accent1"/>
            </a:solidFill>
            <a:ln>
              <a:noFill/>
            </a:ln>
            <a:effectLst/>
          </c:spPr>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Charts!$CU$150:$DE$150</c:f>
              <c:numCache>
                <c:formatCode>General</c:formatCode>
                <c:ptCount val="11"/>
              </c:numCache>
            </c:numRef>
          </c:cat>
          <c:val>
            <c:numRef>
              <c:f>Charts!$CU$151:$DE$151</c:f>
              <c:numCache>
                <c:formatCode>0.0%_);\(0.0%\);0.0%_);@_)</c:formatCode>
                <c:ptCount val="11"/>
                <c:pt idx="0">
                  <c:v>0.57999999999999985</c:v>
                </c:pt>
                <c:pt idx="1">
                  <c:v>0.57499999999999996</c:v>
                </c:pt>
                <c:pt idx="2">
                  <c:v>0.56999999999999995</c:v>
                </c:pt>
                <c:pt idx="3">
                  <c:v>0.56499999999999995</c:v>
                </c:pt>
                <c:pt idx="4">
                  <c:v>0.56000000000000005</c:v>
                </c:pt>
                <c:pt idx="5">
                  <c:v>0.55300000000000005</c:v>
                </c:pt>
                <c:pt idx="6">
                  <c:v>0.56499999999999995</c:v>
                </c:pt>
                <c:pt idx="7">
                  <c:v>0.56540323124042857</c:v>
                </c:pt>
                <c:pt idx="8">
                  <c:v>#N/A</c:v>
                </c:pt>
                <c:pt idx="9">
                  <c:v>0.55693807692291308</c:v>
                </c:pt>
                <c:pt idx="10">
                  <c:v>0.54863312532302455</c:v>
                </c:pt>
              </c:numCache>
            </c:numRef>
          </c:val>
          <c:extLst>
            <c:ext xmlns:c16="http://schemas.microsoft.com/office/drawing/2014/chart" uri="{C3380CC4-5D6E-409C-BE32-E72D297353CC}">
              <c16:uniqueId val="{00000000-2EF4-4F08-877E-DDA0A7054956}"/>
            </c:ext>
          </c:extLst>
        </c:ser>
        <c:ser>
          <c:idx val="1"/>
          <c:order val="1"/>
          <c:tx>
            <c:strRef>
              <c:f>Charts!$CS$152</c:f>
              <c:strCache>
                <c:ptCount val="1"/>
                <c:pt idx="0">
                  <c:v>3P Transaction Fee Revenue</c:v>
                </c:pt>
              </c:strCache>
            </c:strRef>
          </c:tx>
          <c:spPr>
            <a:solidFill>
              <a:schemeClr val="accent2"/>
            </a:solidFill>
            <a:ln>
              <a:noFill/>
            </a:ln>
            <a:effectLst/>
          </c:spPr>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Charts!$CU$150:$DE$150</c:f>
              <c:numCache>
                <c:formatCode>General</c:formatCode>
                <c:ptCount val="11"/>
              </c:numCache>
            </c:numRef>
          </c:cat>
          <c:val>
            <c:numRef>
              <c:f>Charts!$CU$152:$DE$152</c:f>
              <c:numCache>
                <c:formatCode>0.0%_);\(0.0%\);0.0%_);@_)</c:formatCode>
                <c:ptCount val="11"/>
                <c:pt idx="0">
                  <c:v>0.33999999999999997</c:v>
                </c:pt>
                <c:pt idx="1">
                  <c:v>0.32</c:v>
                </c:pt>
                <c:pt idx="2">
                  <c:v>0.3</c:v>
                </c:pt>
                <c:pt idx="3">
                  <c:v>0.27999999999999997</c:v>
                </c:pt>
                <c:pt idx="4">
                  <c:v>0.25999999999999995</c:v>
                </c:pt>
                <c:pt idx="5">
                  <c:v>0.24499999999999994</c:v>
                </c:pt>
                <c:pt idx="6">
                  <c:v>0.23499999999999996</c:v>
                </c:pt>
                <c:pt idx="7">
                  <c:v>0.22999999999999998</c:v>
                </c:pt>
                <c:pt idx="8">
                  <c:v>#N/A</c:v>
                </c:pt>
                <c:pt idx="9">
                  <c:v>0.21327247265742644</c:v>
                </c:pt>
                <c:pt idx="10">
                  <c:v>0.20383725637438097</c:v>
                </c:pt>
              </c:numCache>
            </c:numRef>
          </c:val>
          <c:extLst>
            <c:ext xmlns:c16="http://schemas.microsoft.com/office/drawing/2014/chart" uri="{C3380CC4-5D6E-409C-BE32-E72D297353CC}">
              <c16:uniqueId val="{00000001-2EF4-4F08-877E-DDA0A7054956}"/>
            </c:ext>
          </c:extLst>
        </c:ser>
        <c:ser>
          <c:idx val="2"/>
          <c:order val="2"/>
          <c:tx>
            <c:strRef>
              <c:f>Charts!$CS$153</c:f>
              <c:strCache>
                <c:ptCount val="1"/>
                <c:pt idx="0">
                  <c:v>Other Merchants Solutions Revenue</c:v>
                </c:pt>
              </c:strCache>
            </c:strRef>
          </c:tx>
          <c:spPr>
            <a:solidFill>
              <a:schemeClr val="accent3"/>
            </a:solidFill>
            <a:ln>
              <a:noFill/>
            </a:ln>
            <a:effectLst/>
          </c:spPr>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Charts!$CU$150:$DE$150</c:f>
              <c:numCache>
                <c:formatCode>General</c:formatCode>
                <c:ptCount val="11"/>
              </c:numCache>
            </c:numRef>
          </c:cat>
          <c:val>
            <c:numRef>
              <c:f>Charts!$CU$153:$DE$153</c:f>
              <c:numCache>
                <c:formatCode>0.0%_);\(0.0%\);0.0%_);@_)</c:formatCode>
                <c:ptCount val="11"/>
                <c:pt idx="0">
                  <c:v>7.9999999999999988E-2</c:v>
                </c:pt>
                <c:pt idx="1">
                  <c:v>0.10500000000000009</c:v>
                </c:pt>
                <c:pt idx="2">
                  <c:v>0.13000000000000009</c:v>
                </c:pt>
                <c:pt idx="3">
                  <c:v>0.15500000000000008</c:v>
                </c:pt>
                <c:pt idx="4">
                  <c:v>0.17999999999999997</c:v>
                </c:pt>
                <c:pt idx="5">
                  <c:v>0.20200000000000004</c:v>
                </c:pt>
                <c:pt idx="6">
                  <c:v>0.20000000000000007</c:v>
                </c:pt>
                <c:pt idx="7">
                  <c:v>0.20459676875957133</c:v>
                </c:pt>
                <c:pt idx="8">
                  <c:v>#N/A</c:v>
                </c:pt>
                <c:pt idx="9">
                  <c:v>0.2297894504196604</c:v>
                </c:pt>
                <c:pt idx="10">
                  <c:v>0.24752961830259443</c:v>
                </c:pt>
              </c:numCache>
            </c:numRef>
          </c:val>
          <c:extLst>
            <c:ext xmlns:c16="http://schemas.microsoft.com/office/drawing/2014/chart" uri="{C3380CC4-5D6E-409C-BE32-E72D297353CC}">
              <c16:uniqueId val="{00000002-2EF4-4F08-877E-DDA0A7054956}"/>
            </c:ext>
          </c:extLst>
        </c:ser>
        <c:dLbls>
          <c:showLegendKey val="0"/>
          <c:showVal val="0"/>
          <c:showCatName val="0"/>
          <c:showSerName val="0"/>
          <c:showPercent val="0"/>
          <c:showBubbleSize val="0"/>
        </c:dLbls>
        <c:axId val="80160944"/>
        <c:axId val="80156144"/>
      </c:areaChart>
      <c:catAx>
        <c:axId val="8016094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0156144"/>
        <c:crosses val="autoZero"/>
        <c:auto val="1"/>
        <c:lblAlgn val="ctr"/>
        <c:lblOffset val="100"/>
        <c:noMultiLvlLbl val="0"/>
      </c:catAx>
      <c:valAx>
        <c:axId val="8015614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_);\(0%\);0%_);@_)" sourceLinked="0"/>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016094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Charts!$CS$157</c:f>
              <c:strCache>
                <c:ptCount val="1"/>
                <c:pt idx="0">
                  <c:v>Shopify Payments Revenue</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Charts!$CY$156:$DE$156</c:f>
              <c:numCache>
                <c:formatCode>General</c:formatCode>
                <c:ptCount val="7"/>
              </c:numCache>
            </c:numRef>
          </c:cat>
          <c:val>
            <c:numRef>
              <c:f>Charts!$CY$157:$DE$157</c:f>
              <c:numCache>
                <c:formatCode>0.0%_);\(0.0%\);0.0%_);@_)</c:formatCode>
                <c:ptCount val="7"/>
                <c:pt idx="0">
                  <c:v>0.60366885349143007</c:v>
                </c:pt>
                <c:pt idx="1">
                  <c:v>0.24198695940874515</c:v>
                </c:pt>
                <c:pt idx="2">
                  <c:v>0.29771446874906426</c:v>
                </c:pt>
                <c:pt idx="3">
                  <c:v>0.25113160137512902</c:v>
                </c:pt>
                <c:pt idx="4">
                  <c:v>#N/A</c:v>
                </c:pt>
                <c:pt idx="5">
                  <c:v>#N/A</c:v>
                </c:pt>
                <c:pt idx="6">
                  <c:v>0.25436695200035286</c:v>
                </c:pt>
              </c:numCache>
            </c:numRef>
          </c:val>
          <c:smooth val="1"/>
          <c:extLst>
            <c:ext xmlns:c16="http://schemas.microsoft.com/office/drawing/2014/chart" uri="{C3380CC4-5D6E-409C-BE32-E72D297353CC}">
              <c16:uniqueId val="{00000000-1C17-41BE-8A6E-FFAF7C44F53A}"/>
            </c:ext>
          </c:extLst>
        </c:ser>
        <c:ser>
          <c:idx val="1"/>
          <c:order val="1"/>
          <c:tx>
            <c:strRef>
              <c:f>Charts!$CS$158</c:f>
              <c:strCache>
                <c:ptCount val="1"/>
                <c:pt idx="0">
                  <c:v>3P Transaction Fee Revenue</c:v>
                </c:pt>
              </c:strCache>
            </c:strRef>
          </c:tx>
          <c:spPr>
            <a:ln w="28575"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Charts!$CY$156:$DE$156</c:f>
              <c:numCache>
                <c:formatCode>General</c:formatCode>
                <c:ptCount val="7"/>
              </c:numCache>
            </c:numRef>
          </c:cat>
          <c:val>
            <c:numRef>
              <c:f>Charts!$CY$158:$DE$158</c:f>
              <c:numCache>
                <c:formatCode>0.0%_);\(0.0%\);0.0%_);@_)</c:formatCode>
                <c:ptCount val="7"/>
                <c:pt idx="0">
                  <c:v>0.50241680215491713</c:v>
                </c:pt>
                <c:pt idx="1">
                  <c:v>0.18514821832577444</c:v>
                </c:pt>
                <c:pt idx="2">
                  <c:v>0.21830943678009507</c:v>
                </c:pt>
                <c:pt idx="3">
                  <c:v>0.22363848933318686</c:v>
                </c:pt>
                <c:pt idx="4">
                  <c:v>#N/A</c:v>
                </c:pt>
                <c:pt idx="5">
                  <c:v>#N/A</c:v>
                </c:pt>
                <c:pt idx="6">
                  <c:v>0.21702149684184957</c:v>
                </c:pt>
              </c:numCache>
            </c:numRef>
          </c:val>
          <c:smooth val="1"/>
          <c:extLst>
            <c:ext xmlns:c16="http://schemas.microsoft.com/office/drawing/2014/chart" uri="{C3380CC4-5D6E-409C-BE32-E72D297353CC}">
              <c16:uniqueId val="{00000001-1C17-41BE-8A6E-FFAF7C44F53A}"/>
            </c:ext>
          </c:extLst>
        </c:ser>
        <c:ser>
          <c:idx val="2"/>
          <c:order val="2"/>
          <c:tx>
            <c:strRef>
              <c:f>Charts!$CS$159</c:f>
              <c:strCache>
                <c:ptCount val="1"/>
                <c:pt idx="0">
                  <c:v>Other Merchants Solutions Revenue</c:v>
                </c:pt>
              </c:strCache>
            </c:strRef>
          </c:tx>
          <c:spPr>
            <a:ln w="28575" cap="rnd">
              <a:solidFill>
                <a:schemeClr val="accent3"/>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Charts!$CY$156:$DE$156</c:f>
              <c:numCache>
                <c:formatCode>General</c:formatCode>
                <c:ptCount val="7"/>
              </c:numCache>
            </c:numRef>
          </c:cat>
          <c:val>
            <c:numRef>
              <c:f>Charts!$CY$159:$DE$159</c:f>
              <c:numCache>
                <c:formatCode>0.0%_);\(0.0%\);0.0%_);@_)</c:formatCode>
                <c:ptCount val="7"/>
                <c:pt idx="0">
                  <c:v>0.87895302304237632</c:v>
                </c:pt>
                <c:pt idx="1">
                  <c:v>0.41142821828729481</c:v>
                </c:pt>
                <c:pt idx="2">
                  <c:v>0.25757662528385628</c:v>
                </c:pt>
                <c:pt idx="3">
                  <c:v>0.27897463143787116</c:v>
                </c:pt>
                <c:pt idx="4">
                  <c:v>#N/A</c:v>
                </c:pt>
                <c:pt idx="5">
                  <c:v>#N/A</c:v>
                </c:pt>
                <c:pt idx="6">
                  <c:v>0.3716603161644807</c:v>
                </c:pt>
              </c:numCache>
            </c:numRef>
          </c:val>
          <c:smooth val="1"/>
          <c:extLst>
            <c:ext xmlns:c16="http://schemas.microsoft.com/office/drawing/2014/chart" uri="{C3380CC4-5D6E-409C-BE32-E72D297353CC}">
              <c16:uniqueId val="{00000002-1C17-41BE-8A6E-FFAF7C44F53A}"/>
            </c:ext>
          </c:extLst>
        </c:ser>
        <c:dLbls>
          <c:showLegendKey val="0"/>
          <c:showVal val="0"/>
          <c:showCatName val="0"/>
          <c:showSerName val="0"/>
          <c:showPercent val="0"/>
          <c:showBubbleSize val="0"/>
        </c:dLbls>
        <c:smooth val="0"/>
        <c:axId val="395304208"/>
        <c:axId val="395301328"/>
      </c:lineChart>
      <c:catAx>
        <c:axId val="395304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95301328"/>
        <c:crosses val="autoZero"/>
        <c:auto val="1"/>
        <c:lblAlgn val="ctr"/>
        <c:lblOffset val="100"/>
        <c:noMultiLvlLbl val="0"/>
      </c:catAx>
      <c:valAx>
        <c:axId val="395301328"/>
        <c:scaling>
          <c:orientation val="minMax"/>
        </c:scaling>
        <c:delete val="0"/>
        <c:axPos val="l"/>
        <c:majorGridlines>
          <c:spPr>
            <a:ln w="9525" cap="flat" cmpd="sng" algn="ctr">
              <a:solidFill>
                <a:schemeClr val="tx1">
                  <a:lumMod val="15000"/>
                  <a:lumOff val="85000"/>
                </a:schemeClr>
              </a:solidFill>
              <a:round/>
            </a:ln>
            <a:effectLst/>
          </c:spPr>
        </c:majorGridlines>
        <c:numFmt formatCode="0.0%_);\(0.0%\);0.0%_);@_)"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953042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0"/>
          <c:order val="0"/>
          <c:tx>
            <c:strRef>
              <c:f>Charts!$CS$58</c:f>
              <c:strCache>
                <c:ptCount val="1"/>
                <c:pt idx="0">
                  <c:v>Selling and Marketing </c:v>
                </c:pt>
              </c:strCache>
            </c:strRef>
          </c:tx>
          <c:spPr>
            <a:solidFill>
              <a:schemeClr val="accent1"/>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Charts!$CT$38:$DE$38</c:f>
              <c:numCache>
                <c:formatCode>General</c:formatCode>
                <c:ptCount val="12"/>
              </c:numCache>
            </c:numRef>
          </c:cat>
          <c:val>
            <c:numRef>
              <c:f>Charts!$CT$59:$DE$59</c:f>
              <c:numCache>
                <c:formatCode>0.0%_);\(0.0%\);0.0%_);@_)</c:formatCode>
                <c:ptCount val="12"/>
                <c:pt idx="0">
                  <c:v>0.33188811548044078</c:v>
                </c:pt>
                <c:pt idx="1">
                  <c:v>0.33520371184487247</c:v>
                </c:pt>
                <c:pt idx="2">
                  <c:v>0.32618294883943694</c:v>
                </c:pt>
                <c:pt idx="3">
                  <c:v>0.29961290682326969</c:v>
                </c:pt>
                <c:pt idx="4">
                  <c:v>0.20551283482352395</c:v>
                </c:pt>
                <c:pt idx="5">
                  <c:v>0.19548680617955116</c:v>
                </c:pt>
                <c:pt idx="6">
                  <c:v>0.21973569358112977</c:v>
                </c:pt>
                <c:pt idx="7">
                  <c:v>0.17280453257790368</c:v>
                </c:pt>
                <c:pt idx="8">
                  <c:v>0.15686936936936938</c:v>
                </c:pt>
                <c:pt idx="9">
                  <c:v>#N/A</c:v>
                </c:pt>
                <c:pt idx="10">
                  <c:v>0.13230953047526492</c:v>
                </c:pt>
                <c:pt idx="11">
                  <c:v>0.12445027248862665</c:v>
                </c:pt>
              </c:numCache>
            </c:numRef>
          </c:val>
          <c:extLst>
            <c:ext xmlns:c16="http://schemas.microsoft.com/office/drawing/2014/chart" uri="{C3380CC4-5D6E-409C-BE32-E72D297353CC}">
              <c16:uniqueId val="{00000000-1EFB-4F0A-B4F4-FCFFEC922AC9}"/>
            </c:ext>
          </c:extLst>
        </c:ser>
        <c:ser>
          <c:idx val="1"/>
          <c:order val="1"/>
          <c:tx>
            <c:strRef>
              <c:f>Charts!$CS$60</c:f>
              <c:strCache>
                <c:ptCount val="1"/>
                <c:pt idx="0">
                  <c:v>Research and Development</c:v>
                </c:pt>
              </c:strCache>
            </c:strRef>
          </c:tx>
          <c:spPr>
            <a:solidFill>
              <a:schemeClr val="accent2"/>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Charts!$CT$38:$DE$38</c:f>
              <c:numCache>
                <c:formatCode>General</c:formatCode>
                <c:ptCount val="12"/>
              </c:numCache>
            </c:numRef>
          </c:cat>
          <c:val>
            <c:numRef>
              <c:f>Charts!$CT$61:$DE$61</c:f>
              <c:numCache>
                <c:formatCode>0.0%_);\(0.0%\);0.0%_);@_)</c:formatCode>
                <c:ptCount val="12"/>
                <c:pt idx="0">
                  <c:v>0.19093314155086949</c:v>
                </c:pt>
                <c:pt idx="1">
                  <c:v>0.20198454190083531</c:v>
                </c:pt>
                <c:pt idx="2">
                  <c:v>0.21493455730324101</c:v>
                </c:pt>
                <c:pt idx="3">
                  <c:v>0.22495315786038667</c:v>
                </c:pt>
                <c:pt idx="4">
                  <c:v>0.18847199052668193</c:v>
                </c:pt>
                <c:pt idx="5">
                  <c:v>0.1852579525466537</c:v>
                </c:pt>
                <c:pt idx="6">
                  <c:v>0.26844116214250913</c:v>
                </c:pt>
                <c:pt idx="7">
                  <c:v>0.24504249291784702</c:v>
                </c:pt>
                <c:pt idx="8">
                  <c:v>0.15394144144144145</c:v>
                </c:pt>
                <c:pt idx="9">
                  <c:v>#N/A</c:v>
                </c:pt>
                <c:pt idx="10">
                  <c:v>0.12114667900448363</c:v>
                </c:pt>
                <c:pt idx="11">
                  <c:v>0.11124670352485065</c:v>
                </c:pt>
              </c:numCache>
            </c:numRef>
          </c:val>
          <c:extLst>
            <c:ext xmlns:c16="http://schemas.microsoft.com/office/drawing/2014/chart" uri="{C3380CC4-5D6E-409C-BE32-E72D297353CC}">
              <c16:uniqueId val="{00000001-1EFB-4F0A-B4F4-FCFFEC922AC9}"/>
            </c:ext>
          </c:extLst>
        </c:ser>
        <c:ser>
          <c:idx val="2"/>
          <c:order val="2"/>
          <c:tx>
            <c:strRef>
              <c:f>Charts!$CS$62</c:f>
              <c:strCache>
                <c:ptCount val="1"/>
                <c:pt idx="0">
                  <c:v>General and Administrative</c:v>
                </c:pt>
              </c:strCache>
            </c:strRef>
          </c:tx>
          <c:spPr>
            <a:solidFill>
              <a:schemeClr val="accent3"/>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Charts!$CT$38:$DE$38</c:f>
              <c:numCache>
                <c:formatCode>General</c:formatCode>
                <c:ptCount val="12"/>
              </c:numCache>
            </c:numRef>
          </c:cat>
          <c:val>
            <c:numRef>
              <c:f>Charts!$CT$63:$DE$63</c:f>
              <c:numCache>
                <c:formatCode>0.0%_);\(0.0%\);0.0%_);@_)</c:formatCode>
                <c:ptCount val="12"/>
                <c:pt idx="0">
                  <c:v>0.11072868774561426</c:v>
                </c:pt>
                <c:pt idx="1">
                  <c:v>0.10057715385620761</c:v>
                </c:pt>
                <c:pt idx="2">
                  <c:v>0.10011283705527901</c:v>
                </c:pt>
                <c:pt idx="3">
                  <c:v>9.7432284039835934E-2</c:v>
                </c:pt>
                <c:pt idx="4">
                  <c:v>8.37493612371569E-2</c:v>
                </c:pt>
                <c:pt idx="5">
                  <c:v>8.1278340000208144E-2</c:v>
                </c:pt>
                <c:pt idx="6">
                  <c:v>0.12638967660643188</c:v>
                </c:pt>
                <c:pt idx="7">
                  <c:v>6.9546742209631723E-2</c:v>
                </c:pt>
                <c:pt idx="8">
                  <c:v>4.6171171171171171E-2</c:v>
                </c:pt>
                <c:pt idx="9">
                  <c:v>#N/A</c:v>
                </c:pt>
                <c:pt idx="10">
                  <c:v>3.3613898449714665E-2</c:v>
                </c:pt>
                <c:pt idx="11">
                  <c:v>3.1640275789565811E-2</c:v>
                </c:pt>
              </c:numCache>
            </c:numRef>
          </c:val>
          <c:extLst>
            <c:ext xmlns:c16="http://schemas.microsoft.com/office/drawing/2014/chart" uri="{C3380CC4-5D6E-409C-BE32-E72D297353CC}">
              <c16:uniqueId val="{00000002-1EFB-4F0A-B4F4-FCFFEC922AC9}"/>
            </c:ext>
          </c:extLst>
        </c:ser>
        <c:ser>
          <c:idx val="3"/>
          <c:order val="3"/>
          <c:tx>
            <c:strRef>
              <c:f>Charts!$CS$64</c:f>
              <c:strCache>
                <c:ptCount val="1"/>
                <c:pt idx="0">
                  <c:v>Transaction and loan losses</c:v>
                </c:pt>
              </c:strCache>
            </c:strRef>
          </c:tx>
          <c:spPr>
            <a:solidFill>
              <a:schemeClr val="accent4"/>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Charts!$CT$38:$DE$38</c:f>
              <c:numCache>
                <c:formatCode>General</c:formatCode>
                <c:ptCount val="12"/>
              </c:numCache>
            </c:numRef>
          </c:cat>
          <c:val>
            <c:numRef>
              <c:f>Charts!$CT$65:$DE$65</c:f>
              <c:numCache>
                <c:formatCode>0.0%_);\(0.0%\);0.0%_);@_)</c:formatCode>
                <c:ptCount val="12"/>
                <c:pt idx="0">
                  <c:v>0</c:v>
                </c:pt>
                <c:pt idx="1">
                  <c:v>0</c:v>
                </c:pt>
                <c:pt idx="2">
                  <c:v>0</c:v>
                </c:pt>
                <c:pt idx="3">
                  <c:v>1.5948188189761198E-2</c:v>
                </c:pt>
                <c:pt idx="4">
                  <c:v>1.7698979105926591E-2</c:v>
                </c:pt>
                <c:pt idx="5">
                  <c:v>1.7718896687147215E-2</c:v>
                </c:pt>
                <c:pt idx="6">
                  <c:v>2.4095049451200955E-2</c:v>
                </c:pt>
                <c:pt idx="7">
                  <c:v>2.1529745042492918E-2</c:v>
                </c:pt>
                <c:pt idx="8">
                  <c:v>2.5563063063063062E-2</c:v>
                </c:pt>
                <c:pt idx="9">
                  <c:v>#N/A</c:v>
                </c:pt>
                <c:pt idx="10">
                  <c:v>3.8777451942886017E-2</c:v>
                </c:pt>
                <c:pt idx="11">
                  <c:v>3.9352497906782032E-2</c:v>
                </c:pt>
              </c:numCache>
            </c:numRef>
          </c:val>
          <c:extLst>
            <c:ext xmlns:c16="http://schemas.microsoft.com/office/drawing/2014/chart" uri="{C3380CC4-5D6E-409C-BE32-E72D297353CC}">
              <c16:uniqueId val="{00000003-1EFB-4F0A-B4F4-FCFFEC922AC9}"/>
            </c:ext>
          </c:extLst>
        </c:ser>
        <c:dLbls>
          <c:showLegendKey val="0"/>
          <c:showVal val="0"/>
          <c:showCatName val="0"/>
          <c:showSerName val="0"/>
          <c:showPercent val="0"/>
          <c:showBubbleSize val="0"/>
        </c:dLbls>
        <c:axId val="126832816"/>
        <c:axId val="126825616"/>
      </c:areaChart>
      <c:lineChart>
        <c:grouping val="standard"/>
        <c:varyColors val="0"/>
        <c:ser>
          <c:idx val="4"/>
          <c:order val="4"/>
          <c:tx>
            <c:strRef>
              <c:f>Charts!$CS$67</c:f>
              <c:strCache>
                <c:ptCount val="1"/>
                <c:pt idx="0">
                  <c:v>Opex % revenue</c:v>
                </c:pt>
              </c:strCache>
            </c:strRef>
          </c:tx>
          <c:spPr>
            <a:ln w="28575" cap="rnd">
              <a:no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Charts!$CT$38:$DE$38</c:f>
              <c:numCache>
                <c:formatCode>General</c:formatCode>
                <c:ptCount val="12"/>
              </c:numCache>
            </c:numRef>
          </c:cat>
          <c:val>
            <c:numRef>
              <c:f>Charts!$CT$67:$DE$67</c:f>
              <c:numCache>
                <c:formatCode>0.0%_);\(0.0%\);0.0%_);@_)</c:formatCode>
                <c:ptCount val="12"/>
                <c:pt idx="0">
                  <c:v>0.6335499447769245</c:v>
                </c:pt>
                <c:pt idx="1">
                  <c:v>0.63776540760191536</c:v>
                </c:pt>
                <c:pt idx="2">
                  <c:v>0.64123034319795691</c:v>
                </c:pt>
                <c:pt idx="3">
                  <c:v>0.63794653691325343</c:v>
                </c:pt>
                <c:pt idx="4">
                  <c:v>0.49543316569328938</c:v>
                </c:pt>
                <c:pt idx="5">
                  <c:v>0.47974199541356022</c:v>
                </c:pt>
                <c:pt idx="6">
                  <c:v>0.63866158178127175</c:v>
                </c:pt>
                <c:pt idx="7">
                  <c:v>0.5089235127478754</c:v>
                </c:pt>
                <c:pt idx="8">
                  <c:v>0.38254504504504511</c:v>
                </c:pt>
                <c:pt idx="9">
                  <c:v>#N/A</c:v>
                </c:pt>
                <c:pt idx="10">
                  <c:v>0.32584755987234926</c:v>
                </c:pt>
                <c:pt idx="11">
                  <c:v>0.30668974970982515</c:v>
                </c:pt>
              </c:numCache>
            </c:numRef>
          </c:val>
          <c:smooth val="0"/>
          <c:extLst>
            <c:ext xmlns:c16="http://schemas.microsoft.com/office/drawing/2014/chart" uri="{C3380CC4-5D6E-409C-BE32-E72D297353CC}">
              <c16:uniqueId val="{00000004-1EFB-4F0A-B4F4-FCFFEC922AC9}"/>
            </c:ext>
          </c:extLst>
        </c:ser>
        <c:dLbls>
          <c:showLegendKey val="0"/>
          <c:showVal val="0"/>
          <c:showCatName val="0"/>
          <c:showSerName val="0"/>
          <c:showPercent val="0"/>
          <c:showBubbleSize val="0"/>
        </c:dLbls>
        <c:marker val="1"/>
        <c:smooth val="0"/>
        <c:axId val="126832816"/>
        <c:axId val="126825616"/>
      </c:lineChart>
      <c:catAx>
        <c:axId val="12683281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6825616"/>
        <c:crosses val="autoZero"/>
        <c:auto val="1"/>
        <c:lblAlgn val="ctr"/>
        <c:lblOffset val="100"/>
        <c:noMultiLvlLbl val="0"/>
      </c:catAx>
      <c:valAx>
        <c:axId val="126825616"/>
        <c:scaling>
          <c:orientation val="minMax"/>
        </c:scaling>
        <c:delete val="0"/>
        <c:axPos val="l"/>
        <c:numFmt formatCode="0%_);\(0%\);0%_);@_)" sourceLinked="0"/>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6832816"/>
        <c:crosses val="autoZero"/>
        <c:crossBetween val="between"/>
      </c:valAx>
      <c:spPr>
        <a:noFill/>
        <a:ln>
          <a:noFill/>
        </a:ln>
        <a:effectLst/>
      </c:spPr>
    </c:plotArea>
    <c:legend>
      <c:legendPos val="b"/>
      <c:legendEntry>
        <c:idx val="4"/>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legendEntry>
      <c:layout>
        <c:manualLayout>
          <c:xMode val="edge"/>
          <c:yMode val="edge"/>
          <c:x val="4.809617517952193E-2"/>
          <c:y val="0.85801884579189247"/>
          <c:w val="0.8367091364208149"/>
          <c:h val="0.1194943961641486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Charts!$CS$167</c:f>
              <c:strCache>
                <c:ptCount val="1"/>
                <c:pt idx="0">
                  <c:v>Salesforce Marketing and Commerce segment y/y growth</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Charts!$CT$166:$DA$166</c:f>
              <c:numCache>
                <c:formatCode>General</c:formatCode>
                <c:ptCount val="8"/>
              </c:numCache>
            </c:numRef>
          </c:cat>
          <c:val>
            <c:numRef>
              <c:f>Charts!$CT$167:$DA$167</c:f>
              <c:numCache>
                <c:formatCode>0.0%</c:formatCode>
                <c:ptCount val="8"/>
                <c:pt idx="0">
                  <c:v>0.42684607999999996</c:v>
                </c:pt>
                <c:pt idx="1">
                  <c:v>0.44637314000000006</c:v>
                </c:pt>
                <c:pt idx="2">
                  <c:v>0.40603003999999998</c:v>
                </c:pt>
                <c:pt idx="3">
                  <c:v>0.32033718</c:v>
                </c:pt>
                <c:pt idx="4">
                  <c:v>0.25019953</c:v>
                </c:pt>
                <c:pt idx="5">
                  <c:v>0.24545164</c:v>
                </c:pt>
                <c:pt idx="6">
                  <c:v>0.1573552</c:v>
                </c:pt>
                <c:pt idx="7">
                  <c:v>8.7688219999999997E-2</c:v>
                </c:pt>
              </c:numCache>
            </c:numRef>
          </c:val>
          <c:smooth val="1"/>
          <c:extLst>
            <c:ext xmlns:c16="http://schemas.microsoft.com/office/drawing/2014/chart" uri="{C3380CC4-5D6E-409C-BE32-E72D297353CC}">
              <c16:uniqueId val="{00000000-0017-43BE-93D3-4D2F87411AAE}"/>
            </c:ext>
          </c:extLst>
        </c:ser>
        <c:dLbls>
          <c:showLegendKey val="0"/>
          <c:showVal val="0"/>
          <c:showCatName val="0"/>
          <c:showSerName val="0"/>
          <c:showPercent val="0"/>
          <c:showBubbleSize val="0"/>
        </c:dLbls>
        <c:smooth val="0"/>
        <c:axId val="658916896"/>
        <c:axId val="658916416"/>
      </c:lineChart>
      <c:catAx>
        <c:axId val="6589168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8916416"/>
        <c:crosses val="autoZero"/>
        <c:auto val="1"/>
        <c:lblAlgn val="ctr"/>
        <c:lblOffset val="100"/>
        <c:noMultiLvlLbl val="0"/>
      </c:catAx>
      <c:valAx>
        <c:axId val="65891641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891689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626224598399323E-2"/>
          <c:y val="4.4145422669511943E-2"/>
          <c:w val="0.87964757639362623"/>
          <c:h val="0.92267377796653605"/>
        </c:manualLayout>
      </c:layout>
      <c:lineChart>
        <c:grouping val="standard"/>
        <c:varyColors val="0"/>
        <c:ser>
          <c:idx val="0"/>
          <c:order val="0"/>
          <c:tx>
            <c:strRef>
              <c:f>Charts!$CS$167</c:f>
              <c:strCache>
                <c:ptCount val="1"/>
                <c:pt idx="0">
                  <c:v>Salesforce Marketing and Commerce segment y/y growth</c:v>
                </c:pt>
              </c:strCache>
            </c:strRef>
          </c:tx>
          <c:spPr>
            <a:ln w="28575" cap="rnd">
              <a:solidFill>
                <a:schemeClr val="accent1">
                  <a:lumMod val="75000"/>
                </a:schemeClr>
              </a:solidFill>
              <a:round/>
            </a:ln>
            <a:effectLst/>
          </c:spPr>
          <c:marker>
            <c:symbol val="none"/>
          </c:marker>
          <c:cat>
            <c:numRef>
              <c:f>Charts!$CT$166:$DD$166</c:f>
              <c:numCache>
                <c:formatCode>General</c:formatCode>
                <c:ptCount val="11"/>
              </c:numCache>
            </c:numRef>
          </c:cat>
          <c:val>
            <c:numRef>
              <c:f>Charts!$CT$167:$DD$167</c:f>
              <c:numCache>
                <c:formatCode>0.0%</c:formatCode>
                <c:ptCount val="11"/>
                <c:pt idx="0">
                  <c:v>0.42684607999999996</c:v>
                </c:pt>
                <c:pt idx="1">
                  <c:v>0.44637314000000006</c:v>
                </c:pt>
                <c:pt idx="2">
                  <c:v>0.40603003999999998</c:v>
                </c:pt>
                <c:pt idx="3">
                  <c:v>0.32033718</c:v>
                </c:pt>
                <c:pt idx="4">
                  <c:v>0.25019953</c:v>
                </c:pt>
                <c:pt idx="5">
                  <c:v>0.24545164</c:v>
                </c:pt>
                <c:pt idx="6">
                  <c:v>0.1573552</c:v>
                </c:pt>
                <c:pt idx="7">
                  <c:v>8.7688219999999997E-2</c:v>
                </c:pt>
              </c:numCache>
            </c:numRef>
          </c:val>
          <c:smooth val="1"/>
          <c:extLst>
            <c:ext xmlns:c16="http://schemas.microsoft.com/office/drawing/2014/chart" uri="{C3380CC4-5D6E-409C-BE32-E72D297353CC}">
              <c16:uniqueId val="{00000000-C77C-4F43-8C69-174DC021B51E}"/>
            </c:ext>
          </c:extLst>
        </c:ser>
        <c:ser>
          <c:idx val="1"/>
          <c:order val="1"/>
          <c:tx>
            <c:strRef>
              <c:f>Charts!$CS$168</c:f>
              <c:strCache>
                <c:ptCount val="1"/>
                <c:pt idx="0">
                  <c:v>Adobe Digital Experience segment y/y growth</c:v>
                </c:pt>
              </c:strCache>
            </c:strRef>
          </c:tx>
          <c:spPr>
            <a:ln w="28575" cap="rnd">
              <a:solidFill>
                <a:schemeClr val="accent2"/>
              </a:solidFill>
              <a:round/>
            </a:ln>
            <a:effectLst/>
          </c:spPr>
          <c:marker>
            <c:symbol val="none"/>
          </c:marker>
          <c:cat>
            <c:numRef>
              <c:f>Charts!$CT$166:$DD$166</c:f>
              <c:numCache>
                <c:formatCode>General</c:formatCode>
                <c:ptCount val="11"/>
              </c:numCache>
            </c:numRef>
          </c:cat>
          <c:val>
            <c:numRef>
              <c:f>Charts!$CT$168:$DD$168</c:f>
              <c:numCache>
                <c:formatCode>0.0%_);\(0.0%\);0%_);@_)</c:formatCode>
                <c:ptCount val="11"/>
                <c:pt idx="0">
                  <c:v>0.15092669</c:v>
                </c:pt>
                <c:pt idx="1">
                  <c:v>0.22080522999999999</c:v>
                </c:pt>
                <c:pt idx="2">
                  <c:v>0.15269257</c:v>
                </c:pt>
                <c:pt idx="3">
                  <c:v>0.31198992000000003</c:v>
                </c:pt>
                <c:pt idx="4">
                  <c:v>-2.5316489999999997E-2</c:v>
                </c:pt>
                <c:pt idx="5">
                  <c:v>0.23743998999999999</c:v>
                </c:pt>
                <c:pt idx="6">
                  <c:v>0.14352211000000001</c:v>
                </c:pt>
                <c:pt idx="7">
                  <c:v>0.10651289</c:v>
                </c:pt>
                <c:pt idx="8">
                  <c:v>0.09</c:v>
                </c:pt>
                <c:pt idx="9">
                  <c:v>9.9000000000000005E-2</c:v>
                </c:pt>
                <c:pt idx="10">
                  <c:v>9.6000000000000002E-2</c:v>
                </c:pt>
              </c:numCache>
            </c:numRef>
          </c:val>
          <c:smooth val="1"/>
          <c:extLst>
            <c:ext xmlns:c16="http://schemas.microsoft.com/office/drawing/2014/chart" uri="{C3380CC4-5D6E-409C-BE32-E72D297353CC}">
              <c16:uniqueId val="{00000001-C77C-4F43-8C69-174DC021B51E}"/>
            </c:ext>
          </c:extLst>
        </c:ser>
        <c:ser>
          <c:idx val="2"/>
          <c:order val="2"/>
          <c:tx>
            <c:strRef>
              <c:f>Charts!$CS$169</c:f>
              <c:strCache>
                <c:ptCount val="1"/>
                <c:pt idx="0">
                  <c:v>BigCommerce sales growth y/y</c:v>
                </c:pt>
              </c:strCache>
            </c:strRef>
          </c:tx>
          <c:spPr>
            <a:ln w="28575" cap="rnd">
              <a:solidFill>
                <a:schemeClr val="accent3"/>
              </a:solidFill>
              <a:round/>
            </a:ln>
            <a:effectLst/>
          </c:spPr>
          <c:marker>
            <c:symbol val="none"/>
          </c:marker>
          <c:cat>
            <c:numRef>
              <c:f>Charts!$CT$166:$DD$166</c:f>
              <c:numCache>
                <c:formatCode>General</c:formatCode>
                <c:ptCount val="11"/>
              </c:numCache>
            </c:numRef>
          </c:cat>
          <c:val>
            <c:numRef>
              <c:f>Charts!$CT$169:$DD$169</c:f>
              <c:numCache>
                <c:formatCode>General</c:formatCode>
                <c:ptCount val="11"/>
                <c:pt idx="3" formatCode="0.0%">
                  <c:v>-27.23</c:v>
                </c:pt>
                <c:pt idx="4" formatCode="0.0%">
                  <c:v>-33.04</c:v>
                </c:pt>
                <c:pt idx="5" formatCode="0.0%">
                  <c:v>-36.380000000000003</c:v>
                </c:pt>
                <c:pt idx="6" formatCode="0.0%">
                  <c:v>-30.62</c:v>
                </c:pt>
                <c:pt idx="7" formatCode="0.0%">
                  <c:v>-35.07</c:v>
                </c:pt>
                <c:pt idx="8" formatCode="0.0%">
                  <c:v>7.5999999999999998E-2</c:v>
                </c:pt>
                <c:pt idx="9" formatCode="0.0%">
                  <c:v>5.1999999999999998E-2</c:v>
                </c:pt>
                <c:pt idx="10" formatCode="0.0%">
                  <c:v>7.2999999999999995E-2</c:v>
                </c:pt>
              </c:numCache>
            </c:numRef>
          </c:val>
          <c:smooth val="1"/>
          <c:extLst>
            <c:ext xmlns:c16="http://schemas.microsoft.com/office/drawing/2014/chart" uri="{C3380CC4-5D6E-409C-BE32-E72D297353CC}">
              <c16:uniqueId val="{00000002-C77C-4F43-8C69-174DC021B51E}"/>
            </c:ext>
          </c:extLst>
        </c:ser>
        <c:ser>
          <c:idx val="3"/>
          <c:order val="3"/>
          <c:tx>
            <c:strRef>
              <c:f>Charts!$CS$170</c:f>
              <c:strCache>
                <c:ptCount val="1"/>
                <c:pt idx="0">
                  <c:v>SHOP revenue growth</c:v>
                </c:pt>
              </c:strCache>
            </c:strRef>
          </c:tx>
          <c:spPr>
            <a:ln w="28575" cap="rnd">
              <a:solidFill>
                <a:sysClr val="windowText" lastClr="000000"/>
              </a:solidFill>
              <a:round/>
            </a:ln>
            <a:effectLst/>
          </c:spPr>
          <c:marker>
            <c:symbol val="none"/>
          </c:marker>
          <c:cat>
            <c:numRef>
              <c:f>Charts!$CT$166:$DD$166</c:f>
              <c:numCache>
                <c:formatCode>General</c:formatCode>
                <c:ptCount val="11"/>
              </c:numCache>
            </c:numRef>
          </c:cat>
          <c:val>
            <c:numRef>
              <c:f>Charts!$CT$170:$DD$170</c:f>
              <c:numCache>
                <c:formatCode>0.0%</c:formatCode>
                <c:ptCount val="11"/>
                <c:pt idx="0">
                  <c:v>0.89701461265975735</c:v>
                </c:pt>
                <c:pt idx="1">
                  <c:v>0.72939151876300312</c:v>
                </c:pt>
                <c:pt idx="2">
                  <c:v>0.59397389589249405</c:v>
                </c:pt>
                <c:pt idx="3">
                  <c:v>0.47049045450691351</c:v>
                </c:pt>
                <c:pt idx="4">
                  <c:v>0.856254669164914</c:v>
                </c:pt>
                <c:pt idx="5">
                  <c:v>0.57428577182862139</c:v>
                </c:pt>
                <c:pt idx="6">
                  <c:v>0.21423218764853047</c:v>
                </c:pt>
                <c:pt idx="7">
                  <c:v>0.26074490380480664</c:v>
                </c:pt>
                <c:pt idx="8">
                  <c:v>0.25779036827195467</c:v>
                </c:pt>
                <c:pt idx="9">
                  <c:v>0.30135135135135127</c:v>
                </c:pt>
                <c:pt idx="10">
                  <c:v>0.31634523397107017</c:v>
                </c:pt>
              </c:numCache>
            </c:numRef>
          </c:val>
          <c:smooth val="1"/>
          <c:extLst>
            <c:ext xmlns:c16="http://schemas.microsoft.com/office/drawing/2014/chart" uri="{C3380CC4-5D6E-409C-BE32-E72D297353CC}">
              <c16:uniqueId val="{00000003-C77C-4F43-8C69-174DC021B51E}"/>
            </c:ext>
          </c:extLst>
        </c:ser>
        <c:ser>
          <c:idx val="4"/>
          <c:order val="4"/>
          <c:tx>
            <c:strRef>
              <c:f>Charts!$CS$171</c:f>
              <c:strCache>
                <c:ptCount val="1"/>
                <c:pt idx="0">
                  <c:v>GDDY revenue growth</c:v>
                </c:pt>
              </c:strCache>
            </c:strRef>
          </c:tx>
          <c:spPr>
            <a:ln w="28575" cap="rnd">
              <a:solidFill>
                <a:schemeClr val="accent5"/>
              </a:solidFill>
              <a:round/>
            </a:ln>
            <a:effectLst/>
          </c:spPr>
          <c:marker>
            <c:symbol val="none"/>
          </c:marker>
          <c:cat>
            <c:numRef>
              <c:f>Charts!$CT$166:$DD$166</c:f>
              <c:numCache>
                <c:formatCode>General</c:formatCode>
                <c:ptCount val="11"/>
              </c:numCache>
            </c:numRef>
          </c:cat>
          <c:val>
            <c:numRef>
              <c:f>Charts!$CT$171:$DD$171</c:f>
              <c:numCache>
                <c:formatCode>0.0%</c:formatCode>
                <c:ptCount val="11"/>
                <c:pt idx="0">
                  <c:v>0.14969201999999998</c:v>
                </c:pt>
                <c:pt idx="1">
                  <c:v>0.20737057</c:v>
                </c:pt>
                <c:pt idx="2">
                  <c:v>0.19322299999999998</c:v>
                </c:pt>
                <c:pt idx="3">
                  <c:v>0.12121551999999999</c:v>
                </c:pt>
                <c:pt idx="4">
                  <c:v>0.11025496999999999</c:v>
                </c:pt>
                <c:pt idx="5">
                  <c:v>0.15407365000000001</c:v>
                </c:pt>
                <c:pt idx="6">
                  <c:v>6.8346989999999996E-2</c:v>
                </c:pt>
                <c:pt idx="7">
                  <c:v>3.7151200000000002E-2</c:v>
                </c:pt>
                <c:pt idx="8">
                  <c:v>7.1999999999999995E-2</c:v>
                </c:pt>
                <c:pt idx="9">
                  <c:v>7.2999999999999995E-2</c:v>
                </c:pt>
                <c:pt idx="10">
                  <c:v>7.1999999999999995E-2</c:v>
                </c:pt>
              </c:numCache>
            </c:numRef>
          </c:val>
          <c:smooth val="1"/>
          <c:extLst>
            <c:ext xmlns:c16="http://schemas.microsoft.com/office/drawing/2014/chart" uri="{C3380CC4-5D6E-409C-BE32-E72D297353CC}">
              <c16:uniqueId val="{00000004-C77C-4F43-8C69-174DC021B51E}"/>
            </c:ext>
          </c:extLst>
        </c:ser>
        <c:ser>
          <c:idx val="5"/>
          <c:order val="5"/>
          <c:tx>
            <c:strRef>
              <c:f>Charts!$CS$172</c:f>
              <c:strCache>
                <c:ptCount val="1"/>
                <c:pt idx="0">
                  <c:v>WIX revenue growth</c:v>
                </c:pt>
              </c:strCache>
            </c:strRef>
          </c:tx>
          <c:spPr>
            <a:ln w="28575" cap="rnd">
              <a:solidFill>
                <a:schemeClr val="accent6"/>
              </a:solidFill>
              <a:round/>
            </a:ln>
            <a:effectLst/>
          </c:spPr>
          <c:marker>
            <c:symbol val="none"/>
          </c:marker>
          <c:cat>
            <c:numRef>
              <c:f>Charts!$CT$166:$DD$166</c:f>
              <c:numCache>
                <c:formatCode>General</c:formatCode>
                <c:ptCount val="11"/>
              </c:numCache>
            </c:numRef>
          </c:cat>
          <c:val>
            <c:numRef>
              <c:f>Charts!$CT$172:$DD$172</c:f>
              <c:numCache>
                <c:formatCode>0.0%</c:formatCode>
                <c:ptCount val="11"/>
                <c:pt idx="0">
                  <c:v>0.42544144</c:v>
                </c:pt>
                <c:pt idx="1">
                  <c:v>0.46718922000000002</c:v>
                </c:pt>
                <c:pt idx="2">
                  <c:v>0.41835743000000003</c:v>
                </c:pt>
                <c:pt idx="3">
                  <c:v>0.26069734999999999</c:v>
                </c:pt>
                <c:pt idx="4">
                  <c:v>0.29336814999999999</c:v>
                </c:pt>
                <c:pt idx="5">
                  <c:v>0.28982074999999996</c:v>
                </c:pt>
                <c:pt idx="6">
                  <c:v>9.2945589999999995E-2</c:v>
                </c:pt>
                <c:pt idx="7">
                  <c:v>0.12538970000000002</c:v>
                </c:pt>
                <c:pt idx="8">
                  <c:v>0.128</c:v>
                </c:pt>
                <c:pt idx="9">
                  <c:v>0.14699999999999999</c:v>
                </c:pt>
                <c:pt idx="10">
                  <c:v>0.13</c:v>
                </c:pt>
              </c:numCache>
            </c:numRef>
          </c:val>
          <c:smooth val="1"/>
          <c:extLst>
            <c:ext xmlns:c16="http://schemas.microsoft.com/office/drawing/2014/chart" uri="{C3380CC4-5D6E-409C-BE32-E72D297353CC}">
              <c16:uniqueId val="{00000005-C77C-4F43-8C69-174DC021B51E}"/>
            </c:ext>
          </c:extLst>
        </c:ser>
        <c:dLbls>
          <c:showLegendKey val="0"/>
          <c:showVal val="0"/>
          <c:showCatName val="0"/>
          <c:showSerName val="0"/>
          <c:showPercent val="0"/>
          <c:showBubbleSize val="0"/>
        </c:dLbls>
        <c:smooth val="0"/>
        <c:axId val="751154944"/>
        <c:axId val="751159744"/>
      </c:lineChart>
      <c:catAx>
        <c:axId val="75115494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59744"/>
        <c:crosses val="autoZero"/>
        <c:auto val="1"/>
        <c:lblAlgn val="ctr"/>
        <c:lblOffset val="100"/>
        <c:noMultiLvlLbl val="0"/>
      </c:catAx>
      <c:valAx>
        <c:axId val="751159744"/>
        <c:scaling>
          <c:orientation val="minMax"/>
          <c:max val="1.2"/>
          <c:min val="-0.1"/>
        </c:scaling>
        <c:delete val="0"/>
        <c:axPos val="l"/>
        <c:numFmt formatCode="0%_);\(0%\);0%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54944"/>
        <c:crosses val="autoZero"/>
        <c:crossBetween val="between"/>
      </c:valAx>
      <c:spPr>
        <a:noFill/>
        <a:ln>
          <a:noFill/>
        </a:ln>
        <a:effectLst/>
      </c:spPr>
    </c:plotArea>
    <c:legend>
      <c:legendPos val="b"/>
      <c:layout>
        <c:manualLayout>
          <c:xMode val="edge"/>
          <c:yMode val="edge"/>
          <c:x val="7.713702465440854E-2"/>
          <c:y val="2.2341312689581514E-4"/>
          <c:w val="0.89384595116022569"/>
          <c:h val="0.2619343531968775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841696773446039E-2"/>
          <c:y val="3.5591719390945138E-2"/>
          <c:w val="0.94011039319629419"/>
          <c:h val="0.88148282111952969"/>
        </c:manualLayout>
      </c:layout>
      <c:barChart>
        <c:barDir val="col"/>
        <c:grouping val="clustered"/>
        <c:varyColors val="0"/>
        <c:ser>
          <c:idx val="0"/>
          <c:order val="0"/>
          <c:tx>
            <c:strRef>
              <c:f>Charts!$CS$178</c:f>
              <c:strCache>
                <c:ptCount val="1"/>
                <c:pt idx="0">
                  <c:v>GMV per merchant</c:v>
                </c:pt>
              </c:strCache>
            </c:strRef>
          </c:tx>
          <c:spPr>
            <a:solidFill>
              <a:schemeClr val="accent2"/>
            </a:solidFill>
            <a:ln>
              <a:noFill/>
            </a:ln>
            <a:effectLst/>
          </c:spPr>
          <c:invertIfNegative val="0"/>
          <c:dLbls>
            <c:numFmt formatCode="&quot;$&quot;0.0,&quot;k&quot;;\(&quot;$&quot;0.0,&quot;k&quot;\);&quot;-&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Charts!$CW$175:$DE$175</c:f>
              <c:numCache>
                <c:formatCode>0.00%</c:formatCode>
                <c:ptCount val="9"/>
              </c:numCache>
            </c:numRef>
          </c:cat>
          <c:val>
            <c:numRef>
              <c:f>Charts!$CW$178:$DE$178</c:f>
              <c:numCache>
                <c:formatCode>"$"#,##0_);[Red]\("$"#,##0\)</c:formatCode>
                <c:ptCount val="9"/>
                <c:pt idx="0">
                  <c:v>0.21951219512195119</c:v>
                </c:pt>
                <c:pt idx="1">
                  <c:v>0.74900000000000011</c:v>
                </c:pt>
                <c:pt idx="2">
                  <c:v>0.17953116066323616</c:v>
                </c:pt>
                <c:pt idx="3">
                  <c:v>0.18484615000000004</c:v>
                </c:pt>
                <c:pt idx="4">
                  <c:v>0.25006437499999978</c:v>
                </c:pt>
                <c:pt idx="5">
                  <c:v>0.10381289062499954</c:v>
                </c:pt>
                <c:pt idx="6">
                  <c:v>0.10381289062499954</c:v>
                </c:pt>
                <c:pt idx="7">
                  <c:v>0.11460806249999989</c:v>
                </c:pt>
                <c:pt idx="8">
                  <c:v>0.12550881000000014</c:v>
                </c:pt>
              </c:numCache>
            </c:numRef>
          </c:val>
          <c:extLst>
            <c:ext xmlns:c16="http://schemas.microsoft.com/office/drawing/2014/chart" uri="{C3380CC4-5D6E-409C-BE32-E72D297353CC}">
              <c16:uniqueId val="{00000000-95CD-4672-A3EA-DF62D571BBDA}"/>
            </c:ext>
          </c:extLst>
        </c:ser>
        <c:dLbls>
          <c:showLegendKey val="0"/>
          <c:showVal val="0"/>
          <c:showCatName val="0"/>
          <c:showSerName val="0"/>
          <c:showPercent val="0"/>
          <c:showBubbleSize val="0"/>
        </c:dLbls>
        <c:gapWidth val="20"/>
        <c:axId val="965551856"/>
        <c:axId val="965550416"/>
      </c:barChart>
      <c:lineChart>
        <c:grouping val="standard"/>
        <c:varyColors val="0"/>
        <c:ser>
          <c:idx val="1"/>
          <c:order val="1"/>
          <c:tx>
            <c:strRef>
              <c:f>Charts!$CS$179</c:f>
              <c:strCache>
                <c:ptCount val="1"/>
                <c:pt idx="0">
                  <c:v>y/y % growth</c:v>
                </c:pt>
              </c:strCache>
            </c:strRef>
          </c:tx>
          <c:spPr>
            <a:ln w="28575" cap="rnd">
              <a:solidFill>
                <a:schemeClr val="accent4"/>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Charts!$CW$175:$DE$175</c:f>
              <c:numCache>
                <c:formatCode>0.00%</c:formatCode>
                <c:ptCount val="9"/>
              </c:numCache>
            </c:numRef>
          </c:cat>
          <c:val>
            <c:numRef>
              <c:f>Charts!$CW$179:$DE$179</c:f>
              <c:numCache>
                <c:formatCode>0%</c:formatCode>
                <c:ptCount val="9"/>
                <c:pt idx="0">
                  <c:v>-0.36643162640157201</c:v>
                </c:pt>
                <c:pt idx="1">
                  <c:v>2.4121111111111122</c:v>
                </c:pt>
                <c:pt idx="2">
                  <c:v>-0.76030552648433092</c:v>
                </c:pt>
                <c:pt idx="3">
                  <c:v>2.9604829140127409E-2</c:v>
                </c:pt>
                <c:pt idx="4">
                  <c:v>0.35282436231427994</c:v>
                </c:pt>
                <c:pt idx="5">
                  <c:v>-0.58485533725065941</c:v>
                </c:pt>
                <c:pt idx="6">
                  <c:v>0</c:v>
                </c:pt>
                <c:pt idx="7">
                  <c:v>0.10398681522119868</c:v>
                </c:pt>
                <c:pt idx="8">
                  <c:v>9.5113269190815197E-2</c:v>
                </c:pt>
              </c:numCache>
            </c:numRef>
          </c:val>
          <c:smooth val="1"/>
          <c:extLst>
            <c:ext xmlns:c16="http://schemas.microsoft.com/office/drawing/2014/chart" uri="{C3380CC4-5D6E-409C-BE32-E72D297353CC}">
              <c16:uniqueId val="{00000001-95CD-4672-A3EA-DF62D571BBDA}"/>
            </c:ext>
          </c:extLst>
        </c:ser>
        <c:dLbls>
          <c:showLegendKey val="0"/>
          <c:showVal val="0"/>
          <c:showCatName val="0"/>
          <c:showSerName val="0"/>
          <c:showPercent val="0"/>
          <c:showBubbleSize val="0"/>
        </c:dLbls>
        <c:marker val="1"/>
        <c:smooth val="0"/>
        <c:axId val="1316696208"/>
        <c:axId val="1316699568"/>
      </c:lineChart>
      <c:catAx>
        <c:axId val="965551856"/>
        <c:scaling>
          <c:orientation val="minMax"/>
        </c:scaling>
        <c:delete val="0"/>
        <c:axPos val="b"/>
        <c:numFmt formatCode="0.0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65550416"/>
        <c:crosses val="autoZero"/>
        <c:auto val="1"/>
        <c:lblAlgn val="ctr"/>
        <c:lblOffset val="100"/>
        <c:noMultiLvlLbl val="0"/>
      </c:catAx>
      <c:valAx>
        <c:axId val="965550416"/>
        <c:scaling>
          <c:orientation val="minMax"/>
        </c:scaling>
        <c:delete val="0"/>
        <c:axPos val="l"/>
        <c:numFmt formatCode="&quot;$&quot;0,&quot;k&quot;;\(&quot;$&quot;0,&quot;k&quot;\);&quot;-&quot;" sourceLinked="0"/>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65551856"/>
        <c:crosses val="autoZero"/>
        <c:crossBetween val="between"/>
      </c:valAx>
      <c:valAx>
        <c:axId val="1316699568"/>
        <c:scaling>
          <c:orientation val="minMax"/>
        </c:scaling>
        <c:delete val="0"/>
        <c:axPos val="r"/>
        <c:numFmt formatCode="0%_);\(0%\);0%_);@_)" sourceLinked="0"/>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6696208"/>
        <c:crosses val="max"/>
        <c:crossBetween val="between"/>
      </c:valAx>
      <c:catAx>
        <c:axId val="1316696208"/>
        <c:scaling>
          <c:orientation val="minMax"/>
        </c:scaling>
        <c:delete val="1"/>
        <c:axPos val="b"/>
        <c:numFmt formatCode="0.00%" sourceLinked="1"/>
        <c:majorTickMark val="none"/>
        <c:minorTickMark val="none"/>
        <c:tickLblPos val="nextTo"/>
        <c:crossAx val="1316699568"/>
        <c:crosses val="autoZero"/>
        <c:auto val="1"/>
        <c:lblAlgn val="ctr"/>
        <c:lblOffset val="100"/>
        <c:noMultiLvlLbl val="0"/>
      </c:catAx>
      <c:spPr>
        <a:noFill/>
        <a:ln>
          <a:noFill/>
        </a:ln>
        <a:effectLst/>
      </c:spPr>
    </c:plotArea>
    <c:legend>
      <c:legendPos val="b"/>
      <c:layout>
        <c:manualLayout>
          <c:xMode val="edge"/>
          <c:yMode val="edge"/>
          <c:x val="0.11831342957130359"/>
          <c:y val="2.8470764071157773E-2"/>
          <c:w val="0.66222965879265094"/>
          <c:h val="8.865380360983594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landscape"/>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023488850749596E-2"/>
          <c:y val="5.2346957281585414E-2"/>
          <c:w val="0.9395302229850081"/>
          <c:h val="0.84918380714136898"/>
        </c:manualLayout>
      </c:layout>
      <c:lineChart>
        <c:grouping val="standard"/>
        <c:varyColors val="0"/>
        <c:ser>
          <c:idx val="0"/>
          <c:order val="0"/>
          <c:tx>
            <c:strRef>
              <c:f>Charts!$E$83</c:f>
              <c:strCache>
                <c:ptCount val="1"/>
                <c:pt idx="0">
                  <c:v>Overall GMV growth</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Charts!$AD$4:$AN$4</c:f>
              <c:strCache>
                <c:ptCount val="11"/>
                <c:pt idx="0">
                  <c:v>1Q22A</c:v>
                </c:pt>
                <c:pt idx="1">
                  <c:v>2Q22A</c:v>
                </c:pt>
                <c:pt idx="2">
                  <c:v>3Q22A</c:v>
                </c:pt>
                <c:pt idx="3">
                  <c:v>4Q22A</c:v>
                </c:pt>
                <c:pt idx="4">
                  <c:v>1Q23A</c:v>
                </c:pt>
                <c:pt idx="5">
                  <c:v>2Q23A</c:v>
                </c:pt>
                <c:pt idx="6">
                  <c:v>3Q23A</c:v>
                </c:pt>
                <c:pt idx="7">
                  <c:v>4Q23A</c:v>
                </c:pt>
                <c:pt idx="8">
                  <c:v>1Q24A</c:v>
                </c:pt>
                <c:pt idx="9">
                  <c:v>2Q24A</c:v>
                </c:pt>
                <c:pt idx="10">
                  <c:v>3Q24A</c:v>
                </c:pt>
              </c:strCache>
            </c:strRef>
          </c:cat>
          <c:val>
            <c:numRef>
              <c:f>Charts!$AD$83:$AN$83</c:f>
              <c:numCache>
                <c:formatCode>0.0%</c:formatCode>
                <c:ptCount val="11"/>
                <c:pt idx="0">
                  <c:v>0.15672166080995353</c:v>
                </c:pt>
                <c:pt idx="1">
                  <c:v>0.11036918571877075</c:v>
                </c:pt>
                <c:pt idx="2">
                  <c:v>0.10618947249056432</c:v>
                </c:pt>
                <c:pt idx="3">
                  <c:v>0.12844768516531557</c:v>
                </c:pt>
                <c:pt idx="4">
                  <c:v>0.14814942386973029</c:v>
                </c:pt>
                <c:pt idx="5">
                  <c:v>0.17395395739772312</c:v>
                </c:pt>
                <c:pt idx="6">
                  <c:v>0.21645021645021645</c:v>
                </c:pt>
                <c:pt idx="7">
                  <c:v>0.23155737704918034</c:v>
                </c:pt>
                <c:pt idx="8">
                  <c:v>0.22691532258064506</c:v>
                </c:pt>
                <c:pt idx="9">
                  <c:v>0.22263636363636374</c:v>
                </c:pt>
                <c:pt idx="10">
                  <c:v>0.24048042704626327</c:v>
                </c:pt>
              </c:numCache>
            </c:numRef>
          </c:val>
          <c:smooth val="1"/>
          <c:extLst>
            <c:ext xmlns:c16="http://schemas.microsoft.com/office/drawing/2014/chart" uri="{C3380CC4-5D6E-409C-BE32-E72D297353CC}">
              <c16:uniqueId val="{00000000-62F3-42C7-A30C-9AAFBD0DB2B0}"/>
            </c:ext>
          </c:extLst>
        </c:ser>
        <c:ser>
          <c:idx val="1"/>
          <c:order val="1"/>
          <c:tx>
            <c:strRef>
              <c:f>Charts!$E$84</c:f>
              <c:strCache>
                <c:ptCount val="1"/>
                <c:pt idx="0">
                  <c:v>Offline GMV growth</c:v>
                </c:pt>
              </c:strCache>
            </c:strRef>
          </c:tx>
          <c:spPr>
            <a:ln w="28575" cap="rnd">
              <a:solidFill>
                <a:schemeClr val="accent3"/>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Charts!$AD$4:$AN$4</c:f>
              <c:strCache>
                <c:ptCount val="11"/>
                <c:pt idx="0">
                  <c:v>1Q22A</c:v>
                </c:pt>
                <c:pt idx="1">
                  <c:v>2Q22A</c:v>
                </c:pt>
                <c:pt idx="2">
                  <c:v>3Q22A</c:v>
                </c:pt>
                <c:pt idx="3">
                  <c:v>4Q22A</c:v>
                </c:pt>
                <c:pt idx="4">
                  <c:v>1Q23A</c:v>
                </c:pt>
                <c:pt idx="5">
                  <c:v>2Q23A</c:v>
                </c:pt>
                <c:pt idx="6">
                  <c:v>3Q23A</c:v>
                </c:pt>
                <c:pt idx="7">
                  <c:v>4Q23A</c:v>
                </c:pt>
                <c:pt idx="8">
                  <c:v>1Q24A</c:v>
                </c:pt>
                <c:pt idx="9">
                  <c:v>2Q24A</c:v>
                </c:pt>
                <c:pt idx="10">
                  <c:v>3Q24A</c:v>
                </c:pt>
              </c:strCache>
            </c:strRef>
          </c:cat>
          <c:val>
            <c:numRef>
              <c:f>Charts!$AD$84:$AN$84</c:f>
              <c:numCache>
                <c:formatCode>0.0%</c:formatCode>
                <c:ptCount val="11"/>
                <c:pt idx="0">
                  <c:v>0.8</c:v>
                </c:pt>
                <c:pt idx="1">
                  <c:v>0.47</c:v>
                </c:pt>
                <c:pt idx="2">
                  <c:v>0.35</c:v>
                </c:pt>
                <c:pt idx="3">
                  <c:v>0.25</c:v>
                </c:pt>
                <c:pt idx="4">
                  <c:v>0.31</c:v>
                </c:pt>
                <c:pt idx="5">
                  <c:v>0.23</c:v>
                </c:pt>
                <c:pt idx="6">
                  <c:v>0.26</c:v>
                </c:pt>
                <c:pt idx="7">
                  <c:v>0.28000000000000003</c:v>
                </c:pt>
                <c:pt idx="8">
                  <c:v>0.32</c:v>
                </c:pt>
                <c:pt idx="9">
                  <c:v>0.27</c:v>
                </c:pt>
                <c:pt idx="10">
                  <c:v>0.27</c:v>
                </c:pt>
              </c:numCache>
            </c:numRef>
          </c:val>
          <c:smooth val="1"/>
          <c:extLst>
            <c:ext xmlns:c16="http://schemas.microsoft.com/office/drawing/2014/chart" uri="{C3380CC4-5D6E-409C-BE32-E72D297353CC}">
              <c16:uniqueId val="{00000001-62F3-42C7-A30C-9AAFBD0DB2B0}"/>
            </c:ext>
          </c:extLst>
        </c:ser>
        <c:dLbls>
          <c:showLegendKey val="0"/>
          <c:showVal val="0"/>
          <c:showCatName val="0"/>
          <c:showSerName val="0"/>
          <c:showPercent val="0"/>
          <c:showBubbleSize val="0"/>
        </c:dLbls>
        <c:smooth val="0"/>
        <c:axId val="751162624"/>
        <c:axId val="751155904"/>
      </c:lineChart>
      <c:catAx>
        <c:axId val="7511626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55904"/>
        <c:crosses val="autoZero"/>
        <c:auto val="1"/>
        <c:lblAlgn val="ctr"/>
        <c:lblOffset val="100"/>
        <c:noMultiLvlLbl val="0"/>
      </c:catAx>
      <c:valAx>
        <c:axId val="751155904"/>
        <c:scaling>
          <c:orientation val="minMax"/>
        </c:scaling>
        <c:delete val="0"/>
        <c:axPos val="l"/>
        <c:numFmt formatCode="0%" sourceLinked="0"/>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62624"/>
        <c:crosses val="autoZero"/>
        <c:crossBetween val="between"/>
      </c:valAx>
      <c:spPr>
        <a:noFill/>
        <a:ln>
          <a:noFill/>
        </a:ln>
        <a:effectLst/>
      </c:spPr>
    </c:plotArea>
    <c:legend>
      <c:legendPos val="b"/>
      <c:layout>
        <c:manualLayout>
          <c:xMode val="edge"/>
          <c:yMode val="edge"/>
          <c:x val="0.2943332849979115"/>
          <c:y val="8.3014705110891637E-2"/>
          <c:w val="0.68069880034368646"/>
          <c:h val="7.943397838374179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5654687210873571E-2"/>
          <c:y val="5.0791190037218999E-2"/>
          <c:w val="0.87719172416152358"/>
          <c:h val="0.86609595353824087"/>
        </c:manualLayout>
      </c:layout>
      <c:lineChart>
        <c:grouping val="standard"/>
        <c:varyColors val="0"/>
        <c:ser>
          <c:idx val="0"/>
          <c:order val="0"/>
          <c:tx>
            <c:strRef>
              <c:f>Charts!$CS$185</c:f>
              <c:strCache>
                <c:ptCount val="1"/>
                <c:pt idx="0">
                  <c:v>Subscription solutions revenue growth y/y</c:v>
                </c:pt>
              </c:strCache>
            </c:strRef>
          </c:tx>
          <c:spPr>
            <a:ln w="28575" cap="rnd">
              <a:solidFill>
                <a:schemeClr val="accent1"/>
              </a:solidFill>
              <a:round/>
            </a:ln>
            <a:effectLst/>
          </c:spPr>
          <c:marker>
            <c:symbol val="none"/>
          </c:marker>
          <c:cat>
            <c:numRef>
              <c:f>Charts!$CU$184:$DE$184</c:f>
              <c:numCache>
                <c:formatCode>General</c:formatCode>
                <c:ptCount val="11"/>
              </c:numCache>
            </c:numRef>
          </c:cat>
          <c:val>
            <c:numRef>
              <c:f>Charts!$CU$185:$DE$185</c:f>
              <c:numCache>
                <c:formatCode>0.0%_);\(0.0%\);0.0%_);@_)</c:formatCode>
                <c:ptCount val="11"/>
                <c:pt idx="0">
                  <c:v>0.64380242410103605</c:v>
                </c:pt>
                <c:pt idx="1">
                  <c:v>0.49983711306288714</c:v>
                </c:pt>
                <c:pt idx="2">
                  <c:v>0.38117532193825321</c:v>
                </c:pt>
                <c:pt idx="3">
                  <c:v>0.41497817797368919</c:v>
                </c:pt>
                <c:pt idx="4">
                  <c:v>0.47710994248187366</c:v>
                </c:pt>
                <c:pt idx="5">
                  <c:v>0.10833741825804899</c:v>
                </c:pt>
                <c:pt idx="6">
                  <c:v>0.23474299264867504</c:v>
                </c:pt>
                <c:pt idx="7">
                  <c:v>0.27925966249319534</c:v>
                </c:pt>
                <c:pt idx="8">
                  <c:v>0.171063829787234</c:v>
                </c:pt>
                <c:pt idx="9">
                  <c:v>0.21655146394247371</c:v>
                </c:pt>
                <c:pt idx="10">
                  <c:v>0.202984799144728</c:v>
                </c:pt>
              </c:numCache>
            </c:numRef>
          </c:val>
          <c:smooth val="1"/>
          <c:extLst>
            <c:ext xmlns:c16="http://schemas.microsoft.com/office/drawing/2014/chart" uri="{C3380CC4-5D6E-409C-BE32-E72D297353CC}">
              <c16:uniqueId val="{00000000-FC1A-406A-95E8-12898D3BE143}"/>
            </c:ext>
          </c:extLst>
        </c:ser>
        <c:ser>
          <c:idx val="1"/>
          <c:order val="1"/>
          <c:tx>
            <c:strRef>
              <c:f>Charts!$CS$186</c:f>
              <c:strCache>
                <c:ptCount val="1"/>
                <c:pt idx="0">
                  <c:v>Merchant solutions revenue growth y/y </c:v>
                </c:pt>
              </c:strCache>
            </c:strRef>
          </c:tx>
          <c:spPr>
            <a:ln w="28575" cap="rnd">
              <a:solidFill>
                <a:schemeClr val="accent2"/>
              </a:solidFill>
              <a:round/>
            </a:ln>
            <a:effectLst/>
          </c:spPr>
          <c:marker>
            <c:symbol val="none"/>
          </c:marker>
          <c:cat>
            <c:numRef>
              <c:f>Charts!$CU$184:$DE$184</c:f>
              <c:numCache>
                <c:formatCode>General</c:formatCode>
                <c:ptCount val="11"/>
              </c:numCache>
            </c:numRef>
          </c:cat>
          <c:val>
            <c:numRef>
              <c:f>Charts!$CU$186:$DE$186</c:f>
              <c:numCache>
                <c:formatCode>0.0%_);\(0.0%\);0.0%_);@_)</c:formatCode>
                <c:ptCount val="11"/>
                <c:pt idx="0">
                  <c:v>0.80981347521970481</c:v>
                </c:pt>
                <c:pt idx="1">
                  <c:v>0.67431380807271646</c:v>
                </c:pt>
                <c:pt idx="2">
                  <c:v>0.53877214817347974</c:v>
                </c:pt>
                <c:pt idx="3">
                  <c:v>1.1590607009910974</c:v>
                </c:pt>
                <c:pt idx="4">
                  <c:v>0.61798732539760315</c:v>
                </c:pt>
                <c:pt idx="5">
                  <c:v>0.25770831332531174</c:v>
                </c:pt>
                <c:pt idx="6">
                  <c:v>0.27015239153669479</c:v>
                </c:pt>
                <c:pt idx="7">
                  <c:v>0.25023932605782107</c:v>
                </c:pt>
                <c:pt idx="8">
                  <c:v>0.34823889739663083</c:v>
                </c:pt>
                <c:pt idx="9">
                  <c:v>0.34753928839164039</c:v>
                </c:pt>
                <c:pt idx="10">
                  <c:v>0.27335497212532989</c:v>
                </c:pt>
              </c:numCache>
            </c:numRef>
          </c:val>
          <c:smooth val="1"/>
          <c:extLst>
            <c:ext xmlns:c16="http://schemas.microsoft.com/office/drawing/2014/chart" uri="{C3380CC4-5D6E-409C-BE32-E72D297353CC}">
              <c16:uniqueId val="{00000001-FC1A-406A-95E8-12898D3BE143}"/>
            </c:ext>
          </c:extLst>
        </c:ser>
        <c:ser>
          <c:idx val="2"/>
          <c:order val="2"/>
          <c:tx>
            <c:strRef>
              <c:f>Charts!$CS$187</c:f>
              <c:strCache>
                <c:ptCount val="1"/>
                <c:pt idx="0">
                  <c:v>Total revenue growth y/y</c:v>
                </c:pt>
              </c:strCache>
            </c:strRef>
          </c:tx>
          <c:spPr>
            <a:ln w="28575" cap="rnd">
              <a:solidFill>
                <a:schemeClr val="accent3"/>
              </a:solidFill>
              <a:round/>
            </a:ln>
            <a:effectLst/>
          </c:spPr>
          <c:marker>
            <c:symbol val="none"/>
          </c:marker>
          <c:cat>
            <c:numRef>
              <c:f>Charts!$CU$184:$DE$184</c:f>
              <c:numCache>
                <c:formatCode>General</c:formatCode>
                <c:ptCount val="11"/>
              </c:numCache>
            </c:numRef>
          </c:cat>
          <c:val>
            <c:numRef>
              <c:f>Charts!$CU$187:$DE$187</c:f>
              <c:numCache>
                <c:formatCode>0.0%_);\(0.0%\);0.0%_);@_)</c:formatCode>
                <c:ptCount val="11"/>
                <c:pt idx="0">
                  <c:v>0.72939151876300312</c:v>
                </c:pt>
                <c:pt idx="1">
                  <c:v>0.59397389589249405</c:v>
                </c:pt>
                <c:pt idx="2">
                  <c:v>0.47049045450691351</c:v>
                </c:pt>
                <c:pt idx="3">
                  <c:v>0.856254669164914</c:v>
                </c:pt>
                <c:pt idx="4">
                  <c:v>0.57428577182862139</c:v>
                </c:pt>
                <c:pt idx="5">
                  <c:v>0.21423218764853047</c:v>
                </c:pt>
                <c:pt idx="6">
                  <c:v>0.26074490380480664</c:v>
                </c:pt>
                <c:pt idx="7">
                  <c:v>0.25779036827195467</c:v>
                </c:pt>
                <c:pt idx="8">
                  <c:v>0.30135135135135127</c:v>
                </c:pt>
                <c:pt idx="9">
                  <c:v>0.31634523397107017</c:v>
                </c:pt>
                <c:pt idx="10">
                  <c:v>0.25786715559515483</c:v>
                </c:pt>
              </c:numCache>
            </c:numRef>
          </c:val>
          <c:smooth val="1"/>
          <c:extLst>
            <c:ext xmlns:c16="http://schemas.microsoft.com/office/drawing/2014/chart" uri="{C3380CC4-5D6E-409C-BE32-E72D297353CC}">
              <c16:uniqueId val="{00000002-FC1A-406A-95E8-12898D3BE143}"/>
            </c:ext>
          </c:extLst>
        </c:ser>
        <c:dLbls>
          <c:showLegendKey val="0"/>
          <c:showVal val="0"/>
          <c:showCatName val="0"/>
          <c:showSerName val="0"/>
          <c:showPercent val="0"/>
          <c:showBubbleSize val="0"/>
        </c:dLbls>
        <c:smooth val="0"/>
        <c:axId val="118577119"/>
        <c:axId val="118574719"/>
      </c:lineChart>
      <c:catAx>
        <c:axId val="1185771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8574719"/>
        <c:crosses val="autoZero"/>
        <c:auto val="1"/>
        <c:lblAlgn val="ctr"/>
        <c:lblOffset val="100"/>
        <c:noMultiLvlLbl val="0"/>
      </c:catAx>
      <c:valAx>
        <c:axId val="118574719"/>
        <c:scaling>
          <c:orientation val="minMax"/>
        </c:scaling>
        <c:delete val="0"/>
        <c:axPos val="l"/>
        <c:numFmt formatCode="0%_);\(0%\);0%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8577119"/>
        <c:crosses val="autoZero"/>
        <c:crossBetween val="between"/>
      </c:valAx>
      <c:spPr>
        <a:noFill/>
        <a:ln>
          <a:noFill/>
        </a:ln>
        <a:effectLst/>
      </c:spPr>
    </c:plotArea>
    <c:legend>
      <c:legendPos val="b"/>
      <c:layout>
        <c:manualLayout>
          <c:xMode val="edge"/>
          <c:yMode val="edge"/>
          <c:x val="0.48052871943909276"/>
          <c:y val="0.1108036896872797"/>
          <c:w val="0.49314784924918481"/>
          <c:h val="0.224293458916398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4386179723284"/>
          <c:y val="5.3533539318027928E-2"/>
          <c:w val="0.85949493563552681"/>
          <c:h val="0.85886612361610815"/>
        </c:manualLayout>
      </c:layout>
      <c:lineChart>
        <c:grouping val="standard"/>
        <c:varyColors val="0"/>
        <c:ser>
          <c:idx val="0"/>
          <c:order val="0"/>
          <c:tx>
            <c:strRef>
              <c:f>Charts!$CS$185</c:f>
              <c:strCache>
                <c:ptCount val="1"/>
                <c:pt idx="0">
                  <c:v>Subscription solutions revenue growth y/y</c:v>
                </c:pt>
              </c:strCache>
            </c:strRef>
          </c:tx>
          <c:spPr>
            <a:ln w="28575" cap="rnd">
              <a:solidFill>
                <a:schemeClr val="accent1"/>
              </a:solidFill>
              <a:round/>
            </a:ln>
            <a:effectLst/>
          </c:spPr>
          <c:marker>
            <c:symbol val="none"/>
          </c:marker>
          <c:cat>
            <c:numRef>
              <c:f>Charts!$CU$184:$DE$184</c:f>
              <c:numCache>
                <c:formatCode>General</c:formatCode>
                <c:ptCount val="11"/>
              </c:numCache>
            </c:numRef>
          </c:cat>
          <c:val>
            <c:numRef>
              <c:f>Charts!$CU$185:$DE$185</c:f>
              <c:numCache>
                <c:formatCode>0.0%_);\(0.0%\);0.0%_);@_)</c:formatCode>
                <c:ptCount val="11"/>
                <c:pt idx="0">
                  <c:v>0.64380242410103605</c:v>
                </c:pt>
                <c:pt idx="1">
                  <c:v>0.49983711306288714</c:v>
                </c:pt>
                <c:pt idx="2">
                  <c:v>0.38117532193825321</c:v>
                </c:pt>
                <c:pt idx="3">
                  <c:v>0.41497817797368919</c:v>
                </c:pt>
                <c:pt idx="4">
                  <c:v>0.47710994248187366</c:v>
                </c:pt>
                <c:pt idx="5">
                  <c:v>0.10833741825804899</c:v>
                </c:pt>
                <c:pt idx="6">
                  <c:v>0.23474299264867504</c:v>
                </c:pt>
                <c:pt idx="7">
                  <c:v>0.27925966249319534</c:v>
                </c:pt>
                <c:pt idx="8">
                  <c:v>0.171063829787234</c:v>
                </c:pt>
                <c:pt idx="9">
                  <c:v>0.21655146394247371</c:v>
                </c:pt>
                <c:pt idx="10">
                  <c:v>0.202984799144728</c:v>
                </c:pt>
              </c:numCache>
            </c:numRef>
          </c:val>
          <c:smooth val="1"/>
          <c:extLst>
            <c:ext xmlns:c16="http://schemas.microsoft.com/office/drawing/2014/chart" uri="{C3380CC4-5D6E-409C-BE32-E72D297353CC}">
              <c16:uniqueId val="{00000000-2BEA-4419-B03D-9AC5ACC61346}"/>
            </c:ext>
          </c:extLst>
        </c:ser>
        <c:ser>
          <c:idx val="1"/>
          <c:order val="1"/>
          <c:tx>
            <c:strRef>
              <c:f>Charts!$CS$186</c:f>
              <c:strCache>
                <c:ptCount val="1"/>
                <c:pt idx="0">
                  <c:v>Merchant solutions revenue growth y/y </c:v>
                </c:pt>
              </c:strCache>
            </c:strRef>
          </c:tx>
          <c:spPr>
            <a:ln w="28575" cap="rnd">
              <a:solidFill>
                <a:schemeClr val="accent2"/>
              </a:solidFill>
              <a:round/>
            </a:ln>
            <a:effectLst/>
          </c:spPr>
          <c:marker>
            <c:symbol val="none"/>
          </c:marker>
          <c:cat>
            <c:numRef>
              <c:f>Charts!$CU$184:$DE$184</c:f>
              <c:numCache>
                <c:formatCode>General</c:formatCode>
                <c:ptCount val="11"/>
              </c:numCache>
            </c:numRef>
          </c:cat>
          <c:val>
            <c:numRef>
              <c:f>Charts!$CU$186:$DE$186</c:f>
              <c:numCache>
                <c:formatCode>0.0%_);\(0.0%\);0.0%_);@_)</c:formatCode>
                <c:ptCount val="11"/>
                <c:pt idx="0">
                  <c:v>0.80981347521970481</c:v>
                </c:pt>
                <c:pt idx="1">
                  <c:v>0.67431380807271646</c:v>
                </c:pt>
                <c:pt idx="2">
                  <c:v>0.53877214817347974</c:v>
                </c:pt>
                <c:pt idx="3">
                  <c:v>1.1590607009910974</c:v>
                </c:pt>
                <c:pt idx="4">
                  <c:v>0.61798732539760315</c:v>
                </c:pt>
                <c:pt idx="5">
                  <c:v>0.25770831332531174</c:v>
                </c:pt>
                <c:pt idx="6">
                  <c:v>0.27015239153669479</c:v>
                </c:pt>
                <c:pt idx="7">
                  <c:v>0.25023932605782107</c:v>
                </c:pt>
                <c:pt idx="8">
                  <c:v>0.34823889739663083</c:v>
                </c:pt>
                <c:pt idx="9">
                  <c:v>0.34753928839164039</c:v>
                </c:pt>
                <c:pt idx="10">
                  <c:v>0.27335497212532989</c:v>
                </c:pt>
              </c:numCache>
            </c:numRef>
          </c:val>
          <c:smooth val="1"/>
          <c:extLst>
            <c:ext xmlns:c16="http://schemas.microsoft.com/office/drawing/2014/chart" uri="{C3380CC4-5D6E-409C-BE32-E72D297353CC}">
              <c16:uniqueId val="{00000001-2BEA-4419-B03D-9AC5ACC61346}"/>
            </c:ext>
          </c:extLst>
        </c:ser>
        <c:ser>
          <c:idx val="2"/>
          <c:order val="2"/>
          <c:tx>
            <c:strRef>
              <c:f>Charts!$CS$187</c:f>
              <c:strCache>
                <c:ptCount val="1"/>
                <c:pt idx="0">
                  <c:v>Total revenue growth y/y</c:v>
                </c:pt>
              </c:strCache>
            </c:strRef>
          </c:tx>
          <c:spPr>
            <a:ln w="28575" cap="rnd">
              <a:solidFill>
                <a:schemeClr val="accent3"/>
              </a:solidFill>
              <a:round/>
            </a:ln>
            <a:effectLst/>
          </c:spPr>
          <c:marker>
            <c:symbol val="none"/>
          </c:marker>
          <c:cat>
            <c:numRef>
              <c:f>Charts!$CU$184:$DE$184</c:f>
              <c:numCache>
                <c:formatCode>General</c:formatCode>
                <c:ptCount val="11"/>
              </c:numCache>
            </c:numRef>
          </c:cat>
          <c:val>
            <c:numRef>
              <c:f>Charts!$CU$187:$DE$187</c:f>
              <c:numCache>
                <c:formatCode>0.0%_);\(0.0%\);0.0%_);@_)</c:formatCode>
                <c:ptCount val="11"/>
                <c:pt idx="0">
                  <c:v>0.72939151876300312</c:v>
                </c:pt>
                <c:pt idx="1">
                  <c:v>0.59397389589249405</c:v>
                </c:pt>
                <c:pt idx="2">
                  <c:v>0.47049045450691351</c:v>
                </c:pt>
                <c:pt idx="3">
                  <c:v>0.856254669164914</c:v>
                </c:pt>
                <c:pt idx="4">
                  <c:v>0.57428577182862139</c:v>
                </c:pt>
                <c:pt idx="5">
                  <c:v>0.21423218764853047</c:v>
                </c:pt>
                <c:pt idx="6">
                  <c:v>0.26074490380480664</c:v>
                </c:pt>
                <c:pt idx="7">
                  <c:v>0.25779036827195467</c:v>
                </c:pt>
                <c:pt idx="8">
                  <c:v>0.30135135135135127</c:v>
                </c:pt>
                <c:pt idx="9">
                  <c:v>0.31634523397107017</c:v>
                </c:pt>
                <c:pt idx="10">
                  <c:v>0.25786715559515483</c:v>
                </c:pt>
              </c:numCache>
            </c:numRef>
          </c:val>
          <c:smooth val="1"/>
          <c:extLst>
            <c:ext xmlns:c16="http://schemas.microsoft.com/office/drawing/2014/chart" uri="{C3380CC4-5D6E-409C-BE32-E72D297353CC}">
              <c16:uniqueId val="{00000002-2BEA-4419-B03D-9AC5ACC61346}"/>
            </c:ext>
          </c:extLst>
        </c:ser>
        <c:dLbls>
          <c:showLegendKey val="0"/>
          <c:showVal val="0"/>
          <c:showCatName val="0"/>
          <c:showSerName val="0"/>
          <c:showPercent val="0"/>
          <c:showBubbleSize val="0"/>
        </c:dLbls>
        <c:smooth val="0"/>
        <c:axId val="2093792191"/>
        <c:axId val="2093792671"/>
      </c:lineChart>
      <c:catAx>
        <c:axId val="20937921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93792671"/>
        <c:crosses val="autoZero"/>
        <c:auto val="1"/>
        <c:lblAlgn val="ctr"/>
        <c:lblOffset val="100"/>
        <c:noMultiLvlLbl val="0"/>
      </c:catAx>
      <c:valAx>
        <c:axId val="2093792671"/>
        <c:scaling>
          <c:orientation val="minMax"/>
          <c:max val="1.2"/>
        </c:scaling>
        <c:delete val="0"/>
        <c:axPos val="l"/>
        <c:numFmt formatCode="0%_);\(0%\);0%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93792191"/>
        <c:crosses val="autoZero"/>
        <c:crossBetween val="between"/>
      </c:valAx>
      <c:spPr>
        <a:noFill/>
        <a:ln>
          <a:noFill/>
        </a:ln>
        <a:effectLst/>
      </c:spPr>
    </c:plotArea>
    <c:legend>
      <c:legendPos val="b"/>
      <c:layout>
        <c:manualLayout>
          <c:xMode val="edge"/>
          <c:yMode val="edge"/>
          <c:x val="0.48120391041388633"/>
          <c:y val="7.2527024474062673E-2"/>
          <c:w val="0.51879608958611356"/>
          <c:h val="0.2364036497841222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786133438855537E-2"/>
          <c:y val="5.0925925925925923E-2"/>
          <c:w val="0.95181247271589309"/>
          <c:h val="0.86185373722697922"/>
        </c:manualLayout>
      </c:layout>
      <c:lineChart>
        <c:grouping val="standard"/>
        <c:varyColors val="0"/>
        <c:ser>
          <c:idx val="0"/>
          <c:order val="0"/>
          <c:tx>
            <c:strRef>
              <c:f>Charts!$CS$55</c:f>
              <c:strCache>
                <c:ptCount val="1"/>
                <c:pt idx="0">
                  <c:v>Total Gross Margin</c:v>
                </c:pt>
              </c:strCache>
            </c:strRef>
          </c:tx>
          <c:spPr>
            <a:ln w="28575" cap="rnd">
              <a:solidFill>
                <a:sysClr val="windowText" lastClr="0000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Charts!$CT$38:$DE$38</c:f>
              <c:numCache>
                <c:formatCode>General</c:formatCode>
                <c:ptCount val="12"/>
              </c:numCache>
            </c:numRef>
          </c:cat>
          <c:val>
            <c:numRef>
              <c:f>Charts!$CT$55:$DE$55</c:f>
              <c:numCache>
                <c:formatCode>0.0%_);\(0.0%\);0.0%_);@_)</c:formatCode>
                <c:ptCount val="12"/>
                <c:pt idx="0">
                  <c:v>0.53809107954691393</c:v>
                </c:pt>
                <c:pt idx="1">
                  <c:v>0.5647567814835498</c:v>
                </c:pt>
                <c:pt idx="2">
                  <c:v>0.55558226622649964</c:v>
                </c:pt>
                <c:pt idx="3">
                  <c:v>0.54850957404543099</c:v>
                </c:pt>
                <c:pt idx="4">
                  <c:v>0.52620745378634048</c:v>
                </c:pt>
                <c:pt idx="5">
                  <c:v>0.53799251320943231</c:v>
                </c:pt>
                <c:pt idx="6">
                  <c:v>0.4918189084592054</c:v>
                </c:pt>
                <c:pt idx="7">
                  <c:v>0.49787535410764872</c:v>
                </c:pt>
                <c:pt idx="8">
                  <c:v>0.50360360360360357</c:v>
                </c:pt>
                <c:pt idx="9">
                  <c:v>#N/A</c:v>
                </c:pt>
                <c:pt idx="10">
                  <c:v>0.47434642697487006</c:v>
                </c:pt>
                <c:pt idx="11">
                  <c:v>0.47049327896757775</c:v>
                </c:pt>
              </c:numCache>
            </c:numRef>
          </c:val>
          <c:smooth val="1"/>
          <c:extLst>
            <c:ext xmlns:c16="http://schemas.microsoft.com/office/drawing/2014/chart" uri="{C3380CC4-5D6E-409C-BE32-E72D297353CC}">
              <c16:uniqueId val="{00000000-D93B-44D5-9F62-D1A9712930C9}"/>
            </c:ext>
          </c:extLst>
        </c:ser>
        <c:ser>
          <c:idx val="1"/>
          <c:order val="1"/>
          <c:tx>
            <c:strRef>
              <c:f>Charts!$CS$67</c:f>
              <c:strCache>
                <c:ptCount val="1"/>
                <c:pt idx="0">
                  <c:v>Opex % revenue</c:v>
                </c:pt>
              </c:strCache>
            </c:strRef>
          </c:tx>
          <c:spPr>
            <a:ln w="28575" cap="rnd">
              <a:solidFill>
                <a:schemeClr val="accent2"/>
              </a:solidFill>
              <a:round/>
            </a:ln>
            <a:effectLst/>
          </c:spPr>
          <c:marker>
            <c:symbol val="none"/>
          </c:marker>
          <c:dLbls>
            <c:dLbl>
              <c:idx val="4"/>
              <c:layout>
                <c:manualLayout>
                  <c:x val="-5.7145888013998301E-2"/>
                  <c:y val="4.444444444444444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93B-44D5-9F62-D1A9712930C9}"/>
                </c:ext>
              </c:extLst>
            </c:dLbl>
            <c:dLbl>
              <c:idx val="5"/>
              <c:layout>
                <c:manualLayout>
                  <c:x val="-5.7145888013998253E-2"/>
                  <c:y val="3.518518518518522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93B-44D5-9F62-D1A9712930C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lumMod val="7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Charts!$CT$38:$DE$38</c:f>
              <c:numCache>
                <c:formatCode>General</c:formatCode>
                <c:ptCount val="12"/>
              </c:numCache>
            </c:numRef>
          </c:cat>
          <c:val>
            <c:numRef>
              <c:f>Charts!$CT$67:$DE$67</c:f>
              <c:numCache>
                <c:formatCode>0.0%_);\(0.0%\);0.0%_);@_)</c:formatCode>
                <c:ptCount val="12"/>
                <c:pt idx="0">
                  <c:v>0.6335499447769245</c:v>
                </c:pt>
                <c:pt idx="1">
                  <c:v>0.63776540760191536</c:v>
                </c:pt>
                <c:pt idx="2">
                  <c:v>0.64123034319795691</c:v>
                </c:pt>
                <c:pt idx="3">
                  <c:v>0.63794653691325343</c:v>
                </c:pt>
                <c:pt idx="4">
                  <c:v>0.49543316569328938</c:v>
                </c:pt>
                <c:pt idx="5">
                  <c:v>0.47974199541356022</c:v>
                </c:pt>
                <c:pt idx="6">
                  <c:v>0.63866158178127175</c:v>
                </c:pt>
                <c:pt idx="7">
                  <c:v>0.5089235127478754</c:v>
                </c:pt>
                <c:pt idx="8">
                  <c:v>0.38254504504504511</c:v>
                </c:pt>
                <c:pt idx="9">
                  <c:v>#N/A</c:v>
                </c:pt>
                <c:pt idx="10">
                  <c:v>0.32584755987234926</c:v>
                </c:pt>
                <c:pt idx="11">
                  <c:v>0.30668974970982515</c:v>
                </c:pt>
              </c:numCache>
            </c:numRef>
          </c:val>
          <c:smooth val="1"/>
          <c:extLst>
            <c:ext xmlns:c16="http://schemas.microsoft.com/office/drawing/2014/chart" uri="{C3380CC4-5D6E-409C-BE32-E72D297353CC}">
              <c16:uniqueId val="{00000003-D93B-44D5-9F62-D1A9712930C9}"/>
            </c:ext>
          </c:extLst>
        </c:ser>
        <c:ser>
          <c:idx val="2"/>
          <c:order val="2"/>
          <c:tx>
            <c:strRef>
              <c:f>Charts!$CS$76</c:f>
              <c:strCache>
                <c:ptCount val="1"/>
                <c:pt idx="0">
                  <c:v>FCF Margin</c:v>
                </c:pt>
              </c:strCache>
            </c:strRef>
          </c:tx>
          <c:spPr>
            <a:ln w="28575" cap="rnd">
              <a:solidFill>
                <a:schemeClr val="accent3"/>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Charts!$CT$38:$DE$38</c:f>
              <c:numCache>
                <c:formatCode>General</c:formatCode>
                <c:ptCount val="12"/>
              </c:numCache>
            </c:numRef>
          </c:cat>
          <c:val>
            <c:numRef>
              <c:f>Charts!$CT$76:$DE$76</c:f>
              <c:numCache>
                <c:formatCode>0.0%_);\(0.0%\);0.0%_);@_)</c:formatCode>
                <c:ptCount val="12"/>
                <c:pt idx="0">
                  <c:v>-6.43629664281375E-5</c:v>
                </c:pt>
                <c:pt idx="1">
                  <c:v>-2.6783531485565649E-5</c:v>
                </c:pt>
                <c:pt idx="2">
                  <c:v>-1.6170922656144384E-5</c:v>
                </c:pt>
                <c:pt idx="3">
                  <c:v>5.5632510249440826E-6</c:v>
                </c:pt>
                <c:pt idx="4">
                  <c:v>4.4654938613420497E-5</c:v>
                </c:pt>
                <c:pt idx="5">
                  <c:v>2.1328477975766622E-5</c:v>
                </c:pt>
                <c:pt idx="6">
                  <c:v>-5.9462709582251693E-6</c:v>
                </c:pt>
                <c:pt idx="7">
                  <c:v>1.8156794453049137E-5</c:v>
                </c:pt>
                <c:pt idx="8">
                  <c:v>2.0252516029543056E-5</c:v>
                </c:pt>
                <c:pt idx="9">
                  <c:v>#N/A</c:v>
                </c:pt>
                <c:pt idx="10">
                  <c:v>1.2716740131160813E-5</c:v>
                </c:pt>
                <c:pt idx="11">
                  <c:v>1.0246135354110923E-5</c:v>
                </c:pt>
              </c:numCache>
            </c:numRef>
          </c:val>
          <c:smooth val="1"/>
          <c:extLst>
            <c:ext xmlns:c16="http://schemas.microsoft.com/office/drawing/2014/chart" uri="{C3380CC4-5D6E-409C-BE32-E72D297353CC}">
              <c16:uniqueId val="{00000004-D93B-44D5-9F62-D1A9712930C9}"/>
            </c:ext>
          </c:extLst>
        </c:ser>
        <c:dLbls>
          <c:showLegendKey val="0"/>
          <c:showVal val="0"/>
          <c:showCatName val="0"/>
          <c:showSerName val="0"/>
          <c:showPercent val="0"/>
          <c:showBubbleSize val="0"/>
        </c:dLbls>
        <c:smooth val="0"/>
        <c:axId val="1555449407"/>
        <c:axId val="1555449887"/>
      </c:lineChart>
      <c:catAx>
        <c:axId val="1555449407"/>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55449887"/>
        <c:crosses val="autoZero"/>
        <c:auto val="1"/>
        <c:lblAlgn val="ctr"/>
        <c:lblOffset val="100"/>
        <c:noMultiLvlLbl val="0"/>
      </c:catAx>
      <c:valAx>
        <c:axId val="1555449887"/>
        <c:scaling>
          <c:orientation val="minMax"/>
        </c:scaling>
        <c:delete val="0"/>
        <c:axPos val="l"/>
        <c:numFmt formatCode="0%_);\(0%\);0%_);@_)" sourceLinked="0"/>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55449407"/>
        <c:crosses val="autoZero"/>
        <c:crossBetween val="between"/>
      </c:valAx>
      <c:spPr>
        <a:noFill/>
        <a:ln>
          <a:noFill/>
        </a:ln>
        <a:effectLst/>
      </c:spPr>
    </c:plotArea>
    <c:legend>
      <c:legendPos val="b"/>
      <c:layout>
        <c:manualLayout>
          <c:xMode val="edge"/>
          <c:yMode val="edge"/>
          <c:x val="4.7145243659402501E-2"/>
          <c:y val="0.42263467900072865"/>
          <c:w val="0.56255044356938178"/>
          <c:h val="7.727763196267133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Summary!$T$86</c:f>
              <c:strCache>
                <c:ptCount val="1"/>
                <c:pt idx="0">
                  <c:v>SHOP EV/EBITDA</c:v>
                </c:pt>
              </c:strCache>
            </c:strRef>
          </c:tx>
          <c:spPr>
            <a:ln w="28575" cap="rnd">
              <a:solidFill>
                <a:schemeClr val="accent3"/>
              </a:solidFill>
              <a:round/>
            </a:ln>
            <a:effectLst/>
          </c:spPr>
          <c:marker>
            <c:symbol val="none"/>
          </c:marker>
          <c:cat>
            <c:numRef>
              <c:f>Summary!$B$429:$B$586</c:f>
              <c:numCache>
                <c:formatCode>m/d/yyyy</c:formatCode>
                <c:ptCount val="158"/>
                <c:pt idx="0">
                  <c:v>45135</c:v>
                </c:pt>
                <c:pt idx="1">
                  <c:v>45142</c:v>
                </c:pt>
                <c:pt idx="2">
                  <c:v>45149</c:v>
                </c:pt>
                <c:pt idx="3">
                  <c:v>45156</c:v>
                </c:pt>
                <c:pt idx="4">
                  <c:v>45163</c:v>
                </c:pt>
                <c:pt idx="5">
                  <c:v>45170</c:v>
                </c:pt>
                <c:pt idx="6">
                  <c:v>45177</c:v>
                </c:pt>
                <c:pt idx="7">
                  <c:v>45184</c:v>
                </c:pt>
                <c:pt idx="8">
                  <c:v>45191</c:v>
                </c:pt>
                <c:pt idx="9">
                  <c:v>45198</c:v>
                </c:pt>
                <c:pt idx="10">
                  <c:v>45205</c:v>
                </c:pt>
                <c:pt idx="11">
                  <c:v>45212</c:v>
                </c:pt>
                <c:pt idx="12">
                  <c:v>45219</c:v>
                </c:pt>
                <c:pt idx="13">
                  <c:v>45226</c:v>
                </c:pt>
                <c:pt idx="14">
                  <c:v>45233</c:v>
                </c:pt>
                <c:pt idx="15">
                  <c:v>45240</c:v>
                </c:pt>
                <c:pt idx="16">
                  <c:v>45247</c:v>
                </c:pt>
                <c:pt idx="17">
                  <c:v>45254</c:v>
                </c:pt>
                <c:pt idx="18">
                  <c:v>45261</c:v>
                </c:pt>
                <c:pt idx="19">
                  <c:v>45268</c:v>
                </c:pt>
                <c:pt idx="20">
                  <c:v>45275</c:v>
                </c:pt>
                <c:pt idx="21">
                  <c:v>45282</c:v>
                </c:pt>
                <c:pt idx="22">
                  <c:v>45289</c:v>
                </c:pt>
                <c:pt idx="23">
                  <c:v>45296</c:v>
                </c:pt>
                <c:pt idx="24">
                  <c:v>45303</c:v>
                </c:pt>
                <c:pt idx="25">
                  <c:v>45310</c:v>
                </c:pt>
                <c:pt idx="26">
                  <c:v>45317</c:v>
                </c:pt>
                <c:pt idx="27">
                  <c:v>45324</c:v>
                </c:pt>
                <c:pt idx="28">
                  <c:v>45331</c:v>
                </c:pt>
                <c:pt idx="29">
                  <c:v>45338</c:v>
                </c:pt>
                <c:pt idx="30">
                  <c:v>45345</c:v>
                </c:pt>
                <c:pt idx="31">
                  <c:v>45352</c:v>
                </c:pt>
                <c:pt idx="32">
                  <c:v>45359</c:v>
                </c:pt>
                <c:pt idx="33">
                  <c:v>45366</c:v>
                </c:pt>
                <c:pt idx="34">
                  <c:v>45373</c:v>
                </c:pt>
                <c:pt idx="35">
                  <c:v>45380</c:v>
                </c:pt>
                <c:pt idx="36">
                  <c:v>45387</c:v>
                </c:pt>
                <c:pt idx="37">
                  <c:v>45394</c:v>
                </c:pt>
                <c:pt idx="38">
                  <c:v>45401</c:v>
                </c:pt>
                <c:pt idx="39">
                  <c:v>45408</c:v>
                </c:pt>
                <c:pt idx="40">
                  <c:v>45415</c:v>
                </c:pt>
                <c:pt idx="41">
                  <c:v>45422</c:v>
                </c:pt>
                <c:pt idx="42">
                  <c:v>45429</c:v>
                </c:pt>
                <c:pt idx="43">
                  <c:v>45436</c:v>
                </c:pt>
                <c:pt idx="44">
                  <c:v>45443</c:v>
                </c:pt>
                <c:pt idx="45">
                  <c:v>45450</c:v>
                </c:pt>
                <c:pt idx="46">
                  <c:v>45457</c:v>
                </c:pt>
                <c:pt idx="47">
                  <c:v>45464</c:v>
                </c:pt>
                <c:pt idx="48">
                  <c:v>45471</c:v>
                </c:pt>
                <c:pt idx="49">
                  <c:v>45478</c:v>
                </c:pt>
                <c:pt idx="50">
                  <c:v>45485</c:v>
                </c:pt>
                <c:pt idx="51">
                  <c:v>45492</c:v>
                </c:pt>
                <c:pt idx="52">
                  <c:v>45499</c:v>
                </c:pt>
                <c:pt idx="53">
                  <c:v>45506</c:v>
                </c:pt>
                <c:pt idx="54">
                  <c:v>45513</c:v>
                </c:pt>
                <c:pt idx="55">
                  <c:v>45520</c:v>
                </c:pt>
                <c:pt idx="56">
                  <c:v>45527</c:v>
                </c:pt>
                <c:pt idx="57">
                  <c:v>45534</c:v>
                </c:pt>
                <c:pt idx="58">
                  <c:v>45541</c:v>
                </c:pt>
                <c:pt idx="59">
                  <c:v>45548</c:v>
                </c:pt>
                <c:pt idx="60">
                  <c:v>45555</c:v>
                </c:pt>
                <c:pt idx="61">
                  <c:v>45562</c:v>
                </c:pt>
                <c:pt idx="62">
                  <c:v>45569</c:v>
                </c:pt>
                <c:pt idx="63">
                  <c:v>45576</c:v>
                </c:pt>
                <c:pt idx="64">
                  <c:v>45583</c:v>
                </c:pt>
                <c:pt idx="65">
                  <c:v>45590</c:v>
                </c:pt>
                <c:pt idx="66">
                  <c:v>45597</c:v>
                </c:pt>
                <c:pt idx="67">
                  <c:v>45604</c:v>
                </c:pt>
                <c:pt idx="68">
                  <c:v>45611</c:v>
                </c:pt>
                <c:pt idx="69">
                  <c:v>45618</c:v>
                </c:pt>
                <c:pt idx="70">
                  <c:v>45625</c:v>
                </c:pt>
                <c:pt idx="71">
                  <c:v>45632</c:v>
                </c:pt>
                <c:pt idx="72">
                  <c:v>45639</c:v>
                </c:pt>
                <c:pt idx="73">
                  <c:v>45646</c:v>
                </c:pt>
                <c:pt idx="74">
                  <c:v>45653</c:v>
                </c:pt>
                <c:pt idx="75">
                  <c:v>45660</c:v>
                </c:pt>
                <c:pt idx="76">
                  <c:v>45667</c:v>
                </c:pt>
                <c:pt idx="77">
                  <c:v>45674</c:v>
                </c:pt>
                <c:pt idx="78">
                  <c:v>45681</c:v>
                </c:pt>
                <c:pt idx="79">
                  <c:v>45688</c:v>
                </c:pt>
                <c:pt idx="80">
                  <c:v>45695</c:v>
                </c:pt>
                <c:pt idx="81">
                  <c:v>45702</c:v>
                </c:pt>
                <c:pt idx="82">
                  <c:v>45709</c:v>
                </c:pt>
                <c:pt idx="83">
                  <c:v>45716</c:v>
                </c:pt>
                <c:pt idx="84">
                  <c:v>45723</c:v>
                </c:pt>
                <c:pt idx="85">
                  <c:v>45730</c:v>
                </c:pt>
                <c:pt idx="86">
                  <c:v>45737</c:v>
                </c:pt>
                <c:pt idx="87">
                  <c:v>45744</c:v>
                </c:pt>
                <c:pt idx="88">
                  <c:v>45751</c:v>
                </c:pt>
                <c:pt idx="89">
                  <c:v>45758</c:v>
                </c:pt>
                <c:pt idx="90">
                  <c:v>45765</c:v>
                </c:pt>
                <c:pt idx="91">
                  <c:v>45772</c:v>
                </c:pt>
                <c:pt idx="92">
                  <c:v>45779</c:v>
                </c:pt>
                <c:pt idx="93">
                  <c:v>45786</c:v>
                </c:pt>
                <c:pt idx="94">
                  <c:v>45793</c:v>
                </c:pt>
                <c:pt idx="95">
                  <c:v>45800</c:v>
                </c:pt>
                <c:pt idx="96">
                  <c:v>45807</c:v>
                </c:pt>
                <c:pt idx="97">
                  <c:v>45814</c:v>
                </c:pt>
                <c:pt idx="98">
                  <c:v>45821</c:v>
                </c:pt>
                <c:pt idx="99">
                  <c:v>45828</c:v>
                </c:pt>
                <c:pt idx="100">
                  <c:v>45835</c:v>
                </c:pt>
                <c:pt idx="101">
                  <c:v>45842</c:v>
                </c:pt>
                <c:pt idx="102">
                  <c:v>45849</c:v>
                </c:pt>
                <c:pt idx="103">
                  <c:v>45856</c:v>
                </c:pt>
                <c:pt idx="104">
                  <c:v>45863</c:v>
                </c:pt>
                <c:pt idx="105">
                  <c:v>45870</c:v>
                </c:pt>
                <c:pt idx="106">
                  <c:v>45877</c:v>
                </c:pt>
                <c:pt idx="107">
                  <c:v>45884</c:v>
                </c:pt>
                <c:pt idx="108">
                  <c:v>45891</c:v>
                </c:pt>
                <c:pt idx="109">
                  <c:v>45898</c:v>
                </c:pt>
                <c:pt idx="110">
                  <c:v>45905</c:v>
                </c:pt>
                <c:pt idx="111">
                  <c:v>45912</c:v>
                </c:pt>
                <c:pt idx="112">
                  <c:v>45919</c:v>
                </c:pt>
                <c:pt idx="113">
                  <c:v>45926</c:v>
                </c:pt>
                <c:pt idx="114">
                  <c:v>45933</c:v>
                </c:pt>
                <c:pt idx="115">
                  <c:v>45940</c:v>
                </c:pt>
                <c:pt idx="116">
                  <c:v>45947</c:v>
                </c:pt>
                <c:pt idx="117">
                  <c:v>45954</c:v>
                </c:pt>
                <c:pt idx="118">
                  <c:v>45961</c:v>
                </c:pt>
                <c:pt idx="119">
                  <c:v>45968</c:v>
                </c:pt>
                <c:pt idx="120">
                  <c:v>45975</c:v>
                </c:pt>
                <c:pt idx="121">
                  <c:v>45982</c:v>
                </c:pt>
                <c:pt idx="122">
                  <c:v>45989</c:v>
                </c:pt>
                <c:pt idx="123">
                  <c:v>45996</c:v>
                </c:pt>
                <c:pt idx="124">
                  <c:v>46003</c:v>
                </c:pt>
                <c:pt idx="125">
                  <c:v>46010</c:v>
                </c:pt>
                <c:pt idx="126">
                  <c:v>46017</c:v>
                </c:pt>
                <c:pt idx="127">
                  <c:v>46024</c:v>
                </c:pt>
                <c:pt idx="128">
                  <c:v>46031</c:v>
                </c:pt>
                <c:pt idx="129">
                  <c:v>46038</c:v>
                </c:pt>
                <c:pt idx="130">
                  <c:v>46045</c:v>
                </c:pt>
                <c:pt idx="131">
                  <c:v>46052</c:v>
                </c:pt>
                <c:pt idx="132">
                  <c:v>46059</c:v>
                </c:pt>
                <c:pt idx="133">
                  <c:v>46066</c:v>
                </c:pt>
                <c:pt idx="134">
                  <c:v>46073</c:v>
                </c:pt>
                <c:pt idx="135">
                  <c:v>46080</c:v>
                </c:pt>
                <c:pt idx="136">
                  <c:v>46087</c:v>
                </c:pt>
                <c:pt idx="137">
                  <c:v>46094</c:v>
                </c:pt>
                <c:pt idx="138">
                  <c:v>46101</c:v>
                </c:pt>
                <c:pt idx="139">
                  <c:v>46108</c:v>
                </c:pt>
                <c:pt idx="140">
                  <c:v>46115</c:v>
                </c:pt>
                <c:pt idx="141">
                  <c:v>46122</c:v>
                </c:pt>
                <c:pt idx="142">
                  <c:v>46129</c:v>
                </c:pt>
                <c:pt idx="143">
                  <c:v>46136</c:v>
                </c:pt>
                <c:pt idx="144">
                  <c:v>46143</c:v>
                </c:pt>
                <c:pt idx="145">
                  <c:v>46150</c:v>
                </c:pt>
                <c:pt idx="146">
                  <c:v>46157</c:v>
                </c:pt>
                <c:pt idx="147">
                  <c:v>46164</c:v>
                </c:pt>
                <c:pt idx="148">
                  <c:v>46171</c:v>
                </c:pt>
                <c:pt idx="149">
                  <c:v>46178</c:v>
                </c:pt>
                <c:pt idx="150">
                  <c:v>46185</c:v>
                </c:pt>
                <c:pt idx="151">
                  <c:v>46192</c:v>
                </c:pt>
                <c:pt idx="152">
                  <c:v>46199</c:v>
                </c:pt>
                <c:pt idx="153">
                  <c:v>46206</c:v>
                </c:pt>
                <c:pt idx="154">
                  <c:v>46213</c:v>
                </c:pt>
                <c:pt idx="155">
                  <c:v>46220</c:v>
                </c:pt>
                <c:pt idx="156">
                  <c:v>46227</c:v>
                </c:pt>
                <c:pt idx="157">
                  <c:v>46234</c:v>
                </c:pt>
              </c:numCache>
            </c:numRef>
          </c:cat>
          <c:val>
            <c:numRef>
              <c:f>Summary!$T$429:$T$586</c:f>
              <c:numCache>
                <c:formatCode>0.0\x</c:formatCode>
                <c:ptCount val="158"/>
                <c:pt idx="0">
                  <c:v>102.13798689411222</c:v>
                </c:pt>
                <c:pt idx="1">
                  <c:v>83.136303875093617</c:v>
                </c:pt>
                <c:pt idx="2">
                  <c:v>79.570767289130501</c:v>
                </c:pt>
                <c:pt idx="3">
                  <c:v>75.652861247320615</c:v>
                </c:pt>
                <c:pt idx="4">
                  <c:v>78.581335739436724</c:v>
                </c:pt>
                <c:pt idx="5">
                  <c:v>93.672740498542325</c:v>
                </c:pt>
                <c:pt idx="6">
                  <c:v>87.476500800849294</c:v>
                </c:pt>
                <c:pt idx="7">
                  <c:v>86.45373982306802</c:v>
                </c:pt>
                <c:pt idx="8">
                  <c:v>72.335495343877795</c:v>
                </c:pt>
                <c:pt idx="9">
                  <c:v>76.14949279519422</c:v>
                </c:pt>
                <c:pt idx="10">
                  <c:v>74.234028905983592</c:v>
                </c:pt>
                <c:pt idx="11">
                  <c:v>70.394607738572347</c:v>
                </c:pt>
                <c:pt idx="12">
                  <c:v>67.302596907713792</c:v>
                </c:pt>
                <c:pt idx="13">
                  <c:v>60.210715159356745</c:v>
                </c:pt>
                <c:pt idx="14">
                  <c:v>61.995610870895639</c:v>
                </c:pt>
                <c:pt idx="15">
                  <c:v>61.373973287623016</c:v>
                </c:pt>
                <c:pt idx="16">
                  <c:v>67.300185532639034</c:v>
                </c:pt>
                <c:pt idx="17">
                  <c:v>69.234137822489586</c:v>
                </c:pt>
                <c:pt idx="18">
                  <c:v>71.748395164088734</c:v>
                </c:pt>
                <c:pt idx="19">
                  <c:v>68.007640694802674</c:v>
                </c:pt>
                <c:pt idx="20">
                  <c:v>71.441686396946096</c:v>
                </c:pt>
                <c:pt idx="21">
                  <c:v>70.874139505935133</c:v>
                </c:pt>
                <c:pt idx="22">
                  <c:v>71.338598744677782</c:v>
                </c:pt>
                <c:pt idx="23">
                  <c:v>67.305004059332987</c:v>
                </c:pt>
                <c:pt idx="24">
                  <c:v>72.766395366015175</c:v>
                </c:pt>
                <c:pt idx="25">
                  <c:v>70.817253312690013</c:v>
                </c:pt>
                <c:pt idx="26">
                  <c:v>71.90566509996836</c:v>
                </c:pt>
                <c:pt idx="27">
                  <c:v>72.684428462246515</c:v>
                </c:pt>
                <c:pt idx="28">
                  <c:v>79.10343832373465</c:v>
                </c:pt>
                <c:pt idx="29">
                  <c:v>72.074744962479372</c:v>
                </c:pt>
                <c:pt idx="30">
                  <c:v>66.903121337312442</c:v>
                </c:pt>
                <c:pt idx="31">
                  <c:v>66.851847712851253</c:v>
                </c:pt>
                <c:pt idx="32">
                  <c:v>67.216157245298049</c:v>
                </c:pt>
                <c:pt idx="33">
                  <c:v>68.328915204904675</c:v>
                </c:pt>
                <c:pt idx="34">
                  <c:v>69.293704976932929</c:v>
                </c:pt>
                <c:pt idx="35">
                  <c:v>67.44139487894239</c:v>
                </c:pt>
                <c:pt idx="36">
                  <c:v>65.014240614470651</c:v>
                </c:pt>
                <c:pt idx="37">
                  <c:v>60.277883839867421</c:v>
                </c:pt>
                <c:pt idx="38">
                  <c:v>59.408767257233706</c:v>
                </c:pt>
                <c:pt idx="39">
                  <c:v>58.868148659214462</c:v>
                </c:pt>
                <c:pt idx="40">
                  <c:v>61.1753084265072</c:v>
                </c:pt>
                <c:pt idx="41">
                  <c:v>51.823251328015729</c:v>
                </c:pt>
                <c:pt idx="42">
                  <c:v>51.09528170170524</c:v>
                </c:pt>
                <c:pt idx="43">
                  <c:v>49.723469887094026</c:v>
                </c:pt>
                <c:pt idx="44">
                  <c:v>51.44285956199802</c:v>
                </c:pt>
                <c:pt idx="45">
                  <c:v>53.414345274442574</c:v>
                </c:pt>
                <c:pt idx="46">
                  <c:v>58.700931725283624</c:v>
                </c:pt>
                <c:pt idx="47">
                  <c:v>56.009575617355772</c:v>
                </c:pt>
                <c:pt idx="48">
                  <c:v>55.670248254025651</c:v>
                </c:pt>
                <c:pt idx="49">
                  <c:v>56.664010738252493</c:v>
                </c:pt>
                <c:pt idx="50">
                  <c:v>53.993029993186809</c:v>
                </c:pt>
                <c:pt idx="51">
                  <c:v>52.123318349796605</c:v>
                </c:pt>
                <c:pt idx="52">
                  <c:v>48.946119349629079</c:v>
                </c:pt>
                <c:pt idx="53">
                  <c:v>43.886477770547486</c:v>
                </c:pt>
                <c:pt idx="54">
                  <c:v>52.616420126659413</c:v>
                </c:pt>
                <c:pt idx="55">
                  <c:v>56.798958296328344</c:v>
                </c:pt>
                <c:pt idx="56">
                  <c:v>57.865370987423908</c:v>
                </c:pt>
                <c:pt idx="57">
                  <c:v>55.941536217827732</c:v>
                </c:pt>
                <c:pt idx="58">
                  <c:v>49.818687058623105</c:v>
                </c:pt>
                <c:pt idx="59">
                  <c:v>53.429504698035949</c:v>
                </c:pt>
                <c:pt idx="60">
                  <c:v>57.870559270481465</c:v>
                </c:pt>
                <c:pt idx="61">
                  <c:v>58.178181510712143</c:v>
                </c:pt>
                <c:pt idx="62">
                  <c:v>60.260516103974822</c:v>
                </c:pt>
                <c:pt idx="63">
                  <c:v>60.459288124105946</c:v>
                </c:pt>
                <c:pt idx="64">
                  <c:v>59.79353899832207</c:v>
                </c:pt>
                <c:pt idx="65">
                  <c:v>56.723246501818728</c:v>
                </c:pt>
                <c:pt idx="66">
                  <c:v>56.408281750104436</c:v>
                </c:pt>
                <c:pt idx="67">
                  <c:v>62.073674949433908</c:v>
                </c:pt>
                <c:pt idx="68">
                  <c:v>72.084186383960031</c:v>
                </c:pt>
                <c:pt idx="69">
                  <c:v>70.612422587144465</c:v>
                </c:pt>
                <c:pt idx="70">
                  <c:v>76.121280904885992</c:v>
                </c:pt>
                <c:pt idx="71">
                  <c:v>77.409336996695814</c:v>
                </c:pt>
                <c:pt idx="72">
                  <c:v>73.983688975038916</c:v>
                </c:pt>
                <c:pt idx="73">
                  <c:v>69.953381197804944</c:v>
                </c:pt>
                <c:pt idx="74">
                  <c:v>69.09056039322212</c:v>
                </c:pt>
                <c:pt idx="75">
                  <c:v>69.133369488306357</c:v>
                </c:pt>
                <c:pt idx="76">
                  <c:v>65.149715174674441</c:v>
                </c:pt>
                <c:pt idx="77">
                  <c:v>64.674560728492267</c:v>
                </c:pt>
                <c:pt idx="78">
                  <c:v>66.646972063156937</c:v>
                </c:pt>
                <c:pt idx="79">
                  <c:v>72.417885668778183</c:v>
                </c:pt>
                <c:pt idx="80">
                  <c:v>71.734107805066955</c:v>
                </c:pt>
                <c:pt idx="81">
                  <c:v>77.496448400630129</c:v>
                </c:pt>
                <c:pt idx="82">
                  <c:v>69.291508718189192</c:v>
                </c:pt>
                <c:pt idx="83">
                  <c:v>66.875294751164702</c:v>
                </c:pt>
                <c:pt idx="84">
                  <c:v>58.984324447624147</c:v>
                </c:pt>
                <c:pt idx="85">
                  <c:v>55.415957647565101</c:v>
                </c:pt>
                <c:pt idx="86">
                  <c:v>61.072499964305329</c:v>
                </c:pt>
                <c:pt idx="87">
                  <c:v>56.284494778297152</c:v>
                </c:pt>
                <c:pt idx="88">
                  <c:v>44.118067826595528</c:v>
                </c:pt>
                <c:pt idx="89">
                  <c:v>48.024033271069392</c:v>
                </c:pt>
                <c:pt idx="90">
                  <c:v>48.342916724229717</c:v>
                </c:pt>
                <c:pt idx="91">
                  <c:v>56.311246886807538</c:v>
                </c:pt>
                <c:pt idx="92">
                  <c:v>57.779648118824475</c:v>
                </c:pt>
                <c:pt idx="93">
                  <c:v>55.174380109881163</c:v>
                </c:pt>
                <c:pt idx="94">
                  <c:v>66.888943787471405</c:v>
                </c:pt>
                <c:pt idx="95">
                  <c:v>60.697448157333447</c:v>
                </c:pt>
                <c:pt idx="96">
                  <c:v>63.582079492876211</c:v>
                </c:pt>
                <c:pt idx="97">
                  <c:v>66.105726637859618</c:v>
                </c:pt>
                <c:pt idx="98">
                  <c:v>62.00408713106372</c:v>
                </c:pt>
                <c:pt idx="99">
                  <c:v>62.383439014318185</c:v>
                </c:pt>
                <c:pt idx="100">
                  <c:v>67.550164768789514</c:v>
                </c:pt>
                <c:pt idx="101">
                  <c:v>67.649249986176386</c:v>
                </c:pt>
                <c:pt idx="102">
                  <c:v>65.071327802735809</c:v>
                </c:pt>
                <c:pt idx="103">
                  <c:v>73.661546374180659</c:v>
                </c:pt>
                <c:pt idx="104">
                  <c:v>71.950706088943079</c:v>
                </c:pt>
                <c:pt idx="105">
                  <c:v>68.121785869714003</c:v>
                </c:pt>
                <c:pt idx="106">
                  <c:v>84.404703871906392</c:v>
                </c:pt>
                <c:pt idx="107">
                  <c:v>79.397053193440712</c:v>
                </c:pt>
                <c:pt idx="108">
                  <c:v>79.453036599657977</c:v>
                </c:pt>
                <c:pt idx="109">
                  <c:v>78.614763169443663</c:v>
                </c:pt>
                <c:pt idx="110">
                  <c:v>81.483792366001921</c:v>
                </c:pt>
                <c:pt idx="111">
                  <c:v>78.977197166084466</c:v>
                </c:pt>
                <c:pt idx="112">
                  <c:v>84.593055023967963</c:v>
                </c:pt>
                <c:pt idx="113">
                  <c:v>76.606840559028541</c:v>
                </c:pt>
                <c:pt idx="114">
                  <c:v>88.037325905647293</c:v>
                </c:pt>
                <c:pt idx="115">
                  <c:v>81.894213933862275</c:v>
                </c:pt>
                <c:pt idx="116">
                  <c:v>84.925096687611116</c:v>
                </c:pt>
                <c:pt idx="117">
                  <c:v>92.89889339522253</c:v>
                </c:pt>
                <c:pt idx="118">
                  <c:v>93.904573368514946</c:v>
                </c:pt>
                <c:pt idx="119">
                  <c:v>79.478311010550641</c:v>
                </c:pt>
                <c:pt idx="120">
                  <c:v>75.836631806689311</c:v>
                </c:pt>
                <c:pt idx="121">
                  <c:v>76.357446718046418</c:v>
                </c:pt>
                <c:pt idx="122">
                  <c:v>82.733179304619114</c:v>
                </c:pt>
                <c:pt idx="123">
                  <c:v>82.512398065429721</c:v>
                </c:pt>
                <c:pt idx="124">
                  <c:v>83.879496977305834</c:v>
                </c:pt>
                <c:pt idx="125">
                  <c:v>85.711130609962225</c:v>
                </c:pt>
                <c:pt idx="126">
                  <c:v>85.293503960229472</c:v>
                </c:pt>
                <c:pt idx="127">
                  <c:v>78.917304008941656</c:v>
                </c:pt>
                <c:pt idx="128">
                  <c:v>81.875320788554404</c:v>
                </c:pt>
                <c:pt idx="129">
                  <c:v>76.074822714829281</c:v>
                </c:pt>
                <c:pt idx="130">
                  <c:v>66.669956759396712</c:v>
                </c:pt>
                <c:pt idx="131">
                  <c:v>63.441518189146947</c:v>
                </c:pt>
                <c:pt idx="132">
                  <c:v>53.325518223540683</c:v>
                </c:pt>
                <c:pt idx="133">
                  <c:v>51.436137359569258</c:v>
                </c:pt>
                <c:pt idx="134">
                  <c:v>57.521660294938741</c:v>
                </c:pt>
                <c:pt idx="135">
                  <c:v>54.527826560016592</c:v>
                </c:pt>
                <c:pt idx="136">
                  <c:v>58.40118364964777</c:v>
                </c:pt>
                <c:pt idx="137">
                  <c:v>54.890893744782019</c:v>
                </c:pt>
                <c:pt idx="138">
                  <c:v>51.837760848228832</c:v>
                </c:pt>
                <c:pt idx="139">
                  <c:v>49.240138146135443</c:v>
                </c:pt>
                <c:pt idx="140">
                  <c:v>51.887623001467318</c:v>
                </c:pt>
                <c:pt idx="141">
                  <c:v>48.143212334735672</c:v>
                </c:pt>
                <c:pt idx="142">
                  <c:v>56.890085951513043</c:v>
                </c:pt>
                <c:pt idx="143">
                  <c:v>53.931269106167306</c:v>
                </c:pt>
                <c:pt idx="144">
                  <c:v>54.628140214114246</c:v>
                </c:pt>
                <c:pt idx="145">
                  <c:v>45.486906356642741</c:v>
                </c:pt>
                <c:pt idx="146">
                  <c:v>41.021279401540347</c:v>
                </c:pt>
                <c:pt idx="147">
                  <c:v>42.360708808213417</c:v>
                </c:pt>
                <c:pt idx="148">
                  <c:v>49.089703294669228</c:v>
                </c:pt>
                <c:pt idx="149">
                  <c:v>44.770554008634456</c:v>
                </c:pt>
                <c:pt idx="150">
                  <c:v>44.251776086332534</c:v>
                </c:pt>
                <c:pt idx="151">
                  <c:v>43.420515867836798</c:v>
                </c:pt>
                <c:pt idx="152">
                  <c:v>47.290127064675005</c:v>
                </c:pt>
                <c:pt idx="153">
                  <c:v>48.787041154029581</c:v>
                </c:pt>
                <c:pt idx="154">
                  <c:v>49.420976802633106</c:v>
                </c:pt>
                <c:pt idx="155">
                  <c:v>49.457647393045342</c:v>
                </c:pt>
                <c:pt idx="156">
                  <c:v>45.224875027596745</c:v>
                </c:pt>
                <c:pt idx="157">
                  <c:v>46.27391833538654</c:v>
                </c:pt>
              </c:numCache>
            </c:numRef>
          </c:val>
          <c:smooth val="0"/>
          <c:extLst>
            <c:ext xmlns:c16="http://schemas.microsoft.com/office/drawing/2014/chart" uri="{C3380CC4-5D6E-409C-BE32-E72D297353CC}">
              <c16:uniqueId val="{00000000-F0E5-442B-8E5E-4F4B1752D446}"/>
            </c:ext>
          </c:extLst>
        </c:ser>
        <c:ser>
          <c:idx val="1"/>
          <c:order val="1"/>
          <c:tx>
            <c:strRef>
              <c:f>Summary!$U$86</c:f>
              <c:strCache>
                <c:ptCount val="1"/>
                <c:pt idx="0">
                  <c:v>SHOP Mean</c:v>
                </c:pt>
              </c:strCache>
            </c:strRef>
          </c:tx>
          <c:spPr>
            <a:ln w="28575" cap="rnd">
              <a:solidFill>
                <a:schemeClr val="accent3"/>
              </a:solidFill>
              <a:prstDash val="sysDash"/>
              <a:round/>
            </a:ln>
            <a:effectLst/>
          </c:spPr>
          <c:marker>
            <c:symbol val="none"/>
          </c:marker>
          <c:cat>
            <c:numRef>
              <c:f>Summary!$B$429:$B$586</c:f>
              <c:numCache>
                <c:formatCode>m/d/yyyy</c:formatCode>
                <c:ptCount val="158"/>
                <c:pt idx="0">
                  <c:v>45135</c:v>
                </c:pt>
                <c:pt idx="1">
                  <c:v>45142</c:v>
                </c:pt>
                <c:pt idx="2">
                  <c:v>45149</c:v>
                </c:pt>
                <c:pt idx="3">
                  <c:v>45156</c:v>
                </c:pt>
                <c:pt idx="4">
                  <c:v>45163</c:v>
                </c:pt>
                <c:pt idx="5">
                  <c:v>45170</c:v>
                </c:pt>
                <c:pt idx="6">
                  <c:v>45177</c:v>
                </c:pt>
                <c:pt idx="7">
                  <c:v>45184</c:v>
                </c:pt>
                <c:pt idx="8">
                  <c:v>45191</c:v>
                </c:pt>
                <c:pt idx="9">
                  <c:v>45198</c:v>
                </c:pt>
                <c:pt idx="10">
                  <c:v>45205</c:v>
                </c:pt>
                <c:pt idx="11">
                  <c:v>45212</c:v>
                </c:pt>
                <c:pt idx="12">
                  <c:v>45219</c:v>
                </c:pt>
                <c:pt idx="13">
                  <c:v>45226</c:v>
                </c:pt>
                <c:pt idx="14">
                  <c:v>45233</c:v>
                </c:pt>
                <c:pt idx="15">
                  <c:v>45240</c:v>
                </c:pt>
                <c:pt idx="16">
                  <c:v>45247</c:v>
                </c:pt>
                <c:pt idx="17">
                  <c:v>45254</c:v>
                </c:pt>
                <c:pt idx="18">
                  <c:v>45261</c:v>
                </c:pt>
                <c:pt idx="19">
                  <c:v>45268</c:v>
                </c:pt>
                <c:pt idx="20">
                  <c:v>45275</c:v>
                </c:pt>
                <c:pt idx="21">
                  <c:v>45282</c:v>
                </c:pt>
                <c:pt idx="22">
                  <c:v>45289</c:v>
                </c:pt>
                <c:pt idx="23">
                  <c:v>45296</c:v>
                </c:pt>
                <c:pt idx="24">
                  <c:v>45303</c:v>
                </c:pt>
                <c:pt idx="25">
                  <c:v>45310</c:v>
                </c:pt>
                <c:pt idx="26">
                  <c:v>45317</c:v>
                </c:pt>
                <c:pt idx="27">
                  <c:v>45324</c:v>
                </c:pt>
                <c:pt idx="28">
                  <c:v>45331</c:v>
                </c:pt>
                <c:pt idx="29">
                  <c:v>45338</c:v>
                </c:pt>
                <c:pt idx="30">
                  <c:v>45345</c:v>
                </c:pt>
                <c:pt idx="31">
                  <c:v>45352</c:v>
                </c:pt>
                <c:pt idx="32">
                  <c:v>45359</c:v>
                </c:pt>
                <c:pt idx="33">
                  <c:v>45366</c:v>
                </c:pt>
                <c:pt idx="34">
                  <c:v>45373</c:v>
                </c:pt>
                <c:pt idx="35">
                  <c:v>45380</c:v>
                </c:pt>
                <c:pt idx="36">
                  <c:v>45387</c:v>
                </c:pt>
                <c:pt idx="37">
                  <c:v>45394</c:v>
                </c:pt>
                <c:pt idx="38">
                  <c:v>45401</c:v>
                </c:pt>
                <c:pt idx="39">
                  <c:v>45408</c:v>
                </c:pt>
                <c:pt idx="40">
                  <c:v>45415</c:v>
                </c:pt>
                <c:pt idx="41">
                  <c:v>45422</c:v>
                </c:pt>
                <c:pt idx="42">
                  <c:v>45429</c:v>
                </c:pt>
                <c:pt idx="43">
                  <c:v>45436</c:v>
                </c:pt>
                <c:pt idx="44">
                  <c:v>45443</c:v>
                </c:pt>
                <c:pt idx="45">
                  <c:v>45450</c:v>
                </c:pt>
                <c:pt idx="46">
                  <c:v>45457</c:v>
                </c:pt>
                <c:pt idx="47">
                  <c:v>45464</c:v>
                </c:pt>
                <c:pt idx="48">
                  <c:v>45471</c:v>
                </c:pt>
                <c:pt idx="49">
                  <c:v>45478</c:v>
                </c:pt>
                <c:pt idx="50">
                  <c:v>45485</c:v>
                </c:pt>
                <c:pt idx="51">
                  <c:v>45492</c:v>
                </c:pt>
                <c:pt idx="52">
                  <c:v>45499</c:v>
                </c:pt>
                <c:pt idx="53">
                  <c:v>45506</c:v>
                </c:pt>
                <c:pt idx="54">
                  <c:v>45513</c:v>
                </c:pt>
                <c:pt idx="55">
                  <c:v>45520</c:v>
                </c:pt>
                <c:pt idx="56">
                  <c:v>45527</c:v>
                </c:pt>
                <c:pt idx="57">
                  <c:v>45534</c:v>
                </c:pt>
                <c:pt idx="58">
                  <c:v>45541</c:v>
                </c:pt>
                <c:pt idx="59">
                  <c:v>45548</c:v>
                </c:pt>
                <c:pt idx="60">
                  <c:v>45555</c:v>
                </c:pt>
                <c:pt idx="61">
                  <c:v>45562</c:v>
                </c:pt>
                <c:pt idx="62">
                  <c:v>45569</c:v>
                </c:pt>
                <c:pt idx="63">
                  <c:v>45576</c:v>
                </c:pt>
                <c:pt idx="64">
                  <c:v>45583</c:v>
                </c:pt>
                <c:pt idx="65">
                  <c:v>45590</c:v>
                </c:pt>
                <c:pt idx="66">
                  <c:v>45597</c:v>
                </c:pt>
                <c:pt idx="67">
                  <c:v>45604</c:v>
                </c:pt>
                <c:pt idx="68">
                  <c:v>45611</c:v>
                </c:pt>
                <c:pt idx="69">
                  <c:v>45618</c:v>
                </c:pt>
                <c:pt idx="70">
                  <c:v>45625</c:v>
                </c:pt>
                <c:pt idx="71">
                  <c:v>45632</c:v>
                </c:pt>
                <c:pt idx="72">
                  <c:v>45639</c:v>
                </c:pt>
                <c:pt idx="73">
                  <c:v>45646</c:v>
                </c:pt>
                <c:pt idx="74">
                  <c:v>45653</c:v>
                </c:pt>
                <c:pt idx="75">
                  <c:v>45660</c:v>
                </c:pt>
                <c:pt idx="76">
                  <c:v>45667</c:v>
                </c:pt>
                <c:pt idx="77">
                  <c:v>45674</c:v>
                </c:pt>
                <c:pt idx="78">
                  <c:v>45681</c:v>
                </c:pt>
                <c:pt idx="79">
                  <c:v>45688</c:v>
                </c:pt>
                <c:pt idx="80">
                  <c:v>45695</c:v>
                </c:pt>
                <c:pt idx="81">
                  <c:v>45702</c:v>
                </c:pt>
                <c:pt idx="82">
                  <c:v>45709</c:v>
                </c:pt>
                <c:pt idx="83">
                  <c:v>45716</c:v>
                </c:pt>
                <c:pt idx="84">
                  <c:v>45723</c:v>
                </c:pt>
                <c:pt idx="85">
                  <c:v>45730</c:v>
                </c:pt>
                <c:pt idx="86">
                  <c:v>45737</c:v>
                </c:pt>
                <c:pt idx="87">
                  <c:v>45744</c:v>
                </c:pt>
                <c:pt idx="88">
                  <c:v>45751</c:v>
                </c:pt>
                <c:pt idx="89">
                  <c:v>45758</c:v>
                </c:pt>
                <c:pt idx="90">
                  <c:v>45765</c:v>
                </c:pt>
                <c:pt idx="91">
                  <c:v>45772</c:v>
                </c:pt>
                <c:pt idx="92">
                  <c:v>45779</c:v>
                </c:pt>
                <c:pt idx="93">
                  <c:v>45786</c:v>
                </c:pt>
                <c:pt idx="94">
                  <c:v>45793</c:v>
                </c:pt>
                <c:pt idx="95">
                  <c:v>45800</c:v>
                </c:pt>
                <c:pt idx="96">
                  <c:v>45807</c:v>
                </c:pt>
                <c:pt idx="97">
                  <c:v>45814</c:v>
                </c:pt>
                <c:pt idx="98">
                  <c:v>45821</c:v>
                </c:pt>
                <c:pt idx="99">
                  <c:v>45828</c:v>
                </c:pt>
                <c:pt idx="100">
                  <c:v>45835</c:v>
                </c:pt>
                <c:pt idx="101">
                  <c:v>45842</c:v>
                </c:pt>
                <c:pt idx="102">
                  <c:v>45849</c:v>
                </c:pt>
                <c:pt idx="103">
                  <c:v>45856</c:v>
                </c:pt>
                <c:pt idx="104">
                  <c:v>45863</c:v>
                </c:pt>
                <c:pt idx="105">
                  <c:v>45870</c:v>
                </c:pt>
                <c:pt idx="106">
                  <c:v>45877</c:v>
                </c:pt>
                <c:pt idx="107">
                  <c:v>45884</c:v>
                </c:pt>
                <c:pt idx="108">
                  <c:v>45891</c:v>
                </c:pt>
                <c:pt idx="109">
                  <c:v>45898</c:v>
                </c:pt>
                <c:pt idx="110">
                  <c:v>45905</c:v>
                </c:pt>
                <c:pt idx="111">
                  <c:v>45912</c:v>
                </c:pt>
                <c:pt idx="112">
                  <c:v>45919</c:v>
                </c:pt>
                <c:pt idx="113">
                  <c:v>45926</c:v>
                </c:pt>
                <c:pt idx="114">
                  <c:v>45933</c:v>
                </c:pt>
                <c:pt idx="115">
                  <c:v>45940</c:v>
                </c:pt>
                <c:pt idx="116">
                  <c:v>45947</c:v>
                </c:pt>
                <c:pt idx="117">
                  <c:v>45954</c:v>
                </c:pt>
                <c:pt idx="118">
                  <c:v>45961</c:v>
                </c:pt>
                <c:pt idx="119">
                  <c:v>45968</c:v>
                </c:pt>
                <c:pt idx="120">
                  <c:v>45975</c:v>
                </c:pt>
                <c:pt idx="121">
                  <c:v>45982</c:v>
                </c:pt>
                <c:pt idx="122">
                  <c:v>45989</c:v>
                </c:pt>
                <c:pt idx="123">
                  <c:v>45996</c:v>
                </c:pt>
                <c:pt idx="124">
                  <c:v>46003</c:v>
                </c:pt>
                <c:pt idx="125">
                  <c:v>46010</c:v>
                </c:pt>
                <c:pt idx="126">
                  <c:v>46017</c:v>
                </c:pt>
                <c:pt idx="127">
                  <c:v>46024</c:v>
                </c:pt>
                <c:pt idx="128">
                  <c:v>46031</c:v>
                </c:pt>
                <c:pt idx="129">
                  <c:v>46038</c:v>
                </c:pt>
                <c:pt idx="130">
                  <c:v>46045</c:v>
                </c:pt>
                <c:pt idx="131">
                  <c:v>46052</c:v>
                </c:pt>
                <c:pt idx="132">
                  <c:v>46059</c:v>
                </c:pt>
                <c:pt idx="133">
                  <c:v>46066</c:v>
                </c:pt>
                <c:pt idx="134">
                  <c:v>46073</c:v>
                </c:pt>
                <c:pt idx="135">
                  <c:v>46080</c:v>
                </c:pt>
                <c:pt idx="136">
                  <c:v>46087</c:v>
                </c:pt>
                <c:pt idx="137">
                  <c:v>46094</c:v>
                </c:pt>
                <c:pt idx="138">
                  <c:v>46101</c:v>
                </c:pt>
                <c:pt idx="139">
                  <c:v>46108</c:v>
                </c:pt>
                <c:pt idx="140">
                  <c:v>46115</c:v>
                </c:pt>
                <c:pt idx="141">
                  <c:v>46122</c:v>
                </c:pt>
                <c:pt idx="142">
                  <c:v>46129</c:v>
                </c:pt>
                <c:pt idx="143">
                  <c:v>46136</c:v>
                </c:pt>
                <c:pt idx="144">
                  <c:v>46143</c:v>
                </c:pt>
                <c:pt idx="145">
                  <c:v>46150</c:v>
                </c:pt>
                <c:pt idx="146">
                  <c:v>46157</c:v>
                </c:pt>
                <c:pt idx="147">
                  <c:v>46164</c:v>
                </c:pt>
                <c:pt idx="148">
                  <c:v>46171</c:v>
                </c:pt>
                <c:pt idx="149">
                  <c:v>46178</c:v>
                </c:pt>
                <c:pt idx="150">
                  <c:v>46185</c:v>
                </c:pt>
                <c:pt idx="151">
                  <c:v>46192</c:v>
                </c:pt>
                <c:pt idx="152">
                  <c:v>46199</c:v>
                </c:pt>
                <c:pt idx="153">
                  <c:v>46206</c:v>
                </c:pt>
                <c:pt idx="154">
                  <c:v>46213</c:v>
                </c:pt>
                <c:pt idx="155">
                  <c:v>46220</c:v>
                </c:pt>
                <c:pt idx="156">
                  <c:v>46227</c:v>
                </c:pt>
                <c:pt idx="157">
                  <c:v>46234</c:v>
                </c:pt>
              </c:numCache>
            </c:numRef>
          </c:cat>
          <c:val>
            <c:numRef>
              <c:f>Summary!$U$429:$U$586</c:f>
              <c:numCache>
                <c:formatCode>0.0\x_);\(0.0\x\)</c:formatCode>
                <c:ptCount val="158"/>
                <c:pt idx="0">
                  <c:v>65.1084081344151</c:v>
                </c:pt>
                <c:pt idx="1">
                  <c:v>65.1084081344151</c:v>
                </c:pt>
                <c:pt idx="2">
                  <c:v>65.1084081344151</c:v>
                </c:pt>
                <c:pt idx="3">
                  <c:v>65.1084081344151</c:v>
                </c:pt>
                <c:pt idx="4">
                  <c:v>65.1084081344151</c:v>
                </c:pt>
                <c:pt idx="5">
                  <c:v>65.1084081344151</c:v>
                </c:pt>
                <c:pt idx="6">
                  <c:v>65.1084081344151</c:v>
                </c:pt>
                <c:pt idx="7">
                  <c:v>65.1084081344151</c:v>
                </c:pt>
                <c:pt idx="8">
                  <c:v>65.1084081344151</c:v>
                </c:pt>
                <c:pt idx="9">
                  <c:v>65.1084081344151</c:v>
                </c:pt>
                <c:pt idx="10">
                  <c:v>65.1084081344151</c:v>
                </c:pt>
                <c:pt idx="11">
                  <c:v>65.1084081344151</c:v>
                </c:pt>
                <c:pt idx="12">
                  <c:v>65.1084081344151</c:v>
                </c:pt>
                <c:pt idx="13">
                  <c:v>65.1084081344151</c:v>
                </c:pt>
                <c:pt idx="14">
                  <c:v>65.1084081344151</c:v>
                </c:pt>
                <c:pt idx="15">
                  <c:v>65.1084081344151</c:v>
                </c:pt>
                <c:pt idx="16">
                  <c:v>65.1084081344151</c:v>
                </c:pt>
                <c:pt idx="17">
                  <c:v>65.1084081344151</c:v>
                </c:pt>
                <c:pt idx="18">
                  <c:v>65.1084081344151</c:v>
                </c:pt>
                <c:pt idx="19">
                  <c:v>65.1084081344151</c:v>
                </c:pt>
                <c:pt idx="20">
                  <c:v>65.1084081344151</c:v>
                </c:pt>
                <c:pt idx="21">
                  <c:v>65.1084081344151</c:v>
                </c:pt>
                <c:pt idx="22">
                  <c:v>65.1084081344151</c:v>
                </c:pt>
                <c:pt idx="23">
                  <c:v>65.1084081344151</c:v>
                </c:pt>
                <c:pt idx="24">
                  <c:v>65.1084081344151</c:v>
                </c:pt>
                <c:pt idx="25">
                  <c:v>65.1084081344151</c:v>
                </c:pt>
                <c:pt idx="26">
                  <c:v>65.1084081344151</c:v>
                </c:pt>
                <c:pt idx="27">
                  <c:v>65.1084081344151</c:v>
                </c:pt>
                <c:pt idx="28">
                  <c:v>65.1084081344151</c:v>
                </c:pt>
                <c:pt idx="29">
                  <c:v>65.1084081344151</c:v>
                </c:pt>
                <c:pt idx="30">
                  <c:v>65.1084081344151</c:v>
                </c:pt>
                <c:pt idx="31">
                  <c:v>65.1084081344151</c:v>
                </c:pt>
                <c:pt idx="32">
                  <c:v>65.1084081344151</c:v>
                </c:pt>
                <c:pt idx="33">
                  <c:v>65.1084081344151</c:v>
                </c:pt>
                <c:pt idx="34">
                  <c:v>65.1084081344151</c:v>
                </c:pt>
                <c:pt idx="35">
                  <c:v>65.1084081344151</c:v>
                </c:pt>
                <c:pt idx="36">
                  <c:v>65.1084081344151</c:v>
                </c:pt>
                <c:pt idx="37">
                  <c:v>65.1084081344151</c:v>
                </c:pt>
                <c:pt idx="38">
                  <c:v>65.1084081344151</c:v>
                </c:pt>
                <c:pt idx="39">
                  <c:v>65.1084081344151</c:v>
                </c:pt>
                <c:pt idx="40">
                  <c:v>65.1084081344151</c:v>
                </c:pt>
                <c:pt idx="41">
                  <c:v>65.1084081344151</c:v>
                </c:pt>
                <c:pt idx="42">
                  <c:v>65.1084081344151</c:v>
                </c:pt>
                <c:pt idx="43">
                  <c:v>65.1084081344151</c:v>
                </c:pt>
                <c:pt idx="44">
                  <c:v>65.1084081344151</c:v>
                </c:pt>
                <c:pt idx="45">
                  <c:v>65.1084081344151</c:v>
                </c:pt>
                <c:pt idx="46">
                  <c:v>65.1084081344151</c:v>
                </c:pt>
                <c:pt idx="47">
                  <c:v>65.1084081344151</c:v>
                </c:pt>
                <c:pt idx="48">
                  <c:v>65.1084081344151</c:v>
                </c:pt>
                <c:pt idx="49">
                  <c:v>65.1084081344151</c:v>
                </c:pt>
                <c:pt idx="50">
                  <c:v>65.1084081344151</c:v>
                </c:pt>
                <c:pt idx="51">
                  <c:v>65.1084081344151</c:v>
                </c:pt>
                <c:pt idx="52">
                  <c:v>65.1084081344151</c:v>
                </c:pt>
                <c:pt idx="53">
                  <c:v>65.1084081344151</c:v>
                </c:pt>
                <c:pt idx="54">
                  <c:v>65.1084081344151</c:v>
                </c:pt>
                <c:pt idx="55">
                  <c:v>65.1084081344151</c:v>
                </c:pt>
                <c:pt idx="56">
                  <c:v>65.1084081344151</c:v>
                </c:pt>
                <c:pt idx="57">
                  <c:v>65.1084081344151</c:v>
                </c:pt>
                <c:pt idx="58">
                  <c:v>65.1084081344151</c:v>
                </c:pt>
                <c:pt idx="59">
                  <c:v>65.1084081344151</c:v>
                </c:pt>
                <c:pt idx="60">
                  <c:v>65.1084081344151</c:v>
                </c:pt>
                <c:pt idx="61">
                  <c:v>65.1084081344151</c:v>
                </c:pt>
                <c:pt idx="62">
                  <c:v>65.1084081344151</c:v>
                </c:pt>
                <c:pt idx="63">
                  <c:v>65.1084081344151</c:v>
                </c:pt>
                <c:pt idx="64">
                  <c:v>65.1084081344151</c:v>
                </c:pt>
                <c:pt idx="65">
                  <c:v>65.1084081344151</c:v>
                </c:pt>
                <c:pt idx="66">
                  <c:v>65.1084081344151</c:v>
                </c:pt>
                <c:pt idx="67">
                  <c:v>65.1084081344151</c:v>
                </c:pt>
                <c:pt idx="68">
                  <c:v>65.1084081344151</c:v>
                </c:pt>
                <c:pt idx="69">
                  <c:v>65.1084081344151</c:v>
                </c:pt>
                <c:pt idx="70">
                  <c:v>65.1084081344151</c:v>
                </c:pt>
                <c:pt idx="71">
                  <c:v>65.1084081344151</c:v>
                </c:pt>
                <c:pt idx="72">
                  <c:v>65.1084081344151</c:v>
                </c:pt>
                <c:pt idx="73">
                  <c:v>65.1084081344151</c:v>
                </c:pt>
                <c:pt idx="74">
                  <c:v>65.1084081344151</c:v>
                </c:pt>
                <c:pt idx="75">
                  <c:v>65.1084081344151</c:v>
                </c:pt>
                <c:pt idx="76">
                  <c:v>65.1084081344151</c:v>
                </c:pt>
                <c:pt idx="77">
                  <c:v>65.1084081344151</c:v>
                </c:pt>
                <c:pt idx="78">
                  <c:v>65.1084081344151</c:v>
                </c:pt>
                <c:pt idx="79">
                  <c:v>65.1084081344151</c:v>
                </c:pt>
                <c:pt idx="80">
                  <c:v>65.1084081344151</c:v>
                </c:pt>
                <c:pt idx="81">
                  <c:v>65.1084081344151</c:v>
                </c:pt>
                <c:pt idx="82">
                  <c:v>65.1084081344151</c:v>
                </c:pt>
                <c:pt idx="83">
                  <c:v>65.1084081344151</c:v>
                </c:pt>
                <c:pt idx="84">
                  <c:v>65.1084081344151</c:v>
                </c:pt>
                <c:pt idx="85">
                  <c:v>65.1084081344151</c:v>
                </c:pt>
                <c:pt idx="86">
                  <c:v>65.1084081344151</c:v>
                </c:pt>
                <c:pt idx="87">
                  <c:v>65.1084081344151</c:v>
                </c:pt>
                <c:pt idx="88">
                  <c:v>65.1084081344151</c:v>
                </c:pt>
                <c:pt idx="89">
                  <c:v>65.1084081344151</c:v>
                </c:pt>
                <c:pt idx="90">
                  <c:v>65.1084081344151</c:v>
                </c:pt>
                <c:pt idx="91">
                  <c:v>65.1084081344151</c:v>
                </c:pt>
                <c:pt idx="92">
                  <c:v>65.1084081344151</c:v>
                </c:pt>
                <c:pt idx="93">
                  <c:v>65.1084081344151</c:v>
                </c:pt>
                <c:pt idx="94">
                  <c:v>65.1084081344151</c:v>
                </c:pt>
                <c:pt idx="95">
                  <c:v>65.1084081344151</c:v>
                </c:pt>
                <c:pt idx="96">
                  <c:v>65.1084081344151</c:v>
                </c:pt>
                <c:pt idx="97">
                  <c:v>65.1084081344151</c:v>
                </c:pt>
                <c:pt idx="98">
                  <c:v>65.1084081344151</c:v>
                </c:pt>
                <c:pt idx="99">
                  <c:v>65.1084081344151</c:v>
                </c:pt>
                <c:pt idx="100">
                  <c:v>65.1084081344151</c:v>
                </c:pt>
                <c:pt idx="101">
                  <c:v>65.1084081344151</c:v>
                </c:pt>
                <c:pt idx="102">
                  <c:v>65.1084081344151</c:v>
                </c:pt>
                <c:pt idx="103">
                  <c:v>65.1084081344151</c:v>
                </c:pt>
                <c:pt idx="104">
                  <c:v>65.1084081344151</c:v>
                </c:pt>
                <c:pt idx="105">
                  <c:v>65.1084081344151</c:v>
                </c:pt>
                <c:pt idx="106">
                  <c:v>65.1084081344151</c:v>
                </c:pt>
                <c:pt idx="107">
                  <c:v>65.1084081344151</c:v>
                </c:pt>
                <c:pt idx="108">
                  <c:v>65.1084081344151</c:v>
                </c:pt>
                <c:pt idx="109">
                  <c:v>65.1084081344151</c:v>
                </c:pt>
                <c:pt idx="110">
                  <c:v>65.1084081344151</c:v>
                </c:pt>
                <c:pt idx="111">
                  <c:v>65.1084081344151</c:v>
                </c:pt>
                <c:pt idx="112">
                  <c:v>65.1084081344151</c:v>
                </c:pt>
                <c:pt idx="113">
                  <c:v>65.1084081344151</c:v>
                </c:pt>
                <c:pt idx="114">
                  <c:v>65.1084081344151</c:v>
                </c:pt>
                <c:pt idx="115">
                  <c:v>65.1084081344151</c:v>
                </c:pt>
                <c:pt idx="116">
                  <c:v>65.1084081344151</c:v>
                </c:pt>
                <c:pt idx="117">
                  <c:v>65.1084081344151</c:v>
                </c:pt>
                <c:pt idx="118">
                  <c:v>65.1084081344151</c:v>
                </c:pt>
                <c:pt idx="119">
                  <c:v>65.1084081344151</c:v>
                </c:pt>
                <c:pt idx="120">
                  <c:v>65.1084081344151</c:v>
                </c:pt>
                <c:pt idx="121">
                  <c:v>65.1084081344151</c:v>
                </c:pt>
                <c:pt idx="122">
                  <c:v>65.1084081344151</c:v>
                </c:pt>
                <c:pt idx="123">
                  <c:v>65.1084081344151</c:v>
                </c:pt>
                <c:pt idx="124">
                  <c:v>65.1084081344151</c:v>
                </c:pt>
                <c:pt idx="125">
                  <c:v>65.1084081344151</c:v>
                </c:pt>
                <c:pt idx="126">
                  <c:v>65.1084081344151</c:v>
                </c:pt>
                <c:pt idx="127">
                  <c:v>65.1084081344151</c:v>
                </c:pt>
                <c:pt idx="128">
                  <c:v>65.1084081344151</c:v>
                </c:pt>
                <c:pt idx="129">
                  <c:v>65.1084081344151</c:v>
                </c:pt>
                <c:pt idx="130">
                  <c:v>65.1084081344151</c:v>
                </c:pt>
                <c:pt idx="131">
                  <c:v>65.1084081344151</c:v>
                </c:pt>
                <c:pt idx="132">
                  <c:v>65.1084081344151</c:v>
                </c:pt>
                <c:pt idx="133">
                  <c:v>65.1084081344151</c:v>
                </c:pt>
                <c:pt idx="134">
                  <c:v>65.1084081344151</c:v>
                </c:pt>
                <c:pt idx="135">
                  <c:v>65.1084081344151</c:v>
                </c:pt>
                <c:pt idx="136">
                  <c:v>65.1084081344151</c:v>
                </c:pt>
                <c:pt idx="137">
                  <c:v>65.1084081344151</c:v>
                </c:pt>
                <c:pt idx="138">
                  <c:v>65.1084081344151</c:v>
                </c:pt>
                <c:pt idx="139">
                  <c:v>65.1084081344151</c:v>
                </c:pt>
                <c:pt idx="140">
                  <c:v>65.1084081344151</c:v>
                </c:pt>
                <c:pt idx="141">
                  <c:v>65.1084081344151</c:v>
                </c:pt>
                <c:pt idx="142">
                  <c:v>65.1084081344151</c:v>
                </c:pt>
                <c:pt idx="143">
                  <c:v>65.1084081344151</c:v>
                </c:pt>
                <c:pt idx="144">
                  <c:v>65.1084081344151</c:v>
                </c:pt>
                <c:pt idx="145">
                  <c:v>65.1084081344151</c:v>
                </c:pt>
                <c:pt idx="146">
                  <c:v>65.1084081344151</c:v>
                </c:pt>
                <c:pt idx="147">
                  <c:v>65.1084081344151</c:v>
                </c:pt>
                <c:pt idx="148">
                  <c:v>65.1084081344151</c:v>
                </c:pt>
                <c:pt idx="149">
                  <c:v>65.1084081344151</c:v>
                </c:pt>
                <c:pt idx="150">
                  <c:v>65.1084081344151</c:v>
                </c:pt>
                <c:pt idx="151">
                  <c:v>65.1084081344151</c:v>
                </c:pt>
                <c:pt idx="152">
                  <c:v>65.1084081344151</c:v>
                </c:pt>
                <c:pt idx="153">
                  <c:v>65.1084081344151</c:v>
                </c:pt>
                <c:pt idx="154">
                  <c:v>65.1084081344151</c:v>
                </c:pt>
                <c:pt idx="155">
                  <c:v>65.1084081344151</c:v>
                </c:pt>
                <c:pt idx="156">
                  <c:v>65.1084081344151</c:v>
                </c:pt>
                <c:pt idx="157">
                  <c:v>65.1084081344151</c:v>
                </c:pt>
              </c:numCache>
            </c:numRef>
          </c:val>
          <c:smooth val="0"/>
          <c:extLst>
            <c:ext xmlns:c16="http://schemas.microsoft.com/office/drawing/2014/chart" uri="{C3380CC4-5D6E-409C-BE32-E72D297353CC}">
              <c16:uniqueId val="{00000001-F0E5-442B-8E5E-4F4B1752D446}"/>
            </c:ext>
          </c:extLst>
        </c:ser>
        <c:ser>
          <c:idx val="4"/>
          <c:order val="2"/>
          <c:tx>
            <c:strRef>
              <c:f>Summary!$V$86</c:f>
              <c:strCache>
                <c:ptCount val="1"/>
                <c:pt idx="0">
                  <c:v>SHOP Trough EV/EBITDA</c:v>
                </c:pt>
              </c:strCache>
            </c:strRef>
          </c:tx>
          <c:spPr>
            <a:ln w="28575" cap="rnd">
              <a:solidFill>
                <a:schemeClr val="accent5"/>
              </a:solidFill>
              <a:round/>
            </a:ln>
            <a:effectLst/>
          </c:spPr>
          <c:marker>
            <c:symbol val="none"/>
          </c:marker>
          <c:cat>
            <c:numRef>
              <c:f>Summary!$B$429:$B$586</c:f>
              <c:numCache>
                <c:formatCode>m/d/yyyy</c:formatCode>
                <c:ptCount val="158"/>
                <c:pt idx="0">
                  <c:v>45135</c:v>
                </c:pt>
                <c:pt idx="1">
                  <c:v>45142</c:v>
                </c:pt>
                <c:pt idx="2">
                  <c:v>45149</c:v>
                </c:pt>
                <c:pt idx="3">
                  <c:v>45156</c:v>
                </c:pt>
                <c:pt idx="4">
                  <c:v>45163</c:v>
                </c:pt>
                <c:pt idx="5">
                  <c:v>45170</c:v>
                </c:pt>
                <c:pt idx="6">
                  <c:v>45177</c:v>
                </c:pt>
                <c:pt idx="7">
                  <c:v>45184</c:v>
                </c:pt>
                <c:pt idx="8">
                  <c:v>45191</c:v>
                </c:pt>
                <c:pt idx="9">
                  <c:v>45198</c:v>
                </c:pt>
                <c:pt idx="10">
                  <c:v>45205</c:v>
                </c:pt>
                <c:pt idx="11">
                  <c:v>45212</c:v>
                </c:pt>
                <c:pt idx="12">
                  <c:v>45219</c:v>
                </c:pt>
                <c:pt idx="13">
                  <c:v>45226</c:v>
                </c:pt>
                <c:pt idx="14">
                  <c:v>45233</c:v>
                </c:pt>
                <c:pt idx="15">
                  <c:v>45240</c:v>
                </c:pt>
                <c:pt idx="16">
                  <c:v>45247</c:v>
                </c:pt>
                <c:pt idx="17">
                  <c:v>45254</c:v>
                </c:pt>
                <c:pt idx="18">
                  <c:v>45261</c:v>
                </c:pt>
                <c:pt idx="19">
                  <c:v>45268</c:v>
                </c:pt>
                <c:pt idx="20">
                  <c:v>45275</c:v>
                </c:pt>
                <c:pt idx="21">
                  <c:v>45282</c:v>
                </c:pt>
                <c:pt idx="22">
                  <c:v>45289</c:v>
                </c:pt>
                <c:pt idx="23">
                  <c:v>45296</c:v>
                </c:pt>
                <c:pt idx="24">
                  <c:v>45303</c:v>
                </c:pt>
                <c:pt idx="25">
                  <c:v>45310</c:v>
                </c:pt>
                <c:pt idx="26">
                  <c:v>45317</c:v>
                </c:pt>
                <c:pt idx="27">
                  <c:v>45324</c:v>
                </c:pt>
                <c:pt idx="28">
                  <c:v>45331</c:v>
                </c:pt>
                <c:pt idx="29">
                  <c:v>45338</c:v>
                </c:pt>
                <c:pt idx="30">
                  <c:v>45345</c:v>
                </c:pt>
                <c:pt idx="31">
                  <c:v>45352</c:v>
                </c:pt>
                <c:pt idx="32">
                  <c:v>45359</c:v>
                </c:pt>
                <c:pt idx="33">
                  <c:v>45366</c:v>
                </c:pt>
                <c:pt idx="34">
                  <c:v>45373</c:v>
                </c:pt>
                <c:pt idx="35">
                  <c:v>45380</c:v>
                </c:pt>
                <c:pt idx="36">
                  <c:v>45387</c:v>
                </c:pt>
                <c:pt idx="37">
                  <c:v>45394</c:v>
                </c:pt>
                <c:pt idx="38">
                  <c:v>45401</c:v>
                </c:pt>
                <c:pt idx="39">
                  <c:v>45408</c:v>
                </c:pt>
                <c:pt idx="40">
                  <c:v>45415</c:v>
                </c:pt>
                <c:pt idx="41">
                  <c:v>45422</c:v>
                </c:pt>
                <c:pt idx="42">
                  <c:v>45429</c:v>
                </c:pt>
                <c:pt idx="43">
                  <c:v>45436</c:v>
                </c:pt>
                <c:pt idx="44">
                  <c:v>45443</c:v>
                </c:pt>
                <c:pt idx="45">
                  <c:v>45450</c:v>
                </c:pt>
                <c:pt idx="46">
                  <c:v>45457</c:v>
                </c:pt>
                <c:pt idx="47">
                  <c:v>45464</c:v>
                </c:pt>
                <c:pt idx="48">
                  <c:v>45471</c:v>
                </c:pt>
                <c:pt idx="49">
                  <c:v>45478</c:v>
                </c:pt>
                <c:pt idx="50">
                  <c:v>45485</c:v>
                </c:pt>
                <c:pt idx="51">
                  <c:v>45492</c:v>
                </c:pt>
                <c:pt idx="52">
                  <c:v>45499</c:v>
                </c:pt>
                <c:pt idx="53">
                  <c:v>45506</c:v>
                </c:pt>
                <c:pt idx="54">
                  <c:v>45513</c:v>
                </c:pt>
                <c:pt idx="55">
                  <c:v>45520</c:v>
                </c:pt>
                <c:pt idx="56">
                  <c:v>45527</c:v>
                </c:pt>
                <c:pt idx="57">
                  <c:v>45534</c:v>
                </c:pt>
                <c:pt idx="58">
                  <c:v>45541</c:v>
                </c:pt>
                <c:pt idx="59">
                  <c:v>45548</c:v>
                </c:pt>
                <c:pt idx="60">
                  <c:v>45555</c:v>
                </c:pt>
                <c:pt idx="61">
                  <c:v>45562</c:v>
                </c:pt>
                <c:pt idx="62">
                  <c:v>45569</c:v>
                </c:pt>
                <c:pt idx="63">
                  <c:v>45576</c:v>
                </c:pt>
                <c:pt idx="64">
                  <c:v>45583</c:v>
                </c:pt>
                <c:pt idx="65">
                  <c:v>45590</c:v>
                </c:pt>
                <c:pt idx="66">
                  <c:v>45597</c:v>
                </c:pt>
                <c:pt idx="67">
                  <c:v>45604</c:v>
                </c:pt>
                <c:pt idx="68">
                  <c:v>45611</c:v>
                </c:pt>
                <c:pt idx="69">
                  <c:v>45618</c:v>
                </c:pt>
                <c:pt idx="70">
                  <c:v>45625</c:v>
                </c:pt>
                <c:pt idx="71">
                  <c:v>45632</c:v>
                </c:pt>
                <c:pt idx="72">
                  <c:v>45639</c:v>
                </c:pt>
                <c:pt idx="73">
                  <c:v>45646</c:v>
                </c:pt>
                <c:pt idx="74">
                  <c:v>45653</c:v>
                </c:pt>
                <c:pt idx="75">
                  <c:v>45660</c:v>
                </c:pt>
                <c:pt idx="76">
                  <c:v>45667</c:v>
                </c:pt>
                <c:pt idx="77">
                  <c:v>45674</c:v>
                </c:pt>
                <c:pt idx="78">
                  <c:v>45681</c:v>
                </c:pt>
                <c:pt idx="79">
                  <c:v>45688</c:v>
                </c:pt>
                <c:pt idx="80">
                  <c:v>45695</c:v>
                </c:pt>
                <c:pt idx="81">
                  <c:v>45702</c:v>
                </c:pt>
                <c:pt idx="82">
                  <c:v>45709</c:v>
                </c:pt>
                <c:pt idx="83">
                  <c:v>45716</c:v>
                </c:pt>
                <c:pt idx="84">
                  <c:v>45723</c:v>
                </c:pt>
                <c:pt idx="85">
                  <c:v>45730</c:v>
                </c:pt>
                <c:pt idx="86">
                  <c:v>45737</c:v>
                </c:pt>
                <c:pt idx="87">
                  <c:v>45744</c:v>
                </c:pt>
                <c:pt idx="88">
                  <c:v>45751</c:v>
                </c:pt>
                <c:pt idx="89">
                  <c:v>45758</c:v>
                </c:pt>
                <c:pt idx="90">
                  <c:v>45765</c:v>
                </c:pt>
                <c:pt idx="91">
                  <c:v>45772</c:v>
                </c:pt>
                <c:pt idx="92">
                  <c:v>45779</c:v>
                </c:pt>
                <c:pt idx="93">
                  <c:v>45786</c:v>
                </c:pt>
                <c:pt idx="94">
                  <c:v>45793</c:v>
                </c:pt>
                <c:pt idx="95">
                  <c:v>45800</c:v>
                </c:pt>
                <c:pt idx="96">
                  <c:v>45807</c:v>
                </c:pt>
                <c:pt idx="97">
                  <c:v>45814</c:v>
                </c:pt>
                <c:pt idx="98">
                  <c:v>45821</c:v>
                </c:pt>
                <c:pt idx="99">
                  <c:v>45828</c:v>
                </c:pt>
                <c:pt idx="100">
                  <c:v>45835</c:v>
                </c:pt>
                <c:pt idx="101">
                  <c:v>45842</c:v>
                </c:pt>
                <c:pt idx="102">
                  <c:v>45849</c:v>
                </c:pt>
                <c:pt idx="103">
                  <c:v>45856</c:v>
                </c:pt>
                <c:pt idx="104">
                  <c:v>45863</c:v>
                </c:pt>
                <c:pt idx="105">
                  <c:v>45870</c:v>
                </c:pt>
                <c:pt idx="106">
                  <c:v>45877</c:v>
                </c:pt>
                <c:pt idx="107">
                  <c:v>45884</c:v>
                </c:pt>
                <c:pt idx="108">
                  <c:v>45891</c:v>
                </c:pt>
                <c:pt idx="109">
                  <c:v>45898</c:v>
                </c:pt>
                <c:pt idx="110">
                  <c:v>45905</c:v>
                </c:pt>
                <c:pt idx="111">
                  <c:v>45912</c:v>
                </c:pt>
                <c:pt idx="112">
                  <c:v>45919</c:v>
                </c:pt>
                <c:pt idx="113">
                  <c:v>45926</c:v>
                </c:pt>
                <c:pt idx="114">
                  <c:v>45933</c:v>
                </c:pt>
                <c:pt idx="115">
                  <c:v>45940</c:v>
                </c:pt>
                <c:pt idx="116">
                  <c:v>45947</c:v>
                </c:pt>
                <c:pt idx="117">
                  <c:v>45954</c:v>
                </c:pt>
                <c:pt idx="118">
                  <c:v>45961</c:v>
                </c:pt>
                <c:pt idx="119">
                  <c:v>45968</c:v>
                </c:pt>
                <c:pt idx="120">
                  <c:v>45975</c:v>
                </c:pt>
                <c:pt idx="121">
                  <c:v>45982</c:v>
                </c:pt>
                <c:pt idx="122">
                  <c:v>45989</c:v>
                </c:pt>
                <c:pt idx="123">
                  <c:v>45996</c:v>
                </c:pt>
                <c:pt idx="124">
                  <c:v>46003</c:v>
                </c:pt>
                <c:pt idx="125">
                  <c:v>46010</c:v>
                </c:pt>
                <c:pt idx="126">
                  <c:v>46017</c:v>
                </c:pt>
                <c:pt idx="127">
                  <c:v>46024</c:v>
                </c:pt>
                <c:pt idx="128">
                  <c:v>46031</c:v>
                </c:pt>
                <c:pt idx="129">
                  <c:v>46038</c:v>
                </c:pt>
                <c:pt idx="130">
                  <c:v>46045</c:v>
                </c:pt>
                <c:pt idx="131">
                  <c:v>46052</c:v>
                </c:pt>
                <c:pt idx="132">
                  <c:v>46059</c:v>
                </c:pt>
                <c:pt idx="133">
                  <c:v>46066</c:v>
                </c:pt>
                <c:pt idx="134">
                  <c:v>46073</c:v>
                </c:pt>
                <c:pt idx="135">
                  <c:v>46080</c:v>
                </c:pt>
                <c:pt idx="136">
                  <c:v>46087</c:v>
                </c:pt>
                <c:pt idx="137">
                  <c:v>46094</c:v>
                </c:pt>
                <c:pt idx="138">
                  <c:v>46101</c:v>
                </c:pt>
                <c:pt idx="139">
                  <c:v>46108</c:v>
                </c:pt>
                <c:pt idx="140">
                  <c:v>46115</c:v>
                </c:pt>
                <c:pt idx="141">
                  <c:v>46122</c:v>
                </c:pt>
                <c:pt idx="142">
                  <c:v>46129</c:v>
                </c:pt>
                <c:pt idx="143">
                  <c:v>46136</c:v>
                </c:pt>
                <c:pt idx="144">
                  <c:v>46143</c:v>
                </c:pt>
                <c:pt idx="145">
                  <c:v>46150</c:v>
                </c:pt>
                <c:pt idx="146">
                  <c:v>46157</c:v>
                </c:pt>
                <c:pt idx="147">
                  <c:v>46164</c:v>
                </c:pt>
                <c:pt idx="148">
                  <c:v>46171</c:v>
                </c:pt>
                <c:pt idx="149">
                  <c:v>46178</c:v>
                </c:pt>
                <c:pt idx="150">
                  <c:v>46185</c:v>
                </c:pt>
                <c:pt idx="151">
                  <c:v>46192</c:v>
                </c:pt>
                <c:pt idx="152">
                  <c:v>46199</c:v>
                </c:pt>
                <c:pt idx="153">
                  <c:v>46206</c:v>
                </c:pt>
                <c:pt idx="154">
                  <c:v>46213</c:v>
                </c:pt>
                <c:pt idx="155">
                  <c:v>46220</c:v>
                </c:pt>
                <c:pt idx="156">
                  <c:v>46227</c:v>
                </c:pt>
                <c:pt idx="157">
                  <c:v>46234</c:v>
                </c:pt>
              </c:numCache>
            </c:numRef>
          </c:cat>
          <c:val>
            <c:numRef>
              <c:f>Summary!$V$429:$V$586</c:f>
              <c:numCache>
                <c:formatCode>0.0\x_);\(0.0\x\)</c:formatCode>
                <c:ptCount val="158"/>
                <c:pt idx="0">
                  <c:v>41.021279401540347</c:v>
                </c:pt>
                <c:pt idx="1">
                  <c:v>41.021279401540347</c:v>
                </c:pt>
                <c:pt idx="2">
                  <c:v>41.021279401540347</c:v>
                </c:pt>
                <c:pt idx="3">
                  <c:v>41.021279401540347</c:v>
                </c:pt>
                <c:pt idx="4">
                  <c:v>41.021279401540347</c:v>
                </c:pt>
                <c:pt idx="5">
                  <c:v>41.021279401540347</c:v>
                </c:pt>
                <c:pt idx="6">
                  <c:v>41.021279401540347</c:v>
                </c:pt>
                <c:pt idx="7">
                  <c:v>41.021279401540347</c:v>
                </c:pt>
                <c:pt idx="8">
                  <c:v>41.021279401540347</c:v>
                </c:pt>
                <c:pt idx="9">
                  <c:v>41.021279401540347</c:v>
                </c:pt>
                <c:pt idx="10">
                  <c:v>41.021279401540347</c:v>
                </c:pt>
                <c:pt idx="11">
                  <c:v>41.021279401540347</c:v>
                </c:pt>
                <c:pt idx="12">
                  <c:v>41.021279401540347</c:v>
                </c:pt>
                <c:pt idx="13">
                  <c:v>41.021279401540347</c:v>
                </c:pt>
                <c:pt idx="14">
                  <c:v>41.021279401540347</c:v>
                </c:pt>
                <c:pt idx="15">
                  <c:v>41.021279401540347</c:v>
                </c:pt>
                <c:pt idx="16">
                  <c:v>41.021279401540347</c:v>
                </c:pt>
                <c:pt idx="17">
                  <c:v>41.021279401540347</c:v>
                </c:pt>
                <c:pt idx="18">
                  <c:v>41.021279401540347</c:v>
                </c:pt>
                <c:pt idx="19">
                  <c:v>41.021279401540347</c:v>
                </c:pt>
                <c:pt idx="20">
                  <c:v>41.021279401540347</c:v>
                </c:pt>
                <c:pt idx="21">
                  <c:v>41.021279401540347</c:v>
                </c:pt>
                <c:pt idx="22">
                  <c:v>41.021279401540347</c:v>
                </c:pt>
                <c:pt idx="23">
                  <c:v>41.021279401540347</c:v>
                </c:pt>
                <c:pt idx="24">
                  <c:v>41.021279401540347</c:v>
                </c:pt>
                <c:pt idx="25">
                  <c:v>41.021279401540347</c:v>
                </c:pt>
                <c:pt idx="26">
                  <c:v>41.021279401540347</c:v>
                </c:pt>
                <c:pt idx="27">
                  <c:v>41.021279401540347</c:v>
                </c:pt>
                <c:pt idx="28">
                  <c:v>41.021279401540347</c:v>
                </c:pt>
                <c:pt idx="29">
                  <c:v>41.021279401540347</c:v>
                </c:pt>
                <c:pt idx="30">
                  <c:v>41.021279401540347</c:v>
                </c:pt>
                <c:pt idx="31">
                  <c:v>41.021279401540347</c:v>
                </c:pt>
                <c:pt idx="32">
                  <c:v>41.021279401540347</c:v>
                </c:pt>
                <c:pt idx="33">
                  <c:v>41.021279401540347</c:v>
                </c:pt>
                <c:pt idx="34">
                  <c:v>41.021279401540347</c:v>
                </c:pt>
                <c:pt idx="35">
                  <c:v>41.021279401540347</c:v>
                </c:pt>
                <c:pt idx="36">
                  <c:v>41.021279401540347</c:v>
                </c:pt>
                <c:pt idx="37">
                  <c:v>41.021279401540347</c:v>
                </c:pt>
                <c:pt idx="38">
                  <c:v>41.021279401540347</c:v>
                </c:pt>
                <c:pt idx="39">
                  <c:v>41.021279401540347</c:v>
                </c:pt>
                <c:pt idx="40">
                  <c:v>41.021279401540347</c:v>
                </c:pt>
                <c:pt idx="41">
                  <c:v>41.021279401540347</c:v>
                </c:pt>
                <c:pt idx="42">
                  <c:v>41.021279401540347</c:v>
                </c:pt>
                <c:pt idx="43">
                  <c:v>41.021279401540347</c:v>
                </c:pt>
                <c:pt idx="44">
                  <c:v>41.021279401540347</c:v>
                </c:pt>
                <c:pt idx="45">
                  <c:v>41.021279401540347</c:v>
                </c:pt>
                <c:pt idx="46">
                  <c:v>41.021279401540347</c:v>
                </c:pt>
                <c:pt idx="47">
                  <c:v>41.021279401540347</c:v>
                </c:pt>
                <c:pt idx="48">
                  <c:v>41.021279401540347</c:v>
                </c:pt>
                <c:pt idx="49">
                  <c:v>41.021279401540347</c:v>
                </c:pt>
                <c:pt idx="50">
                  <c:v>41.021279401540347</c:v>
                </c:pt>
                <c:pt idx="51">
                  <c:v>41.021279401540347</c:v>
                </c:pt>
                <c:pt idx="52">
                  <c:v>41.021279401540347</c:v>
                </c:pt>
                <c:pt idx="53">
                  <c:v>41.021279401540347</c:v>
                </c:pt>
                <c:pt idx="54">
                  <c:v>41.021279401540347</c:v>
                </c:pt>
                <c:pt idx="55">
                  <c:v>41.021279401540347</c:v>
                </c:pt>
                <c:pt idx="56">
                  <c:v>41.021279401540347</c:v>
                </c:pt>
                <c:pt idx="57">
                  <c:v>41.021279401540347</c:v>
                </c:pt>
                <c:pt idx="58">
                  <c:v>41.021279401540347</c:v>
                </c:pt>
                <c:pt idx="59">
                  <c:v>41.021279401540347</c:v>
                </c:pt>
                <c:pt idx="60">
                  <c:v>41.021279401540347</c:v>
                </c:pt>
                <c:pt idx="61">
                  <c:v>41.021279401540347</c:v>
                </c:pt>
                <c:pt idx="62">
                  <c:v>41.021279401540347</c:v>
                </c:pt>
                <c:pt idx="63">
                  <c:v>41.021279401540347</c:v>
                </c:pt>
                <c:pt idx="64">
                  <c:v>41.021279401540347</c:v>
                </c:pt>
                <c:pt idx="65">
                  <c:v>41.021279401540347</c:v>
                </c:pt>
                <c:pt idx="66">
                  <c:v>41.021279401540347</c:v>
                </c:pt>
                <c:pt idx="67">
                  <c:v>41.021279401540347</c:v>
                </c:pt>
                <c:pt idx="68">
                  <c:v>41.021279401540347</c:v>
                </c:pt>
                <c:pt idx="69">
                  <c:v>41.021279401540347</c:v>
                </c:pt>
                <c:pt idx="70">
                  <c:v>41.021279401540347</c:v>
                </c:pt>
                <c:pt idx="71">
                  <c:v>41.021279401540347</c:v>
                </c:pt>
                <c:pt idx="72">
                  <c:v>41.021279401540347</c:v>
                </c:pt>
                <c:pt idx="73">
                  <c:v>41.021279401540347</c:v>
                </c:pt>
                <c:pt idx="74">
                  <c:v>41.021279401540347</c:v>
                </c:pt>
                <c:pt idx="75">
                  <c:v>41.021279401540347</c:v>
                </c:pt>
                <c:pt idx="76">
                  <c:v>41.021279401540347</c:v>
                </c:pt>
                <c:pt idx="77">
                  <c:v>41.021279401540347</c:v>
                </c:pt>
                <c:pt idx="78">
                  <c:v>41.021279401540347</c:v>
                </c:pt>
                <c:pt idx="79">
                  <c:v>41.021279401540347</c:v>
                </c:pt>
                <c:pt idx="80">
                  <c:v>41.021279401540347</c:v>
                </c:pt>
                <c:pt idx="81">
                  <c:v>41.021279401540347</c:v>
                </c:pt>
                <c:pt idx="82">
                  <c:v>41.021279401540347</c:v>
                </c:pt>
                <c:pt idx="83">
                  <c:v>41.021279401540347</c:v>
                </c:pt>
                <c:pt idx="84">
                  <c:v>41.021279401540347</c:v>
                </c:pt>
                <c:pt idx="85">
                  <c:v>41.021279401540347</c:v>
                </c:pt>
                <c:pt idx="86">
                  <c:v>41.021279401540347</c:v>
                </c:pt>
                <c:pt idx="87">
                  <c:v>41.021279401540347</c:v>
                </c:pt>
                <c:pt idx="88">
                  <c:v>41.021279401540347</c:v>
                </c:pt>
                <c:pt idx="89">
                  <c:v>41.021279401540347</c:v>
                </c:pt>
                <c:pt idx="90">
                  <c:v>41.021279401540347</c:v>
                </c:pt>
                <c:pt idx="91">
                  <c:v>41.021279401540347</c:v>
                </c:pt>
                <c:pt idx="92">
                  <c:v>41.021279401540347</c:v>
                </c:pt>
                <c:pt idx="93">
                  <c:v>41.021279401540347</c:v>
                </c:pt>
                <c:pt idx="94">
                  <c:v>41.021279401540347</c:v>
                </c:pt>
                <c:pt idx="95">
                  <c:v>41.021279401540347</c:v>
                </c:pt>
                <c:pt idx="96">
                  <c:v>41.021279401540347</c:v>
                </c:pt>
                <c:pt idx="97">
                  <c:v>41.021279401540347</c:v>
                </c:pt>
                <c:pt idx="98">
                  <c:v>41.021279401540347</c:v>
                </c:pt>
                <c:pt idx="99">
                  <c:v>41.021279401540347</c:v>
                </c:pt>
                <c:pt idx="100">
                  <c:v>41.021279401540347</c:v>
                </c:pt>
                <c:pt idx="101">
                  <c:v>41.021279401540347</c:v>
                </c:pt>
                <c:pt idx="102">
                  <c:v>41.021279401540347</c:v>
                </c:pt>
                <c:pt idx="103">
                  <c:v>41.021279401540347</c:v>
                </c:pt>
                <c:pt idx="104">
                  <c:v>41.021279401540347</c:v>
                </c:pt>
                <c:pt idx="105">
                  <c:v>41.021279401540347</c:v>
                </c:pt>
                <c:pt idx="106">
                  <c:v>41.021279401540347</c:v>
                </c:pt>
                <c:pt idx="107">
                  <c:v>41.021279401540347</c:v>
                </c:pt>
                <c:pt idx="108">
                  <c:v>41.021279401540347</c:v>
                </c:pt>
                <c:pt idx="109">
                  <c:v>41.021279401540347</c:v>
                </c:pt>
                <c:pt idx="110">
                  <c:v>41.021279401540347</c:v>
                </c:pt>
                <c:pt idx="111">
                  <c:v>41.021279401540347</c:v>
                </c:pt>
                <c:pt idx="112">
                  <c:v>41.021279401540347</c:v>
                </c:pt>
                <c:pt idx="113">
                  <c:v>41.021279401540347</c:v>
                </c:pt>
                <c:pt idx="114">
                  <c:v>41.021279401540347</c:v>
                </c:pt>
                <c:pt idx="115">
                  <c:v>41.021279401540347</c:v>
                </c:pt>
                <c:pt idx="116">
                  <c:v>41.021279401540347</c:v>
                </c:pt>
                <c:pt idx="117">
                  <c:v>41.021279401540347</c:v>
                </c:pt>
                <c:pt idx="118">
                  <c:v>41.021279401540347</c:v>
                </c:pt>
                <c:pt idx="119">
                  <c:v>41.021279401540347</c:v>
                </c:pt>
                <c:pt idx="120">
                  <c:v>41.021279401540347</c:v>
                </c:pt>
                <c:pt idx="121">
                  <c:v>41.021279401540347</c:v>
                </c:pt>
                <c:pt idx="122">
                  <c:v>41.021279401540347</c:v>
                </c:pt>
                <c:pt idx="123">
                  <c:v>41.021279401540347</c:v>
                </c:pt>
                <c:pt idx="124">
                  <c:v>41.021279401540347</c:v>
                </c:pt>
                <c:pt idx="125">
                  <c:v>41.021279401540347</c:v>
                </c:pt>
                <c:pt idx="126">
                  <c:v>41.021279401540347</c:v>
                </c:pt>
                <c:pt idx="127">
                  <c:v>41.021279401540347</c:v>
                </c:pt>
                <c:pt idx="128">
                  <c:v>41.021279401540347</c:v>
                </c:pt>
                <c:pt idx="129">
                  <c:v>41.021279401540347</c:v>
                </c:pt>
                <c:pt idx="130">
                  <c:v>41.021279401540347</c:v>
                </c:pt>
                <c:pt idx="131">
                  <c:v>41.021279401540347</c:v>
                </c:pt>
                <c:pt idx="132">
                  <c:v>41.021279401540347</c:v>
                </c:pt>
                <c:pt idx="133">
                  <c:v>41.021279401540347</c:v>
                </c:pt>
                <c:pt idx="134">
                  <c:v>41.021279401540347</c:v>
                </c:pt>
                <c:pt idx="135">
                  <c:v>41.021279401540347</c:v>
                </c:pt>
                <c:pt idx="136">
                  <c:v>41.021279401540347</c:v>
                </c:pt>
                <c:pt idx="137">
                  <c:v>41.021279401540347</c:v>
                </c:pt>
                <c:pt idx="138">
                  <c:v>41.021279401540347</c:v>
                </c:pt>
                <c:pt idx="139">
                  <c:v>41.021279401540347</c:v>
                </c:pt>
                <c:pt idx="140">
                  <c:v>41.021279401540347</c:v>
                </c:pt>
                <c:pt idx="141">
                  <c:v>41.021279401540347</c:v>
                </c:pt>
                <c:pt idx="142">
                  <c:v>41.021279401540347</c:v>
                </c:pt>
                <c:pt idx="143">
                  <c:v>41.021279401540347</c:v>
                </c:pt>
                <c:pt idx="144">
                  <c:v>41.021279401540347</c:v>
                </c:pt>
                <c:pt idx="145">
                  <c:v>41.021279401540347</c:v>
                </c:pt>
                <c:pt idx="146">
                  <c:v>41.021279401540347</c:v>
                </c:pt>
                <c:pt idx="147">
                  <c:v>41.021279401540347</c:v>
                </c:pt>
                <c:pt idx="148">
                  <c:v>41.021279401540347</c:v>
                </c:pt>
                <c:pt idx="149">
                  <c:v>41.021279401540347</c:v>
                </c:pt>
                <c:pt idx="150">
                  <c:v>41.021279401540347</c:v>
                </c:pt>
                <c:pt idx="151">
                  <c:v>41.021279401540347</c:v>
                </c:pt>
                <c:pt idx="152">
                  <c:v>41.021279401540347</c:v>
                </c:pt>
                <c:pt idx="153">
                  <c:v>41.021279401540347</c:v>
                </c:pt>
                <c:pt idx="154">
                  <c:v>41.021279401540347</c:v>
                </c:pt>
                <c:pt idx="155">
                  <c:v>41.021279401540347</c:v>
                </c:pt>
                <c:pt idx="156">
                  <c:v>41.021279401540347</c:v>
                </c:pt>
                <c:pt idx="157">
                  <c:v>41.021279401540347</c:v>
                </c:pt>
              </c:numCache>
            </c:numRef>
          </c:val>
          <c:smooth val="0"/>
          <c:extLst>
            <c:ext xmlns:c16="http://schemas.microsoft.com/office/drawing/2014/chart" uri="{C3380CC4-5D6E-409C-BE32-E72D297353CC}">
              <c16:uniqueId val="{00000004-F0E5-442B-8E5E-4F4B1752D446}"/>
            </c:ext>
          </c:extLst>
        </c:ser>
        <c:dLbls>
          <c:showLegendKey val="0"/>
          <c:showVal val="0"/>
          <c:showCatName val="0"/>
          <c:showSerName val="0"/>
          <c:showPercent val="0"/>
          <c:showBubbleSize val="0"/>
        </c:dLbls>
        <c:smooth val="0"/>
        <c:axId val="1683816912"/>
        <c:axId val="1683822672"/>
      </c:lineChart>
      <c:dateAx>
        <c:axId val="1683816912"/>
        <c:scaling>
          <c:orientation val="minMax"/>
        </c:scaling>
        <c:delete val="0"/>
        <c:axPos val="b"/>
        <c:numFmt formatCode="mmm\-yy"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83822672"/>
        <c:crosses val="autoZero"/>
        <c:auto val="1"/>
        <c:lblOffset val="100"/>
        <c:baseTimeUnit val="days"/>
      </c:dateAx>
      <c:valAx>
        <c:axId val="1683822672"/>
        <c:scaling>
          <c:orientation val="minMax"/>
        </c:scaling>
        <c:delete val="0"/>
        <c:axPos val="l"/>
        <c:numFmt formatCode="0\x;\(0\x\)"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83816912"/>
        <c:crosses val="autoZero"/>
        <c:crossBetween val="between"/>
      </c:valAx>
      <c:spPr>
        <a:noFill/>
        <a:ln>
          <a:noFill/>
        </a:ln>
        <a:effectLst/>
      </c:spPr>
    </c:plotArea>
    <c:legend>
      <c:legendPos val="b"/>
      <c:layout>
        <c:manualLayout>
          <c:xMode val="edge"/>
          <c:yMode val="edge"/>
          <c:x val="6.7580728012215624E-2"/>
          <c:y val="0.89602763572079258"/>
          <c:w val="0.6757977102728111"/>
          <c:h val="7.64809553444994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Charts!$E$87</c:f>
              <c:strCache>
                <c:ptCount val="1"/>
                <c:pt idx="0">
                  <c:v>B2B GMV growth</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Charts!$AI$4:$AN$4</c:f>
              <c:strCache>
                <c:ptCount val="6"/>
                <c:pt idx="0">
                  <c:v>2Q23A</c:v>
                </c:pt>
                <c:pt idx="1">
                  <c:v>3Q23A</c:v>
                </c:pt>
                <c:pt idx="2">
                  <c:v>4Q23A</c:v>
                </c:pt>
                <c:pt idx="3">
                  <c:v>1Q24A</c:v>
                </c:pt>
                <c:pt idx="4">
                  <c:v>2Q24A</c:v>
                </c:pt>
                <c:pt idx="5">
                  <c:v>3Q24A</c:v>
                </c:pt>
              </c:strCache>
            </c:strRef>
          </c:cat>
          <c:val>
            <c:numRef>
              <c:f>Charts!$AI$87:$AN$87</c:f>
              <c:numCache>
                <c:formatCode>0%</c:formatCode>
                <c:ptCount val="6"/>
                <c:pt idx="0">
                  <c:v>0.61</c:v>
                </c:pt>
                <c:pt idx="1">
                  <c:v>1</c:v>
                </c:pt>
                <c:pt idx="2">
                  <c:v>1.5</c:v>
                </c:pt>
                <c:pt idx="3">
                  <c:v>1.3</c:v>
                </c:pt>
                <c:pt idx="4">
                  <c:v>1.4</c:v>
                </c:pt>
                <c:pt idx="5">
                  <c:v>1.45</c:v>
                </c:pt>
              </c:numCache>
            </c:numRef>
          </c:val>
          <c:smooth val="1"/>
          <c:extLst>
            <c:ext xmlns:c16="http://schemas.microsoft.com/office/drawing/2014/chart" uri="{C3380CC4-5D6E-409C-BE32-E72D297353CC}">
              <c16:uniqueId val="{00000000-DC28-47CE-BE9B-0C249ACA2C2D}"/>
            </c:ext>
          </c:extLst>
        </c:ser>
        <c:ser>
          <c:idx val="1"/>
          <c:order val="1"/>
          <c:tx>
            <c:strRef>
              <c:f>Charts!$E$88</c:f>
              <c:strCache>
                <c:ptCount val="1"/>
                <c:pt idx="0">
                  <c:v>Overal GMV growth</c:v>
                </c:pt>
              </c:strCache>
            </c:strRef>
          </c:tx>
          <c:spPr>
            <a:ln w="28575" cap="rnd">
              <a:solidFill>
                <a:schemeClr val="accent3"/>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Charts!$AI$4:$AN$4</c:f>
              <c:strCache>
                <c:ptCount val="6"/>
                <c:pt idx="0">
                  <c:v>2Q23A</c:v>
                </c:pt>
                <c:pt idx="1">
                  <c:v>3Q23A</c:v>
                </c:pt>
                <c:pt idx="2">
                  <c:v>4Q23A</c:v>
                </c:pt>
                <c:pt idx="3">
                  <c:v>1Q24A</c:v>
                </c:pt>
                <c:pt idx="4">
                  <c:v>2Q24A</c:v>
                </c:pt>
                <c:pt idx="5">
                  <c:v>3Q24A</c:v>
                </c:pt>
              </c:strCache>
            </c:strRef>
          </c:cat>
          <c:val>
            <c:numRef>
              <c:f>Charts!$AI$88:$AN$88</c:f>
              <c:numCache>
                <c:formatCode>0%</c:formatCode>
                <c:ptCount val="6"/>
                <c:pt idx="0">
                  <c:v>0.17395395739772312</c:v>
                </c:pt>
                <c:pt idx="1">
                  <c:v>0.21645021645021645</c:v>
                </c:pt>
                <c:pt idx="2">
                  <c:v>0.23155737704918034</c:v>
                </c:pt>
                <c:pt idx="3">
                  <c:v>0.22691532258064506</c:v>
                </c:pt>
                <c:pt idx="4">
                  <c:v>0.22263636363636374</c:v>
                </c:pt>
                <c:pt idx="5">
                  <c:v>0.24048042704626327</c:v>
                </c:pt>
              </c:numCache>
            </c:numRef>
          </c:val>
          <c:smooth val="0"/>
          <c:extLst>
            <c:ext xmlns:c16="http://schemas.microsoft.com/office/drawing/2014/chart" uri="{C3380CC4-5D6E-409C-BE32-E72D297353CC}">
              <c16:uniqueId val="{00000001-DC28-47CE-BE9B-0C249ACA2C2D}"/>
            </c:ext>
          </c:extLst>
        </c:ser>
        <c:dLbls>
          <c:showLegendKey val="0"/>
          <c:showVal val="0"/>
          <c:showCatName val="0"/>
          <c:showSerName val="0"/>
          <c:showPercent val="0"/>
          <c:showBubbleSize val="0"/>
        </c:dLbls>
        <c:smooth val="0"/>
        <c:axId val="1846987440"/>
        <c:axId val="1846994160"/>
      </c:lineChart>
      <c:catAx>
        <c:axId val="18469874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46994160"/>
        <c:crosses val="autoZero"/>
        <c:auto val="1"/>
        <c:lblAlgn val="ctr"/>
        <c:lblOffset val="100"/>
        <c:noMultiLvlLbl val="0"/>
      </c:catAx>
      <c:valAx>
        <c:axId val="1846994160"/>
        <c:scaling>
          <c:orientation val="minMax"/>
        </c:scaling>
        <c:delete val="0"/>
        <c:axPos val="l"/>
        <c:numFmt formatCode="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46987440"/>
        <c:crosses val="autoZero"/>
        <c:crossBetween val="between"/>
      </c:valAx>
      <c:spPr>
        <a:noFill/>
        <a:ln>
          <a:noFill/>
        </a:ln>
        <a:effectLst/>
      </c:spPr>
    </c:plotArea>
    <c:legend>
      <c:legendPos val="t"/>
      <c:layout>
        <c:manualLayout>
          <c:xMode val="edge"/>
          <c:yMode val="edge"/>
          <c:x val="0.36095511180240686"/>
          <c:y val="0.48186729715373183"/>
          <c:w val="0.55459954949822976"/>
          <c:h val="7.885601712909162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0"/>
          <c:order val="0"/>
          <c:tx>
            <c:strRef>
              <c:f>Charts!$E$91</c:f>
              <c:strCache>
                <c:ptCount val="1"/>
                <c:pt idx="0">
                  <c:v>Standard revenue % subscription solutions revenue</c:v>
                </c:pt>
              </c:strCache>
            </c:strRef>
          </c:tx>
          <c:spPr>
            <a:solidFill>
              <a:schemeClr val="accent1"/>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Charts!$AF$4:$AN$4</c:f>
              <c:strCache>
                <c:ptCount val="9"/>
                <c:pt idx="0">
                  <c:v>3Q22A</c:v>
                </c:pt>
                <c:pt idx="1">
                  <c:v>4Q22A</c:v>
                </c:pt>
                <c:pt idx="2">
                  <c:v>1Q23A</c:v>
                </c:pt>
                <c:pt idx="3">
                  <c:v>2Q23A</c:v>
                </c:pt>
                <c:pt idx="4">
                  <c:v>3Q23A</c:v>
                </c:pt>
                <c:pt idx="5">
                  <c:v>4Q23A</c:v>
                </c:pt>
                <c:pt idx="6">
                  <c:v>1Q24A</c:v>
                </c:pt>
                <c:pt idx="7">
                  <c:v>2Q24A</c:v>
                </c:pt>
                <c:pt idx="8">
                  <c:v>3Q24A</c:v>
                </c:pt>
              </c:strCache>
            </c:strRef>
          </c:cat>
          <c:val>
            <c:numRef>
              <c:f>Charts!$AF$91:$AN$91</c:f>
              <c:numCache>
                <c:formatCode>0%_);\(0%\);0%_);@_)</c:formatCode>
                <c:ptCount val="9"/>
                <c:pt idx="0">
                  <c:v>0.57999999999999996</c:v>
                </c:pt>
                <c:pt idx="1">
                  <c:v>0.54</c:v>
                </c:pt>
                <c:pt idx="2">
                  <c:v>0.59</c:v>
                </c:pt>
                <c:pt idx="3">
                  <c:v>0.59</c:v>
                </c:pt>
                <c:pt idx="4">
                  <c:v>0.6</c:v>
                </c:pt>
                <c:pt idx="5">
                  <c:v>0.56000000000000005</c:v>
                </c:pt>
                <c:pt idx="6">
                  <c:v>0.6</c:v>
                </c:pt>
                <c:pt idx="7">
                  <c:v>0.6</c:v>
                </c:pt>
                <c:pt idx="8">
                  <c:v>0.59</c:v>
                </c:pt>
              </c:numCache>
            </c:numRef>
          </c:val>
          <c:extLst>
            <c:ext xmlns:c16="http://schemas.microsoft.com/office/drawing/2014/chart" uri="{C3380CC4-5D6E-409C-BE32-E72D297353CC}">
              <c16:uniqueId val="{00000000-DE19-4506-BFDD-2C255C9756F7}"/>
            </c:ext>
          </c:extLst>
        </c:ser>
        <c:ser>
          <c:idx val="1"/>
          <c:order val="1"/>
          <c:tx>
            <c:strRef>
              <c:f>Charts!$E$92</c:f>
              <c:strCache>
                <c:ptCount val="1"/>
                <c:pt idx="0">
                  <c:v>Plus revenue % subscription solutions revenue</c:v>
                </c:pt>
              </c:strCache>
            </c:strRef>
          </c:tx>
          <c:spPr>
            <a:solidFill>
              <a:schemeClr val="accent2"/>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Charts!$AF$4:$AN$4</c:f>
              <c:strCache>
                <c:ptCount val="9"/>
                <c:pt idx="0">
                  <c:v>3Q22A</c:v>
                </c:pt>
                <c:pt idx="1">
                  <c:v>4Q22A</c:v>
                </c:pt>
                <c:pt idx="2">
                  <c:v>1Q23A</c:v>
                </c:pt>
                <c:pt idx="3">
                  <c:v>2Q23A</c:v>
                </c:pt>
                <c:pt idx="4">
                  <c:v>3Q23A</c:v>
                </c:pt>
                <c:pt idx="5">
                  <c:v>4Q23A</c:v>
                </c:pt>
                <c:pt idx="6">
                  <c:v>1Q24A</c:v>
                </c:pt>
                <c:pt idx="7">
                  <c:v>2Q24A</c:v>
                </c:pt>
                <c:pt idx="8">
                  <c:v>3Q24A</c:v>
                </c:pt>
              </c:strCache>
            </c:strRef>
          </c:cat>
          <c:val>
            <c:numRef>
              <c:f>Charts!$AF$92:$AN$92</c:f>
              <c:numCache>
                <c:formatCode>0%_);\(0%\);0%_);@_)</c:formatCode>
                <c:ptCount val="9"/>
                <c:pt idx="0">
                  <c:v>0.27</c:v>
                </c:pt>
                <c:pt idx="1">
                  <c:v>0.27</c:v>
                </c:pt>
                <c:pt idx="2">
                  <c:v>0.3</c:v>
                </c:pt>
                <c:pt idx="3">
                  <c:v>0.27</c:v>
                </c:pt>
                <c:pt idx="4">
                  <c:v>0.26</c:v>
                </c:pt>
                <c:pt idx="5">
                  <c:v>0.25</c:v>
                </c:pt>
                <c:pt idx="6">
                  <c:v>0.27</c:v>
                </c:pt>
                <c:pt idx="7">
                  <c:v>0.26</c:v>
                </c:pt>
                <c:pt idx="8">
                  <c:v>0.27</c:v>
                </c:pt>
              </c:numCache>
            </c:numRef>
          </c:val>
          <c:extLst>
            <c:ext xmlns:c16="http://schemas.microsoft.com/office/drawing/2014/chart" uri="{C3380CC4-5D6E-409C-BE32-E72D297353CC}">
              <c16:uniqueId val="{00000001-DE19-4506-BFDD-2C255C9756F7}"/>
            </c:ext>
          </c:extLst>
        </c:ser>
        <c:ser>
          <c:idx val="2"/>
          <c:order val="2"/>
          <c:tx>
            <c:strRef>
              <c:f>Charts!$E$93</c:f>
              <c:strCache>
                <c:ptCount val="1"/>
                <c:pt idx="0">
                  <c:v>Apps, Themes, Domains, Plus Platform Fees % SS revenue</c:v>
                </c:pt>
              </c:strCache>
            </c:strRef>
          </c:tx>
          <c:spPr>
            <a:solidFill>
              <a:schemeClr val="accent3"/>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Charts!$AF$4:$AN$4</c:f>
              <c:strCache>
                <c:ptCount val="9"/>
                <c:pt idx="0">
                  <c:v>3Q22A</c:v>
                </c:pt>
                <c:pt idx="1">
                  <c:v>4Q22A</c:v>
                </c:pt>
                <c:pt idx="2">
                  <c:v>1Q23A</c:v>
                </c:pt>
                <c:pt idx="3">
                  <c:v>2Q23A</c:v>
                </c:pt>
                <c:pt idx="4">
                  <c:v>3Q23A</c:v>
                </c:pt>
                <c:pt idx="5">
                  <c:v>4Q23A</c:v>
                </c:pt>
                <c:pt idx="6">
                  <c:v>1Q24A</c:v>
                </c:pt>
                <c:pt idx="7">
                  <c:v>2Q24A</c:v>
                </c:pt>
                <c:pt idx="8">
                  <c:v>3Q24A</c:v>
                </c:pt>
              </c:strCache>
            </c:strRef>
          </c:cat>
          <c:val>
            <c:numRef>
              <c:f>Charts!$AF$93:$AN$93</c:f>
              <c:numCache>
                <c:formatCode>0%_);\(0%\);0%_);@_)</c:formatCode>
                <c:ptCount val="9"/>
                <c:pt idx="0">
                  <c:v>0.15</c:v>
                </c:pt>
                <c:pt idx="1">
                  <c:v>0.19</c:v>
                </c:pt>
                <c:pt idx="2">
                  <c:v>0.11</c:v>
                </c:pt>
                <c:pt idx="3">
                  <c:v>0.14000000000000001</c:v>
                </c:pt>
                <c:pt idx="4">
                  <c:v>0.14000000000000001</c:v>
                </c:pt>
                <c:pt idx="5">
                  <c:v>0.18</c:v>
                </c:pt>
                <c:pt idx="6">
                  <c:v>0.13</c:v>
                </c:pt>
                <c:pt idx="7">
                  <c:v>0.14000000000000001</c:v>
                </c:pt>
                <c:pt idx="8">
                  <c:v>0.15</c:v>
                </c:pt>
              </c:numCache>
            </c:numRef>
          </c:val>
          <c:extLst>
            <c:ext xmlns:c16="http://schemas.microsoft.com/office/drawing/2014/chart" uri="{C3380CC4-5D6E-409C-BE32-E72D297353CC}">
              <c16:uniqueId val="{00000003-DE19-4506-BFDD-2C255C9756F7}"/>
            </c:ext>
          </c:extLst>
        </c:ser>
        <c:dLbls>
          <c:showLegendKey val="0"/>
          <c:showVal val="0"/>
          <c:showCatName val="0"/>
          <c:showSerName val="0"/>
          <c:showPercent val="0"/>
          <c:showBubbleSize val="0"/>
        </c:dLbls>
        <c:axId val="1508043215"/>
        <c:axId val="1508043695"/>
      </c:areaChart>
      <c:catAx>
        <c:axId val="1508043215"/>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08043695"/>
        <c:crosses val="autoZero"/>
        <c:auto val="1"/>
        <c:lblAlgn val="ctr"/>
        <c:lblOffset val="100"/>
        <c:noMultiLvlLbl val="0"/>
      </c:catAx>
      <c:valAx>
        <c:axId val="150804369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_);\(0%\);0%_);@_)"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08043215"/>
        <c:crosses val="autoZero"/>
        <c:crossBetween val="midCat"/>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695785936415613"/>
          <c:y val="1.9490537248358183E-2"/>
          <c:w val="0.88254057833084809"/>
          <c:h val="0.89935733820414498"/>
        </c:manualLayout>
      </c:layout>
      <c:barChart>
        <c:barDir val="col"/>
        <c:grouping val="stacked"/>
        <c:varyColors val="0"/>
        <c:ser>
          <c:idx val="0"/>
          <c:order val="0"/>
          <c:tx>
            <c:strRef>
              <c:f>Charts!$E$96</c:f>
              <c:strCache>
                <c:ptCount val="1"/>
                <c:pt idx="0">
                  <c:v>Standard revenue</c:v>
                </c:pt>
              </c:strCache>
            </c:strRef>
          </c:tx>
          <c:spPr>
            <a:solidFill>
              <a:schemeClr val="accent1"/>
            </a:solidFill>
            <a:ln>
              <a:noFill/>
            </a:ln>
            <a:effectLst/>
          </c:spPr>
          <c:invertIfNegative val="0"/>
          <c:cat>
            <c:numRef>
              <c:f>Charts!$AF$95:$AN$95</c:f>
              <c:numCache>
                <c:formatCode>General</c:formatCode>
                <c:ptCount val="9"/>
              </c:numCache>
            </c:numRef>
          </c:cat>
          <c:val>
            <c:numRef>
              <c:f>Charts!$AF$96:$AN$96</c:f>
              <c:numCache>
                <c:formatCode>"$"#,##0.0_);\("$"#,##0.0\);"$"#,##0.0_);@_)</c:formatCode>
                <c:ptCount val="9"/>
                <c:pt idx="0">
                  <c:v>218.25457999999998</c:v>
                </c:pt>
                <c:pt idx="1">
                  <c:v>216.13716000000002</c:v>
                </c:pt>
                <c:pt idx="2">
                  <c:v>225.38</c:v>
                </c:pt>
                <c:pt idx="3">
                  <c:v>261.95999999999998</c:v>
                </c:pt>
                <c:pt idx="4">
                  <c:v>291.59999999999997</c:v>
                </c:pt>
                <c:pt idx="5">
                  <c:v>294</c:v>
                </c:pt>
                <c:pt idx="6">
                  <c:v>306.59999999999997</c:v>
                </c:pt>
                <c:pt idx="7">
                  <c:v>337.8</c:v>
                </c:pt>
                <c:pt idx="8">
                  <c:v>359.9</c:v>
                </c:pt>
              </c:numCache>
            </c:numRef>
          </c:val>
          <c:extLst>
            <c:ext xmlns:c16="http://schemas.microsoft.com/office/drawing/2014/chart" uri="{C3380CC4-5D6E-409C-BE32-E72D297353CC}">
              <c16:uniqueId val="{00000000-66D7-4C31-A978-6B2688F9F913}"/>
            </c:ext>
          </c:extLst>
        </c:ser>
        <c:ser>
          <c:idx val="1"/>
          <c:order val="1"/>
          <c:tx>
            <c:strRef>
              <c:f>Charts!$E$97</c:f>
              <c:strCache>
                <c:ptCount val="1"/>
                <c:pt idx="0">
                  <c:v>Plus revenue</c:v>
                </c:pt>
              </c:strCache>
            </c:strRef>
          </c:tx>
          <c:spPr>
            <a:solidFill>
              <a:schemeClr val="accent2"/>
            </a:solidFill>
            <a:ln>
              <a:noFill/>
            </a:ln>
            <a:effectLst/>
          </c:spPr>
          <c:invertIfNegative val="0"/>
          <c:cat>
            <c:numRef>
              <c:f>Charts!$AF$95:$AN$95</c:f>
              <c:numCache>
                <c:formatCode>General</c:formatCode>
                <c:ptCount val="9"/>
              </c:numCache>
            </c:numRef>
          </c:cat>
          <c:val>
            <c:numRef>
              <c:f>Charts!$AF$97:$AN$97</c:f>
              <c:numCache>
                <c:formatCode>"$"#,##0.0_);\("$"#,##0.0\);"$"#,##0.0_);@_)</c:formatCode>
                <c:ptCount val="9"/>
                <c:pt idx="0">
                  <c:v>101.60127</c:v>
                </c:pt>
                <c:pt idx="1">
                  <c:v>108.06858000000001</c:v>
                </c:pt>
                <c:pt idx="2">
                  <c:v>114.6</c:v>
                </c:pt>
                <c:pt idx="3">
                  <c:v>119.88000000000001</c:v>
                </c:pt>
                <c:pt idx="4">
                  <c:v>126.36</c:v>
                </c:pt>
                <c:pt idx="5">
                  <c:v>131.25</c:v>
                </c:pt>
                <c:pt idx="6">
                  <c:v>137.97</c:v>
                </c:pt>
                <c:pt idx="7">
                  <c:v>146.38</c:v>
                </c:pt>
                <c:pt idx="8">
                  <c:v>164.70000000000002</c:v>
                </c:pt>
              </c:numCache>
            </c:numRef>
          </c:val>
          <c:extLst>
            <c:ext xmlns:c16="http://schemas.microsoft.com/office/drawing/2014/chart" uri="{C3380CC4-5D6E-409C-BE32-E72D297353CC}">
              <c16:uniqueId val="{00000001-66D7-4C31-A978-6B2688F9F913}"/>
            </c:ext>
          </c:extLst>
        </c:ser>
        <c:ser>
          <c:idx val="2"/>
          <c:order val="2"/>
          <c:tx>
            <c:strRef>
              <c:f>Charts!$E$98</c:f>
              <c:strCache>
                <c:ptCount val="1"/>
                <c:pt idx="0">
                  <c:v>Apps, Themes, Domains, and Plus Platform Fees</c:v>
                </c:pt>
              </c:strCache>
            </c:strRef>
          </c:tx>
          <c:spPr>
            <a:solidFill>
              <a:schemeClr val="accent3"/>
            </a:solidFill>
            <a:ln>
              <a:noFill/>
            </a:ln>
            <a:effectLst/>
          </c:spPr>
          <c:invertIfNegative val="0"/>
          <c:cat>
            <c:numRef>
              <c:f>Charts!$AF$95:$AN$95</c:f>
              <c:numCache>
                <c:formatCode>General</c:formatCode>
                <c:ptCount val="9"/>
              </c:numCache>
            </c:numRef>
          </c:cat>
          <c:val>
            <c:numRef>
              <c:f>Charts!$AF$98:$AN$98</c:f>
              <c:numCache>
                <c:formatCode>"$"#,##0.0_);\("$"#,##0.0\);"$"#,##0.0_);@_)</c:formatCode>
                <c:ptCount val="9"/>
                <c:pt idx="0">
                  <c:v>56.445149999999998</c:v>
                </c:pt>
                <c:pt idx="1">
                  <c:v>76.048259999999999</c:v>
                </c:pt>
                <c:pt idx="2">
                  <c:v>42.02</c:v>
                </c:pt>
                <c:pt idx="3">
                  <c:v>62.160000000000004</c:v>
                </c:pt>
                <c:pt idx="4">
                  <c:v>68.040000000000006</c:v>
                </c:pt>
                <c:pt idx="5">
                  <c:v>94.5</c:v>
                </c:pt>
                <c:pt idx="6">
                  <c:v>66.430000000000007</c:v>
                </c:pt>
                <c:pt idx="7">
                  <c:v>78.820000000000007</c:v>
                </c:pt>
                <c:pt idx="8">
                  <c:v>91.5</c:v>
                </c:pt>
              </c:numCache>
            </c:numRef>
          </c:val>
          <c:extLst>
            <c:ext xmlns:c16="http://schemas.microsoft.com/office/drawing/2014/chart" uri="{C3380CC4-5D6E-409C-BE32-E72D297353CC}">
              <c16:uniqueId val="{00000002-66D7-4C31-A978-6B2688F9F913}"/>
            </c:ext>
          </c:extLst>
        </c:ser>
        <c:dLbls>
          <c:showLegendKey val="0"/>
          <c:showVal val="0"/>
          <c:showCatName val="0"/>
          <c:showSerName val="0"/>
          <c:showPercent val="0"/>
          <c:showBubbleSize val="0"/>
        </c:dLbls>
        <c:gapWidth val="40"/>
        <c:overlap val="100"/>
        <c:axId val="1886126207"/>
        <c:axId val="1886140127"/>
      </c:barChart>
      <c:lineChart>
        <c:grouping val="standard"/>
        <c:varyColors val="0"/>
        <c:ser>
          <c:idx val="3"/>
          <c:order val="3"/>
          <c:tx>
            <c:strRef>
              <c:f>Charts!$E$99</c:f>
              <c:strCache>
                <c:ptCount val="1"/>
                <c:pt idx="0">
                  <c:v>Subscription solutions revenue</c:v>
                </c:pt>
              </c:strCache>
            </c:strRef>
          </c:tx>
          <c:spPr>
            <a:ln w="28575" cap="rnd">
              <a:no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Charts!$AF$95:$AN$95</c:f>
              <c:numCache>
                <c:formatCode>General</c:formatCode>
                <c:ptCount val="9"/>
              </c:numCache>
            </c:numRef>
          </c:cat>
          <c:val>
            <c:numRef>
              <c:f>Charts!$AF$99:$AN$99</c:f>
              <c:numCache>
                <c:formatCode>"$"#,##0.0_);\("$"#,##0.0\);"$"#,##0.0_);@_)</c:formatCode>
                <c:ptCount val="9"/>
                <c:pt idx="0">
                  <c:v>376.30099999999999</c:v>
                </c:pt>
                <c:pt idx="1">
                  <c:v>400.25400000000002</c:v>
                </c:pt>
                <c:pt idx="2">
                  <c:v>382</c:v>
                </c:pt>
                <c:pt idx="3">
                  <c:v>444</c:v>
                </c:pt>
                <c:pt idx="4">
                  <c:v>486</c:v>
                </c:pt>
                <c:pt idx="5">
                  <c:v>525</c:v>
                </c:pt>
                <c:pt idx="6">
                  <c:v>511</c:v>
                </c:pt>
                <c:pt idx="7">
                  <c:v>563</c:v>
                </c:pt>
                <c:pt idx="8">
                  <c:v>610</c:v>
                </c:pt>
              </c:numCache>
            </c:numRef>
          </c:val>
          <c:smooth val="0"/>
          <c:extLst>
            <c:ext xmlns:c16="http://schemas.microsoft.com/office/drawing/2014/chart" uri="{C3380CC4-5D6E-409C-BE32-E72D297353CC}">
              <c16:uniqueId val="{00000003-66D7-4C31-A978-6B2688F9F913}"/>
            </c:ext>
          </c:extLst>
        </c:ser>
        <c:dLbls>
          <c:showLegendKey val="0"/>
          <c:showVal val="0"/>
          <c:showCatName val="0"/>
          <c:showSerName val="0"/>
          <c:showPercent val="0"/>
          <c:showBubbleSize val="0"/>
        </c:dLbls>
        <c:marker val="1"/>
        <c:smooth val="0"/>
        <c:axId val="1886126207"/>
        <c:axId val="1886140127"/>
      </c:lineChart>
      <c:catAx>
        <c:axId val="18861262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86140127"/>
        <c:crosses val="autoZero"/>
        <c:auto val="1"/>
        <c:lblAlgn val="ctr"/>
        <c:lblOffset val="100"/>
        <c:noMultiLvlLbl val="0"/>
      </c:catAx>
      <c:valAx>
        <c:axId val="1886140127"/>
        <c:scaling>
          <c:orientation val="minMax"/>
        </c:scaling>
        <c:delete val="0"/>
        <c:axPos val="l"/>
        <c:numFmt formatCode="&quot;$&quot;#,##0_);\(&quot;$&quot;#,##0\);&quot;$&quot;#,##0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86126207"/>
        <c:crosses val="autoZero"/>
        <c:crossBetween val="between"/>
      </c:valAx>
      <c:spPr>
        <a:noFill/>
        <a:ln>
          <a:noFill/>
        </a:ln>
        <a:effectLst/>
      </c:spPr>
    </c:plotArea>
    <c:legend>
      <c:legendPos val="b"/>
      <c:legendEntry>
        <c:idx val="3"/>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legendEntry>
      <c:layout>
        <c:manualLayout>
          <c:xMode val="edge"/>
          <c:yMode val="edge"/>
          <c:x val="9.0227675872601734E-2"/>
          <c:y val="0"/>
          <c:w val="0.56547440944881888"/>
          <c:h val="0.3023513606872686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Charts!$E$106</c:f>
              <c:strCache>
                <c:ptCount val="1"/>
                <c:pt idx="0">
                  <c:v>Shop Pay GMV</c:v>
                </c:pt>
              </c:strCache>
            </c:strRef>
          </c:tx>
          <c:spPr>
            <a:solidFill>
              <a:schemeClr val="accent1"/>
            </a:solidFill>
            <a:ln>
              <a:noFill/>
            </a:ln>
            <a:effectLst/>
          </c:spPr>
          <c:invertIfNegative val="0"/>
          <c:dLbls>
            <c:numFmt formatCode="&quot;$&quot;#,##0.0,&quot;B&quot;;\(&quot;$&quot;#,##0.0,&quot;B&quot;\);&quot;$&quot;0,&quot;B&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Charts!$AE$105:$AN$105</c:f>
              <c:numCache>
                <c:formatCode>General</c:formatCode>
                <c:ptCount val="10"/>
              </c:numCache>
            </c:numRef>
          </c:cat>
          <c:val>
            <c:numRef>
              <c:f>Charts!$AE$106:$AN$106</c:f>
              <c:numCache>
                <c:formatCode>"$"#,##0_);\("$"#,##0\);"$"#,##0_);@_)</c:formatCode>
                <c:ptCount val="10"/>
                <c:pt idx="0">
                  <c:v>8029.1970802919705</c:v>
                </c:pt>
                <c:pt idx="1">
                  <c:v>8000</c:v>
                </c:pt>
                <c:pt idx="2">
                  <c:v>11392.405063291139</c:v>
                </c:pt>
                <c:pt idx="3">
                  <c:v>8974.3589743589746</c:v>
                </c:pt>
                <c:pt idx="4">
                  <c:v>11000</c:v>
                </c:pt>
                <c:pt idx="5">
                  <c:v>12000</c:v>
                </c:pt>
                <c:pt idx="6">
                  <c:v>18000</c:v>
                </c:pt>
                <c:pt idx="7">
                  <c:v>14000</c:v>
                </c:pt>
                <c:pt idx="8">
                  <c:v>16200</c:v>
                </c:pt>
                <c:pt idx="9">
                  <c:v>17200</c:v>
                </c:pt>
              </c:numCache>
            </c:numRef>
          </c:val>
          <c:extLst>
            <c:ext xmlns:c16="http://schemas.microsoft.com/office/drawing/2014/chart" uri="{C3380CC4-5D6E-409C-BE32-E72D297353CC}">
              <c16:uniqueId val="{00000000-4F38-49AA-B0D7-B8F0F9C293E9}"/>
            </c:ext>
          </c:extLst>
        </c:ser>
        <c:dLbls>
          <c:showLegendKey val="0"/>
          <c:showVal val="0"/>
          <c:showCatName val="0"/>
          <c:showSerName val="0"/>
          <c:showPercent val="0"/>
          <c:showBubbleSize val="0"/>
        </c:dLbls>
        <c:gapWidth val="25"/>
        <c:overlap val="-27"/>
        <c:axId val="1156243824"/>
        <c:axId val="1156242864"/>
      </c:barChart>
      <c:catAx>
        <c:axId val="1156243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56242864"/>
        <c:crosses val="autoZero"/>
        <c:auto val="1"/>
        <c:lblAlgn val="ctr"/>
        <c:lblOffset val="100"/>
        <c:noMultiLvlLbl val="0"/>
      </c:catAx>
      <c:valAx>
        <c:axId val="1156242864"/>
        <c:scaling>
          <c:orientation val="minMax"/>
        </c:scaling>
        <c:delete val="0"/>
        <c:axPos val="l"/>
        <c:numFmt formatCode="&quot;$&quot;#,##0,&quot;B&quot;_);\(&quot;$&quot;#,##0&quot;B&quot;\);&quot;$&quot;#,##0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5624382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Charts!$CS$192</c:f>
              <c:strCache>
                <c:ptCount val="1"/>
                <c:pt idx="0">
                  <c:v>3P transaction fee y/y revenue growth</c:v>
                </c:pt>
              </c:strCache>
            </c:strRef>
          </c:tx>
          <c:spPr>
            <a:ln w="28575" cap="rnd">
              <a:solidFill>
                <a:schemeClr val="accent1"/>
              </a:solidFill>
              <a:round/>
            </a:ln>
            <a:effectLst/>
          </c:spPr>
          <c:marker>
            <c:symbol val="none"/>
          </c:marker>
          <c:cat>
            <c:numRef>
              <c:f>Charts!$CV$191:$DE$191</c:f>
              <c:numCache>
                <c:formatCode>General</c:formatCode>
                <c:ptCount val="10"/>
              </c:numCache>
            </c:numRef>
          </c:cat>
          <c:val>
            <c:numRef>
              <c:f>Charts!$CV$192:$DE$192</c:f>
              <c:numCache>
                <c:formatCode>0.0%_);\(0.0%\);0.0%_);@_)</c:formatCode>
                <c:ptCount val="10"/>
                <c:pt idx="0">
                  <c:v>0.57582476053902742</c:v>
                </c:pt>
                <c:pt idx="1">
                  <c:v>0.44259888891263732</c:v>
                </c:pt>
                <c:pt idx="2">
                  <c:v>1.0151233209250239</c:v>
                </c:pt>
                <c:pt idx="3">
                  <c:v>0.50241680215491713</c:v>
                </c:pt>
                <c:pt idx="4">
                  <c:v>0.18514821832577444</c:v>
                </c:pt>
                <c:pt idx="5">
                  <c:v>0.21830943678009507</c:v>
                </c:pt>
                <c:pt idx="6">
                  <c:v>0.22363848933318686</c:v>
                </c:pt>
                <c:pt idx="7">
                  <c:v>0.31892935614887796</c:v>
                </c:pt>
                <c:pt idx="8">
                  <c:v>0.27730238239250693</c:v>
                </c:pt>
                <c:pt idx="9">
                  <c:v>0.21702149684184957</c:v>
                </c:pt>
              </c:numCache>
            </c:numRef>
          </c:val>
          <c:smooth val="1"/>
          <c:extLst>
            <c:ext xmlns:c16="http://schemas.microsoft.com/office/drawing/2014/chart" uri="{C3380CC4-5D6E-409C-BE32-E72D297353CC}">
              <c16:uniqueId val="{00000000-FC1A-406A-95E8-12898D3BE143}"/>
            </c:ext>
          </c:extLst>
        </c:ser>
        <c:ser>
          <c:idx val="1"/>
          <c:order val="1"/>
          <c:tx>
            <c:strRef>
              <c:f>Charts!$CS$193</c:f>
              <c:strCache>
                <c:ptCount val="1"/>
                <c:pt idx="0">
                  <c:v>Merchant solutions y/y revenue growth</c:v>
                </c:pt>
              </c:strCache>
            </c:strRef>
          </c:tx>
          <c:spPr>
            <a:ln w="28575" cap="rnd">
              <a:solidFill>
                <a:schemeClr val="accent2"/>
              </a:solidFill>
              <a:round/>
            </a:ln>
            <a:effectLst/>
          </c:spPr>
          <c:marker>
            <c:symbol val="none"/>
          </c:marker>
          <c:cat>
            <c:numRef>
              <c:f>Charts!$CV$191:$DE$191</c:f>
              <c:numCache>
                <c:formatCode>General</c:formatCode>
                <c:ptCount val="10"/>
              </c:numCache>
            </c:numRef>
          </c:cat>
          <c:val>
            <c:numRef>
              <c:f>Charts!$CV$193:$DE$193</c:f>
              <c:numCache>
                <c:formatCode>0.0%_);\(0.0%\);0.0%_);@_)</c:formatCode>
                <c:ptCount val="10"/>
                <c:pt idx="0">
                  <c:v>0.67431380807271646</c:v>
                </c:pt>
                <c:pt idx="1">
                  <c:v>0.53877214817347974</c:v>
                </c:pt>
                <c:pt idx="2">
                  <c:v>1.1590607009910974</c:v>
                </c:pt>
                <c:pt idx="3">
                  <c:v>0.61798732539760315</c:v>
                </c:pt>
                <c:pt idx="4">
                  <c:v>0.25770831332531174</c:v>
                </c:pt>
                <c:pt idx="5">
                  <c:v>0.27015239153669479</c:v>
                </c:pt>
                <c:pt idx="6">
                  <c:v>0.25023932605782107</c:v>
                </c:pt>
                <c:pt idx="7">
                  <c:v>0.34823889739663083</c:v>
                </c:pt>
                <c:pt idx="8">
                  <c:v>0.34753928839164039</c:v>
                </c:pt>
                <c:pt idx="9">
                  <c:v>0.27335497212532989</c:v>
                </c:pt>
              </c:numCache>
            </c:numRef>
          </c:val>
          <c:smooth val="1"/>
          <c:extLst>
            <c:ext xmlns:c16="http://schemas.microsoft.com/office/drawing/2014/chart" uri="{C3380CC4-5D6E-409C-BE32-E72D297353CC}">
              <c16:uniqueId val="{00000001-FC1A-406A-95E8-12898D3BE143}"/>
            </c:ext>
          </c:extLst>
        </c:ser>
        <c:ser>
          <c:idx val="2"/>
          <c:order val="2"/>
          <c:tx>
            <c:strRef>
              <c:f>Charts!$CS$194</c:f>
              <c:strCache>
                <c:ptCount val="1"/>
                <c:pt idx="0">
                  <c:v>GMV y/y growth</c:v>
                </c:pt>
              </c:strCache>
            </c:strRef>
          </c:tx>
          <c:spPr>
            <a:ln w="28575" cap="rnd">
              <a:solidFill>
                <a:schemeClr val="accent3"/>
              </a:solidFill>
              <a:round/>
            </a:ln>
            <a:effectLst/>
          </c:spPr>
          <c:marker>
            <c:symbol val="none"/>
          </c:marker>
          <c:cat>
            <c:numRef>
              <c:f>Charts!$CV$191:$DE$191</c:f>
              <c:numCache>
                <c:formatCode>General</c:formatCode>
                <c:ptCount val="10"/>
              </c:numCache>
            </c:numRef>
          </c:cat>
          <c:val>
            <c:numRef>
              <c:f>Charts!$CV$194:$DE$194</c:f>
              <c:numCache>
                <c:formatCode>0.0%_);\(0.0%\);0.0%_);@_)</c:formatCode>
                <c:ptCount val="10"/>
                <c:pt idx="0">
                  <c:v>0.56166427622942861</c:v>
                </c:pt>
                <c:pt idx="1">
                  <c:v>0.48743651290927503</c:v>
                </c:pt>
                <c:pt idx="2">
                  <c:v>0.9558417543969091</c:v>
                </c:pt>
                <c:pt idx="3">
                  <c:v>0.4665161228507988</c:v>
                </c:pt>
                <c:pt idx="4">
                  <c:v>0.12481826288589826</c:v>
                </c:pt>
                <c:pt idx="5">
                  <c:v>0.19606993902175129</c:v>
                </c:pt>
                <c:pt idx="6">
                  <c:v>0.23884709123662184</c:v>
                </c:pt>
                <c:pt idx="7">
                  <c:v>0.29481139337952267</c:v>
                </c:pt>
                <c:pt idx="8">
                  <c:v>0.30979938748708524</c:v>
                </c:pt>
                <c:pt idx="9">
                  <c:v>0.25753725711812003</c:v>
                </c:pt>
              </c:numCache>
            </c:numRef>
          </c:val>
          <c:smooth val="1"/>
          <c:extLst>
            <c:ext xmlns:c16="http://schemas.microsoft.com/office/drawing/2014/chart" uri="{C3380CC4-5D6E-409C-BE32-E72D297353CC}">
              <c16:uniqueId val="{00000002-FC1A-406A-95E8-12898D3BE143}"/>
            </c:ext>
          </c:extLst>
        </c:ser>
        <c:dLbls>
          <c:showLegendKey val="0"/>
          <c:showVal val="0"/>
          <c:showCatName val="0"/>
          <c:showSerName val="0"/>
          <c:showPercent val="0"/>
          <c:showBubbleSize val="0"/>
        </c:dLbls>
        <c:smooth val="0"/>
        <c:axId val="118577119"/>
        <c:axId val="118574719"/>
      </c:lineChart>
      <c:catAx>
        <c:axId val="1185771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8574719"/>
        <c:crosses val="autoZero"/>
        <c:auto val="1"/>
        <c:lblAlgn val="ctr"/>
        <c:lblOffset val="100"/>
        <c:noMultiLvlLbl val="0"/>
      </c:catAx>
      <c:valAx>
        <c:axId val="118574719"/>
        <c:scaling>
          <c:orientation val="minMax"/>
        </c:scaling>
        <c:delete val="0"/>
        <c:axPos val="l"/>
        <c:numFmt formatCode="0%_);\(0%\);0%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857711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Charts!$CS$200</c:f>
              <c:strCache>
                <c:ptCount val="1"/>
                <c:pt idx="0">
                  <c:v>Number of App Store partners</c:v>
                </c:pt>
              </c:strCache>
            </c:strRef>
          </c:tx>
          <c:spPr>
            <a:solidFill>
              <a:schemeClr val="accent1"/>
            </a:solidFill>
            <a:ln>
              <a:noFill/>
            </a:ln>
            <a:effectLst/>
          </c:spPr>
          <c:invertIfNegative val="0"/>
          <c:dLbls>
            <c:numFmt formatCode="#,##0_);\(#,##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Charts!$CT$199:$DA$199</c:f>
              <c:numCache>
                <c:formatCode>General</c:formatCode>
                <c:ptCount val="8"/>
              </c:numCache>
            </c:numRef>
          </c:cat>
          <c:val>
            <c:numRef>
              <c:f>Charts!$CT$200:$DA$200</c:f>
              <c:numCache>
                <c:formatCode>General</c:formatCode>
                <c:ptCount val="8"/>
                <c:pt idx="0">
                  <c:v>1400</c:v>
                </c:pt>
                <c:pt idx="1">
                  <c:v>2300</c:v>
                </c:pt>
                <c:pt idx="2">
                  <c:v>2500</c:v>
                </c:pt>
                <c:pt idx="3">
                  <c:v>3700</c:v>
                </c:pt>
                <c:pt idx="4">
                  <c:v>6000</c:v>
                </c:pt>
                <c:pt idx="5">
                  <c:v>8000</c:v>
                </c:pt>
                <c:pt idx="6">
                  <c:v>10000</c:v>
                </c:pt>
                <c:pt idx="7">
                  <c:v>13000</c:v>
                </c:pt>
              </c:numCache>
            </c:numRef>
          </c:val>
          <c:extLst>
            <c:ext xmlns:c16="http://schemas.microsoft.com/office/drawing/2014/chart" uri="{C3380CC4-5D6E-409C-BE32-E72D297353CC}">
              <c16:uniqueId val="{00000000-95CD-4672-A3EA-DF62D571BBDA}"/>
            </c:ext>
          </c:extLst>
        </c:ser>
        <c:dLbls>
          <c:showLegendKey val="0"/>
          <c:showVal val="0"/>
          <c:showCatName val="0"/>
          <c:showSerName val="0"/>
          <c:showPercent val="0"/>
          <c:showBubbleSize val="0"/>
        </c:dLbls>
        <c:gapWidth val="20"/>
        <c:axId val="965551856"/>
        <c:axId val="965550416"/>
      </c:barChart>
      <c:lineChart>
        <c:grouping val="standard"/>
        <c:varyColors val="0"/>
        <c:ser>
          <c:idx val="1"/>
          <c:order val="1"/>
          <c:tx>
            <c:strRef>
              <c:f>Charts!$CS$201</c:f>
              <c:strCache>
                <c:ptCount val="1"/>
                <c:pt idx="0">
                  <c:v>y/y % growth</c:v>
                </c:pt>
              </c:strCache>
            </c:strRef>
          </c:tx>
          <c:spPr>
            <a:ln w="28575" cap="rnd">
              <a:solidFill>
                <a:schemeClr val="accent3"/>
              </a:solidFill>
              <a:round/>
            </a:ln>
            <a:effectLst/>
          </c:spPr>
          <c:marker>
            <c:symbol val="none"/>
          </c:marker>
          <c:dLbls>
            <c:dLbl>
              <c:idx val="2"/>
              <c:layout>
                <c:manualLayout>
                  <c:x val="-4.9884703939920651E-2"/>
                  <c:y val="3.214312009915196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A78-499F-B8BE-7E015DA021B7}"/>
                </c:ext>
              </c:extLst>
            </c:dLbl>
            <c:dLbl>
              <c:idx val="5"/>
              <c:layout>
                <c:manualLayout>
                  <c:x val="-6.2409435118970902E-2"/>
                  <c:y val="6.136413837110846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A78-499F-B8BE-7E015DA021B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Charts!$CT$199:$DA$199</c:f>
              <c:numCache>
                <c:formatCode>General</c:formatCode>
                <c:ptCount val="8"/>
              </c:numCache>
            </c:numRef>
          </c:cat>
          <c:val>
            <c:numRef>
              <c:f>Charts!$CT$201:$DA$201</c:f>
              <c:numCache>
                <c:formatCode>0.0%_);\(0.0%\);0.0%_);@_)</c:formatCode>
                <c:ptCount val="8"/>
                <c:pt idx="1">
                  <c:v>0.64285714285714279</c:v>
                </c:pt>
                <c:pt idx="2">
                  <c:v>8.6956521739130377E-2</c:v>
                </c:pt>
                <c:pt idx="3">
                  <c:v>0.48</c:v>
                </c:pt>
                <c:pt idx="4">
                  <c:v>0.62162162162162171</c:v>
                </c:pt>
                <c:pt idx="5">
                  <c:v>0.33333333333333326</c:v>
                </c:pt>
                <c:pt idx="6">
                  <c:v>0.25</c:v>
                </c:pt>
                <c:pt idx="7">
                  <c:v>0.30000000000000004</c:v>
                </c:pt>
              </c:numCache>
            </c:numRef>
          </c:val>
          <c:smooth val="1"/>
          <c:extLst>
            <c:ext xmlns:c16="http://schemas.microsoft.com/office/drawing/2014/chart" uri="{C3380CC4-5D6E-409C-BE32-E72D297353CC}">
              <c16:uniqueId val="{00000003-F9F6-497E-8419-F2E4DEF1C3E6}"/>
            </c:ext>
          </c:extLst>
        </c:ser>
        <c:dLbls>
          <c:showLegendKey val="0"/>
          <c:showVal val="0"/>
          <c:showCatName val="0"/>
          <c:showSerName val="0"/>
          <c:showPercent val="0"/>
          <c:showBubbleSize val="0"/>
        </c:dLbls>
        <c:marker val="1"/>
        <c:smooth val="0"/>
        <c:axId val="1667702735"/>
        <c:axId val="1667702255"/>
      </c:lineChart>
      <c:catAx>
        <c:axId val="9655518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65550416"/>
        <c:crosses val="autoZero"/>
        <c:auto val="1"/>
        <c:lblAlgn val="ctr"/>
        <c:lblOffset val="100"/>
        <c:noMultiLvlLbl val="0"/>
      </c:catAx>
      <c:valAx>
        <c:axId val="965550416"/>
        <c:scaling>
          <c:orientation val="minMax"/>
        </c:scaling>
        <c:delete val="0"/>
        <c:axPos val="l"/>
        <c:numFmt formatCode="#,##0_);\(#,##0\)" sourceLinked="0"/>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65551856"/>
        <c:crosses val="autoZero"/>
        <c:crossBetween val="between"/>
      </c:valAx>
      <c:valAx>
        <c:axId val="1667702255"/>
        <c:scaling>
          <c:orientation val="minMax"/>
        </c:scaling>
        <c:delete val="0"/>
        <c:axPos val="r"/>
        <c:numFmt formatCode="0%" sourceLinked="0"/>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7702735"/>
        <c:crosses val="max"/>
        <c:crossBetween val="between"/>
      </c:valAx>
      <c:catAx>
        <c:axId val="1667702735"/>
        <c:scaling>
          <c:orientation val="minMax"/>
        </c:scaling>
        <c:delete val="1"/>
        <c:axPos val="b"/>
        <c:numFmt formatCode="General" sourceLinked="1"/>
        <c:majorTickMark val="out"/>
        <c:minorTickMark val="none"/>
        <c:tickLblPos val="nextTo"/>
        <c:crossAx val="1667702255"/>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5529231928465634E-2"/>
          <c:y val="5.3571887375556571E-2"/>
          <c:w val="0.91297454681826606"/>
          <c:h val="0.85052484727026878"/>
        </c:manualLayout>
      </c:layout>
      <c:barChart>
        <c:barDir val="col"/>
        <c:grouping val="clustered"/>
        <c:varyColors val="0"/>
        <c:ser>
          <c:idx val="0"/>
          <c:order val="0"/>
          <c:tx>
            <c:strRef>
              <c:f>Charts!$CY$206</c:f>
              <c:strCache>
                <c:ptCount val="1"/>
                <c:pt idx="0">
                  <c:v>Shop Pay GMV</c:v>
                </c:pt>
              </c:strCache>
            </c:strRef>
          </c:tx>
          <c:spPr>
            <a:solidFill>
              <a:srgbClr val="F19375">
                <a:lumMod val="20000"/>
                <a:lumOff val="80000"/>
              </a:srgbClr>
            </a:solidFill>
            <a:ln>
              <a:noFill/>
            </a:ln>
            <a:effectLst/>
          </c:spPr>
          <c:invertIfNegative val="0"/>
          <c:dLbls>
            <c:numFmt formatCode="&quot;$&quot;#,##0.0,&quot;B&quot;;\(&quot;$&quot;#,##0.0,&quot;B&quot;\);&quot;$&quot;0,&quot;B&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Charts!$CZ$205:$DE$205</c:f>
              <c:numCache>
                <c:formatCode>General</c:formatCode>
                <c:ptCount val="6"/>
              </c:numCache>
            </c:numRef>
          </c:cat>
          <c:val>
            <c:numRef>
              <c:f>Charts!$CZ$206:$DE$206</c:f>
              <c:numCache>
                <c:formatCode>"$"#,##0_);\("$"#,##0\);"$"#,##0_);@_)</c:formatCode>
                <c:ptCount val="6"/>
                <c:pt idx="0">
                  <c:v>33316.23931623932</c:v>
                </c:pt>
                <c:pt idx="1">
                  <c:v>49974.358974358976</c:v>
                </c:pt>
                <c:pt idx="2">
                  <c:v>74400</c:v>
                </c:pt>
                <c:pt idx="3">
                  <c:v>120424</c:v>
                </c:pt>
                <c:pt idx="4">
                  <c:v>0</c:v>
                </c:pt>
                <c:pt idx="5">
                  <c:v>0</c:v>
                </c:pt>
              </c:numCache>
            </c:numRef>
          </c:val>
          <c:extLst>
            <c:ext xmlns:c16="http://schemas.microsoft.com/office/drawing/2014/chart" uri="{C3380CC4-5D6E-409C-BE32-E72D297353CC}">
              <c16:uniqueId val="{00000000-95CD-4672-A3EA-DF62D571BBDA}"/>
            </c:ext>
          </c:extLst>
        </c:ser>
        <c:dLbls>
          <c:showLegendKey val="0"/>
          <c:showVal val="0"/>
          <c:showCatName val="0"/>
          <c:showSerName val="0"/>
          <c:showPercent val="0"/>
          <c:showBubbleSize val="0"/>
        </c:dLbls>
        <c:gapWidth val="20"/>
        <c:axId val="965551856"/>
        <c:axId val="965550416"/>
      </c:barChart>
      <c:lineChart>
        <c:grouping val="standard"/>
        <c:varyColors val="0"/>
        <c:ser>
          <c:idx val="1"/>
          <c:order val="1"/>
          <c:tx>
            <c:strRef>
              <c:f>Charts!$CY$207</c:f>
              <c:strCache>
                <c:ptCount val="1"/>
                <c:pt idx="0">
                  <c:v>% Total GMV</c:v>
                </c:pt>
              </c:strCache>
            </c:strRef>
          </c:tx>
          <c:spPr>
            <a:ln w="28575" cap="rnd">
              <a:solidFill>
                <a:srgbClr val="00C994"/>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Charts!$CZ$205:$DE$205</c:f>
              <c:numCache>
                <c:formatCode>General</c:formatCode>
                <c:ptCount val="6"/>
              </c:numCache>
            </c:numRef>
          </c:cat>
          <c:val>
            <c:numRef>
              <c:f>Charts!$CZ$207:$DE$207</c:f>
              <c:numCache>
                <c:formatCode>0.0%_);\(0.0%\);0.0%_);@_)</c:formatCode>
                <c:ptCount val="6"/>
                <c:pt idx="0">
                  <c:v>0.1689034749492781</c:v>
                </c:pt>
                <c:pt idx="1">
                  <c:v>0.21182307502112527</c:v>
                </c:pt>
                <c:pt idx="2">
                  <c:v>0.25455478573261481</c:v>
                </c:pt>
                <c:pt idx="3">
                  <c:v>0.31821076468987242</c:v>
                </c:pt>
                <c:pt idx="4">
                  <c:v>0</c:v>
                </c:pt>
                <c:pt idx="5">
                  <c:v>0</c:v>
                </c:pt>
              </c:numCache>
            </c:numRef>
          </c:val>
          <c:smooth val="0"/>
          <c:extLst>
            <c:ext xmlns:c16="http://schemas.microsoft.com/office/drawing/2014/chart" uri="{C3380CC4-5D6E-409C-BE32-E72D297353CC}">
              <c16:uniqueId val="{00000001-95CD-4672-A3EA-DF62D571BBDA}"/>
            </c:ext>
          </c:extLst>
        </c:ser>
        <c:dLbls>
          <c:showLegendKey val="0"/>
          <c:showVal val="0"/>
          <c:showCatName val="0"/>
          <c:showSerName val="0"/>
          <c:showPercent val="0"/>
          <c:showBubbleSize val="0"/>
        </c:dLbls>
        <c:marker val="1"/>
        <c:smooth val="0"/>
        <c:axId val="1316696208"/>
        <c:axId val="1316699568"/>
      </c:lineChart>
      <c:catAx>
        <c:axId val="9655518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65550416"/>
        <c:crosses val="autoZero"/>
        <c:auto val="1"/>
        <c:lblAlgn val="ctr"/>
        <c:lblOffset val="100"/>
        <c:noMultiLvlLbl val="0"/>
      </c:catAx>
      <c:valAx>
        <c:axId val="965550416"/>
        <c:scaling>
          <c:orientation val="minMax"/>
          <c:max val="200000"/>
        </c:scaling>
        <c:delete val="0"/>
        <c:axPos val="l"/>
        <c:numFmt formatCode="&quot;$&quot;0,&quot;B&quot;;\(&quot;$&quot;0,&quot;B&quot;\);&quot;-&quot;" sourceLinked="0"/>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65551856"/>
        <c:crosses val="autoZero"/>
        <c:crossBetween val="between"/>
      </c:valAx>
      <c:valAx>
        <c:axId val="1316699568"/>
        <c:scaling>
          <c:orientation val="minMax"/>
        </c:scaling>
        <c:delete val="0"/>
        <c:axPos val="r"/>
        <c:numFmt formatCode="0.0%_);\(0.0%\);0.0%_);@_)"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6696208"/>
        <c:crosses val="max"/>
        <c:crossBetween val="between"/>
      </c:valAx>
      <c:catAx>
        <c:axId val="1316696208"/>
        <c:scaling>
          <c:orientation val="minMax"/>
        </c:scaling>
        <c:delete val="1"/>
        <c:axPos val="b"/>
        <c:numFmt formatCode="General" sourceLinked="1"/>
        <c:majorTickMark val="none"/>
        <c:minorTickMark val="none"/>
        <c:tickLblPos val="nextTo"/>
        <c:crossAx val="1316699568"/>
        <c:crosses val="autoZero"/>
        <c:auto val="1"/>
        <c:lblAlgn val="ctr"/>
        <c:lblOffset val="100"/>
        <c:noMultiLvlLbl val="0"/>
      </c:catAx>
      <c:spPr>
        <a:noFill/>
        <a:ln>
          <a:noFill/>
        </a:ln>
        <a:effectLst/>
      </c:spPr>
    </c:plotArea>
    <c:legend>
      <c:legendPos val="b"/>
      <c:layout>
        <c:manualLayout>
          <c:xMode val="edge"/>
          <c:yMode val="edge"/>
          <c:x val="0.11513490462833827"/>
          <c:y val="2.2595678738940028E-2"/>
          <c:w val="0.52281116981288589"/>
          <c:h val="8.129275061538644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0847331583552057E-2"/>
          <c:y val="5.0925925925925923E-2"/>
          <c:w val="0.87859711286089237"/>
          <c:h val="0.8657407407407407"/>
        </c:manualLayout>
      </c:layout>
      <c:barChart>
        <c:barDir val="col"/>
        <c:grouping val="stacked"/>
        <c:varyColors val="0"/>
        <c:ser>
          <c:idx val="0"/>
          <c:order val="0"/>
          <c:tx>
            <c:strRef>
              <c:f>Charts!$E$211</c:f>
              <c:strCache>
                <c:ptCount val="1"/>
                <c:pt idx="0">
                  <c:v>Standard revenue</c:v>
                </c:pt>
              </c:strCache>
            </c:strRef>
          </c:tx>
          <c:spPr>
            <a:solidFill>
              <a:schemeClr val="accent1"/>
            </a:solidFill>
            <a:ln>
              <a:noFill/>
            </a:ln>
            <a:effectLst/>
          </c:spPr>
          <c:invertIfNegative val="0"/>
          <c:dLbls>
            <c:numFmt formatCode="&quot;$&quot;#,##0.0,&quot;B&quot;_);\(&quot;$&quot;#,##0.0,&quot;B&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Charts!$DA$4:$DE$4</c:f>
              <c:strCache>
                <c:ptCount val="5"/>
                <c:pt idx="0">
                  <c:v>2023A</c:v>
                </c:pt>
                <c:pt idx="1">
                  <c:v>2024A</c:v>
                </c:pt>
                <c:pt idx="2">
                  <c:v>2025E</c:v>
                </c:pt>
                <c:pt idx="3">
                  <c:v>2026E</c:v>
                </c:pt>
                <c:pt idx="4">
                  <c:v>2027E</c:v>
                </c:pt>
              </c:strCache>
            </c:strRef>
          </c:cat>
          <c:val>
            <c:numRef>
              <c:f>Charts!$DA$211:$DE$211</c:f>
              <c:numCache>
                <c:formatCode>#,##0.0_);\(#,##0.0\);#,##0.0_);@_)</c:formatCode>
                <c:ptCount val="5"/>
                <c:pt idx="0">
                  <c:v>1072.94</c:v>
                </c:pt>
                <c:pt idx="1">
                  <c:v>1370.6</c:v>
                </c:pt>
                <c:pt idx="2">
                  <c:v>1487.57</c:v>
                </c:pt>
                <c:pt idx="3">
                  <c:v>1729.7271169256874</c:v>
                </c:pt>
                <c:pt idx="4">
                  <c:v>2020.3639183934074</c:v>
                </c:pt>
              </c:numCache>
            </c:numRef>
          </c:val>
          <c:extLst>
            <c:ext xmlns:c16="http://schemas.microsoft.com/office/drawing/2014/chart" uri="{C3380CC4-5D6E-409C-BE32-E72D297353CC}">
              <c16:uniqueId val="{00000000-091B-47C1-AC4A-5E9DCD2E8A69}"/>
            </c:ext>
          </c:extLst>
        </c:ser>
        <c:ser>
          <c:idx val="1"/>
          <c:order val="1"/>
          <c:tx>
            <c:strRef>
              <c:f>Charts!$E$212</c:f>
              <c:strCache>
                <c:ptCount val="1"/>
                <c:pt idx="0">
                  <c:v>Plus revenue</c:v>
                </c:pt>
              </c:strCache>
            </c:strRef>
          </c:tx>
          <c:spPr>
            <a:solidFill>
              <a:schemeClr val="accent2"/>
            </a:solidFill>
            <a:ln>
              <a:noFill/>
            </a:ln>
            <a:effectLst/>
          </c:spPr>
          <c:invertIfNegative val="0"/>
          <c:dLbls>
            <c:numFmt formatCode="&quot;$&quot;#,##0.0,&quot;B&quot;_);\(&quot;$&quot;#,##0.0,&quot;B&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Charts!$DA$4:$DE$4</c:f>
              <c:strCache>
                <c:ptCount val="5"/>
                <c:pt idx="0">
                  <c:v>2023A</c:v>
                </c:pt>
                <c:pt idx="1">
                  <c:v>2024A</c:v>
                </c:pt>
                <c:pt idx="2">
                  <c:v>2025E</c:v>
                </c:pt>
                <c:pt idx="3">
                  <c:v>2026E</c:v>
                </c:pt>
                <c:pt idx="4">
                  <c:v>2027E</c:v>
                </c:pt>
              </c:strCache>
            </c:strRef>
          </c:cat>
          <c:val>
            <c:numRef>
              <c:f>Charts!$DA$212:$DE$212</c:f>
              <c:numCache>
                <c:formatCode>#,##0.0_);\(#,##0.0\);#,##0.0_);@_)</c:formatCode>
                <c:ptCount val="5"/>
                <c:pt idx="0">
                  <c:v>492.09000000000003</c:v>
                </c:pt>
                <c:pt idx="1">
                  <c:v>622.21</c:v>
                </c:pt>
                <c:pt idx="2">
                  <c:v>755.02</c:v>
                </c:pt>
                <c:pt idx="3">
                  <c:v>892.7397097332655</c:v>
                </c:pt>
                <c:pt idx="4">
                  <c:v>1073.8937781410477</c:v>
                </c:pt>
              </c:numCache>
            </c:numRef>
          </c:val>
          <c:extLst>
            <c:ext xmlns:c16="http://schemas.microsoft.com/office/drawing/2014/chart" uri="{C3380CC4-5D6E-409C-BE32-E72D297353CC}">
              <c16:uniqueId val="{00000001-091B-47C1-AC4A-5E9DCD2E8A69}"/>
            </c:ext>
          </c:extLst>
        </c:ser>
        <c:ser>
          <c:idx val="2"/>
          <c:order val="2"/>
          <c:tx>
            <c:strRef>
              <c:f>Charts!$E$213</c:f>
              <c:strCache>
                <c:ptCount val="1"/>
                <c:pt idx="0">
                  <c:v>Apps, Themes, Domains, and Plus Platform Fees</c:v>
                </c:pt>
              </c:strCache>
            </c:strRef>
          </c:tx>
          <c:spPr>
            <a:solidFill>
              <a:schemeClr val="accent3"/>
            </a:solidFill>
            <a:ln>
              <a:noFill/>
            </a:ln>
            <a:effectLst/>
          </c:spPr>
          <c:invertIfNegative val="0"/>
          <c:dLbls>
            <c:numFmt formatCode="&quot;$&quot;#,##0.0,&quot;B&quot;_);\(&quot;$&quot;#,##0.0,&quot;B&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Charts!$DA$4:$DE$4</c:f>
              <c:strCache>
                <c:ptCount val="5"/>
                <c:pt idx="0">
                  <c:v>2023A</c:v>
                </c:pt>
                <c:pt idx="1">
                  <c:v>2024A</c:v>
                </c:pt>
                <c:pt idx="2">
                  <c:v>2025E</c:v>
                </c:pt>
                <c:pt idx="3">
                  <c:v>2026E</c:v>
                </c:pt>
                <c:pt idx="4">
                  <c:v>2027E</c:v>
                </c:pt>
              </c:strCache>
            </c:strRef>
          </c:cat>
          <c:val>
            <c:numRef>
              <c:f>Charts!$DA$213:$DE$213</c:f>
              <c:numCache>
                <c:formatCode>#,##0.0_);\(#,##0.0\);#,##0.0_);@_)</c:formatCode>
                <c:ptCount val="5"/>
                <c:pt idx="0">
                  <c:v>266.72000000000003</c:v>
                </c:pt>
                <c:pt idx="1">
                  <c:v>369.95000000000005</c:v>
                </c:pt>
                <c:pt idx="2">
                  <c:v>509.40999999999997</c:v>
                </c:pt>
                <c:pt idx="3">
                  <c:v>725.48280211073416</c:v>
                </c:pt>
                <c:pt idx="4">
                  <c:v>933.27481517771412</c:v>
                </c:pt>
              </c:numCache>
            </c:numRef>
          </c:val>
          <c:extLst>
            <c:ext xmlns:c16="http://schemas.microsoft.com/office/drawing/2014/chart" uri="{C3380CC4-5D6E-409C-BE32-E72D297353CC}">
              <c16:uniqueId val="{00000002-091B-47C1-AC4A-5E9DCD2E8A69}"/>
            </c:ext>
          </c:extLst>
        </c:ser>
        <c:dLbls>
          <c:showLegendKey val="0"/>
          <c:showVal val="0"/>
          <c:showCatName val="0"/>
          <c:showSerName val="0"/>
          <c:showPercent val="0"/>
          <c:showBubbleSize val="0"/>
        </c:dLbls>
        <c:gapWidth val="50"/>
        <c:overlap val="100"/>
        <c:axId val="389038559"/>
        <c:axId val="81605472"/>
      </c:barChart>
      <c:lineChart>
        <c:grouping val="standard"/>
        <c:varyColors val="0"/>
        <c:ser>
          <c:idx val="3"/>
          <c:order val="3"/>
          <c:tx>
            <c:strRef>
              <c:f>Charts!$E$214</c:f>
              <c:strCache>
                <c:ptCount val="1"/>
                <c:pt idx="0">
                  <c:v>Subscription solutions revenue</c:v>
                </c:pt>
              </c:strCache>
            </c:strRef>
          </c:tx>
          <c:spPr>
            <a:ln w="28575" cap="rnd">
              <a:noFill/>
              <a:round/>
            </a:ln>
            <a:effectLst/>
          </c:spPr>
          <c:marker>
            <c:symbol val="none"/>
          </c:marker>
          <c:dLbls>
            <c:numFmt formatCode="&quot;$&quot;#,##0.0,&quot;B&quot;_);\(&quot;$&quot;#,##0.0,&quot;B&quot;\)"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Charts!$DA$210:$DE$210</c:f>
              <c:numCache>
                <c:formatCode>General</c:formatCode>
                <c:ptCount val="5"/>
              </c:numCache>
            </c:numRef>
          </c:cat>
          <c:val>
            <c:numRef>
              <c:f>Charts!$DA$214:$DE$214</c:f>
              <c:numCache>
                <c:formatCode>#,##0.0_);\(#,##0.0\);#,##0.0_);@_)</c:formatCode>
                <c:ptCount val="5"/>
                <c:pt idx="0">
                  <c:v>1837</c:v>
                </c:pt>
                <c:pt idx="1">
                  <c:v>2350</c:v>
                </c:pt>
                <c:pt idx="2">
                  <c:v>2752</c:v>
                </c:pt>
                <c:pt idx="3">
                  <c:v>3347.9496287696875</c:v>
                </c:pt>
                <c:pt idx="4">
                  <c:v>4027.5325117121693</c:v>
                </c:pt>
              </c:numCache>
            </c:numRef>
          </c:val>
          <c:smooth val="0"/>
          <c:extLst>
            <c:ext xmlns:c16="http://schemas.microsoft.com/office/drawing/2014/chart" uri="{C3380CC4-5D6E-409C-BE32-E72D297353CC}">
              <c16:uniqueId val="{00000003-091B-47C1-AC4A-5E9DCD2E8A69}"/>
            </c:ext>
          </c:extLst>
        </c:ser>
        <c:dLbls>
          <c:showLegendKey val="0"/>
          <c:showVal val="0"/>
          <c:showCatName val="0"/>
          <c:showSerName val="0"/>
          <c:showPercent val="0"/>
          <c:showBubbleSize val="0"/>
        </c:dLbls>
        <c:marker val="1"/>
        <c:smooth val="0"/>
        <c:axId val="389038559"/>
        <c:axId val="81605472"/>
      </c:lineChart>
      <c:catAx>
        <c:axId val="3890385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1605472"/>
        <c:crosses val="autoZero"/>
        <c:auto val="1"/>
        <c:lblAlgn val="ctr"/>
        <c:lblOffset val="100"/>
        <c:noMultiLvlLbl val="0"/>
      </c:catAx>
      <c:valAx>
        <c:axId val="81605472"/>
        <c:scaling>
          <c:orientation val="minMax"/>
        </c:scaling>
        <c:delete val="0"/>
        <c:axPos val="l"/>
        <c:numFmt formatCode="&quot;$&quot;#,##0,&quot;B&quot;_);\(&quot;$&quot;#,##0,&quot;B&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9038559"/>
        <c:crosses val="autoZero"/>
        <c:crossBetween val="between"/>
        <c:majorUnit val="1000"/>
        <c:minorUnit val="1000"/>
      </c:valAx>
      <c:spPr>
        <a:noFill/>
        <a:ln>
          <a:noFill/>
        </a:ln>
        <a:effectLst/>
      </c:spPr>
    </c:plotArea>
    <c:legend>
      <c:legendPos val="b"/>
      <c:legendEntry>
        <c:idx val="3"/>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legendEntry>
      <c:layout>
        <c:manualLayout>
          <c:xMode val="edge"/>
          <c:yMode val="edge"/>
          <c:x val="3.4951938846378323E-2"/>
          <c:y val="2.3731576677313258E-2"/>
          <c:w val="0.6214621593973243"/>
          <c:h val="0.302166083406240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0"/>
          <c:order val="0"/>
          <c:tx>
            <c:strRef>
              <c:f>Charts!$E$217</c:f>
              <c:strCache>
                <c:ptCount val="1"/>
                <c:pt idx="0">
                  <c:v>Standard revenue</c:v>
                </c:pt>
              </c:strCache>
            </c:strRef>
          </c:tx>
          <c:spPr>
            <a:solidFill>
              <a:schemeClr val="accent1"/>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Charts!$DA$216:$DE$216</c:f>
              <c:numCache>
                <c:formatCode>General</c:formatCode>
                <c:ptCount val="5"/>
              </c:numCache>
            </c:numRef>
          </c:cat>
          <c:val>
            <c:numRef>
              <c:f>Charts!$DA$217:$DE$217</c:f>
              <c:numCache>
                <c:formatCode>0.0%_);\(0.0%\);0.0%_);@_)</c:formatCode>
                <c:ptCount val="5"/>
                <c:pt idx="0">
                  <c:v>0.5840718562874252</c:v>
                </c:pt>
                <c:pt idx="1">
                  <c:v>0.58323404255319145</c:v>
                </c:pt>
                <c:pt idx="2">
                  <c:v>0.54054142441860464</c:v>
                </c:pt>
                <c:pt idx="3">
                  <c:v>0.51665267065601927</c:v>
                </c:pt>
                <c:pt idx="4">
                  <c:v>0.50163814010641417</c:v>
                </c:pt>
              </c:numCache>
            </c:numRef>
          </c:val>
          <c:extLst>
            <c:ext xmlns:c16="http://schemas.microsoft.com/office/drawing/2014/chart" uri="{C3380CC4-5D6E-409C-BE32-E72D297353CC}">
              <c16:uniqueId val="{00000000-36F0-49A1-B80D-8E02A5B6869A}"/>
            </c:ext>
          </c:extLst>
        </c:ser>
        <c:ser>
          <c:idx val="1"/>
          <c:order val="1"/>
          <c:tx>
            <c:strRef>
              <c:f>Charts!$E$218</c:f>
              <c:strCache>
                <c:ptCount val="1"/>
                <c:pt idx="0">
                  <c:v>Plus revenue</c:v>
                </c:pt>
              </c:strCache>
            </c:strRef>
          </c:tx>
          <c:spPr>
            <a:solidFill>
              <a:schemeClr val="accent2"/>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Charts!$DA$216:$DE$216</c:f>
              <c:numCache>
                <c:formatCode>General</c:formatCode>
                <c:ptCount val="5"/>
              </c:numCache>
            </c:numRef>
          </c:cat>
          <c:val>
            <c:numRef>
              <c:f>Charts!$DA$218:$DE$218</c:f>
              <c:numCache>
                <c:formatCode>0.0%_);\(0.0%\);0.0%_);@_)</c:formatCode>
                <c:ptCount val="5"/>
                <c:pt idx="0">
                  <c:v>0.26787697332607513</c:v>
                </c:pt>
                <c:pt idx="1">
                  <c:v>0.26477021276595747</c:v>
                </c:pt>
                <c:pt idx="2">
                  <c:v>0.27435319767441863</c:v>
                </c:pt>
                <c:pt idx="3">
                  <c:v>0.26665267065601927</c:v>
                </c:pt>
                <c:pt idx="4">
                  <c:v>0.26663814010641423</c:v>
                </c:pt>
              </c:numCache>
            </c:numRef>
          </c:val>
          <c:extLst>
            <c:ext xmlns:c16="http://schemas.microsoft.com/office/drawing/2014/chart" uri="{C3380CC4-5D6E-409C-BE32-E72D297353CC}">
              <c16:uniqueId val="{00000001-36F0-49A1-B80D-8E02A5B6869A}"/>
            </c:ext>
          </c:extLst>
        </c:ser>
        <c:ser>
          <c:idx val="2"/>
          <c:order val="2"/>
          <c:tx>
            <c:strRef>
              <c:f>Charts!$E$219</c:f>
              <c:strCache>
                <c:ptCount val="1"/>
                <c:pt idx="0">
                  <c:v>Apps, Themes, Domains, and Plus Platform Fees</c:v>
                </c:pt>
              </c:strCache>
            </c:strRef>
          </c:tx>
          <c:spPr>
            <a:solidFill>
              <a:schemeClr val="accent3"/>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Charts!$DA$216:$DE$216</c:f>
              <c:numCache>
                <c:formatCode>General</c:formatCode>
                <c:ptCount val="5"/>
              </c:numCache>
            </c:numRef>
          </c:cat>
          <c:val>
            <c:numRef>
              <c:f>Charts!$DA$219:$DE$219</c:f>
              <c:numCache>
                <c:formatCode>0.0%_);\(0.0%\);0.0%_);@_)</c:formatCode>
                <c:ptCount val="5"/>
                <c:pt idx="0">
                  <c:v>0.14519324986390855</c:v>
                </c:pt>
                <c:pt idx="1">
                  <c:v>0.15742553191489364</c:v>
                </c:pt>
                <c:pt idx="2">
                  <c:v>0.18510537790697673</c:v>
                </c:pt>
                <c:pt idx="3">
                  <c:v>0.21669465868796128</c:v>
                </c:pt>
                <c:pt idx="4">
                  <c:v>0.2317237197871716</c:v>
                </c:pt>
              </c:numCache>
            </c:numRef>
          </c:val>
          <c:extLst>
            <c:ext xmlns:c16="http://schemas.microsoft.com/office/drawing/2014/chart" uri="{C3380CC4-5D6E-409C-BE32-E72D297353CC}">
              <c16:uniqueId val="{00000002-36F0-49A1-B80D-8E02A5B6869A}"/>
            </c:ext>
          </c:extLst>
        </c:ser>
        <c:dLbls>
          <c:showLegendKey val="0"/>
          <c:showVal val="0"/>
          <c:showCatName val="0"/>
          <c:showSerName val="0"/>
          <c:showPercent val="0"/>
          <c:showBubbleSize val="0"/>
        </c:dLbls>
        <c:axId val="176218128"/>
        <c:axId val="176214288"/>
      </c:areaChart>
      <c:catAx>
        <c:axId val="17621812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6214288"/>
        <c:crosses val="autoZero"/>
        <c:auto val="1"/>
        <c:lblAlgn val="ctr"/>
        <c:lblOffset val="100"/>
        <c:noMultiLvlLbl val="0"/>
      </c:catAx>
      <c:valAx>
        <c:axId val="176214288"/>
        <c:scaling>
          <c:orientation val="minMax"/>
          <c:max val="1.0009999999999999"/>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6218128"/>
        <c:crosses val="autoZero"/>
        <c:crossBetween val="midCat"/>
      </c:valAx>
      <c:spPr>
        <a:noFill/>
        <a:ln>
          <a:noFill/>
        </a:ln>
        <a:effectLst/>
      </c:spPr>
    </c:plotArea>
    <c:legend>
      <c:legendPos val="b"/>
      <c:layout>
        <c:manualLayout>
          <c:xMode val="edge"/>
          <c:yMode val="edge"/>
          <c:x val="0"/>
          <c:y val="0.85673727569266422"/>
          <c:w val="0.99332053616826121"/>
          <c:h val="0.1177612520734291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Charts!$E$226</c:f>
              <c:strCache>
                <c:ptCount val="1"/>
                <c:pt idx="0">
                  <c:v>MRR - Shopify Plus as % </c:v>
                </c:pt>
              </c:strCache>
            </c:strRef>
          </c:tx>
          <c:spPr>
            <a:ln w="28575" cap="rnd">
              <a:solidFill>
                <a:schemeClr val="accent1"/>
              </a:solidFill>
              <a:round/>
            </a:ln>
            <a:effectLst/>
          </c:spPr>
          <c:marker>
            <c:symbol val="none"/>
          </c:marker>
          <c:cat>
            <c:strRef>
              <c:f>Charts!$H$225:$AD$225</c:f>
              <c:strCache>
                <c:ptCount val="23"/>
                <c:pt idx="0">
                  <c:v>1Q19A</c:v>
                </c:pt>
                <c:pt idx="1">
                  <c:v>2Q19A</c:v>
                </c:pt>
                <c:pt idx="2">
                  <c:v>3Q19A</c:v>
                </c:pt>
                <c:pt idx="3">
                  <c:v>4Q19A</c:v>
                </c:pt>
                <c:pt idx="4">
                  <c:v>1Q20A</c:v>
                </c:pt>
                <c:pt idx="5">
                  <c:v>2Q20A</c:v>
                </c:pt>
                <c:pt idx="6">
                  <c:v>3Q20A</c:v>
                </c:pt>
                <c:pt idx="7">
                  <c:v>4Q20A</c:v>
                </c:pt>
                <c:pt idx="8">
                  <c:v>1Q21A</c:v>
                </c:pt>
                <c:pt idx="9">
                  <c:v>2Q21A</c:v>
                </c:pt>
                <c:pt idx="10">
                  <c:v>3Q21A</c:v>
                </c:pt>
                <c:pt idx="11">
                  <c:v>4Q21A</c:v>
                </c:pt>
                <c:pt idx="12">
                  <c:v>1Q22A</c:v>
                </c:pt>
                <c:pt idx="13">
                  <c:v>2Q22A</c:v>
                </c:pt>
                <c:pt idx="14">
                  <c:v>3Q22A</c:v>
                </c:pt>
                <c:pt idx="15">
                  <c:v>4Q22A</c:v>
                </c:pt>
                <c:pt idx="16">
                  <c:v>1Q23A</c:v>
                </c:pt>
                <c:pt idx="17">
                  <c:v>2Q23A</c:v>
                </c:pt>
                <c:pt idx="18">
                  <c:v>3Q23A</c:v>
                </c:pt>
                <c:pt idx="19">
                  <c:v>4Q23A</c:v>
                </c:pt>
                <c:pt idx="20">
                  <c:v>1Q24A</c:v>
                </c:pt>
                <c:pt idx="21">
                  <c:v>2Q24A</c:v>
                </c:pt>
                <c:pt idx="22">
                  <c:v>3Q24A</c:v>
                </c:pt>
              </c:strCache>
            </c:strRef>
          </c:cat>
          <c:val>
            <c:numRef>
              <c:f>Charts!$H$226:$AD$226</c:f>
              <c:numCache>
                <c:formatCode>0.0%_);\(0.0%\);0.0%_);@_)</c:formatCode>
                <c:ptCount val="23"/>
                <c:pt idx="0">
                  <c:v>0.23</c:v>
                </c:pt>
                <c:pt idx="1">
                  <c:v>0.23</c:v>
                </c:pt>
                <c:pt idx="2">
                  <c:v>0.23</c:v>
                </c:pt>
                <c:pt idx="3">
                  <c:v>0.23</c:v>
                </c:pt>
                <c:pt idx="4">
                  <c:v>0.24</c:v>
                </c:pt>
                <c:pt idx="5">
                  <c:v>0.24</c:v>
                </c:pt>
                <c:pt idx="6">
                  <c:v>0.22</c:v>
                </c:pt>
                <c:pt idx="7">
                  <c:v>0.21</c:v>
                </c:pt>
                <c:pt idx="8">
                  <c:v>0.21</c:v>
                </c:pt>
                <c:pt idx="9">
                  <c:v>0.22</c:v>
                </c:pt>
                <c:pt idx="10">
                  <c:v>0.23</c:v>
                </c:pt>
                <c:pt idx="11">
                  <c:v>0.24</c:v>
                </c:pt>
                <c:pt idx="12">
                  <c:v>0.3</c:v>
                </c:pt>
                <c:pt idx="13">
                  <c:v>0.31</c:v>
                </c:pt>
                <c:pt idx="14">
                  <c:v>0.33</c:v>
                </c:pt>
                <c:pt idx="15">
                  <c:v>0.34</c:v>
                </c:pt>
                <c:pt idx="16">
                  <c:v>0.34</c:v>
                </c:pt>
                <c:pt idx="17">
                  <c:v>0.28999999999999998</c:v>
                </c:pt>
                <c:pt idx="18">
                  <c:v>0.31</c:v>
                </c:pt>
                <c:pt idx="19">
                  <c:v>0.31</c:v>
                </c:pt>
                <c:pt idx="20">
                  <c:v>0.32</c:v>
                </c:pt>
                <c:pt idx="21">
                  <c:v>0.31</c:v>
                </c:pt>
                <c:pt idx="22">
                  <c:v>0.31</c:v>
                </c:pt>
              </c:numCache>
            </c:numRef>
          </c:val>
          <c:smooth val="1"/>
          <c:extLst>
            <c:ext xmlns:c16="http://schemas.microsoft.com/office/drawing/2014/chart" uri="{C3380CC4-5D6E-409C-BE32-E72D297353CC}">
              <c16:uniqueId val="{00000000-A8F7-4E12-AE63-A0B21D18FAD5}"/>
            </c:ext>
          </c:extLst>
        </c:ser>
        <c:dLbls>
          <c:showLegendKey val="0"/>
          <c:showVal val="0"/>
          <c:showCatName val="0"/>
          <c:showSerName val="0"/>
          <c:showPercent val="0"/>
          <c:showBubbleSize val="0"/>
        </c:dLbls>
        <c:smooth val="0"/>
        <c:axId val="1970912655"/>
        <c:axId val="1970910255"/>
      </c:lineChart>
      <c:catAx>
        <c:axId val="19709126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70910255"/>
        <c:crosses val="autoZero"/>
        <c:auto val="1"/>
        <c:lblAlgn val="ctr"/>
        <c:lblOffset val="100"/>
        <c:noMultiLvlLbl val="0"/>
      </c:catAx>
      <c:valAx>
        <c:axId val="1970910255"/>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7091265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77244139583911E-2"/>
          <c:y val="3.1564340089993884E-2"/>
          <c:w val="0.91861145701550695"/>
          <c:h val="0.86308631590944007"/>
        </c:manualLayout>
      </c:layout>
      <c:barChart>
        <c:barDir val="col"/>
        <c:grouping val="clustered"/>
        <c:varyColors val="0"/>
        <c:ser>
          <c:idx val="0"/>
          <c:order val="0"/>
          <c:tx>
            <c:strRef>
              <c:f>Charts!$E$48</c:f>
              <c:strCache>
                <c:ptCount val="1"/>
                <c:pt idx="0">
                  <c:v>Subscription Solution Gross Profit</c:v>
                </c:pt>
              </c:strCache>
            </c:strRef>
          </c:tx>
          <c:spPr>
            <a:solidFill>
              <a:schemeClr val="accent1"/>
            </a:solidFill>
            <a:ln>
              <a:noFill/>
            </a:ln>
            <a:effectLst/>
          </c:spPr>
          <c:invertIfNegative val="0"/>
          <c:dPt>
            <c:idx val="1"/>
            <c:invertIfNegative val="0"/>
            <c:bubble3D val="0"/>
            <c:extLst>
              <c:ext xmlns:c16="http://schemas.microsoft.com/office/drawing/2014/chart" uri="{C3380CC4-5D6E-409C-BE32-E72D297353CC}">
                <c16:uniqueId val="{00000000-27CD-4146-9218-4C02D4C96FEA}"/>
              </c:ext>
            </c:extLst>
          </c:dPt>
          <c:dPt>
            <c:idx val="2"/>
            <c:invertIfNegative val="0"/>
            <c:bubble3D val="0"/>
            <c:extLst>
              <c:ext xmlns:c16="http://schemas.microsoft.com/office/drawing/2014/chart" uri="{C3380CC4-5D6E-409C-BE32-E72D297353CC}">
                <c16:uniqueId val="{00000001-27CD-4146-9218-4C02D4C96FEA}"/>
              </c:ext>
            </c:extLst>
          </c:dPt>
          <c:dPt>
            <c:idx val="8"/>
            <c:invertIfNegative val="0"/>
            <c:bubble3D val="0"/>
            <c:extLst>
              <c:ext xmlns:c16="http://schemas.microsoft.com/office/drawing/2014/chart" uri="{C3380CC4-5D6E-409C-BE32-E72D297353CC}">
                <c16:uniqueId val="{00000002-27CD-4146-9218-4C02D4C96FEA}"/>
              </c:ext>
            </c:extLst>
          </c:dPt>
          <c:dPt>
            <c:idx val="9"/>
            <c:invertIfNegative val="0"/>
            <c:bubble3D val="0"/>
            <c:extLst>
              <c:ext xmlns:c16="http://schemas.microsoft.com/office/drawing/2014/chart" uri="{C3380CC4-5D6E-409C-BE32-E72D297353CC}">
                <c16:uniqueId val="{00000003-27CD-4146-9218-4C02D4C96FEA}"/>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Charts!$CT$38:$DE$38</c:f>
              <c:numCache>
                <c:formatCode>General</c:formatCode>
                <c:ptCount val="12"/>
              </c:numCache>
            </c:numRef>
          </c:cat>
          <c:val>
            <c:numRef>
              <c:f>Charts!$CT$48:$DE$48</c:f>
              <c:numCache>
                <c:formatCode>"$"#,##0.0,"B"_);\("$"#,##0.0"B"\);"$"#,##0.00_);@_)</c:formatCode>
                <c:ptCount val="12"/>
                <c:pt idx="0">
                  <c:v>149.12799999999999</c:v>
                </c:pt>
                <c:pt idx="1">
                  <c:v>248.76400000000001</c:v>
                </c:pt>
                <c:pt idx="2">
                  <c:v>364.00600000000003</c:v>
                </c:pt>
                <c:pt idx="3">
                  <c:v>514.08600000000001</c:v>
                </c:pt>
                <c:pt idx="4">
                  <c:v>715.22499999999991</c:v>
                </c:pt>
                <c:pt idx="5">
                  <c:v>1077.9830000000002</c:v>
                </c:pt>
                <c:pt idx="6">
                  <c:v>1156.8920000000001</c:v>
                </c:pt>
                <c:pt idx="7">
                  <c:v>1483</c:v>
                </c:pt>
                <c:pt idx="8">
                  <c:v>1916</c:v>
                </c:pt>
                <c:pt idx="9">
                  <c:v>#N/A</c:v>
                </c:pt>
                <c:pt idx="10">
                  <c:v>2698.5019930165327</c:v>
                </c:pt>
                <c:pt idx="11">
                  <c:v>3241.7946141415728</c:v>
                </c:pt>
              </c:numCache>
            </c:numRef>
          </c:val>
          <c:extLst>
            <c:ext xmlns:c16="http://schemas.microsoft.com/office/drawing/2014/chart" uri="{C3380CC4-5D6E-409C-BE32-E72D297353CC}">
              <c16:uniqueId val="{00000004-27CD-4146-9218-4C02D4C96FEA}"/>
            </c:ext>
          </c:extLst>
        </c:ser>
        <c:dLbls>
          <c:showLegendKey val="0"/>
          <c:showVal val="0"/>
          <c:showCatName val="0"/>
          <c:showSerName val="0"/>
          <c:showPercent val="0"/>
          <c:showBubbleSize val="0"/>
        </c:dLbls>
        <c:gapWidth val="30"/>
        <c:axId val="945418624"/>
        <c:axId val="945420160"/>
      </c:barChart>
      <c:lineChart>
        <c:grouping val="standard"/>
        <c:varyColors val="0"/>
        <c:ser>
          <c:idx val="1"/>
          <c:order val="1"/>
          <c:tx>
            <c:strRef>
              <c:f>Charts!$E$53</c:f>
              <c:strCache>
                <c:ptCount val="1"/>
                <c:pt idx="0">
                  <c:v>Subscription Solutions Gross margin </c:v>
                </c:pt>
              </c:strCache>
            </c:strRef>
          </c:tx>
          <c:spPr>
            <a:ln w="19050" cap="rnd" cmpd="sng" algn="ctr">
              <a:solidFill>
                <a:schemeClr val="accent3"/>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Charts!$CT$38:$DE$38</c:f>
              <c:numCache>
                <c:formatCode>General</c:formatCode>
                <c:ptCount val="12"/>
              </c:numCache>
            </c:numRef>
          </c:cat>
          <c:val>
            <c:numRef>
              <c:f>Charts!$CT$53:$DE$53</c:f>
              <c:numCache>
                <c:formatCode>0.0%_);\(0.0%\);0.0%_);@_)</c:formatCode>
                <c:ptCount val="12"/>
                <c:pt idx="0">
                  <c:v>0.79068534405056035</c:v>
                </c:pt>
                <c:pt idx="1">
                  <c:v>0.80238427770126219</c:v>
                </c:pt>
                <c:pt idx="2">
                  <c:v>0.78281533604590159</c:v>
                </c:pt>
                <c:pt idx="3">
                  <c:v>0.80045652644412302</c:v>
                </c:pt>
                <c:pt idx="4">
                  <c:v>0.78703657853529585</c:v>
                </c:pt>
                <c:pt idx="5">
                  <c:v>0.80306615194132025</c:v>
                </c:pt>
                <c:pt idx="6">
                  <c:v>0.77760712588530811</c:v>
                </c:pt>
                <c:pt idx="7">
                  <c:v>0.8072945019052804</c:v>
                </c:pt>
                <c:pt idx="8">
                  <c:v>0.81531914893617019</c:v>
                </c:pt>
                <c:pt idx="9">
                  <c:v>#N/A</c:v>
                </c:pt>
                <c:pt idx="10">
                  <c:v>0.80601630616771991</c:v>
                </c:pt>
                <c:pt idx="11">
                  <c:v>0.80490836627993689</c:v>
                </c:pt>
              </c:numCache>
            </c:numRef>
          </c:val>
          <c:smooth val="1"/>
          <c:extLst>
            <c:ext xmlns:c16="http://schemas.microsoft.com/office/drawing/2014/chart" uri="{C3380CC4-5D6E-409C-BE32-E72D297353CC}">
              <c16:uniqueId val="{0000000E-CBA9-4825-9430-416B6E9EE24A}"/>
            </c:ext>
          </c:extLst>
        </c:ser>
        <c:dLbls>
          <c:showLegendKey val="0"/>
          <c:showVal val="0"/>
          <c:showCatName val="0"/>
          <c:showSerName val="0"/>
          <c:showPercent val="0"/>
          <c:showBubbleSize val="0"/>
        </c:dLbls>
        <c:marker val="1"/>
        <c:smooth val="0"/>
        <c:axId val="200588160"/>
        <c:axId val="227166032"/>
      </c:lineChart>
      <c:catAx>
        <c:axId val="945418624"/>
        <c:scaling>
          <c:orientation val="minMax"/>
        </c:scaling>
        <c:delete val="0"/>
        <c:axPos val="b"/>
        <c:majorGridlines>
          <c:spPr>
            <a:ln w="3175" cap="sq" cmpd="sng" algn="ctr">
              <a:noFill/>
              <a:prstDash val="dot"/>
              <a:round/>
            </a:ln>
            <a:effectLst/>
          </c:spPr>
        </c:majorGridlines>
        <c:numFmt formatCode="General" sourceLinked="0"/>
        <c:majorTickMark val="out"/>
        <c:minorTickMark val="none"/>
        <c:tickLblPos val="nextTo"/>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rot="-6000000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945420160"/>
        <c:crosses val="autoZero"/>
        <c:auto val="1"/>
        <c:lblAlgn val="ctr"/>
        <c:lblOffset val="100"/>
        <c:noMultiLvlLbl val="0"/>
      </c:catAx>
      <c:valAx>
        <c:axId val="945420160"/>
        <c:scaling>
          <c:orientation val="minMax"/>
        </c:scaling>
        <c:delete val="0"/>
        <c:axPos val="l"/>
        <c:majorGridlines>
          <c:spPr>
            <a:ln w="3175" cap="sq" cmpd="sng" algn="ctr">
              <a:solidFill>
                <a:srgbClr val="C0C0C0"/>
              </a:solidFill>
              <a:prstDash val="dot"/>
              <a:round/>
            </a:ln>
            <a:effectLst/>
          </c:spPr>
        </c:majorGridlines>
        <c:numFmt formatCode="#,##0" sourceLinked="0"/>
        <c:majorTickMark val="out"/>
        <c:minorTickMark val="none"/>
        <c:tickLblPos val="nextTo"/>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rot="-60000000" spcFirstLastPara="1" vertOverflow="ellipsis" vert="horz" wrap="square" anchor="ctr" anchorCtr="1"/>
          <a:lstStyle/>
          <a:p>
            <a:pPr>
              <a:defRPr sz="800" b="0" i="0" u="none" strike="noStrike" kern="1200" baseline="0">
                <a:noFill/>
                <a:latin typeface="Roboto" panose="02000000000000000000" pitchFamily="2" charset="0"/>
                <a:ea typeface="Roboto" panose="02000000000000000000" pitchFamily="2" charset="0"/>
                <a:cs typeface="Roboto" panose="02000000000000000000" pitchFamily="2" charset="0"/>
              </a:defRPr>
            </a:pPr>
            <a:endParaRPr lang="en-US"/>
          </a:p>
        </c:txPr>
        <c:crossAx val="945418624"/>
        <c:crosses val="autoZero"/>
        <c:crossBetween val="between"/>
      </c:valAx>
      <c:valAx>
        <c:axId val="227166032"/>
        <c:scaling>
          <c:orientation val="minMax"/>
          <c:max val="0.85000000000000009"/>
          <c:min val="0.75000000000000011"/>
        </c:scaling>
        <c:delete val="0"/>
        <c:axPos val="r"/>
        <c:numFmt formatCode="0.0%_);\(0.0%\);0.0%_);@_)" sourceLinked="1"/>
        <c:majorTickMark val="out"/>
        <c:minorTickMark val="none"/>
        <c:tickLblPos val="nextTo"/>
        <c:spPr>
          <a:noFill/>
          <a:ln w="6350" cap="flat" cmpd="sng" algn="ctr">
            <a:solidFill>
              <a:schemeClr val="tx1">
                <a:tint val="7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200588160"/>
        <c:crosses val="max"/>
        <c:crossBetween val="between"/>
        <c:majorUnit val="2.5000000000000005E-2"/>
      </c:valAx>
      <c:catAx>
        <c:axId val="200588160"/>
        <c:scaling>
          <c:orientation val="minMax"/>
        </c:scaling>
        <c:delete val="1"/>
        <c:axPos val="b"/>
        <c:numFmt formatCode="General" sourceLinked="1"/>
        <c:majorTickMark val="out"/>
        <c:minorTickMark val="none"/>
        <c:tickLblPos val="nextTo"/>
        <c:crossAx val="227166032"/>
        <c:crosses val="autoZero"/>
        <c:auto val="1"/>
        <c:lblAlgn val="ctr"/>
        <c:lblOffset val="100"/>
        <c:noMultiLvlLbl val="0"/>
      </c:catAx>
      <c:spPr>
        <a:noFill/>
        <a:ln>
          <a:noFill/>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a:noFill/>
              <a:round/>
            </a14:hiddenLine>
          </a:ext>
        </a:extLst>
      </c:spPr>
    </c:plotArea>
    <c:legend>
      <c:legendPos val="t"/>
      <c:layout>
        <c:manualLayout>
          <c:xMode val="edge"/>
          <c:yMode val="edge"/>
          <c:x val="0.13580902292088531"/>
          <c:y val="0.12280954853810269"/>
          <c:w val="0.34094296163693205"/>
          <c:h val="0.14886267349153415"/>
        </c:manualLayout>
      </c:layout>
      <c:overlay val="1"/>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legend>
    <c:plotVisOnly val="1"/>
    <c:dispBlanksAs val="gap"/>
    <c:showDLblsOverMax val="0"/>
  </c:chart>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a:lstStyle/>
    <a:p>
      <a:pPr>
        <a:defRPr sz="800">
          <a:latin typeface="Roboto" panose="02000000000000000000" pitchFamily="2" charset="0"/>
          <a:ea typeface="Roboto" panose="02000000000000000000" pitchFamily="2" charset="0"/>
          <a:cs typeface="Roboto" panose="02000000000000000000" pitchFamily="2" charset="0"/>
        </a:defRPr>
      </a:pPr>
      <a:endParaRPr lang="en-US"/>
    </a:p>
  </c:txPr>
  <c:printSettings>
    <c:headerFooter/>
    <c:pageMargins b="0.75" l="0.7" r="0.7" t="0.75" header="0.3" footer="0.3"/>
    <c:pageSetup orientation="landscape"/>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0847331583552057E-2"/>
          <c:y val="5.0925925925925923E-2"/>
          <c:w val="0.87859711286089237"/>
          <c:h val="0.8657407407407407"/>
        </c:manualLayout>
      </c:layout>
      <c:barChart>
        <c:barDir val="col"/>
        <c:grouping val="clustered"/>
        <c:varyColors val="0"/>
        <c:ser>
          <c:idx val="0"/>
          <c:order val="0"/>
          <c:tx>
            <c:strRef>
              <c:f>Charts!$E$229</c:f>
              <c:strCache>
                <c:ptCount val="1"/>
                <c:pt idx="0">
                  <c:v>Total Merchants on Platform (in 000s) </c:v>
                </c:pt>
              </c:strCache>
            </c:strRef>
          </c:tx>
          <c:spPr>
            <a:solidFill>
              <a:schemeClr val="accent1"/>
            </a:solidFill>
            <a:ln>
              <a:noFill/>
            </a:ln>
            <a:effectLst/>
          </c:spPr>
          <c:invertIfNegative val="0"/>
          <c:cat>
            <c:strRef>
              <c:f>Charts!$CT$4:$DE$4</c:f>
              <c:strCache>
                <c:ptCount val="12"/>
                <c:pt idx="0">
                  <c:v>2016A</c:v>
                </c:pt>
                <c:pt idx="1">
                  <c:v>2017A</c:v>
                </c:pt>
                <c:pt idx="2">
                  <c:v>2018A</c:v>
                </c:pt>
                <c:pt idx="3">
                  <c:v>2019A</c:v>
                </c:pt>
                <c:pt idx="4">
                  <c:v>2020A</c:v>
                </c:pt>
                <c:pt idx="5">
                  <c:v>2021A</c:v>
                </c:pt>
                <c:pt idx="6">
                  <c:v>2022A</c:v>
                </c:pt>
                <c:pt idx="7">
                  <c:v>2023A</c:v>
                </c:pt>
                <c:pt idx="8">
                  <c:v>2024A</c:v>
                </c:pt>
                <c:pt idx="9">
                  <c:v>2025E</c:v>
                </c:pt>
                <c:pt idx="10">
                  <c:v>2026E</c:v>
                </c:pt>
                <c:pt idx="11">
                  <c:v>2027E</c:v>
                </c:pt>
              </c:strCache>
            </c:strRef>
          </c:cat>
          <c:val>
            <c:numRef>
              <c:f>Charts!$CT$229:$DE$229</c:f>
              <c:numCache>
                <c:formatCode>#,##0_);\(#,##0\);#,##0_);@_)</c:formatCode>
                <c:ptCount val="12"/>
                <c:pt idx="0">
                  <c:v>377.5</c:v>
                </c:pt>
                <c:pt idx="1">
                  <c:v>609</c:v>
                </c:pt>
                <c:pt idx="2">
                  <c:v>820</c:v>
                </c:pt>
                <c:pt idx="3">
                  <c:v>1000</c:v>
                </c:pt>
                <c:pt idx="4">
                  <c:v>1749</c:v>
                </c:pt>
                <c:pt idx="5">
                  <c:v>2063</c:v>
                </c:pt>
                <c:pt idx="6">
                  <c:v>2444.3376074500002</c:v>
                </c:pt>
                <c:pt idx="7">
                  <c:v>3055.579363545979</c:v>
                </c:pt>
                <c:pt idx="8">
                  <c:v>3372.7878898097838</c:v>
                </c:pt>
                <c:pt idx="9">
                  <c:v>3722.9267501159302</c:v>
                </c:pt>
                <c:pt idx="10">
                  <c:v>4149.6041717761382</c:v>
                </c:pt>
                <c:pt idx="11">
                  <c:v>4670.4160533467975</c:v>
                </c:pt>
              </c:numCache>
            </c:numRef>
          </c:val>
          <c:extLst>
            <c:ext xmlns:c16="http://schemas.microsoft.com/office/drawing/2014/chart" uri="{C3380CC4-5D6E-409C-BE32-E72D297353CC}">
              <c16:uniqueId val="{00000000-091B-47C1-AC4A-5E9DCD2E8A69}"/>
            </c:ext>
          </c:extLst>
        </c:ser>
        <c:dLbls>
          <c:showLegendKey val="0"/>
          <c:showVal val="0"/>
          <c:showCatName val="0"/>
          <c:showSerName val="0"/>
          <c:showPercent val="0"/>
          <c:showBubbleSize val="0"/>
        </c:dLbls>
        <c:gapWidth val="50"/>
        <c:axId val="389038559"/>
        <c:axId val="81605472"/>
      </c:barChart>
      <c:lineChart>
        <c:grouping val="standard"/>
        <c:varyColors val="0"/>
        <c:ser>
          <c:idx val="1"/>
          <c:order val="1"/>
          <c:tx>
            <c:strRef>
              <c:f>Charts!$CS$230</c:f>
              <c:strCache>
                <c:ptCount val="1"/>
              </c:strCache>
            </c:strRef>
          </c:tx>
          <c:spPr>
            <a:ln w="28575" cap="rnd">
              <a:no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Charts!$CT$228:$DE$228</c:f>
              <c:numCache>
                <c:formatCode>General</c:formatCode>
                <c:ptCount val="12"/>
              </c:numCache>
            </c:numRef>
          </c:cat>
          <c:val>
            <c:numRef>
              <c:f>Charts!$CT$230:$DE$230</c:f>
              <c:numCache>
                <c:formatCode>#,##0_);\(#,##0\);#,##0_);@_)</c:formatCode>
                <c:ptCount val="12"/>
                <c:pt idx="0">
                  <c:v>377.5</c:v>
                </c:pt>
                <c:pt idx="1">
                  <c:v>609</c:v>
                </c:pt>
                <c:pt idx="2">
                  <c:v>820</c:v>
                </c:pt>
                <c:pt idx="3">
                  <c:v>1000</c:v>
                </c:pt>
                <c:pt idx="4">
                  <c:v>1749</c:v>
                </c:pt>
                <c:pt idx="5">
                  <c:v>2063</c:v>
                </c:pt>
                <c:pt idx="6">
                  <c:v>2444.3376074500002</c:v>
                </c:pt>
                <c:pt idx="7">
                  <c:v>3055.579363545979</c:v>
                </c:pt>
                <c:pt idx="8">
                  <c:v>3372.7878898097838</c:v>
                </c:pt>
                <c:pt idx="9">
                  <c:v>3722.9267501159302</c:v>
                </c:pt>
                <c:pt idx="10">
                  <c:v>4149.6041717761382</c:v>
                </c:pt>
                <c:pt idx="11">
                  <c:v>4670.4160533467975</c:v>
                </c:pt>
              </c:numCache>
            </c:numRef>
          </c:val>
          <c:smooth val="0"/>
          <c:extLst>
            <c:ext xmlns:c16="http://schemas.microsoft.com/office/drawing/2014/chart" uri="{C3380CC4-5D6E-409C-BE32-E72D297353CC}">
              <c16:uniqueId val="{00000005-8351-4409-8CF3-6816E4EEAA87}"/>
            </c:ext>
          </c:extLst>
        </c:ser>
        <c:dLbls>
          <c:showLegendKey val="0"/>
          <c:showVal val="0"/>
          <c:showCatName val="0"/>
          <c:showSerName val="0"/>
          <c:showPercent val="0"/>
          <c:showBubbleSize val="0"/>
        </c:dLbls>
        <c:marker val="1"/>
        <c:smooth val="0"/>
        <c:axId val="1449085999"/>
        <c:axId val="1449086479"/>
      </c:lineChart>
      <c:catAx>
        <c:axId val="3890385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1605472"/>
        <c:crosses val="autoZero"/>
        <c:auto val="1"/>
        <c:lblAlgn val="ctr"/>
        <c:lblOffset val="100"/>
        <c:noMultiLvlLbl val="0"/>
      </c:catAx>
      <c:valAx>
        <c:axId val="81605472"/>
        <c:scaling>
          <c:orientation val="minMax"/>
        </c:scaling>
        <c:delete val="0"/>
        <c:axPos val="l"/>
        <c:numFmt formatCode="#,##0_);\(#,##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9038559"/>
        <c:crosses val="autoZero"/>
        <c:crossBetween val="between"/>
        <c:majorUnit val="1000"/>
        <c:minorUnit val="1000"/>
      </c:valAx>
      <c:valAx>
        <c:axId val="1449086479"/>
        <c:scaling>
          <c:orientation val="minMax"/>
        </c:scaling>
        <c:delete val="1"/>
        <c:axPos val="r"/>
        <c:numFmt formatCode="#,##0_);\(#,##0\);#,##0_);@_)" sourceLinked="1"/>
        <c:majorTickMark val="out"/>
        <c:minorTickMark val="none"/>
        <c:tickLblPos val="nextTo"/>
        <c:crossAx val="1449085999"/>
        <c:crosses val="max"/>
        <c:crossBetween val="between"/>
      </c:valAx>
      <c:catAx>
        <c:axId val="1449085999"/>
        <c:scaling>
          <c:orientation val="minMax"/>
        </c:scaling>
        <c:delete val="1"/>
        <c:axPos val="b"/>
        <c:numFmt formatCode="General" sourceLinked="1"/>
        <c:majorTickMark val="out"/>
        <c:minorTickMark val="none"/>
        <c:tickLblPos val="nextTo"/>
        <c:crossAx val="1449086479"/>
        <c:crosses val="autoZero"/>
        <c:auto val="1"/>
        <c:lblAlgn val="ctr"/>
        <c:lblOffset val="100"/>
        <c:noMultiLvlLbl val="0"/>
      </c:catAx>
      <c:spPr>
        <a:noFill/>
        <a:ln>
          <a:noFill/>
        </a:ln>
        <a:effectLst/>
      </c:spPr>
    </c:plotArea>
    <c:legend>
      <c:legendPos val="b"/>
      <c:layout>
        <c:manualLayout>
          <c:xMode val="edge"/>
          <c:yMode val="edge"/>
          <c:x val="3.4951938846378323E-2"/>
          <c:y val="2.3731576677313258E-2"/>
          <c:w val="0.6214621593973243"/>
          <c:h val="0.1354994167395742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3.0555555555555555E-2"/>
          <c:y val="5.0925925925925923E-2"/>
          <c:w val="0.93888888888888888"/>
          <c:h val="0.84864829396325459"/>
        </c:manualLayout>
      </c:layout>
      <c:lineChart>
        <c:grouping val="standard"/>
        <c:varyColors val="0"/>
        <c:ser>
          <c:idx val="0"/>
          <c:order val="0"/>
          <c:tx>
            <c:strRef>
              <c:f>Charts!$E$159</c:f>
              <c:strCache>
                <c:ptCount val="1"/>
                <c:pt idx="0">
                  <c:v>NSR GMV Growth</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lumMod val="50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Charts!$AV$4:$BA$4</c:f>
              <c:strCache>
                <c:ptCount val="6"/>
                <c:pt idx="0">
                  <c:v>3Q26E</c:v>
                </c:pt>
                <c:pt idx="1">
                  <c:v>4Q26E</c:v>
                </c:pt>
                <c:pt idx="2">
                  <c:v>1Q27E</c:v>
                </c:pt>
                <c:pt idx="3">
                  <c:v>2Q27E</c:v>
                </c:pt>
                <c:pt idx="4">
                  <c:v>3Q27E</c:v>
                </c:pt>
                <c:pt idx="5">
                  <c:v>4Q27E</c:v>
                </c:pt>
              </c:strCache>
            </c:strRef>
          </c:cat>
          <c:val>
            <c:numRef>
              <c:f>Charts!$AV$159:$BA$159</c:f>
              <c:numCache>
                <c:formatCode>0.0%_);\(0.0%\);0.0%_);@_)</c:formatCode>
                <c:ptCount val="6"/>
                <c:pt idx="0">
                  <c:v>0.3</c:v>
                </c:pt>
                <c:pt idx="1">
                  <c:v>0.28999999999999998</c:v>
                </c:pt>
                <c:pt idx="2">
                  <c:v>0.28000000000000003</c:v>
                </c:pt>
                <c:pt idx="3">
                  <c:v>0.27</c:v>
                </c:pt>
                <c:pt idx="4">
                  <c:v>0.25</c:v>
                </c:pt>
                <c:pt idx="5">
                  <c:v>0.24</c:v>
                </c:pt>
              </c:numCache>
            </c:numRef>
          </c:val>
          <c:smooth val="1"/>
          <c:extLst>
            <c:ext xmlns:c16="http://schemas.microsoft.com/office/drawing/2014/chart" uri="{C3380CC4-5D6E-409C-BE32-E72D297353CC}">
              <c16:uniqueId val="{00000000-DB54-440C-B2E7-7D06A4D3F66C}"/>
            </c:ext>
          </c:extLst>
        </c:ser>
        <c:ser>
          <c:idx val="1"/>
          <c:order val="1"/>
          <c:tx>
            <c:strRef>
              <c:f>Charts!$E$160</c:f>
              <c:strCache>
                <c:ptCount val="1"/>
                <c:pt idx="0">
                  <c:v>Consensus GMV growth</c:v>
                </c:pt>
              </c:strCache>
            </c:strRef>
          </c:tx>
          <c:spPr>
            <a:ln w="28575" cap="rnd">
              <a:solidFill>
                <a:schemeClr val="accent3"/>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3">
                        <a:lumMod val="50000"/>
                      </a:schemeClr>
                    </a:solidFill>
                    <a:latin typeface="+mn-lt"/>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Charts!$AV$4:$BA$4</c:f>
              <c:strCache>
                <c:ptCount val="6"/>
                <c:pt idx="0">
                  <c:v>3Q26E</c:v>
                </c:pt>
                <c:pt idx="1">
                  <c:v>4Q26E</c:v>
                </c:pt>
                <c:pt idx="2">
                  <c:v>1Q27E</c:v>
                </c:pt>
                <c:pt idx="3">
                  <c:v>2Q27E</c:v>
                </c:pt>
                <c:pt idx="4">
                  <c:v>3Q27E</c:v>
                </c:pt>
                <c:pt idx="5">
                  <c:v>4Q27E</c:v>
                </c:pt>
              </c:strCache>
            </c:strRef>
          </c:cat>
          <c:val>
            <c:numRef>
              <c:f>Charts!$AV$160:$BA$160</c:f>
              <c:numCache>
                <c:formatCode>0.0%_);\(0.0%\);0.0%_);@_)</c:formatCode>
                <c:ptCount val="6"/>
                <c:pt idx="0">
                  <c:v>0.270795733539686</c:v>
                </c:pt>
                <c:pt idx="1">
                  <c:v>0.25986409993459336</c:v>
                </c:pt>
                <c:pt idx="2">
                  <c:v>0.23770618305986524</c:v>
                </c:pt>
                <c:pt idx="3">
                  <c:v>0.20432692723701407</c:v>
                </c:pt>
                <c:pt idx="4">
                  <c:v>0.22046317779742619</c:v>
                </c:pt>
                <c:pt idx="5">
                  <c:v>0.20962682192086901</c:v>
                </c:pt>
              </c:numCache>
            </c:numRef>
          </c:val>
          <c:smooth val="1"/>
          <c:extLst>
            <c:ext xmlns:c16="http://schemas.microsoft.com/office/drawing/2014/chart" uri="{C3380CC4-5D6E-409C-BE32-E72D297353CC}">
              <c16:uniqueId val="{00000001-DB54-440C-B2E7-7D06A4D3F66C}"/>
            </c:ext>
          </c:extLst>
        </c:ser>
        <c:dLbls>
          <c:showLegendKey val="0"/>
          <c:showVal val="0"/>
          <c:showCatName val="0"/>
          <c:showSerName val="0"/>
          <c:showPercent val="0"/>
          <c:showBubbleSize val="0"/>
        </c:dLbls>
        <c:smooth val="0"/>
        <c:axId val="1876331488"/>
        <c:axId val="1876330048"/>
      </c:lineChart>
      <c:catAx>
        <c:axId val="187633148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76330048"/>
        <c:crosses val="autoZero"/>
        <c:auto val="1"/>
        <c:lblAlgn val="ctr"/>
        <c:lblOffset val="100"/>
        <c:noMultiLvlLbl val="0"/>
      </c:catAx>
      <c:valAx>
        <c:axId val="1876330048"/>
        <c:scaling>
          <c:orientation val="minMax"/>
        </c:scaling>
        <c:delete val="0"/>
        <c:axPos val="l"/>
        <c:numFmt formatCode="&quot;$&quot;#,###,&quot;B&quot;;\(&quot;$&quot;#,###,&quot;B&quot;\);&quot;$&quot;0,&quot;B&quot;" sourceLinked="0"/>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76331488"/>
        <c:crosses val="autoZero"/>
        <c:crossBetween val="between"/>
      </c:valAx>
      <c:spPr>
        <a:noFill/>
        <a:ln>
          <a:noFill/>
        </a:ln>
        <a:effectLst/>
      </c:spPr>
    </c:plotArea>
    <c:legend>
      <c:legendPos val="b"/>
      <c:layout>
        <c:manualLayout>
          <c:xMode val="edge"/>
          <c:yMode val="edge"/>
          <c:x val="0.17044482880133929"/>
          <c:y val="0.6116983146391668"/>
          <c:w val="0.73003565179352581"/>
          <c:h val="7.727763196267133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3.0555555555555555E-2"/>
          <c:y val="0.11223820203188312"/>
          <c:w val="0.93888888888888888"/>
          <c:h val="0.78733595442319126"/>
        </c:manualLayout>
      </c:layout>
      <c:lineChart>
        <c:grouping val="standard"/>
        <c:varyColors val="0"/>
        <c:ser>
          <c:idx val="0"/>
          <c:order val="0"/>
          <c:tx>
            <c:strRef>
              <c:f>Charts!$E$162</c:f>
              <c:strCache>
                <c:ptCount val="1"/>
                <c:pt idx="0">
                  <c:v>NSR Revenue growth</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lumMod val="50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Charts!$AV$4:$BA$4</c:f>
              <c:strCache>
                <c:ptCount val="6"/>
                <c:pt idx="0">
                  <c:v>3Q26E</c:v>
                </c:pt>
                <c:pt idx="1">
                  <c:v>4Q26E</c:v>
                </c:pt>
                <c:pt idx="2">
                  <c:v>1Q27E</c:v>
                </c:pt>
                <c:pt idx="3">
                  <c:v>2Q27E</c:v>
                </c:pt>
                <c:pt idx="4">
                  <c:v>3Q27E</c:v>
                </c:pt>
                <c:pt idx="5">
                  <c:v>4Q27E</c:v>
                </c:pt>
              </c:strCache>
            </c:strRef>
          </c:cat>
          <c:val>
            <c:numRef>
              <c:f>Charts!$AV$162:$BA$162</c:f>
              <c:numCache>
                <c:formatCode>0.0%_);\(0.0%\);0.0%_);@_)</c:formatCode>
                <c:ptCount val="6"/>
                <c:pt idx="0">
                  <c:v>0.30412221414985519</c:v>
                </c:pt>
                <c:pt idx="1">
                  <c:v>0.29350815542687902</c:v>
                </c:pt>
                <c:pt idx="2">
                  <c:v>0.27290901102129372</c:v>
                </c:pt>
                <c:pt idx="3">
                  <c:v>0.26758167937856547</c:v>
                </c:pt>
                <c:pt idx="4">
                  <c:v>0.25148868792068457</c:v>
                </c:pt>
                <c:pt idx="5">
                  <c:v>0.24548073035249396</c:v>
                </c:pt>
              </c:numCache>
            </c:numRef>
          </c:val>
          <c:smooth val="1"/>
          <c:extLst>
            <c:ext xmlns:c16="http://schemas.microsoft.com/office/drawing/2014/chart" uri="{C3380CC4-5D6E-409C-BE32-E72D297353CC}">
              <c16:uniqueId val="{00000001-A58E-481A-8C86-CBB70A281E44}"/>
            </c:ext>
          </c:extLst>
        </c:ser>
        <c:ser>
          <c:idx val="1"/>
          <c:order val="1"/>
          <c:tx>
            <c:strRef>
              <c:f>Charts!$E$163</c:f>
              <c:strCache>
                <c:ptCount val="1"/>
                <c:pt idx="0">
                  <c:v>Consensus revenue growth</c:v>
                </c:pt>
              </c:strCache>
            </c:strRef>
          </c:tx>
          <c:spPr>
            <a:ln w="28575" cap="rnd">
              <a:solidFill>
                <a:schemeClr val="accent3"/>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3">
                        <a:lumMod val="50000"/>
                      </a:schemeClr>
                    </a:solidFill>
                    <a:latin typeface="+mn-lt"/>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Charts!$AV$4:$BA$4</c:f>
              <c:strCache>
                <c:ptCount val="6"/>
                <c:pt idx="0">
                  <c:v>3Q26E</c:v>
                </c:pt>
                <c:pt idx="1">
                  <c:v>4Q26E</c:v>
                </c:pt>
                <c:pt idx="2">
                  <c:v>1Q27E</c:v>
                </c:pt>
                <c:pt idx="3">
                  <c:v>2Q27E</c:v>
                </c:pt>
                <c:pt idx="4">
                  <c:v>3Q27E</c:v>
                </c:pt>
                <c:pt idx="5">
                  <c:v>4Q27E</c:v>
                </c:pt>
              </c:strCache>
            </c:strRef>
          </c:cat>
          <c:val>
            <c:numRef>
              <c:f>Charts!$AV$163:$BA$163</c:f>
              <c:numCache>
                <c:formatCode>0.0%_);\(0.0%\);0.0%_);@_)</c:formatCode>
                <c:ptCount val="6"/>
                <c:pt idx="0">
                  <c:v>0.27067164179104486</c:v>
                </c:pt>
                <c:pt idx="1">
                  <c:v>0.25636427566807307</c:v>
                </c:pt>
                <c:pt idx="2">
                  <c:v>0.25266884531590428</c:v>
                </c:pt>
                <c:pt idx="3">
                  <c:v>0.21223457996092665</c:v>
                </c:pt>
                <c:pt idx="4">
                  <c:v>0.23416413963198268</c:v>
                </c:pt>
                <c:pt idx="5">
                  <c:v>0.23040267934904257</c:v>
                </c:pt>
              </c:numCache>
            </c:numRef>
          </c:val>
          <c:smooth val="1"/>
          <c:extLst>
            <c:ext xmlns:c16="http://schemas.microsoft.com/office/drawing/2014/chart" uri="{C3380CC4-5D6E-409C-BE32-E72D297353CC}">
              <c16:uniqueId val="{00000003-A58E-481A-8C86-CBB70A281E44}"/>
            </c:ext>
          </c:extLst>
        </c:ser>
        <c:dLbls>
          <c:showLegendKey val="0"/>
          <c:showVal val="0"/>
          <c:showCatName val="0"/>
          <c:showSerName val="0"/>
          <c:showPercent val="0"/>
          <c:showBubbleSize val="0"/>
        </c:dLbls>
        <c:smooth val="0"/>
        <c:axId val="1876331488"/>
        <c:axId val="1876330048"/>
      </c:lineChart>
      <c:catAx>
        <c:axId val="187633148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76330048"/>
        <c:crosses val="autoZero"/>
        <c:auto val="1"/>
        <c:lblAlgn val="ctr"/>
        <c:lblOffset val="100"/>
        <c:noMultiLvlLbl val="0"/>
      </c:catAx>
      <c:valAx>
        <c:axId val="1876330048"/>
        <c:scaling>
          <c:orientation val="minMax"/>
          <c:min val="0.15000000000000002"/>
        </c:scaling>
        <c:delete val="0"/>
        <c:axPos val="l"/>
        <c:numFmt formatCode="&quot;$&quot;#,###,&quot;B&quot;;\(&quot;$&quot;#,###,&quot;B&quot;\);&quot;$&quot;0,&quot;B&quot;" sourceLinked="0"/>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76331488"/>
        <c:crosses val="autoZero"/>
        <c:crossBetween val="between"/>
      </c:valAx>
      <c:spPr>
        <a:noFill/>
        <a:ln>
          <a:noFill/>
        </a:ln>
        <a:effectLst/>
      </c:spPr>
    </c:plotArea>
    <c:legend>
      <c:legendPos val="b"/>
      <c:layout>
        <c:manualLayout>
          <c:xMode val="edge"/>
          <c:yMode val="edge"/>
          <c:x val="0.25979623139373792"/>
          <c:y val="9.7685223194330928E-2"/>
          <c:w val="0.73003565179352581"/>
          <c:h val="7.727763196267133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3.0555555555555555E-2"/>
          <c:y val="5.0925925925925923E-2"/>
          <c:w val="0.93888888888888888"/>
          <c:h val="0.84864829396325459"/>
        </c:manualLayout>
      </c:layout>
      <c:lineChart>
        <c:grouping val="standard"/>
        <c:varyColors val="0"/>
        <c:ser>
          <c:idx val="0"/>
          <c:order val="0"/>
          <c:tx>
            <c:strRef>
              <c:f>Charts!$E$165</c:f>
              <c:strCache>
                <c:ptCount val="1"/>
                <c:pt idx="0">
                  <c:v>NSR Gross Margin</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lumMod val="50000"/>
                      </a:schemeClr>
                    </a:solidFill>
                    <a:latin typeface="+mn-lt"/>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Charts!$AV$4:$BA$4</c:f>
              <c:strCache>
                <c:ptCount val="6"/>
                <c:pt idx="0">
                  <c:v>3Q26E</c:v>
                </c:pt>
                <c:pt idx="1">
                  <c:v>4Q26E</c:v>
                </c:pt>
                <c:pt idx="2">
                  <c:v>1Q27E</c:v>
                </c:pt>
                <c:pt idx="3">
                  <c:v>2Q27E</c:v>
                </c:pt>
                <c:pt idx="4">
                  <c:v>3Q27E</c:v>
                </c:pt>
                <c:pt idx="5">
                  <c:v>4Q27E</c:v>
                </c:pt>
              </c:strCache>
            </c:strRef>
          </c:cat>
          <c:val>
            <c:numRef>
              <c:f>Charts!$AV$165:$BA$165</c:f>
              <c:numCache>
                <c:formatCode>0.0%_);\(0.0%\);0.0%_);@_)</c:formatCode>
                <c:ptCount val="6"/>
                <c:pt idx="0">
                  <c:v>0.48431569475685332</c:v>
                </c:pt>
                <c:pt idx="1">
                  <c:v>0.45587943179807378</c:v>
                </c:pt>
                <c:pt idx="2">
                  <c:v>0.48204155062288551</c:v>
                </c:pt>
                <c:pt idx="3">
                  <c:v>0.47226813436653242</c:v>
                </c:pt>
                <c:pt idx="4">
                  <c:v>0.48070853106111427</c:v>
                </c:pt>
                <c:pt idx="5">
                  <c:v>0.45323836876026286</c:v>
                </c:pt>
              </c:numCache>
            </c:numRef>
          </c:val>
          <c:smooth val="1"/>
          <c:extLst>
            <c:ext xmlns:c16="http://schemas.microsoft.com/office/drawing/2014/chart" uri="{C3380CC4-5D6E-409C-BE32-E72D297353CC}">
              <c16:uniqueId val="{00000000-DCD0-47A0-A608-D43347B962C3}"/>
            </c:ext>
          </c:extLst>
        </c:ser>
        <c:ser>
          <c:idx val="1"/>
          <c:order val="1"/>
          <c:tx>
            <c:strRef>
              <c:f>Charts!$E$166</c:f>
              <c:strCache>
                <c:ptCount val="1"/>
                <c:pt idx="0">
                  <c:v>Consensus Gross Margin</c:v>
                </c:pt>
              </c:strCache>
            </c:strRef>
          </c:tx>
          <c:spPr>
            <a:ln w="28575" cap="rnd">
              <a:solidFill>
                <a:schemeClr val="accent3"/>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3">
                        <a:lumMod val="50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Charts!$AV$4:$BA$4</c:f>
              <c:strCache>
                <c:ptCount val="6"/>
                <c:pt idx="0">
                  <c:v>3Q26E</c:v>
                </c:pt>
                <c:pt idx="1">
                  <c:v>4Q26E</c:v>
                </c:pt>
                <c:pt idx="2">
                  <c:v>1Q27E</c:v>
                </c:pt>
                <c:pt idx="3">
                  <c:v>2Q27E</c:v>
                </c:pt>
                <c:pt idx="4">
                  <c:v>3Q27E</c:v>
                </c:pt>
                <c:pt idx="5">
                  <c:v>4Q27E</c:v>
                </c:pt>
              </c:strCache>
            </c:strRef>
          </c:cat>
          <c:val>
            <c:numRef>
              <c:f>Charts!$AV$166:$BA$166</c:f>
              <c:numCache>
                <c:formatCode>0.0%_);\(0.0%\);0.0%_);@_)</c:formatCode>
                <c:ptCount val="6"/>
                <c:pt idx="0">
                  <c:v>0.47825534237451711</c:v>
                </c:pt>
                <c:pt idx="1">
                  <c:v>0.45653245739758652</c:v>
                </c:pt>
                <c:pt idx="2">
                  <c:v>0.47257514071098738</c:v>
                </c:pt>
                <c:pt idx="3">
                  <c:v>0.46644770793817297</c:v>
                </c:pt>
                <c:pt idx="4">
                  <c:v>0.46892474501207837</c:v>
                </c:pt>
                <c:pt idx="5">
                  <c:v>0.44805181816515727</c:v>
                </c:pt>
              </c:numCache>
            </c:numRef>
          </c:val>
          <c:smooth val="1"/>
          <c:extLst>
            <c:ext xmlns:c16="http://schemas.microsoft.com/office/drawing/2014/chart" uri="{C3380CC4-5D6E-409C-BE32-E72D297353CC}">
              <c16:uniqueId val="{00000001-DCD0-47A0-A608-D43347B962C3}"/>
            </c:ext>
          </c:extLst>
        </c:ser>
        <c:dLbls>
          <c:showLegendKey val="0"/>
          <c:showVal val="0"/>
          <c:showCatName val="0"/>
          <c:showSerName val="0"/>
          <c:showPercent val="0"/>
          <c:showBubbleSize val="0"/>
        </c:dLbls>
        <c:smooth val="0"/>
        <c:axId val="1876331488"/>
        <c:axId val="1876330048"/>
      </c:lineChart>
      <c:catAx>
        <c:axId val="187633148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76330048"/>
        <c:crosses val="autoZero"/>
        <c:auto val="1"/>
        <c:lblAlgn val="ctr"/>
        <c:lblOffset val="100"/>
        <c:noMultiLvlLbl val="0"/>
      </c:catAx>
      <c:valAx>
        <c:axId val="1876330048"/>
        <c:scaling>
          <c:orientation val="minMax"/>
          <c:max val="0.60000000000000009"/>
          <c:min val="0.4"/>
        </c:scaling>
        <c:delete val="0"/>
        <c:axPos val="l"/>
        <c:numFmt formatCode="&quot;$&quot;#,###,&quot;B&quot;;\(&quot;$&quot;#,###,&quot;B&quot;\);&quot;$&quot;0,&quot;B&quot;" sourceLinked="0"/>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76331488"/>
        <c:crosses val="autoZero"/>
        <c:crossBetween val="between"/>
      </c:valAx>
      <c:spPr>
        <a:noFill/>
        <a:ln>
          <a:noFill/>
        </a:ln>
        <a:effectLst/>
      </c:spPr>
    </c:plotArea>
    <c:legend>
      <c:legendPos val="b"/>
      <c:layout>
        <c:manualLayout>
          <c:xMode val="edge"/>
          <c:yMode val="edge"/>
          <c:x val="3.7759842519685033E-2"/>
          <c:y val="5.2351997666958305E-2"/>
          <c:w val="0.73003565179352581"/>
          <c:h val="7.727763196267133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3.0555555555555555E-2"/>
          <c:y val="0.1388888888888889"/>
          <c:w val="0.93888888888888888"/>
          <c:h val="0.76068533100029168"/>
        </c:manualLayout>
      </c:layout>
      <c:lineChart>
        <c:grouping val="standard"/>
        <c:varyColors val="0"/>
        <c:ser>
          <c:idx val="0"/>
          <c:order val="0"/>
          <c:tx>
            <c:strRef>
              <c:f>Charts!$E$168</c:f>
              <c:strCache>
                <c:ptCount val="1"/>
                <c:pt idx="0">
                  <c:v>NSR FCF Margin</c:v>
                </c:pt>
              </c:strCache>
            </c:strRef>
          </c:tx>
          <c:spPr>
            <a:ln w="28575" cap="rnd">
              <a:solidFill>
                <a:schemeClr val="accent1"/>
              </a:solidFill>
              <a:round/>
            </a:ln>
            <a:effectLst/>
          </c:spPr>
          <c:marker>
            <c:symbol val="none"/>
          </c:marker>
          <c:dLbls>
            <c:dLbl>
              <c:idx val="2"/>
              <c:layout>
                <c:manualLayout>
                  <c:x val="-6.8214561381225183E-2"/>
                  <c:y val="-2.630039739703276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9BF-4ABE-AA0F-73247BBE0A12}"/>
                </c:ext>
              </c:extLst>
            </c:dLbl>
            <c:dLbl>
              <c:idx val="3"/>
              <c:layout>
                <c:manualLayout>
                  <c:x val="-5.5196737372328775E-2"/>
                  <c:y val="1.22624521264881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7A3-4A83-A8DD-2765DF92CF7F}"/>
                </c:ext>
              </c:extLst>
            </c:dLbl>
            <c:dLbl>
              <c:idx val="4"/>
              <c:layout>
                <c:manualLayout>
                  <c:x val="-5.2376623342017314E-2"/>
                  <c:y val="1.697877986744519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7A3-4A83-A8DD-2765DF92CF7F}"/>
                </c:ext>
              </c:extLst>
            </c:dLbl>
            <c:dLbl>
              <c:idx val="5"/>
              <c:layout>
                <c:manualLayout>
                  <c:x val="-5.8016851402640443E-2"/>
                  <c:y val="4.999307405414413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7A3-4A83-A8DD-2765DF92CF7F}"/>
                </c:ext>
              </c:extLst>
            </c:dLbl>
            <c:dLbl>
              <c:idx val="6"/>
              <c:layout>
                <c:manualLayout>
                  <c:x val="-5.297331583552066E-2"/>
                  <c:y val="5.833333333333333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9BF-4ABE-AA0F-73247BBE0A1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lumMod val="50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Charts!$AV$4:$BA$4</c:f>
              <c:strCache>
                <c:ptCount val="6"/>
                <c:pt idx="0">
                  <c:v>3Q26E</c:v>
                </c:pt>
                <c:pt idx="1">
                  <c:v>4Q26E</c:v>
                </c:pt>
                <c:pt idx="2">
                  <c:v>1Q27E</c:v>
                </c:pt>
                <c:pt idx="3">
                  <c:v>2Q27E</c:v>
                </c:pt>
                <c:pt idx="4">
                  <c:v>3Q27E</c:v>
                </c:pt>
                <c:pt idx="5">
                  <c:v>4Q27E</c:v>
                </c:pt>
              </c:strCache>
            </c:strRef>
          </c:cat>
          <c:val>
            <c:numRef>
              <c:f>Charts!$AV$168:$BA$168</c:f>
              <c:numCache>
                <c:formatCode>0.0%_);\(0.0%\);0.0%_);@_)</c:formatCode>
                <c:ptCount val="6"/>
                <c:pt idx="0">
                  <c:v>0.21071240350945492</c:v>
                </c:pt>
                <c:pt idx="1">
                  <c:v>0.21708007272485472</c:v>
                </c:pt>
                <c:pt idx="2">
                  <c:v>0.13496226647912865</c:v>
                </c:pt>
                <c:pt idx="3">
                  <c:v>0.1881281822755341</c:v>
                </c:pt>
                <c:pt idx="4">
                  <c:v>0.19903941638712244</c:v>
                </c:pt>
                <c:pt idx="5">
                  <c:v>0.24146204033497104</c:v>
                </c:pt>
              </c:numCache>
            </c:numRef>
          </c:val>
          <c:smooth val="1"/>
          <c:extLst>
            <c:ext xmlns:c16="http://schemas.microsoft.com/office/drawing/2014/chart" uri="{C3380CC4-5D6E-409C-BE32-E72D297353CC}">
              <c16:uniqueId val="{00000000-29BF-4ABE-AA0F-73247BBE0A12}"/>
            </c:ext>
          </c:extLst>
        </c:ser>
        <c:ser>
          <c:idx val="1"/>
          <c:order val="1"/>
          <c:tx>
            <c:strRef>
              <c:f>Charts!$E$169</c:f>
              <c:strCache>
                <c:ptCount val="1"/>
                <c:pt idx="0">
                  <c:v>Consensus FCF Margin</c:v>
                </c:pt>
              </c:strCache>
            </c:strRef>
          </c:tx>
          <c:spPr>
            <a:ln w="28575" cap="rnd">
              <a:solidFill>
                <a:schemeClr val="accent3"/>
              </a:solidFill>
              <a:round/>
            </a:ln>
            <a:effectLst/>
          </c:spPr>
          <c:marker>
            <c:symbol val="none"/>
          </c:marker>
          <c:dLbls>
            <c:dLbl>
              <c:idx val="2"/>
              <c:layout>
                <c:manualLayout>
                  <c:x val="-6.2701349480077564E-2"/>
                  <c:y val="2.219087906778625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9BF-4ABE-AA0F-73247BBE0A12}"/>
                </c:ext>
              </c:extLst>
            </c:dLbl>
            <c:dLbl>
              <c:idx val="3"/>
              <c:layout>
                <c:manualLayout>
                  <c:x val="-5.8016851402640339E-2"/>
                  <c:y val="-5.942572953605813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7A3-4A83-A8DD-2765DF92CF7F}"/>
                </c:ext>
              </c:extLst>
            </c:dLbl>
            <c:dLbl>
              <c:idx val="4"/>
              <c:layout>
                <c:manualLayout>
                  <c:x val="-5.4368110236220575E-2"/>
                  <c:y val="-3.981481481481481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9BF-4ABE-AA0F-73247BBE0A12}"/>
                </c:ext>
              </c:extLst>
            </c:dLbl>
            <c:dLbl>
              <c:idx val="5"/>
              <c:layout>
                <c:manualLayout>
                  <c:x val="-7.2117421554198147E-2"/>
                  <c:y val="-3.112776309031619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7A3-4A83-A8DD-2765DF92CF7F}"/>
                </c:ext>
              </c:extLst>
            </c:dLbl>
            <c:dLbl>
              <c:idx val="6"/>
              <c:layout>
                <c:manualLayout>
                  <c:x val="-6.6862204724409444E-2"/>
                  <c:y val="-8.61111111111111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9BF-4ABE-AA0F-73247BBE0A1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3">
                        <a:lumMod val="50000"/>
                      </a:schemeClr>
                    </a:solidFill>
                    <a:latin typeface="+mn-lt"/>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Charts!$AV$4:$BA$4</c:f>
              <c:strCache>
                <c:ptCount val="6"/>
                <c:pt idx="0">
                  <c:v>3Q26E</c:v>
                </c:pt>
                <c:pt idx="1">
                  <c:v>4Q26E</c:v>
                </c:pt>
                <c:pt idx="2">
                  <c:v>1Q27E</c:v>
                </c:pt>
                <c:pt idx="3">
                  <c:v>2Q27E</c:v>
                </c:pt>
                <c:pt idx="4">
                  <c:v>3Q27E</c:v>
                </c:pt>
                <c:pt idx="5">
                  <c:v>4Q27E</c:v>
                </c:pt>
              </c:strCache>
            </c:strRef>
          </c:cat>
          <c:val>
            <c:numRef>
              <c:f>Charts!$AV$169:$BA$169</c:f>
              <c:numCache>
                <c:formatCode>0.0%_);\(0.0%\);0.0%_);@_)</c:formatCode>
                <c:ptCount val="6"/>
                <c:pt idx="0">
                  <c:v>0.18202631347608514</c:v>
                </c:pt>
                <c:pt idx="1">
                  <c:v>0.20489348177887767</c:v>
                </c:pt>
                <c:pt idx="2">
                  <c:v>0.14166326667279877</c:v>
                </c:pt>
                <c:pt idx="3">
                  <c:v>0.166332188809483</c:v>
                </c:pt>
                <c:pt idx="4">
                  <c:v>0.18820537072304094</c:v>
                </c:pt>
                <c:pt idx="5">
                  <c:v>0.22521082547237734</c:v>
                </c:pt>
              </c:numCache>
            </c:numRef>
          </c:val>
          <c:smooth val="1"/>
          <c:extLst>
            <c:ext xmlns:c16="http://schemas.microsoft.com/office/drawing/2014/chart" uri="{C3380CC4-5D6E-409C-BE32-E72D297353CC}">
              <c16:uniqueId val="{00000001-29BF-4ABE-AA0F-73247BBE0A12}"/>
            </c:ext>
          </c:extLst>
        </c:ser>
        <c:dLbls>
          <c:showLegendKey val="0"/>
          <c:showVal val="0"/>
          <c:showCatName val="0"/>
          <c:showSerName val="0"/>
          <c:showPercent val="0"/>
          <c:showBubbleSize val="0"/>
        </c:dLbls>
        <c:smooth val="0"/>
        <c:axId val="1876331488"/>
        <c:axId val="1876330048"/>
      </c:lineChart>
      <c:catAx>
        <c:axId val="187633148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76330048"/>
        <c:crosses val="autoZero"/>
        <c:auto val="1"/>
        <c:lblAlgn val="ctr"/>
        <c:lblOffset val="100"/>
        <c:noMultiLvlLbl val="0"/>
      </c:catAx>
      <c:valAx>
        <c:axId val="1876330048"/>
        <c:scaling>
          <c:orientation val="minMax"/>
          <c:max val="0.30000000000000004"/>
        </c:scaling>
        <c:delete val="0"/>
        <c:axPos val="l"/>
        <c:numFmt formatCode="&quot;$&quot;#,###,&quot;B&quot;;\(&quot;$&quot;#,###,&quot;B&quot;\);&quot;$&quot;0,&quot;B&quot;" sourceLinked="0"/>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76331488"/>
        <c:crosses val="autoZero"/>
        <c:crossBetween val="between"/>
      </c:valAx>
      <c:spPr>
        <a:noFill/>
        <a:ln>
          <a:noFill/>
        </a:ln>
        <a:effectLst/>
      </c:spPr>
    </c:plotArea>
    <c:legend>
      <c:legendPos val="b"/>
      <c:layout>
        <c:manualLayout>
          <c:xMode val="edge"/>
          <c:yMode val="edge"/>
          <c:x val="3.7759842519685033E-2"/>
          <c:y val="5.2351997666958305E-2"/>
          <c:w val="0.73003565179352581"/>
          <c:h val="7.727763196267133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3.0555555555555555E-2"/>
          <c:y val="0.1388888888888889"/>
          <c:w val="0.93888888888888888"/>
          <c:h val="0.76068533100029168"/>
        </c:manualLayout>
      </c:layout>
      <c:lineChart>
        <c:grouping val="standard"/>
        <c:varyColors val="0"/>
        <c:ser>
          <c:idx val="0"/>
          <c:order val="0"/>
          <c:tx>
            <c:strRef>
              <c:f>Charts!$E$234</c:f>
              <c:strCache>
                <c:ptCount val="1"/>
                <c:pt idx="0">
                  <c:v>NSR FCF Margin</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lumMod val="50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Charts!$DB$4:$DE$4</c:f>
              <c:strCache>
                <c:ptCount val="4"/>
                <c:pt idx="0">
                  <c:v>2024A</c:v>
                </c:pt>
                <c:pt idx="1">
                  <c:v>2025E</c:v>
                </c:pt>
                <c:pt idx="2">
                  <c:v>2026E</c:v>
                </c:pt>
                <c:pt idx="3">
                  <c:v>2027E</c:v>
                </c:pt>
              </c:strCache>
            </c:strRef>
          </c:cat>
          <c:val>
            <c:numRef>
              <c:f>Charts!$DB$234:$DE$234</c:f>
              <c:numCache>
                <c:formatCode>0.0%_);\(0.0%\);0.0%_);@_)</c:formatCode>
                <c:ptCount val="4"/>
                <c:pt idx="0">
                  <c:v>0.17984234234234234</c:v>
                </c:pt>
                <c:pt idx="1">
                  <c:v>0.17367601246105918</c:v>
                </c:pt>
                <c:pt idx="2">
                  <c:v>0.19344305176271998</c:v>
                </c:pt>
                <c:pt idx="3">
                  <c:v>0.19605241870131701</c:v>
                </c:pt>
              </c:numCache>
            </c:numRef>
          </c:val>
          <c:smooth val="1"/>
          <c:extLst>
            <c:ext xmlns:c16="http://schemas.microsoft.com/office/drawing/2014/chart" uri="{C3380CC4-5D6E-409C-BE32-E72D297353CC}">
              <c16:uniqueId val="{00000000-29BF-4ABE-AA0F-73247BBE0A12}"/>
            </c:ext>
          </c:extLst>
        </c:ser>
        <c:ser>
          <c:idx val="1"/>
          <c:order val="1"/>
          <c:tx>
            <c:strRef>
              <c:f>Charts!$E$235</c:f>
              <c:strCache>
                <c:ptCount val="1"/>
                <c:pt idx="0">
                  <c:v>Consensus FCF Margin</c:v>
                </c:pt>
              </c:strCache>
            </c:strRef>
          </c:tx>
          <c:spPr>
            <a:ln w="28575" cap="rnd">
              <a:solidFill>
                <a:schemeClr val="accent3"/>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3">
                        <a:lumMod val="50000"/>
                      </a:schemeClr>
                    </a:solidFill>
                    <a:latin typeface="+mn-lt"/>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Charts!$DB$4:$DE$4</c:f>
              <c:strCache>
                <c:ptCount val="4"/>
                <c:pt idx="0">
                  <c:v>2024A</c:v>
                </c:pt>
                <c:pt idx="1">
                  <c:v>2025E</c:v>
                </c:pt>
                <c:pt idx="2">
                  <c:v>2026E</c:v>
                </c:pt>
                <c:pt idx="3">
                  <c:v>2027E</c:v>
                </c:pt>
              </c:strCache>
            </c:strRef>
          </c:cat>
          <c:val>
            <c:numRef>
              <c:f>Charts!$DB$235:$DE$235</c:f>
              <c:numCache>
                <c:formatCode>0.0%_);\(0.0%\);0.0%_);@_)</c:formatCode>
                <c:ptCount val="4"/>
                <c:pt idx="0">
                  <c:v>0.17984234234234234</c:v>
                </c:pt>
                <c:pt idx="1">
                  <c:v>0.17511657147802007</c:v>
                </c:pt>
                <c:pt idx="2">
                  <c:v>0.18281856544141098</c:v>
                </c:pt>
                <c:pt idx="3">
                  <c:v>0.19317867728792906</c:v>
                </c:pt>
              </c:numCache>
            </c:numRef>
          </c:val>
          <c:smooth val="1"/>
          <c:extLst>
            <c:ext xmlns:c16="http://schemas.microsoft.com/office/drawing/2014/chart" uri="{C3380CC4-5D6E-409C-BE32-E72D297353CC}">
              <c16:uniqueId val="{00000001-29BF-4ABE-AA0F-73247BBE0A12}"/>
            </c:ext>
          </c:extLst>
        </c:ser>
        <c:dLbls>
          <c:showLegendKey val="0"/>
          <c:showVal val="0"/>
          <c:showCatName val="0"/>
          <c:showSerName val="0"/>
          <c:showPercent val="0"/>
          <c:showBubbleSize val="0"/>
        </c:dLbls>
        <c:smooth val="0"/>
        <c:axId val="1876331488"/>
        <c:axId val="1876330048"/>
      </c:lineChart>
      <c:catAx>
        <c:axId val="187633148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76330048"/>
        <c:crosses val="autoZero"/>
        <c:auto val="1"/>
        <c:lblAlgn val="ctr"/>
        <c:lblOffset val="100"/>
        <c:noMultiLvlLbl val="0"/>
      </c:catAx>
      <c:valAx>
        <c:axId val="1876330048"/>
        <c:scaling>
          <c:orientation val="minMax"/>
        </c:scaling>
        <c:delete val="0"/>
        <c:axPos val="l"/>
        <c:numFmt formatCode="&quot;$&quot;#,###,&quot;B&quot;;\(&quot;$&quot;#,###,&quot;B&quot;\);&quot;$&quot;0,&quot;B&quot;" sourceLinked="0"/>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76331488"/>
        <c:crosses val="autoZero"/>
        <c:crossBetween val="between"/>
      </c:valAx>
      <c:spPr>
        <a:noFill/>
        <a:ln>
          <a:noFill/>
        </a:ln>
        <a:effectLst/>
      </c:spPr>
    </c:plotArea>
    <c:legend>
      <c:legendPos val="b"/>
      <c:layout>
        <c:manualLayout>
          <c:xMode val="edge"/>
          <c:yMode val="edge"/>
          <c:x val="3.7759842519685033E-2"/>
          <c:y val="5.2351997666958305E-2"/>
          <c:w val="0.73003565179352581"/>
          <c:h val="7.727763196267133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344734955628537"/>
          <c:y val="5.8422818104298738E-2"/>
          <c:w val="0.80156399612020268"/>
          <c:h val="0.80019145287135396"/>
        </c:manualLayout>
      </c:layout>
      <c:barChart>
        <c:barDir val="col"/>
        <c:grouping val="clustered"/>
        <c:varyColors val="0"/>
        <c:ser>
          <c:idx val="0"/>
          <c:order val="0"/>
          <c:tx>
            <c:strRef>
              <c:f>Charts!$E$49</c:f>
              <c:strCache>
                <c:ptCount val="1"/>
                <c:pt idx="0">
                  <c:v>Merchant Solutions Gross Profit</c:v>
                </c:pt>
              </c:strCache>
            </c:strRef>
          </c:tx>
          <c:spPr>
            <a:solidFill>
              <a:schemeClr val="accent1"/>
            </a:solidFill>
            <a:ln>
              <a:noFill/>
            </a:ln>
            <a:effectLst/>
          </c:spPr>
          <c:invertIfNegative val="0"/>
          <c:dLbls>
            <c:numFmt formatCode="&quot;$&quot;0.0,&quot;B&quot;;\(&quot;$&quot;0.0,&quot;B&quot;\);&quot;-&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Charts!$CT$38:$DE$38</c:f>
              <c:numCache>
                <c:formatCode>General</c:formatCode>
                <c:ptCount val="12"/>
              </c:numCache>
            </c:numRef>
          </c:cat>
          <c:val>
            <c:numRef>
              <c:f>Charts!$CT$49:$DE$49</c:f>
              <c:numCache>
                <c:formatCode>"$"#,##0.0,"B"_);\("$"#,##0.0"B"\);"$"#,##0.00_);@_)</c:formatCode>
                <c:ptCount val="12"/>
                <c:pt idx="0">
                  <c:v>60.36699999999999</c:v>
                </c:pt>
                <c:pt idx="1">
                  <c:v>131.48899999999998</c:v>
                </c:pt>
                <c:pt idx="2">
                  <c:v>232.261</c:v>
                </c:pt>
                <c:pt idx="3">
                  <c:v>351.55700000000002</c:v>
                </c:pt>
                <c:pt idx="4">
                  <c:v>826.29499999999996</c:v>
                </c:pt>
                <c:pt idx="5">
                  <c:v>1403.1610000000001</c:v>
                </c:pt>
                <c:pt idx="6">
                  <c:v>1597.2269999999999</c:v>
                </c:pt>
                <c:pt idx="7">
                  <c:v>2032</c:v>
                </c:pt>
                <c:pt idx="8">
                  <c:v>2556</c:v>
                </c:pt>
                <c:pt idx="9">
                  <c:v>#N/A</c:v>
                </c:pt>
                <c:pt idx="10">
                  <c:v>4517.1066834489739</c:v>
                </c:pt>
                <c:pt idx="11">
                  <c:v>5760.7553362939634</c:v>
                </c:pt>
              </c:numCache>
            </c:numRef>
          </c:val>
          <c:extLst>
            <c:ext xmlns:c16="http://schemas.microsoft.com/office/drawing/2014/chart" uri="{C3380CC4-5D6E-409C-BE32-E72D297353CC}">
              <c16:uniqueId val="{00000000-95CD-4672-A3EA-DF62D571BBDA}"/>
            </c:ext>
          </c:extLst>
        </c:ser>
        <c:dLbls>
          <c:showLegendKey val="0"/>
          <c:showVal val="0"/>
          <c:showCatName val="0"/>
          <c:showSerName val="0"/>
          <c:showPercent val="0"/>
          <c:showBubbleSize val="0"/>
        </c:dLbls>
        <c:gapWidth val="20"/>
        <c:axId val="965551856"/>
        <c:axId val="965550416"/>
      </c:barChart>
      <c:lineChart>
        <c:grouping val="standard"/>
        <c:varyColors val="0"/>
        <c:ser>
          <c:idx val="1"/>
          <c:order val="1"/>
          <c:tx>
            <c:strRef>
              <c:f>Charts!$E$54</c:f>
              <c:strCache>
                <c:ptCount val="1"/>
                <c:pt idx="0">
                  <c:v>Merchant Solutions Gross margin </c:v>
                </c:pt>
              </c:strCache>
            </c:strRef>
          </c:tx>
          <c:spPr>
            <a:ln w="28575" cap="rnd">
              <a:solidFill>
                <a:schemeClr val="accent3"/>
              </a:solidFill>
              <a:round/>
            </a:ln>
            <a:effectLst/>
          </c:spPr>
          <c:marker>
            <c:symbol val="none"/>
          </c:marker>
          <c:dLbls>
            <c:dLbl>
              <c:idx val="10"/>
              <c:layout>
                <c:manualLayout>
                  <c:x val="-4.4462363540089506E-2"/>
                  <c:y val="3.899389922428319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D5C-4C83-B592-D67A4E8CDD5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Charts!$CT$4:$DA$4</c:f>
              <c:strCache>
                <c:ptCount val="8"/>
                <c:pt idx="0">
                  <c:v>2016A</c:v>
                </c:pt>
                <c:pt idx="1">
                  <c:v>2017A</c:v>
                </c:pt>
                <c:pt idx="2">
                  <c:v>2018A</c:v>
                </c:pt>
                <c:pt idx="3">
                  <c:v>2019A</c:v>
                </c:pt>
                <c:pt idx="4">
                  <c:v>2020A</c:v>
                </c:pt>
                <c:pt idx="5">
                  <c:v>2021A</c:v>
                </c:pt>
                <c:pt idx="6">
                  <c:v>2022A</c:v>
                </c:pt>
                <c:pt idx="7">
                  <c:v>2023A</c:v>
                </c:pt>
              </c:strCache>
            </c:strRef>
          </c:cat>
          <c:val>
            <c:numRef>
              <c:f>Charts!$CT$54:$DE$54</c:f>
              <c:numCache>
                <c:formatCode>0.0%_);\(0.0%\);0.0%_);@_)</c:formatCode>
                <c:ptCount val="12"/>
                <c:pt idx="0">
                  <c:v>0.30074629839979272</c:v>
                </c:pt>
                <c:pt idx="1">
                  <c:v>0.36195643496764135</c:v>
                </c:pt>
                <c:pt idx="2">
                  <c:v>0.38186188516571778</c:v>
                </c:pt>
                <c:pt idx="3">
                  <c:v>0.37562237427505418</c:v>
                </c:pt>
                <c:pt idx="4">
                  <c:v>0.40890834716494107</c:v>
                </c:pt>
                <c:pt idx="5">
                  <c:v>0.42916395730018031</c:v>
                </c:pt>
                <c:pt idx="6">
                  <c:v>0.38842077232950034</c:v>
                </c:pt>
                <c:pt idx="7">
                  <c:v>0.38904843959410301</c:v>
                </c:pt>
                <c:pt idx="8">
                  <c:v>0.39142419601837675</c:v>
                </c:pt>
                <c:pt idx="9">
                  <c:v>#N/A</c:v>
                </c:pt>
                <c:pt idx="10">
                  <c:v>0.38074909315477251</c:v>
                </c:pt>
                <c:pt idx="11">
                  <c:v>0.38133658437646639</c:v>
                </c:pt>
              </c:numCache>
            </c:numRef>
          </c:val>
          <c:smooth val="1"/>
          <c:extLst>
            <c:ext xmlns:c16="http://schemas.microsoft.com/office/drawing/2014/chart" uri="{C3380CC4-5D6E-409C-BE32-E72D297353CC}">
              <c16:uniqueId val="{00000001-95CD-4672-A3EA-DF62D571BBDA}"/>
            </c:ext>
          </c:extLst>
        </c:ser>
        <c:dLbls>
          <c:showLegendKey val="0"/>
          <c:showVal val="0"/>
          <c:showCatName val="0"/>
          <c:showSerName val="0"/>
          <c:showPercent val="0"/>
          <c:showBubbleSize val="0"/>
        </c:dLbls>
        <c:marker val="1"/>
        <c:smooth val="0"/>
        <c:axId val="1316696208"/>
        <c:axId val="1316699568"/>
      </c:lineChart>
      <c:catAx>
        <c:axId val="96555185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65550416"/>
        <c:crosses val="autoZero"/>
        <c:auto val="1"/>
        <c:lblAlgn val="ctr"/>
        <c:lblOffset val="100"/>
        <c:noMultiLvlLbl val="0"/>
      </c:catAx>
      <c:valAx>
        <c:axId val="965550416"/>
        <c:scaling>
          <c:orientation val="minMax"/>
          <c:min val="-500"/>
        </c:scaling>
        <c:delete val="0"/>
        <c:axPos val="l"/>
        <c:numFmt formatCode="&quot;$&quot;0,&quot;B&quot;;\(&quot;$&quot;0,&quot;B&quot;\);&quot;-&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65551856"/>
        <c:crosses val="autoZero"/>
        <c:crossBetween val="between"/>
      </c:valAx>
      <c:valAx>
        <c:axId val="1316699568"/>
        <c:scaling>
          <c:orientation val="minMax"/>
        </c:scaling>
        <c:delete val="0"/>
        <c:axPos val="r"/>
        <c:numFmt formatCode="0%_);\(0%\);0%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6696208"/>
        <c:crosses val="max"/>
        <c:crossBetween val="between"/>
      </c:valAx>
      <c:catAx>
        <c:axId val="1316696208"/>
        <c:scaling>
          <c:orientation val="minMax"/>
        </c:scaling>
        <c:delete val="1"/>
        <c:axPos val="b"/>
        <c:numFmt formatCode="General" sourceLinked="1"/>
        <c:majorTickMark val="none"/>
        <c:minorTickMark val="none"/>
        <c:tickLblPos val="nextTo"/>
        <c:crossAx val="1316699568"/>
        <c:crosses val="autoZero"/>
        <c:auto val="1"/>
        <c:lblAlgn val="ctr"/>
        <c:lblOffset val="100"/>
        <c:noMultiLvlLbl val="0"/>
      </c:catAx>
      <c:spPr>
        <a:noFill/>
        <a:ln>
          <a:noFill/>
        </a:ln>
        <a:effectLst/>
      </c:spPr>
    </c:plotArea>
    <c:legend>
      <c:legendPos val="b"/>
      <c:layout>
        <c:manualLayout>
          <c:xMode val="edge"/>
          <c:yMode val="edge"/>
          <c:x val="0.10639444944379975"/>
          <c:y val="4.9408970940010739E-3"/>
          <c:w val="0.70930599745823886"/>
          <c:h val="8.865380360983594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3.3865071336437735E-2"/>
          <c:y val="5.8422818104298738E-2"/>
          <c:w val="0.93862009779383604"/>
          <c:h val="0.80019145287135396"/>
        </c:manualLayout>
      </c:layout>
      <c:barChart>
        <c:barDir val="col"/>
        <c:grouping val="clustered"/>
        <c:varyColors val="0"/>
        <c:ser>
          <c:idx val="0"/>
          <c:order val="0"/>
          <c:tx>
            <c:strRef>
              <c:f>Charts!$E$58</c:f>
              <c:strCache>
                <c:ptCount val="1"/>
                <c:pt idx="0">
                  <c:v>Selling and Marketing </c:v>
                </c:pt>
              </c:strCache>
            </c:strRef>
          </c:tx>
          <c:spPr>
            <a:solidFill>
              <a:schemeClr val="accent1"/>
            </a:solidFill>
            <a:ln>
              <a:noFill/>
            </a:ln>
            <a:effectLst/>
          </c:spPr>
          <c:invertIfNegative val="0"/>
          <c:dLbls>
            <c:numFmt formatCode="&quot;$&quot;0.0,&quot;B&quot;;\(&quot;$&quot;0.0,&quot;B&quot;\);&quot;-&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Charts!$CT$38:$DE$38</c:f>
              <c:numCache>
                <c:formatCode>General</c:formatCode>
                <c:ptCount val="12"/>
              </c:numCache>
            </c:numRef>
          </c:cat>
          <c:val>
            <c:numRef>
              <c:f>Charts!$CT$58:$DE$58</c:f>
              <c:numCache>
                <c:formatCode>"$"#,##0.0,"B"_);\("$"#,##0.0"B"\);"$"#,##0.00_);@_)</c:formatCode>
                <c:ptCount val="12"/>
                <c:pt idx="0">
                  <c:v>129.214</c:v>
                </c:pt>
                <c:pt idx="1">
                  <c:v>225.69400000000002</c:v>
                </c:pt>
                <c:pt idx="2">
                  <c:v>350.06900000000002</c:v>
                </c:pt>
                <c:pt idx="3">
                  <c:v>472.84100000000001</c:v>
                </c:pt>
                <c:pt idx="4">
                  <c:v>602.048</c:v>
                </c:pt>
                <c:pt idx="5">
                  <c:v>901.55700000000013</c:v>
                </c:pt>
                <c:pt idx="6">
                  <c:v>1230.4899999999998</c:v>
                </c:pt>
                <c:pt idx="7">
                  <c:v>1220</c:v>
                </c:pt>
                <c:pt idx="8">
                  <c:v>1393</c:v>
                </c:pt>
                <c:pt idx="9">
                  <c:v>#N/A</c:v>
                </c:pt>
                <c:pt idx="10">
                  <c:v>2012.6509693873518</c:v>
                </c:pt>
                <c:pt idx="11">
                  <c:v>2381.2663102917163</c:v>
                </c:pt>
              </c:numCache>
            </c:numRef>
          </c:val>
          <c:extLst>
            <c:ext xmlns:c16="http://schemas.microsoft.com/office/drawing/2014/chart" uri="{C3380CC4-5D6E-409C-BE32-E72D297353CC}">
              <c16:uniqueId val="{00000000-95CD-4672-A3EA-DF62D571BBDA}"/>
            </c:ext>
          </c:extLst>
        </c:ser>
        <c:dLbls>
          <c:showLegendKey val="0"/>
          <c:showVal val="0"/>
          <c:showCatName val="0"/>
          <c:showSerName val="0"/>
          <c:showPercent val="0"/>
          <c:showBubbleSize val="0"/>
        </c:dLbls>
        <c:gapWidth val="20"/>
        <c:axId val="965551856"/>
        <c:axId val="965550416"/>
      </c:barChart>
      <c:lineChart>
        <c:grouping val="standard"/>
        <c:varyColors val="0"/>
        <c:ser>
          <c:idx val="1"/>
          <c:order val="1"/>
          <c:tx>
            <c:strRef>
              <c:f>Charts!$E$59</c:f>
              <c:strCache>
                <c:ptCount val="1"/>
                <c:pt idx="0">
                  <c:v>% of revenue </c:v>
                </c:pt>
              </c:strCache>
            </c:strRef>
          </c:tx>
          <c:spPr>
            <a:ln w="28575" cap="rnd">
              <a:solidFill>
                <a:schemeClr val="accent3"/>
              </a:solidFill>
              <a:round/>
            </a:ln>
            <a:effectLst/>
          </c:spPr>
          <c:marker>
            <c:symbol val="none"/>
          </c:marker>
          <c:dLbls>
            <c:dLbl>
              <c:idx val="7"/>
              <c:layout>
                <c:manualLayout>
                  <c:x val="-4.3378311989598677E-2"/>
                  <c:y val="4.941289947221123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0FA-4E31-B815-35363AE7407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Charts!$CT$4:$DA$4</c:f>
              <c:strCache>
                <c:ptCount val="8"/>
                <c:pt idx="0">
                  <c:v>2016A</c:v>
                </c:pt>
                <c:pt idx="1">
                  <c:v>2017A</c:v>
                </c:pt>
                <c:pt idx="2">
                  <c:v>2018A</c:v>
                </c:pt>
                <c:pt idx="3">
                  <c:v>2019A</c:v>
                </c:pt>
                <c:pt idx="4">
                  <c:v>2020A</c:v>
                </c:pt>
                <c:pt idx="5">
                  <c:v>2021A</c:v>
                </c:pt>
                <c:pt idx="6">
                  <c:v>2022A</c:v>
                </c:pt>
                <c:pt idx="7">
                  <c:v>2023A</c:v>
                </c:pt>
              </c:strCache>
            </c:strRef>
          </c:cat>
          <c:val>
            <c:numRef>
              <c:f>Charts!$CT$59:$DE$59</c:f>
              <c:numCache>
                <c:formatCode>0.0%_);\(0.0%\);0.0%_);@_)</c:formatCode>
                <c:ptCount val="12"/>
                <c:pt idx="0">
                  <c:v>0.33188811548044078</c:v>
                </c:pt>
                <c:pt idx="1">
                  <c:v>0.33520371184487247</c:v>
                </c:pt>
                <c:pt idx="2">
                  <c:v>0.32618294883943694</c:v>
                </c:pt>
                <c:pt idx="3">
                  <c:v>0.29961290682326969</c:v>
                </c:pt>
                <c:pt idx="4">
                  <c:v>0.20551283482352395</c:v>
                </c:pt>
                <c:pt idx="5">
                  <c:v>0.19548680617955116</c:v>
                </c:pt>
                <c:pt idx="6">
                  <c:v>0.21973569358112977</c:v>
                </c:pt>
                <c:pt idx="7">
                  <c:v>0.17280453257790368</c:v>
                </c:pt>
                <c:pt idx="8">
                  <c:v>0.15686936936936938</c:v>
                </c:pt>
                <c:pt idx="9">
                  <c:v>#N/A</c:v>
                </c:pt>
                <c:pt idx="10">
                  <c:v>0.13230953047526492</c:v>
                </c:pt>
                <c:pt idx="11">
                  <c:v>0.12445027248862665</c:v>
                </c:pt>
              </c:numCache>
            </c:numRef>
          </c:val>
          <c:smooth val="1"/>
          <c:extLst>
            <c:ext xmlns:c16="http://schemas.microsoft.com/office/drawing/2014/chart" uri="{C3380CC4-5D6E-409C-BE32-E72D297353CC}">
              <c16:uniqueId val="{00000001-95CD-4672-A3EA-DF62D571BBDA}"/>
            </c:ext>
          </c:extLst>
        </c:ser>
        <c:dLbls>
          <c:showLegendKey val="0"/>
          <c:showVal val="0"/>
          <c:showCatName val="0"/>
          <c:showSerName val="0"/>
          <c:showPercent val="0"/>
          <c:showBubbleSize val="0"/>
        </c:dLbls>
        <c:marker val="1"/>
        <c:smooth val="0"/>
        <c:axId val="1316696208"/>
        <c:axId val="1316699568"/>
      </c:lineChart>
      <c:catAx>
        <c:axId val="96555185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65550416"/>
        <c:crosses val="autoZero"/>
        <c:auto val="1"/>
        <c:lblAlgn val="ctr"/>
        <c:lblOffset val="100"/>
        <c:noMultiLvlLbl val="0"/>
      </c:catAx>
      <c:valAx>
        <c:axId val="965550416"/>
        <c:scaling>
          <c:orientation val="minMax"/>
        </c:scaling>
        <c:delete val="0"/>
        <c:axPos val="l"/>
        <c:numFmt formatCode="&quot;$&quot;0.0,&quot;B&quot;;\(&quot;$&quot;0.0,&quot;B&quot;\);&quot;-&quot;" sourceLinked="0"/>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65551856"/>
        <c:crosses val="autoZero"/>
        <c:crossBetween val="between"/>
      </c:valAx>
      <c:valAx>
        <c:axId val="1316699568"/>
        <c:scaling>
          <c:orientation val="minMax"/>
        </c:scaling>
        <c:delete val="0"/>
        <c:axPos val="r"/>
        <c:numFmt formatCode="0%_);\(0%\);0%_);@_)" sourceLinked="0"/>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6696208"/>
        <c:crosses val="max"/>
        <c:crossBetween val="between"/>
      </c:valAx>
      <c:catAx>
        <c:axId val="1316696208"/>
        <c:scaling>
          <c:orientation val="minMax"/>
        </c:scaling>
        <c:delete val="1"/>
        <c:axPos val="b"/>
        <c:numFmt formatCode="General" sourceLinked="1"/>
        <c:majorTickMark val="none"/>
        <c:minorTickMark val="none"/>
        <c:tickLblPos val="nextTo"/>
        <c:crossAx val="1316699568"/>
        <c:crosses val="autoZero"/>
        <c:auto val="1"/>
        <c:lblAlgn val="ctr"/>
        <c:lblOffset val="100"/>
        <c:noMultiLvlLbl val="0"/>
      </c:catAx>
      <c:spPr>
        <a:noFill/>
        <a:ln>
          <a:noFill/>
        </a:ln>
        <a:effectLst/>
      </c:spPr>
    </c:plotArea>
    <c:legend>
      <c:legendPos val="b"/>
      <c:layout>
        <c:manualLayout>
          <c:xMode val="edge"/>
          <c:yMode val="edge"/>
          <c:x val="0.26283421308178939"/>
          <c:y val="3.9857600722751615E-2"/>
          <c:w val="0.5261185886826516"/>
          <c:h val="8.865380360983594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898136789904473E-2"/>
          <c:y val="7.2877028721931067E-2"/>
          <c:w val="0.91861145701550695"/>
          <c:h val="0.86308631590944007"/>
        </c:manualLayout>
      </c:layout>
      <c:barChart>
        <c:barDir val="col"/>
        <c:grouping val="clustered"/>
        <c:varyColors val="0"/>
        <c:ser>
          <c:idx val="0"/>
          <c:order val="0"/>
          <c:tx>
            <c:strRef>
              <c:f>Charts!$E$58</c:f>
              <c:strCache>
                <c:ptCount val="1"/>
                <c:pt idx="0">
                  <c:v>Selling and Marketing </c:v>
                </c:pt>
              </c:strCache>
            </c:strRef>
          </c:tx>
          <c:spPr>
            <a:solidFill>
              <a:schemeClr val="accent1"/>
            </a:solidFill>
            <a:ln>
              <a:noFill/>
            </a:ln>
            <a:effectLst/>
          </c:spPr>
          <c:invertIfNegative val="0"/>
          <c:dPt>
            <c:idx val="1"/>
            <c:invertIfNegative val="0"/>
            <c:bubble3D val="0"/>
            <c:extLst>
              <c:ext xmlns:c16="http://schemas.microsoft.com/office/drawing/2014/chart" uri="{C3380CC4-5D6E-409C-BE32-E72D297353CC}">
                <c16:uniqueId val="{00000000-D2F2-471D-B86F-4D662A1C2744}"/>
              </c:ext>
            </c:extLst>
          </c:dPt>
          <c:dPt>
            <c:idx val="2"/>
            <c:invertIfNegative val="0"/>
            <c:bubble3D val="0"/>
            <c:extLst>
              <c:ext xmlns:c16="http://schemas.microsoft.com/office/drawing/2014/chart" uri="{C3380CC4-5D6E-409C-BE32-E72D297353CC}">
                <c16:uniqueId val="{00000001-D2F2-471D-B86F-4D662A1C2744}"/>
              </c:ext>
            </c:extLst>
          </c:dPt>
          <c:dPt>
            <c:idx val="8"/>
            <c:invertIfNegative val="0"/>
            <c:bubble3D val="0"/>
            <c:extLst>
              <c:ext xmlns:c16="http://schemas.microsoft.com/office/drawing/2014/chart" uri="{C3380CC4-5D6E-409C-BE32-E72D297353CC}">
                <c16:uniqueId val="{00000002-D2F2-471D-B86F-4D662A1C2744}"/>
              </c:ext>
            </c:extLst>
          </c:dPt>
          <c:dPt>
            <c:idx val="9"/>
            <c:invertIfNegative val="0"/>
            <c:bubble3D val="0"/>
            <c:extLst>
              <c:ext xmlns:c16="http://schemas.microsoft.com/office/drawing/2014/chart" uri="{C3380CC4-5D6E-409C-BE32-E72D297353CC}">
                <c16:uniqueId val="{00000003-D2F2-471D-B86F-4D662A1C2744}"/>
              </c:ext>
            </c:extLst>
          </c:dPt>
          <c:cat>
            <c:numRef>
              <c:f>Charts!$V$38:$BA$38</c:f>
              <c:numCache>
                <c:formatCode>General</c:formatCode>
                <c:ptCount val="32"/>
              </c:numCache>
            </c:numRef>
          </c:cat>
          <c:val>
            <c:numRef>
              <c:f>Charts!$V$58:$BA$58</c:f>
              <c:numCache>
                <c:formatCode>0.0</c:formatCode>
                <c:ptCount val="32"/>
                <c:pt idx="0">
                  <c:v>154.86199999999999</c:v>
                </c:pt>
                <c:pt idx="1">
                  <c:v>144.85</c:v>
                </c:pt>
                <c:pt idx="2">
                  <c:v>147.608</c:v>
                </c:pt>
                <c:pt idx="3">
                  <c:v>154.72800000000001</c:v>
                </c:pt>
                <c:pt idx="4">
                  <c:v>186.22300000000001</c:v>
                </c:pt>
                <c:pt idx="5">
                  <c:v>201.91</c:v>
                </c:pt>
                <c:pt idx="6">
                  <c:v>237.94900000000001</c:v>
                </c:pt>
                <c:pt idx="7">
                  <c:v>275.47500000000002</c:v>
                </c:pt>
                <c:pt idx="8">
                  <c:v>303.37099999999998</c:v>
                </c:pt>
                <c:pt idx="9">
                  <c:v>326.90199999999999</c:v>
                </c:pt>
                <c:pt idx="10">
                  <c:v>302.476</c:v>
                </c:pt>
                <c:pt idx="11">
                  <c:v>297.74099999999999</c:v>
                </c:pt>
                <c:pt idx="12">
                  <c:v>287</c:v>
                </c:pt>
                <c:pt idx="13">
                  <c:v>321</c:v>
                </c:pt>
                <c:pt idx="14">
                  <c:v>295</c:v>
                </c:pt>
                <c:pt idx="15">
                  <c:v>317</c:v>
                </c:pt>
                <c:pt idx="16">
                  <c:v>361</c:v>
                </c:pt>
                <c:pt idx="17">
                  <c:v>353</c:v>
                </c:pt>
                <c:pt idx="18">
                  <c:v>331</c:v>
                </c:pt>
                <c:pt idx="19">
                  <c:v>348</c:v>
                </c:pt>
                <c:pt idx="20">
                  <c:v>405</c:v>
                </c:pt>
                <c:pt idx="21">
                  <c:v>415</c:v>
                </c:pt>
                <c:pt idx="22">
                  <c:v>410</c:v>
                </c:pt>
                <c:pt idx="23">
                  <c:v>433</c:v>
                </c:pt>
                <c:pt idx="24">
                  <c:v>496</c:v>
                </c:pt>
                <c:pt idx="25">
                  <c:v>498</c:v>
                </c:pt>
                <c:pt idx="26">
                  <c:v>501.30979560806082</c:v>
                </c:pt>
                <c:pt idx="27">
                  <c:v>517.34117377929113</c:v>
                </c:pt>
                <c:pt idx="28">
                  <c:v>599.08189694706152</c:v>
                </c:pt>
                <c:pt idx="29">
                  <c:v>594.92171507281842</c:v>
                </c:pt>
                <c:pt idx="30">
                  <c:v>590.25013113907357</c:v>
                </c:pt>
                <c:pt idx="31">
                  <c:v>597.01256713276291</c:v>
                </c:pt>
              </c:numCache>
            </c:numRef>
          </c:val>
          <c:extLst>
            <c:ext xmlns:c16="http://schemas.microsoft.com/office/drawing/2014/chart" uri="{C3380CC4-5D6E-409C-BE32-E72D297353CC}">
              <c16:uniqueId val="{00000004-D2F2-471D-B86F-4D662A1C2744}"/>
            </c:ext>
          </c:extLst>
        </c:ser>
        <c:dLbls>
          <c:showLegendKey val="0"/>
          <c:showVal val="0"/>
          <c:showCatName val="0"/>
          <c:showSerName val="0"/>
          <c:showPercent val="0"/>
          <c:showBubbleSize val="0"/>
        </c:dLbls>
        <c:gapWidth val="30"/>
        <c:axId val="945418624"/>
        <c:axId val="945420160"/>
      </c:barChart>
      <c:lineChart>
        <c:grouping val="standard"/>
        <c:varyColors val="0"/>
        <c:ser>
          <c:idx val="1"/>
          <c:order val="1"/>
          <c:tx>
            <c:strRef>
              <c:f>Charts!$E$59</c:f>
              <c:strCache>
                <c:ptCount val="1"/>
                <c:pt idx="0">
                  <c:v>% of revenue </c:v>
                </c:pt>
              </c:strCache>
            </c:strRef>
          </c:tx>
          <c:spPr>
            <a:ln w="19050" cap="rnd" cmpd="sng" algn="ctr">
              <a:solidFill>
                <a:schemeClr val="accent3"/>
              </a:solidFill>
              <a:prstDash val="solid"/>
              <a:round/>
            </a:ln>
            <a:effectLst/>
          </c:spPr>
          <c:marker>
            <c:symbol val="none"/>
          </c:marker>
          <c:cat>
            <c:numRef>
              <c:f>Charts!$V$38:$BA$38</c:f>
              <c:numCache>
                <c:formatCode>General</c:formatCode>
                <c:ptCount val="32"/>
              </c:numCache>
            </c:numRef>
          </c:cat>
          <c:val>
            <c:numRef>
              <c:f>Charts!$V$59:$BA$59</c:f>
              <c:numCache>
                <c:formatCode>0.0%_);\(0.0%\);0.0%_);@_)</c:formatCode>
                <c:ptCount val="32"/>
                <c:pt idx="0">
                  <c:v>0.32949291597251923</c:v>
                </c:pt>
                <c:pt idx="1">
                  <c:v>0.20277430526877219</c:v>
                </c:pt>
                <c:pt idx="2">
                  <c:v>0.19234693545129367</c:v>
                </c:pt>
                <c:pt idx="3">
                  <c:v>0.15825001227315127</c:v>
                </c:pt>
                <c:pt idx="4">
                  <c:v>0.1883614677432896</c:v>
                </c:pt>
                <c:pt idx="5">
                  <c:v>0.18036616358999327</c:v>
                </c:pt>
                <c:pt idx="6">
                  <c:v>0.2117473792870237</c:v>
                </c:pt>
                <c:pt idx="7">
                  <c:v>0.19961609363315422</c:v>
                </c:pt>
                <c:pt idx="8">
                  <c:v>0.25204819116949406</c:v>
                </c:pt>
                <c:pt idx="9">
                  <c:v>0.25242169685953497</c:v>
                </c:pt>
                <c:pt idx="10">
                  <c:v>0.22139950226906749</c:v>
                </c:pt>
                <c:pt idx="11">
                  <c:v>0.17161082157814103</c:v>
                </c:pt>
                <c:pt idx="12">
                  <c:v>0.19031830238726791</c:v>
                </c:pt>
                <c:pt idx="13">
                  <c:v>0.18949232585596221</c:v>
                </c:pt>
                <c:pt idx="14">
                  <c:v>0.17211201866977829</c:v>
                </c:pt>
                <c:pt idx="15">
                  <c:v>0.14785447761194029</c:v>
                </c:pt>
                <c:pt idx="16">
                  <c:v>0.19398173025255239</c:v>
                </c:pt>
                <c:pt idx="17">
                  <c:v>0.1726161369193154</c:v>
                </c:pt>
                <c:pt idx="18">
                  <c:v>0.15309898242368178</c:v>
                </c:pt>
                <c:pt idx="19">
                  <c:v>0.12375533428165007</c:v>
                </c:pt>
                <c:pt idx="20">
                  <c:v>0.17161016949152541</c:v>
                </c:pt>
                <c:pt idx="21">
                  <c:v>0.15485074626865672</c:v>
                </c:pt>
                <c:pt idx="22">
                  <c:v>0.14416315049226441</c:v>
                </c:pt>
                <c:pt idx="23">
                  <c:v>0.11791938997821351</c:v>
                </c:pt>
                <c:pt idx="24">
                  <c:v>0.15646687697160883</c:v>
                </c:pt>
                <c:pt idx="25">
                  <c:v>0.13898967345799609</c:v>
                </c:pt>
                <c:pt idx="26">
                  <c:v>0.13516315049226441</c:v>
                </c:pt>
                <c:pt idx="27">
                  <c:v>0.10891938997821352</c:v>
                </c:pt>
                <c:pt idx="28">
                  <c:v>0.14846687697160882</c:v>
                </c:pt>
                <c:pt idx="29">
                  <c:v>0.13098967345799609</c:v>
                </c:pt>
                <c:pt idx="30">
                  <c:v>0.1271631504922644</c:v>
                </c:pt>
                <c:pt idx="31">
                  <c:v>0.10091938997821351</c:v>
                </c:pt>
              </c:numCache>
            </c:numRef>
          </c:val>
          <c:smooth val="1"/>
          <c:extLst>
            <c:ext xmlns:c16="http://schemas.microsoft.com/office/drawing/2014/chart" uri="{C3380CC4-5D6E-409C-BE32-E72D297353CC}">
              <c16:uniqueId val="{00000005-D2F2-471D-B86F-4D662A1C2744}"/>
            </c:ext>
          </c:extLst>
        </c:ser>
        <c:dLbls>
          <c:showLegendKey val="0"/>
          <c:showVal val="0"/>
          <c:showCatName val="0"/>
          <c:showSerName val="0"/>
          <c:showPercent val="0"/>
          <c:showBubbleSize val="0"/>
        </c:dLbls>
        <c:marker val="1"/>
        <c:smooth val="0"/>
        <c:axId val="200588160"/>
        <c:axId val="227166032"/>
      </c:lineChart>
      <c:catAx>
        <c:axId val="945418624"/>
        <c:scaling>
          <c:orientation val="minMax"/>
        </c:scaling>
        <c:delete val="0"/>
        <c:axPos val="b"/>
        <c:majorGridlines>
          <c:spPr>
            <a:ln w="3175" cap="sq" cmpd="sng" algn="ctr">
              <a:noFill/>
              <a:prstDash val="dot"/>
              <a:round/>
            </a:ln>
            <a:effectLst/>
          </c:spPr>
        </c:majorGridlines>
        <c:numFmt formatCode="General" sourceLinked="0"/>
        <c:majorTickMark val="out"/>
        <c:minorTickMark val="none"/>
        <c:tickLblPos val="nextTo"/>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rot="-3360000" spcFirstLastPara="1" vertOverflow="ellipsis"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945420160"/>
        <c:crosses val="autoZero"/>
        <c:auto val="1"/>
        <c:lblAlgn val="ctr"/>
        <c:lblOffset val="100"/>
        <c:noMultiLvlLbl val="0"/>
      </c:catAx>
      <c:valAx>
        <c:axId val="945420160"/>
        <c:scaling>
          <c:orientation val="minMax"/>
        </c:scaling>
        <c:delete val="0"/>
        <c:axPos val="l"/>
        <c:majorGridlines>
          <c:spPr>
            <a:ln w="3175" cap="sq" cmpd="sng" algn="ctr">
              <a:solidFill>
                <a:srgbClr val="C0C0C0"/>
              </a:solidFill>
              <a:prstDash val="dot"/>
              <a:round/>
            </a:ln>
            <a:effectLst/>
          </c:spPr>
        </c:majorGridlines>
        <c:numFmt formatCode="#,##0" sourceLinked="0"/>
        <c:majorTickMark val="out"/>
        <c:minorTickMark val="none"/>
        <c:tickLblPos val="nextTo"/>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rot="-6000000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945418624"/>
        <c:crosses val="autoZero"/>
        <c:crossBetween val="between"/>
      </c:valAx>
      <c:valAx>
        <c:axId val="227166032"/>
        <c:scaling>
          <c:orientation val="minMax"/>
        </c:scaling>
        <c:delete val="0"/>
        <c:axPos val="r"/>
        <c:numFmt formatCode="0%" sourceLinked="0"/>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200588160"/>
        <c:crosses val="max"/>
        <c:crossBetween val="between"/>
        <c:majorUnit val="2.5000000000000005E-2"/>
      </c:valAx>
      <c:catAx>
        <c:axId val="200588160"/>
        <c:scaling>
          <c:orientation val="minMax"/>
        </c:scaling>
        <c:delete val="1"/>
        <c:axPos val="b"/>
        <c:numFmt formatCode="General" sourceLinked="1"/>
        <c:majorTickMark val="out"/>
        <c:minorTickMark val="none"/>
        <c:tickLblPos val="nextTo"/>
        <c:crossAx val="227166032"/>
        <c:crosses val="autoZero"/>
        <c:auto val="1"/>
        <c:lblAlgn val="ctr"/>
        <c:lblOffset val="100"/>
        <c:noMultiLvlLbl val="0"/>
      </c:catAx>
      <c:spPr>
        <a:noFill/>
        <a:ln>
          <a:noFill/>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a:noFill/>
              <a:round/>
            </a14:hiddenLine>
          </a:ext>
        </a:extLst>
      </c:spPr>
    </c:plotArea>
    <c:legend>
      <c:legendPos val="t"/>
      <c:layout>
        <c:manualLayout>
          <c:xMode val="edge"/>
          <c:yMode val="edge"/>
          <c:x val="0.2237042490452566"/>
          <c:y val="5.7139349888956185E-2"/>
          <c:w val="0.37612856159571517"/>
          <c:h val="0.16001389057137089"/>
        </c:manualLayout>
      </c:layout>
      <c:overlay val="1"/>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legend>
    <c:plotVisOnly val="1"/>
    <c:dispBlanksAs val="gap"/>
    <c:showDLblsOverMax val="0"/>
  </c:chart>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a:lstStyle/>
    <a:p>
      <a:pPr>
        <a:defRPr sz="800">
          <a:latin typeface="Roboto" panose="02000000000000000000" pitchFamily="2" charset="0"/>
          <a:ea typeface="Roboto" panose="02000000000000000000" pitchFamily="2" charset="0"/>
          <a:cs typeface="Roboto" panose="02000000000000000000" pitchFamily="2" charset="0"/>
        </a:defRPr>
      </a:pPr>
      <a:endParaRPr lang="en-US"/>
    </a:p>
  </c:txPr>
  <c:printSettings>
    <c:headerFooter/>
    <c:pageMargins b="0.75" l="0.7" r="0.7" t="0.75" header="0.3" footer="0.3"/>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4.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5.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6.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7.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3.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4.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6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13" Type="http://schemas.openxmlformats.org/officeDocument/2006/relationships/chart" Target="../charts/chart18.xml"/><Relationship Id="rId18" Type="http://schemas.openxmlformats.org/officeDocument/2006/relationships/chart" Target="../charts/chart23.xml"/><Relationship Id="rId26" Type="http://schemas.openxmlformats.org/officeDocument/2006/relationships/chart" Target="../charts/chart30.xml"/><Relationship Id="rId39" Type="http://schemas.openxmlformats.org/officeDocument/2006/relationships/chart" Target="../charts/chart43.xml"/><Relationship Id="rId21" Type="http://schemas.openxmlformats.org/officeDocument/2006/relationships/chart" Target="../charts/chart25.xml"/><Relationship Id="rId34" Type="http://schemas.openxmlformats.org/officeDocument/2006/relationships/chart" Target="../charts/chart38.xml"/><Relationship Id="rId42" Type="http://schemas.openxmlformats.org/officeDocument/2006/relationships/chart" Target="../charts/chart46.xml"/><Relationship Id="rId47" Type="http://schemas.openxmlformats.org/officeDocument/2006/relationships/chart" Target="../charts/chart51.xml"/><Relationship Id="rId50" Type="http://schemas.openxmlformats.org/officeDocument/2006/relationships/chart" Target="../charts/chart54.xml"/><Relationship Id="rId55" Type="http://schemas.openxmlformats.org/officeDocument/2006/relationships/chart" Target="../charts/chart59.xml"/><Relationship Id="rId7" Type="http://schemas.openxmlformats.org/officeDocument/2006/relationships/chart" Target="../charts/chart12.xml"/><Relationship Id="rId2" Type="http://schemas.openxmlformats.org/officeDocument/2006/relationships/chart" Target="../charts/chart7.xml"/><Relationship Id="rId16" Type="http://schemas.openxmlformats.org/officeDocument/2006/relationships/chart" Target="../charts/chart21.xml"/><Relationship Id="rId29" Type="http://schemas.openxmlformats.org/officeDocument/2006/relationships/chart" Target="../charts/chart33.xml"/><Relationship Id="rId11" Type="http://schemas.openxmlformats.org/officeDocument/2006/relationships/chart" Target="../charts/chart16.xml"/><Relationship Id="rId24" Type="http://schemas.openxmlformats.org/officeDocument/2006/relationships/chart" Target="../charts/chart28.xml"/><Relationship Id="rId32" Type="http://schemas.openxmlformats.org/officeDocument/2006/relationships/chart" Target="../charts/chart36.xml"/><Relationship Id="rId37" Type="http://schemas.openxmlformats.org/officeDocument/2006/relationships/chart" Target="../charts/chart41.xml"/><Relationship Id="rId40" Type="http://schemas.openxmlformats.org/officeDocument/2006/relationships/chart" Target="../charts/chart44.xml"/><Relationship Id="rId45" Type="http://schemas.openxmlformats.org/officeDocument/2006/relationships/chart" Target="../charts/chart49.xml"/><Relationship Id="rId53" Type="http://schemas.openxmlformats.org/officeDocument/2006/relationships/chart" Target="../charts/chart57.xml"/><Relationship Id="rId58" Type="http://schemas.openxmlformats.org/officeDocument/2006/relationships/chart" Target="../charts/chart62.xml"/><Relationship Id="rId5" Type="http://schemas.openxmlformats.org/officeDocument/2006/relationships/chart" Target="../charts/chart10.xml"/><Relationship Id="rId61" Type="http://schemas.openxmlformats.org/officeDocument/2006/relationships/chart" Target="../charts/chart65.xml"/><Relationship Id="rId19" Type="http://schemas.openxmlformats.org/officeDocument/2006/relationships/chart" Target="../charts/chart24.xml"/><Relationship Id="rId14" Type="http://schemas.openxmlformats.org/officeDocument/2006/relationships/chart" Target="../charts/chart19.xml"/><Relationship Id="rId22" Type="http://schemas.openxmlformats.org/officeDocument/2006/relationships/chart" Target="../charts/chart26.xml"/><Relationship Id="rId27" Type="http://schemas.openxmlformats.org/officeDocument/2006/relationships/chart" Target="../charts/chart31.xml"/><Relationship Id="rId30" Type="http://schemas.openxmlformats.org/officeDocument/2006/relationships/chart" Target="../charts/chart34.xml"/><Relationship Id="rId35" Type="http://schemas.openxmlformats.org/officeDocument/2006/relationships/chart" Target="../charts/chart39.xml"/><Relationship Id="rId43" Type="http://schemas.openxmlformats.org/officeDocument/2006/relationships/chart" Target="../charts/chart47.xml"/><Relationship Id="rId48" Type="http://schemas.openxmlformats.org/officeDocument/2006/relationships/chart" Target="../charts/chart52.xml"/><Relationship Id="rId56" Type="http://schemas.openxmlformats.org/officeDocument/2006/relationships/chart" Target="../charts/chart60.xml"/><Relationship Id="rId8" Type="http://schemas.openxmlformats.org/officeDocument/2006/relationships/chart" Target="../charts/chart13.xml"/><Relationship Id="rId51" Type="http://schemas.openxmlformats.org/officeDocument/2006/relationships/chart" Target="../charts/chart55.xml"/><Relationship Id="rId3" Type="http://schemas.openxmlformats.org/officeDocument/2006/relationships/chart" Target="../charts/chart8.xml"/><Relationship Id="rId12" Type="http://schemas.openxmlformats.org/officeDocument/2006/relationships/chart" Target="../charts/chart17.xml"/><Relationship Id="rId17" Type="http://schemas.openxmlformats.org/officeDocument/2006/relationships/chart" Target="../charts/chart22.xml"/><Relationship Id="rId25" Type="http://schemas.openxmlformats.org/officeDocument/2006/relationships/chart" Target="../charts/chart29.xml"/><Relationship Id="rId33" Type="http://schemas.openxmlformats.org/officeDocument/2006/relationships/chart" Target="../charts/chart37.xml"/><Relationship Id="rId38" Type="http://schemas.openxmlformats.org/officeDocument/2006/relationships/chart" Target="../charts/chart42.xml"/><Relationship Id="rId46" Type="http://schemas.openxmlformats.org/officeDocument/2006/relationships/chart" Target="../charts/chart50.xml"/><Relationship Id="rId59" Type="http://schemas.openxmlformats.org/officeDocument/2006/relationships/chart" Target="../charts/chart63.xml"/><Relationship Id="rId20" Type="http://schemas.openxmlformats.org/officeDocument/2006/relationships/image" Target="../media/image1.png"/><Relationship Id="rId41" Type="http://schemas.openxmlformats.org/officeDocument/2006/relationships/chart" Target="../charts/chart45.xml"/><Relationship Id="rId54" Type="http://schemas.openxmlformats.org/officeDocument/2006/relationships/chart" Target="../charts/chart58.xml"/><Relationship Id="rId1" Type="http://schemas.openxmlformats.org/officeDocument/2006/relationships/chart" Target="../charts/chart6.xml"/><Relationship Id="rId6" Type="http://schemas.openxmlformats.org/officeDocument/2006/relationships/chart" Target="../charts/chart11.xml"/><Relationship Id="rId15" Type="http://schemas.openxmlformats.org/officeDocument/2006/relationships/chart" Target="../charts/chart20.xml"/><Relationship Id="rId23" Type="http://schemas.openxmlformats.org/officeDocument/2006/relationships/chart" Target="../charts/chart27.xml"/><Relationship Id="rId28" Type="http://schemas.openxmlformats.org/officeDocument/2006/relationships/chart" Target="../charts/chart32.xml"/><Relationship Id="rId36" Type="http://schemas.openxmlformats.org/officeDocument/2006/relationships/chart" Target="../charts/chart40.xml"/><Relationship Id="rId49" Type="http://schemas.openxmlformats.org/officeDocument/2006/relationships/chart" Target="../charts/chart53.xml"/><Relationship Id="rId57" Type="http://schemas.openxmlformats.org/officeDocument/2006/relationships/chart" Target="../charts/chart61.xml"/><Relationship Id="rId10" Type="http://schemas.openxmlformats.org/officeDocument/2006/relationships/chart" Target="../charts/chart15.xml"/><Relationship Id="rId31" Type="http://schemas.openxmlformats.org/officeDocument/2006/relationships/chart" Target="../charts/chart35.xml"/><Relationship Id="rId44" Type="http://schemas.openxmlformats.org/officeDocument/2006/relationships/chart" Target="../charts/chart48.xml"/><Relationship Id="rId52" Type="http://schemas.openxmlformats.org/officeDocument/2006/relationships/chart" Target="../charts/chart56.xml"/><Relationship Id="rId60" Type="http://schemas.openxmlformats.org/officeDocument/2006/relationships/chart" Target="../charts/chart64.xml"/><Relationship Id="rId4" Type="http://schemas.openxmlformats.org/officeDocument/2006/relationships/chart" Target="../charts/chart9.xml"/><Relationship Id="rId9"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xdr:from>
      <xdr:col>6</xdr:col>
      <xdr:colOff>104775</xdr:colOff>
      <xdr:row>63</xdr:row>
      <xdr:rowOff>19049</xdr:rowOff>
    </xdr:from>
    <xdr:to>
      <xdr:col>12</xdr:col>
      <xdr:colOff>257175</xdr:colOff>
      <xdr:row>82</xdr:row>
      <xdr:rowOff>142874</xdr:rowOff>
    </xdr:to>
    <xdr:graphicFrame macro="">
      <xdr:nvGraphicFramePr>
        <xdr:cNvPr id="4" name="Chart 3">
          <a:extLst>
            <a:ext uri="{FF2B5EF4-FFF2-40B4-BE49-F238E27FC236}">
              <a16:creationId xmlns:a16="http://schemas.microsoft.com/office/drawing/2014/main" id="{28ED73B2-123F-4F4D-9747-241CE462F9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542925</xdr:colOff>
      <xdr:row>64</xdr:row>
      <xdr:rowOff>38100</xdr:rowOff>
    </xdr:from>
    <xdr:to>
      <xdr:col>23</xdr:col>
      <xdr:colOff>447675</xdr:colOff>
      <xdr:row>82</xdr:row>
      <xdr:rowOff>66675</xdr:rowOff>
    </xdr:to>
    <xdr:graphicFrame macro="">
      <xdr:nvGraphicFramePr>
        <xdr:cNvPr id="2" name="Chart 1">
          <a:extLst>
            <a:ext uri="{FF2B5EF4-FFF2-40B4-BE49-F238E27FC236}">
              <a16:creationId xmlns:a16="http://schemas.microsoft.com/office/drawing/2014/main" id="{BBADD4B1-90AF-4910-9209-D2B82140A3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24</xdr:col>
      <xdr:colOff>28575</xdr:colOff>
      <xdr:row>62</xdr:row>
      <xdr:rowOff>123825</xdr:rowOff>
    </xdr:from>
    <xdr:to>
      <xdr:col>32</xdr:col>
      <xdr:colOff>542925</xdr:colOff>
      <xdr:row>82</xdr:row>
      <xdr:rowOff>85725</xdr:rowOff>
    </xdr:to>
    <xdr:graphicFrame macro="">
      <xdr:nvGraphicFramePr>
        <xdr:cNvPr id="3" name="Chart 2">
          <a:extLst>
            <a:ext uri="{FF2B5EF4-FFF2-40B4-BE49-F238E27FC236}">
              <a16:creationId xmlns:a16="http://schemas.microsoft.com/office/drawing/2014/main" id="{FD50B77A-A335-4BA5-9AF7-8F14E2A708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33</xdr:col>
      <xdr:colOff>114300</xdr:colOff>
      <xdr:row>62</xdr:row>
      <xdr:rowOff>95250</xdr:rowOff>
    </xdr:from>
    <xdr:to>
      <xdr:col>42</xdr:col>
      <xdr:colOff>38100</xdr:colOff>
      <xdr:row>82</xdr:row>
      <xdr:rowOff>57150</xdr:rowOff>
    </xdr:to>
    <xdr:graphicFrame macro="">
      <xdr:nvGraphicFramePr>
        <xdr:cNvPr id="5" name="Chart 4">
          <a:extLst>
            <a:ext uri="{FF2B5EF4-FFF2-40B4-BE49-F238E27FC236}">
              <a16:creationId xmlns:a16="http://schemas.microsoft.com/office/drawing/2014/main" id="{D43DFAF9-7F59-48BC-B464-B0C54267A9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26</xdr:col>
      <xdr:colOff>247650</xdr:colOff>
      <xdr:row>89</xdr:row>
      <xdr:rowOff>0</xdr:rowOff>
    </xdr:from>
    <xdr:to>
      <xdr:col>38</xdr:col>
      <xdr:colOff>266700</xdr:colOff>
      <xdr:row>106</xdr:row>
      <xdr:rowOff>142875</xdr:rowOff>
    </xdr:to>
    <xdr:graphicFrame macro="">
      <xdr:nvGraphicFramePr>
        <xdr:cNvPr id="19" name="Chart 5">
          <a:extLst>
            <a:ext uri="{FF2B5EF4-FFF2-40B4-BE49-F238E27FC236}">
              <a16:creationId xmlns:a16="http://schemas.microsoft.com/office/drawing/2014/main" id="{C44B1904-A932-4C2B-B8E4-00EDED00B9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113</xdr:col>
      <xdr:colOff>244287</xdr:colOff>
      <xdr:row>33</xdr:row>
      <xdr:rowOff>133629</xdr:rowOff>
    </xdr:from>
    <xdr:to>
      <xdr:col>123</xdr:col>
      <xdr:colOff>530038</xdr:colOff>
      <xdr:row>56</xdr:row>
      <xdr:rowOff>124106</xdr:rowOff>
    </xdr:to>
    <xdr:graphicFrame macro="">
      <xdr:nvGraphicFramePr>
        <xdr:cNvPr id="4" name="Chart 3">
          <a:extLst>
            <a:ext uri="{FF2B5EF4-FFF2-40B4-BE49-F238E27FC236}">
              <a16:creationId xmlns:a16="http://schemas.microsoft.com/office/drawing/2014/main" id="{00000000-0008-0000-0B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113</xdr:col>
      <xdr:colOff>215633</xdr:colOff>
      <xdr:row>56</xdr:row>
      <xdr:rowOff>89647</xdr:rowOff>
    </xdr:from>
    <xdr:to>
      <xdr:col>124</xdr:col>
      <xdr:colOff>122144</xdr:colOff>
      <xdr:row>80</xdr:row>
      <xdr:rowOff>71438</xdr:rowOff>
    </xdr:to>
    <xdr:graphicFrame macro="">
      <xdr:nvGraphicFramePr>
        <xdr:cNvPr id="55" name="Chart 54">
          <a:extLst>
            <a:ext uri="{FF2B5EF4-FFF2-40B4-BE49-F238E27FC236}">
              <a16:creationId xmlns:a16="http://schemas.microsoft.com/office/drawing/2014/main" id="{00000000-0008-0000-0B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124</xdr:col>
      <xdr:colOff>171634</xdr:colOff>
      <xdr:row>57</xdr:row>
      <xdr:rowOff>56029</xdr:rowOff>
    </xdr:from>
    <xdr:to>
      <xdr:col>134</xdr:col>
      <xdr:colOff>127000</xdr:colOff>
      <xdr:row>81</xdr:row>
      <xdr:rowOff>114300</xdr:rowOff>
    </xdr:to>
    <xdr:graphicFrame macro="">
      <xdr:nvGraphicFramePr>
        <xdr:cNvPr id="57" name="Chart 56">
          <a:extLst>
            <a:ext uri="{FF2B5EF4-FFF2-40B4-BE49-F238E27FC236}">
              <a16:creationId xmlns:a16="http://schemas.microsoft.com/office/drawing/2014/main" id="{00000000-0008-0000-0B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86</xdr:col>
      <xdr:colOff>447675</xdr:colOff>
      <xdr:row>37</xdr:row>
      <xdr:rowOff>19049</xdr:rowOff>
    </xdr:from>
    <xdr:to>
      <xdr:col>95</xdr:col>
      <xdr:colOff>499781</xdr:colOff>
      <xdr:row>58</xdr:row>
      <xdr:rowOff>114299</xdr:rowOff>
    </xdr:to>
    <xdr:graphicFrame macro="">
      <xdr:nvGraphicFramePr>
        <xdr:cNvPr id="131" name="Chart 59">
          <a:extLst>
            <a:ext uri="{FF2B5EF4-FFF2-40B4-BE49-F238E27FC236}">
              <a16:creationId xmlns:a16="http://schemas.microsoft.com/office/drawing/2014/main" id="{00000000-0008-0000-0B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134</xdr:col>
      <xdr:colOff>127428</xdr:colOff>
      <xdr:row>57</xdr:row>
      <xdr:rowOff>102724</xdr:rowOff>
    </xdr:from>
    <xdr:to>
      <xdr:col>143</xdr:col>
      <xdr:colOff>482600</xdr:colOff>
      <xdr:row>81</xdr:row>
      <xdr:rowOff>76200</xdr:rowOff>
    </xdr:to>
    <xdr:graphicFrame macro="">
      <xdr:nvGraphicFramePr>
        <xdr:cNvPr id="69" name="Chart 68">
          <a:extLst>
            <a:ext uri="{FF2B5EF4-FFF2-40B4-BE49-F238E27FC236}">
              <a16:creationId xmlns:a16="http://schemas.microsoft.com/office/drawing/2014/main" id="{00000000-0008-0000-0B00-00004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65</xdr:col>
      <xdr:colOff>461843</xdr:colOff>
      <xdr:row>61</xdr:row>
      <xdr:rowOff>66115</xdr:rowOff>
    </xdr:from>
    <xdr:to>
      <xdr:col>75</xdr:col>
      <xdr:colOff>514350</xdr:colOff>
      <xdr:row>79</xdr:row>
      <xdr:rowOff>57845</xdr:rowOff>
    </xdr:to>
    <xdr:graphicFrame macro="">
      <xdr:nvGraphicFramePr>
        <xdr:cNvPr id="70" name="Chart 69">
          <a:extLst>
            <a:ext uri="{FF2B5EF4-FFF2-40B4-BE49-F238E27FC236}">
              <a16:creationId xmlns:a16="http://schemas.microsoft.com/office/drawing/2014/main" id="{00000000-0008-0000-0B00-00004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144</xdr:col>
      <xdr:colOff>338152</xdr:colOff>
      <xdr:row>35</xdr:row>
      <xdr:rowOff>19073</xdr:rowOff>
    </xdr:from>
    <xdr:to>
      <xdr:col>153</xdr:col>
      <xdr:colOff>342900</xdr:colOff>
      <xdr:row>58</xdr:row>
      <xdr:rowOff>20866</xdr:rowOff>
    </xdr:to>
    <xdr:graphicFrame macro="">
      <xdr:nvGraphicFramePr>
        <xdr:cNvPr id="77" name="Chart 76">
          <a:extLst>
            <a:ext uri="{FF2B5EF4-FFF2-40B4-BE49-F238E27FC236}">
              <a16:creationId xmlns:a16="http://schemas.microsoft.com/office/drawing/2014/main" id="{00000000-0008-0000-0B00-00004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87</xdr:col>
      <xdr:colOff>146951</xdr:colOff>
      <xdr:row>60</xdr:row>
      <xdr:rowOff>106136</xdr:rowOff>
    </xdr:from>
    <xdr:to>
      <xdr:col>95</xdr:col>
      <xdr:colOff>452714</xdr:colOff>
      <xdr:row>79</xdr:row>
      <xdr:rowOff>19049</xdr:rowOff>
    </xdr:to>
    <xdr:graphicFrame macro="">
      <xdr:nvGraphicFramePr>
        <xdr:cNvPr id="163" name="Chart 77">
          <a:extLst>
            <a:ext uri="{FF2B5EF4-FFF2-40B4-BE49-F238E27FC236}">
              <a16:creationId xmlns:a16="http://schemas.microsoft.com/office/drawing/2014/main" id="{00000000-0008-0000-0B00-00004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124</xdr:col>
      <xdr:colOff>92775</xdr:colOff>
      <xdr:row>5</xdr:row>
      <xdr:rowOff>87966</xdr:rowOff>
    </xdr:from>
    <xdr:to>
      <xdr:col>133</xdr:col>
      <xdr:colOff>600635</xdr:colOff>
      <xdr:row>30</xdr:row>
      <xdr:rowOff>87966</xdr:rowOff>
    </xdr:to>
    <xdr:graphicFrame macro="">
      <xdr:nvGraphicFramePr>
        <xdr:cNvPr id="56" name="Chart 55">
          <a:extLst>
            <a:ext uri="{FF2B5EF4-FFF2-40B4-BE49-F238E27FC236}">
              <a16:creationId xmlns:a16="http://schemas.microsoft.com/office/drawing/2014/main" id="{00000000-0008-0000-0B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87</xdr:col>
      <xdr:colOff>186177</xdr:colOff>
      <xdr:row>7</xdr:row>
      <xdr:rowOff>114300</xdr:rowOff>
    </xdr:from>
    <xdr:to>
      <xdr:col>96</xdr:col>
      <xdr:colOff>6163</xdr:colOff>
      <xdr:row>32</xdr:row>
      <xdr:rowOff>28575</xdr:rowOff>
    </xdr:to>
    <xdr:graphicFrame macro="">
      <xdr:nvGraphicFramePr>
        <xdr:cNvPr id="84" name="Chart 83">
          <a:extLst>
            <a:ext uri="{FF2B5EF4-FFF2-40B4-BE49-F238E27FC236}">
              <a16:creationId xmlns:a16="http://schemas.microsoft.com/office/drawing/2014/main" id="{00000000-0008-0000-0B00-00005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134</xdr:col>
      <xdr:colOff>355369</xdr:colOff>
      <xdr:row>7</xdr:row>
      <xdr:rowOff>88367</xdr:rowOff>
    </xdr:from>
    <xdr:to>
      <xdr:col>143</xdr:col>
      <xdr:colOff>477930</xdr:colOff>
      <xdr:row>32</xdr:row>
      <xdr:rowOff>136712</xdr:rowOff>
    </xdr:to>
    <xdr:graphicFrame macro="">
      <xdr:nvGraphicFramePr>
        <xdr:cNvPr id="87" name="Chart 86">
          <a:extLst>
            <a:ext uri="{FF2B5EF4-FFF2-40B4-BE49-F238E27FC236}">
              <a16:creationId xmlns:a16="http://schemas.microsoft.com/office/drawing/2014/main" id="{00000000-0008-0000-0B00-00005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65</xdr:col>
      <xdr:colOff>397329</xdr:colOff>
      <xdr:row>36</xdr:row>
      <xdr:rowOff>20490</xdr:rowOff>
    </xdr:from>
    <xdr:to>
      <xdr:col>75</xdr:col>
      <xdr:colOff>590550</xdr:colOff>
      <xdr:row>60</xdr:row>
      <xdr:rowOff>114300</xdr:rowOff>
    </xdr:to>
    <xdr:graphicFrame macro="">
      <xdr:nvGraphicFramePr>
        <xdr:cNvPr id="89" name="Chart 88">
          <a:extLst>
            <a:ext uri="{FF2B5EF4-FFF2-40B4-BE49-F238E27FC236}">
              <a16:creationId xmlns:a16="http://schemas.microsoft.com/office/drawing/2014/main" id="{00000000-0008-0000-0B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134</xdr:col>
      <xdr:colOff>180973</xdr:colOff>
      <xdr:row>34</xdr:row>
      <xdr:rowOff>75588</xdr:rowOff>
    </xdr:from>
    <xdr:to>
      <xdr:col>143</xdr:col>
      <xdr:colOff>590550</xdr:colOff>
      <xdr:row>57</xdr:row>
      <xdr:rowOff>69850</xdr:rowOff>
    </xdr:to>
    <xdr:graphicFrame macro="">
      <xdr:nvGraphicFramePr>
        <xdr:cNvPr id="93" name="Chart 92">
          <a:extLst>
            <a:ext uri="{FF2B5EF4-FFF2-40B4-BE49-F238E27FC236}">
              <a16:creationId xmlns:a16="http://schemas.microsoft.com/office/drawing/2014/main" id="{00000000-0008-0000-0B00-00005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76</xdr:col>
      <xdr:colOff>203308</xdr:colOff>
      <xdr:row>61</xdr:row>
      <xdr:rowOff>123264</xdr:rowOff>
    </xdr:from>
    <xdr:to>
      <xdr:col>86</xdr:col>
      <xdr:colOff>180976</xdr:colOff>
      <xdr:row>80</xdr:row>
      <xdr:rowOff>19049</xdr:rowOff>
    </xdr:to>
    <xdr:graphicFrame macro="">
      <xdr:nvGraphicFramePr>
        <xdr:cNvPr id="94" name="Chart 93">
          <a:extLst>
            <a:ext uri="{FF2B5EF4-FFF2-40B4-BE49-F238E27FC236}">
              <a16:creationId xmlns:a16="http://schemas.microsoft.com/office/drawing/2014/main" id="{00000000-0008-0000-0B00-00005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124</xdr:col>
      <xdr:colOff>157209</xdr:colOff>
      <xdr:row>34</xdr:row>
      <xdr:rowOff>40902</xdr:rowOff>
    </xdr:from>
    <xdr:to>
      <xdr:col>134</xdr:col>
      <xdr:colOff>26894</xdr:colOff>
      <xdr:row>56</xdr:row>
      <xdr:rowOff>106457</xdr:rowOff>
    </xdr:to>
    <xdr:graphicFrame macro="">
      <xdr:nvGraphicFramePr>
        <xdr:cNvPr id="96" name="Chart_Adj_EBITDA">
          <a:extLst>
            <a:ext uri="{FF2B5EF4-FFF2-40B4-BE49-F238E27FC236}">
              <a16:creationId xmlns:a16="http://schemas.microsoft.com/office/drawing/2014/main" id="{00000000-0008-0000-0B00-00006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76</xdr:col>
      <xdr:colOff>225879</xdr:colOff>
      <xdr:row>36</xdr:row>
      <xdr:rowOff>8723</xdr:rowOff>
    </xdr:from>
    <xdr:to>
      <xdr:col>86</xdr:col>
      <xdr:colOff>209550</xdr:colOff>
      <xdr:row>60</xdr:row>
      <xdr:rowOff>66675</xdr:rowOff>
    </xdr:to>
    <xdr:graphicFrame macro="">
      <xdr:nvGraphicFramePr>
        <xdr:cNvPr id="98" name="Chart 97">
          <a:extLst>
            <a:ext uri="{FF2B5EF4-FFF2-40B4-BE49-F238E27FC236}">
              <a16:creationId xmlns:a16="http://schemas.microsoft.com/office/drawing/2014/main" id="{00000000-0008-0000-0B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65</xdr:col>
      <xdr:colOff>347660</xdr:colOff>
      <xdr:row>5</xdr:row>
      <xdr:rowOff>66675</xdr:rowOff>
    </xdr:from>
    <xdr:to>
      <xdr:col>76</xdr:col>
      <xdr:colOff>276224</xdr:colOff>
      <xdr:row>32</xdr:row>
      <xdr:rowOff>0</xdr:rowOff>
    </xdr:to>
    <xdr:graphicFrame macro="">
      <xdr:nvGraphicFramePr>
        <xdr:cNvPr id="7" name="Chart 6">
          <a:extLst>
            <a:ext uri="{FF2B5EF4-FFF2-40B4-BE49-F238E27FC236}">
              <a16:creationId xmlns:a16="http://schemas.microsoft.com/office/drawing/2014/main" id="{E0436F17-DAEB-A1FF-881E-BA45FC4DBA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77</xdr:col>
      <xdr:colOff>42181</xdr:colOff>
      <xdr:row>5</xdr:row>
      <xdr:rowOff>104774</xdr:rowOff>
    </xdr:from>
    <xdr:to>
      <xdr:col>87</xdr:col>
      <xdr:colOff>133350</xdr:colOff>
      <xdr:row>32</xdr:row>
      <xdr:rowOff>55896</xdr:rowOff>
    </xdr:to>
    <xdr:graphicFrame macro="">
      <xdr:nvGraphicFramePr>
        <xdr:cNvPr id="12" name="Chart 11">
          <a:extLst>
            <a:ext uri="{FF2B5EF4-FFF2-40B4-BE49-F238E27FC236}">
              <a16:creationId xmlns:a16="http://schemas.microsoft.com/office/drawing/2014/main" id="{B8EC91E1-166F-B172-C98F-D067D6B41B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113</xdr:col>
      <xdr:colOff>324970</xdr:colOff>
      <xdr:row>5</xdr:row>
      <xdr:rowOff>123266</xdr:rowOff>
    </xdr:from>
    <xdr:to>
      <xdr:col>123</xdr:col>
      <xdr:colOff>215152</xdr:colOff>
      <xdr:row>28</xdr:row>
      <xdr:rowOff>120464</xdr:rowOff>
    </xdr:to>
    <xdr:graphicFrame macro="">
      <xdr:nvGraphicFramePr>
        <xdr:cNvPr id="17" name="Chart 16">
          <a:extLst>
            <a:ext uri="{FF2B5EF4-FFF2-40B4-BE49-F238E27FC236}">
              <a16:creationId xmlns:a16="http://schemas.microsoft.com/office/drawing/2014/main" id="{1F6C64C4-C7AF-43A5-ADBB-8509BD088D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135</xdr:col>
      <xdr:colOff>189805</xdr:colOff>
      <xdr:row>82</xdr:row>
      <xdr:rowOff>101441</xdr:rowOff>
    </xdr:from>
    <xdr:to>
      <xdr:col>143</xdr:col>
      <xdr:colOff>114300</xdr:colOff>
      <xdr:row>100</xdr:row>
      <xdr:rowOff>58360</xdr:rowOff>
    </xdr:to>
    <xdr:pic>
      <xdr:nvPicPr>
        <xdr:cNvPr id="31" name="Picture 2">
          <a:extLst>
            <a:ext uri="{FF2B5EF4-FFF2-40B4-BE49-F238E27FC236}">
              <a16:creationId xmlns:a16="http://schemas.microsoft.com/office/drawing/2014/main" id="{C4344137-A641-46D0-AA5D-DA56713220F5}"/>
            </a:ext>
          </a:extLst>
        </xdr:cNvPr>
        <xdr:cNvPicPr>
          <a:picLocks noChangeAspect="1"/>
        </xdr:cNvPicPr>
      </xdr:nvPicPr>
      <xdr:blipFill>
        <a:blip xmlns:r="http://schemas.openxmlformats.org/officeDocument/2006/relationships" r:embed="rId20"/>
        <a:stretch>
          <a:fillRect/>
        </a:stretch>
      </xdr:blipFill>
      <xdr:spPr>
        <a:xfrm>
          <a:off x="72313105" y="12598241"/>
          <a:ext cx="4801295" cy="2757269"/>
        </a:xfrm>
        <a:prstGeom prst="rect">
          <a:avLst/>
        </a:prstGeom>
      </xdr:spPr>
    </xdr:pic>
    <xdr:clientData/>
  </xdr:twoCellAnchor>
  <xdr:twoCellAnchor>
    <xdr:from>
      <xdr:col>114</xdr:col>
      <xdr:colOff>196142</xdr:colOff>
      <xdr:row>124</xdr:row>
      <xdr:rowOff>70118</xdr:rowOff>
    </xdr:from>
    <xdr:to>
      <xdr:col>122</xdr:col>
      <xdr:colOff>304800</xdr:colOff>
      <xdr:row>143</xdr:row>
      <xdr:rowOff>114300</xdr:rowOff>
    </xdr:to>
    <xdr:graphicFrame macro="">
      <xdr:nvGraphicFramePr>
        <xdr:cNvPr id="13" name="Chart 2">
          <a:extLst>
            <a:ext uri="{FF2B5EF4-FFF2-40B4-BE49-F238E27FC236}">
              <a16:creationId xmlns:a16="http://schemas.microsoft.com/office/drawing/2014/main" id="{6D7B5B5D-92ED-4EFA-6EF1-8F16CB03D37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65</xdr:col>
      <xdr:colOff>596565</xdr:colOff>
      <xdr:row>79</xdr:row>
      <xdr:rowOff>104775</xdr:rowOff>
    </xdr:from>
    <xdr:to>
      <xdr:col>75</xdr:col>
      <xdr:colOff>161925</xdr:colOff>
      <xdr:row>100</xdr:row>
      <xdr:rowOff>57150</xdr:rowOff>
    </xdr:to>
    <xdr:graphicFrame macro="">
      <xdr:nvGraphicFramePr>
        <xdr:cNvPr id="6" name="Chart 5">
          <a:extLst>
            <a:ext uri="{FF2B5EF4-FFF2-40B4-BE49-F238E27FC236}">
              <a16:creationId xmlns:a16="http://schemas.microsoft.com/office/drawing/2014/main" id="{ED01DDB3-627E-9E65-E7E1-7AE04EBA94E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144</xdr:col>
      <xdr:colOff>368300</xdr:colOff>
      <xdr:row>58</xdr:row>
      <xdr:rowOff>63500</xdr:rowOff>
    </xdr:from>
    <xdr:to>
      <xdr:col>153</xdr:col>
      <xdr:colOff>376481</xdr:colOff>
      <xdr:row>81</xdr:row>
      <xdr:rowOff>56656</xdr:rowOff>
    </xdr:to>
    <xdr:graphicFrame macro="">
      <xdr:nvGraphicFramePr>
        <xdr:cNvPr id="9" name="Chart 8">
          <a:extLst>
            <a:ext uri="{FF2B5EF4-FFF2-40B4-BE49-F238E27FC236}">
              <a16:creationId xmlns:a16="http://schemas.microsoft.com/office/drawing/2014/main" id="{DFBF684D-F73F-4313-B9DE-09C7350C17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154</xdr:col>
      <xdr:colOff>117475</xdr:colOff>
      <xdr:row>59</xdr:row>
      <xdr:rowOff>38100</xdr:rowOff>
    </xdr:from>
    <xdr:to>
      <xdr:col>163</xdr:col>
      <xdr:colOff>371475</xdr:colOff>
      <xdr:row>81</xdr:row>
      <xdr:rowOff>114300</xdr:rowOff>
    </xdr:to>
    <xdr:graphicFrame macro="">
      <xdr:nvGraphicFramePr>
        <xdr:cNvPr id="15" name="Chart 14">
          <a:extLst>
            <a:ext uri="{FF2B5EF4-FFF2-40B4-BE49-F238E27FC236}">
              <a16:creationId xmlns:a16="http://schemas.microsoft.com/office/drawing/2014/main" id="{9A47BC7E-BFE1-4680-BFF9-C0D6DA98B1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124</xdr:col>
      <xdr:colOff>232041</xdr:colOff>
      <xdr:row>103</xdr:row>
      <xdr:rowOff>116541</xdr:rowOff>
    </xdr:from>
    <xdr:to>
      <xdr:col>132</xdr:col>
      <xdr:colOff>589429</xdr:colOff>
      <xdr:row>123</xdr:row>
      <xdr:rowOff>67235</xdr:rowOff>
    </xdr:to>
    <xdr:graphicFrame macro="">
      <xdr:nvGraphicFramePr>
        <xdr:cNvPr id="19" name="Chart 7">
          <a:extLst>
            <a:ext uri="{FF2B5EF4-FFF2-40B4-BE49-F238E27FC236}">
              <a16:creationId xmlns:a16="http://schemas.microsoft.com/office/drawing/2014/main" id="{26909985-FC5F-2E8B-AD2F-648DC51C90A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144</xdr:col>
      <xdr:colOff>209550</xdr:colOff>
      <xdr:row>8</xdr:row>
      <xdr:rowOff>140073</xdr:rowOff>
    </xdr:from>
    <xdr:to>
      <xdr:col>153</xdr:col>
      <xdr:colOff>397807</xdr:colOff>
      <xdr:row>31</xdr:row>
      <xdr:rowOff>114300</xdr:rowOff>
    </xdr:to>
    <xdr:graphicFrame macro="">
      <xdr:nvGraphicFramePr>
        <xdr:cNvPr id="14" name="Chart 13">
          <a:extLst>
            <a:ext uri="{FF2B5EF4-FFF2-40B4-BE49-F238E27FC236}">
              <a16:creationId xmlns:a16="http://schemas.microsoft.com/office/drawing/2014/main" id="{21380926-571C-46D1-9C17-6B612F535B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153</xdr:col>
      <xdr:colOff>523874</xdr:colOff>
      <xdr:row>9</xdr:row>
      <xdr:rowOff>28575</xdr:rowOff>
    </xdr:from>
    <xdr:to>
      <xdr:col>164</xdr:col>
      <xdr:colOff>31749</xdr:colOff>
      <xdr:row>31</xdr:row>
      <xdr:rowOff>88900</xdr:rowOff>
    </xdr:to>
    <xdr:graphicFrame macro="">
      <xdr:nvGraphicFramePr>
        <xdr:cNvPr id="18" name="Chart 17">
          <a:extLst>
            <a:ext uri="{FF2B5EF4-FFF2-40B4-BE49-F238E27FC236}">
              <a16:creationId xmlns:a16="http://schemas.microsoft.com/office/drawing/2014/main" id="{609C864E-22E6-474F-8F0E-6156BFDC5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163</xdr:col>
      <xdr:colOff>511174</xdr:colOff>
      <xdr:row>34</xdr:row>
      <xdr:rowOff>85724</xdr:rowOff>
    </xdr:from>
    <xdr:to>
      <xdr:col>175</xdr:col>
      <xdr:colOff>76200</xdr:colOff>
      <xdr:row>57</xdr:row>
      <xdr:rowOff>25399</xdr:rowOff>
    </xdr:to>
    <xdr:graphicFrame macro="">
      <xdr:nvGraphicFramePr>
        <xdr:cNvPr id="20" name="Chart 19">
          <a:extLst>
            <a:ext uri="{FF2B5EF4-FFF2-40B4-BE49-F238E27FC236}">
              <a16:creationId xmlns:a16="http://schemas.microsoft.com/office/drawing/2014/main" id="{B9302B33-152D-44FF-933E-111CDC2757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164</xdr:col>
      <xdr:colOff>58207</xdr:colOff>
      <xdr:row>58</xdr:row>
      <xdr:rowOff>70908</xdr:rowOff>
    </xdr:from>
    <xdr:to>
      <xdr:col>174</xdr:col>
      <xdr:colOff>508000</xdr:colOff>
      <xdr:row>83</xdr:row>
      <xdr:rowOff>50799</xdr:rowOff>
    </xdr:to>
    <xdr:graphicFrame macro="">
      <xdr:nvGraphicFramePr>
        <xdr:cNvPr id="22" name="Chart 21">
          <a:extLst>
            <a:ext uri="{FF2B5EF4-FFF2-40B4-BE49-F238E27FC236}">
              <a16:creationId xmlns:a16="http://schemas.microsoft.com/office/drawing/2014/main" id="{EF30E128-CCCF-4813-8B12-450283EB02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154</xdr:col>
      <xdr:colOff>126208</xdr:colOff>
      <xdr:row>36</xdr:row>
      <xdr:rowOff>69850</xdr:rowOff>
    </xdr:from>
    <xdr:to>
      <xdr:col>163</xdr:col>
      <xdr:colOff>133350</xdr:colOff>
      <xdr:row>57</xdr:row>
      <xdr:rowOff>31750</xdr:rowOff>
    </xdr:to>
    <xdr:graphicFrame macro="">
      <xdr:nvGraphicFramePr>
        <xdr:cNvPr id="24" name="Chart 23">
          <a:extLst>
            <a:ext uri="{FF2B5EF4-FFF2-40B4-BE49-F238E27FC236}">
              <a16:creationId xmlns:a16="http://schemas.microsoft.com/office/drawing/2014/main" id="{49B32458-D4CB-412A-9622-98F0AD5509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163</xdr:col>
      <xdr:colOff>495300</xdr:colOff>
      <xdr:row>9</xdr:row>
      <xdr:rowOff>88900</xdr:rowOff>
    </xdr:from>
    <xdr:to>
      <xdr:col>175</xdr:col>
      <xdr:colOff>194734</xdr:colOff>
      <xdr:row>31</xdr:row>
      <xdr:rowOff>127000</xdr:rowOff>
    </xdr:to>
    <xdr:graphicFrame macro="">
      <xdr:nvGraphicFramePr>
        <xdr:cNvPr id="26" name="Chart 25">
          <a:extLst>
            <a:ext uri="{FF2B5EF4-FFF2-40B4-BE49-F238E27FC236}">
              <a16:creationId xmlns:a16="http://schemas.microsoft.com/office/drawing/2014/main" id="{3BE33889-9BC2-4822-9A48-3BDC455627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144</xdr:col>
      <xdr:colOff>292100</xdr:colOff>
      <xdr:row>82</xdr:row>
      <xdr:rowOff>31749</xdr:rowOff>
    </xdr:from>
    <xdr:to>
      <xdr:col>153</xdr:col>
      <xdr:colOff>552450</xdr:colOff>
      <xdr:row>103</xdr:row>
      <xdr:rowOff>120650</xdr:rowOff>
    </xdr:to>
    <xdr:graphicFrame macro="">
      <xdr:nvGraphicFramePr>
        <xdr:cNvPr id="28" name="Chart 27">
          <a:extLst>
            <a:ext uri="{FF2B5EF4-FFF2-40B4-BE49-F238E27FC236}">
              <a16:creationId xmlns:a16="http://schemas.microsoft.com/office/drawing/2014/main" id="{EF5FEC0A-F352-41FE-99FE-DC1FA9CD87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113</xdr:col>
      <xdr:colOff>257735</xdr:colOff>
      <xdr:row>79</xdr:row>
      <xdr:rowOff>100853</xdr:rowOff>
    </xdr:from>
    <xdr:to>
      <xdr:col>123</xdr:col>
      <xdr:colOff>224117</xdr:colOff>
      <xdr:row>100</xdr:row>
      <xdr:rowOff>44822</xdr:rowOff>
    </xdr:to>
    <xdr:graphicFrame macro="">
      <xdr:nvGraphicFramePr>
        <xdr:cNvPr id="30" name="Chart_FCF">
          <a:extLst>
            <a:ext uri="{FF2B5EF4-FFF2-40B4-BE49-F238E27FC236}">
              <a16:creationId xmlns:a16="http://schemas.microsoft.com/office/drawing/2014/main" id="{3354E930-F1AA-47AD-A078-F5546DFD79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133</xdr:col>
      <xdr:colOff>472059</xdr:colOff>
      <xdr:row>102</xdr:row>
      <xdr:rowOff>28575</xdr:rowOff>
    </xdr:from>
    <xdr:to>
      <xdr:col>143</xdr:col>
      <xdr:colOff>547116</xdr:colOff>
      <xdr:row>123</xdr:row>
      <xdr:rowOff>38101</xdr:rowOff>
    </xdr:to>
    <xdr:graphicFrame macro="">
      <xdr:nvGraphicFramePr>
        <xdr:cNvPr id="2" name="Chart 1">
          <a:extLst>
            <a:ext uri="{FF2B5EF4-FFF2-40B4-BE49-F238E27FC236}">
              <a16:creationId xmlns:a16="http://schemas.microsoft.com/office/drawing/2014/main" id="{91B7CC83-6037-4B09-ABA6-A77B90DAAE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76</xdr:col>
      <xdr:colOff>110643</xdr:colOff>
      <xdr:row>79</xdr:row>
      <xdr:rowOff>107976</xdr:rowOff>
    </xdr:from>
    <xdr:to>
      <xdr:col>84</xdr:col>
      <xdr:colOff>232258</xdr:colOff>
      <xdr:row>98</xdr:row>
      <xdr:rowOff>133350</xdr:rowOff>
    </xdr:to>
    <xdr:graphicFrame macro="">
      <xdr:nvGraphicFramePr>
        <xdr:cNvPr id="25" name="Chart 24">
          <a:extLst>
            <a:ext uri="{FF2B5EF4-FFF2-40B4-BE49-F238E27FC236}">
              <a16:creationId xmlns:a16="http://schemas.microsoft.com/office/drawing/2014/main" id="{0461CE48-8F5E-DA85-C3B1-ED054D97E90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133</xdr:col>
      <xdr:colOff>447675</xdr:colOff>
      <xdr:row>123</xdr:row>
      <xdr:rowOff>9525</xdr:rowOff>
    </xdr:from>
    <xdr:to>
      <xdr:col>143</xdr:col>
      <xdr:colOff>495300</xdr:colOff>
      <xdr:row>145</xdr:row>
      <xdr:rowOff>85725</xdr:rowOff>
    </xdr:to>
    <xdr:graphicFrame macro="">
      <xdr:nvGraphicFramePr>
        <xdr:cNvPr id="67" name="Chart 15">
          <a:extLst>
            <a:ext uri="{FF2B5EF4-FFF2-40B4-BE49-F238E27FC236}">
              <a16:creationId xmlns:a16="http://schemas.microsoft.com/office/drawing/2014/main" id="{10136EFC-C0FA-4144-AE86-54A45A33E7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124</xdr:col>
      <xdr:colOff>13942</xdr:colOff>
      <xdr:row>123</xdr:row>
      <xdr:rowOff>136365</xdr:rowOff>
    </xdr:from>
    <xdr:to>
      <xdr:col>133</xdr:col>
      <xdr:colOff>146251</xdr:colOff>
      <xdr:row>145</xdr:row>
      <xdr:rowOff>51412</xdr:rowOff>
    </xdr:to>
    <xdr:graphicFrame macro="">
      <xdr:nvGraphicFramePr>
        <xdr:cNvPr id="66" name="Chart 26">
          <a:extLst>
            <a:ext uri="{FF2B5EF4-FFF2-40B4-BE49-F238E27FC236}">
              <a16:creationId xmlns:a16="http://schemas.microsoft.com/office/drawing/2014/main" id="{51D29F1F-8B82-B1BC-EC53-D7746A4F00C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124</xdr:col>
      <xdr:colOff>95249</xdr:colOff>
      <xdr:row>81</xdr:row>
      <xdr:rowOff>24652</xdr:rowOff>
    </xdr:from>
    <xdr:to>
      <xdr:col>134</xdr:col>
      <xdr:colOff>22413</xdr:colOff>
      <xdr:row>104</xdr:row>
      <xdr:rowOff>64249</xdr:rowOff>
    </xdr:to>
    <xdr:graphicFrame macro="">
      <xdr:nvGraphicFramePr>
        <xdr:cNvPr id="5" name="Chart 4">
          <a:extLst>
            <a:ext uri="{FF2B5EF4-FFF2-40B4-BE49-F238E27FC236}">
              <a16:creationId xmlns:a16="http://schemas.microsoft.com/office/drawing/2014/main" id="{DC567534-CFE5-6B1F-553B-AFC6BFC3D2C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114</xdr:col>
      <xdr:colOff>78922</xdr:colOff>
      <xdr:row>146</xdr:row>
      <xdr:rowOff>50346</xdr:rowOff>
    </xdr:from>
    <xdr:to>
      <xdr:col>122</xdr:col>
      <xdr:colOff>190500</xdr:colOff>
      <xdr:row>166</xdr:row>
      <xdr:rowOff>114300</xdr:rowOff>
    </xdr:to>
    <xdr:graphicFrame macro="">
      <xdr:nvGraphicFramePr>
        <xdr:cNvPr id="176" name="Chart 12">
          <a:extLst>
            <a:ext uri="{FF2B5EF4-FFF2-40B4-BE49-F238E27FC236}">
              <a16:creationId xmlns:a16="http://schemas.microsoft.com/office/drawing/2014/main" id="{7D4C08B1-DE39-DC2A-FE35-5B6E4462964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123</xdr:col>
      <xdr:colOff>22410</xdr:colOff>
      <xdr:row>147</xdr:row>
      <xdr:rowOff>60263</xdr:rowOff>
    </xdr:from>
    <xdr:to>
      <xdr:col>133</xdr:col>
      <xdr:colOff>414617</xdr:colOff>
      <xdr:row>166</xdr:row>
      <xdr:rowOff>38101</xdr:rowOff>
    </xdr:to>
    <xdr:graphicFrame macro="">
      <xdr:nvGraphicFramePr>
        <xdr:cNvPr id="108" name="Chart 28">
          <a:extLst>
            <a:ext uri="{FF2B5EF4-FFF2-40B4-BE49-F238E27FC236}">
              <a16:creationId xmlns:a16="http://schemas.microsoft.com/office/drawing/2014/main" id="{CAB396F1-2439-8C8F-4143-5CBE7B1D5B0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134</xdr:col>
      <xdr:colOff>160242</xdr:colOff>
      <xdr:row>145</xdr:row>
      <xdr:rowOff>133356</xdr:rowOff>
    </xdr:from>
    <xdr:to>
      <xdr:col>143</xdr:col>
      <xdr:colOff>342900</xdr:colOff>
      <xdr:row>166</xdr:row>
      <xdr:rowOff>76200</xdr:rowOff>
    </xdr:to>
    <xdr:graphicFrame macro="">
      <xdr:nvGraphicFramePr>
        <xdr:cNvPr id="175" name="Chart 33">
          <a:extLst>
            <a:ext uri="{FF2B5EF4-FFF2-40B4-BE49-F238E27FC236}">
              <a16:creationId xmlns:a16="http://schemas.microsoft.com/office/drawing/2014/main" id="{F71EEEA4-2205-619C-9570-2318EF66193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66</xdr:col>
      <xdr:colOff>202624</xdr:colOff>
      <xdr:row>120</xdr:row>
      <xdr:rowOff>96982</xdr:rowOff>
    </xdr:from>
    <xdr:to>
      <xdr:col>73</xdr:col>
      <xdr:colOff>574099</xdr:colOff>
      <xdr:row>139</xdr:row>
      <xdr:rowOff>116032</xdr:rowOff>
    </xdr:to>
    <xdr:graphicFrame macro="">
      <xdr:nvGraphicFramePr>
        <xdr:cNvPr id="191" name="Chart 34">
          <a:extLst>
            <a:ext uri="{FF2B5EF4-FFF2-40B4-BE49-F238E27FC236}">
              <a16:creationId xmlns:a16="http://schemas.microsoft.com/office/drawing/2014/main" id="{C0419D51-58A1-BA2F-34BE-2B8A485AB44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114</xdr:col>
      <xdr:colOff>103467</xdr:colOff>
      <xdr:row>171</xdr:row>
      <xdr:rowOff>2248</xdr:rowOff>
    </xdr:from>
    <xdr:to>
      <xdr:col>122</xdr:col>
      <xdr:colOff>447675</xdr:colOff>
      <xdr:row>192</xdr:row>
      <xdr:rowOff>38100</xdr:rowOff>
    </xdr:to>
    <xdr:graphicFrame macro="">
      <xdr:nvGraphicFramePr>
        <xdr:cNvPr id="3" name="Chart 2">
          <a:extLst>
            <a:ext uri="{FF2B5EF4-FFF2-40B4-BE49-F238E27FC236}">
              <a16:creationId xmlns:a16="http://schemas.microsoft.com/office/drawing/2014/main" id="{75122229-F825-7D4B-17E9-54AB106EE9E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133</xdr:col>
      <xdr:colOff>514351</xdr:colOff>
      <xdr:row>168</xdr:row>
      <xdr:rowOff>2148</xdr:rowOff>
    </xdr:from>
    <xdr:to>
      <xdr:col>142</xdr:col>
      <xdr:colOff>533401</xdr:colOff>
      <xdr:row>190</xdr:row>
      <xdr:rowOff>133350</xdr:rowOff>
    </xdr:to>
    <xdr:graphicFrame macro="">
      <xdr:nvGraphicFramePr>
        <xdr:cNvPr id="8" name="Chart 7">
          <a:extLst>
            <a:ext uri="{FF2B5EF4-FFF2-40B4-BE49-F238E27FC236}">
              <a16:creationId xmlns:a16="http://schemas.microsoft.com/office/drawing/2014/main" id="{FB03F968-94B9-ADED-594D-C45023498B1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113</xdr:col>
      <xdr:colOff>414617</xdr:colOff>
      <xdr:row>101</xdr:row>
      <xdr:rowOff>44823</xdr:rowOff>
    </xdr:from>
    <xdr:to>
      <xdr:col>123</xdr:col>
      <xdr:colOff>22411</xdr:colOff>
      <xdr:row>123</xdr:row>
      <xdr:rowOff>67235</xdr:rowOff>
    </xdr:to>
    <xdr:graphicFrame macro="">
      <xdr:nvGraphicFramePr>
        <xdr:cNvPr id="16" name="Chart 15">
          <a:extLst>
            <a:ext uri="{FF2B5EF4-FFF2-40B4-BE49-F238E27FC236}">
              <a16:creationId xmlns:a16="http://schemas.microsoft.com/office/drawing/2014/main" id="{666AEA3E-E855-4F35-B5D3-6BC5FE73F0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65</xdr:col>
      <xdr:colOff>368113</xdr:colOff>
      <xdr:row>99</xdr:row>
      <xdr:rowOff>136151</xdr:rowOff>
    </xdr:from>
    <xdr:to>
      <xdr:col>74</xdr:col>
      <xdr:colOff>295275</xdr:colOff>
      <xdr:row>118</xdr:row>
      <xdr:rowOff>100293</xdr:rowOff>
    </xdr:to>
    <xdr:graphicFrame macro="">
      <xdr:nvGraphicFramePr>
        <xdr:cNvPr id="21" name="Chart 20">
          <a:extLst>
            <a:ext uri="{FF2B5EF4-FFF2-40B4-BE49-F238E27FC236}">
              <a16:creationId xmlns:a16="http://schemas.microsoft.com/office/drawing/2014/main" id="{A3BF9429-6FE0-4B1C-40E3-61694212BE7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75</xdr:col>
      <xdr:colOff>333375</xdr:colOff>
      <xdr:row>100</xdr:row>
      <xdr:rowOff>133351</xdr:rowOff>
    </xdr:from>
    <xdr:to>
      <xdr:col>85</xdr:col>
      <xdr:colOff>581025</xdr:colOff>
      <xdr:row>126</xdr:row>
      <xdr:rowOff>19051</xdr:rowOff>
    </xdr:to>
    <xdr:graphicFrame macro="">
      <xdr:nvGraphicFramePr>
        <xdr:cNvPr id="23" name="Chart 22">
          <a:extLst>
            <a:ext uri="{FF2B5EF4-FFF2-40B4-BE49-F238E27FC236}">
              <a16:creationId xmlns:a16="http://schemas.microsoft.com/office/drawing/2014/main" id="{E6972677-FD75-231A-64BA-586ABAB1722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85</xdr:col>
      <xdr:colOff>523874</xdr:colOff>
      <xdr:row>99</xdr:row>
      <xdr:rowOff>95250</xdr:rowOff>
    </xdr:from>
    <xdr:to>
      <xdr:col>95</xdr:col>
      <xdr:colOff>262217</xdr:colOff>
      <xdr:row>123</xdr:row>
      <xdr:rowOff>85725</xdr:rowOff>
    </xdr:to>
    <xdr:graphicFrame macro="">
      <xdr:nvGraphicFramePr>
        <xdr:cNvPr id="32" name="Chart 31">
          <a:extLst>
            <a:ext uri="{FF2B5EF4-FFF2-40B4-BE49-F238E27FC236}">
              <a16:creationId xmlns:a16="http://schemas.microsoft.com/office/drawing/2014/main" id="{CE7B1829-69D7-488F-BE1D-E4E8D22402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86</xdr:col>
      <xdr:colOff>452719</xdr:colOff>
      <xdr:row>80</xdr:row>
      <xdr:rowOff>103660</xdr:rowOff>
    </xdr:from>
    <xdr:to>
      <xdr:col>95</xdr:col>
      <xdr:colOff>9525</xdr:colOff>
      <xdr:row>97</xdr:row>
      <xdr:rowOff>76200</xdr:rowOff>
    </xdr:to>
    <xdr:graphicFrame macro="">
      <xdr:nvGraphicFramePr>
        <xdr:cNvPr id="10" name="Chart 9">
          <a:extLst>
            <a:ext uri="{FF2B5EF4-FFF2-40B4-BE49-F238E27FC236}">
              <a16:creationId xmlns:a16="http://schemas.microsoft.com/office/drawing/2014/main" id="{6A30C5EF-CC19-2EE1-67E7-47E63617B2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123</xdr:col>
      <xdr:colOff>170330</xdr:colOff>
      <xdr:row>168</xdr:row>
      <xdr:rowOff>4482</xdr:rowOff>
    </xdr:from>
    <xdr:to>
      <xdr:col>133</xdr:col>
      <xdr:colOff>171450</xdr:colOff>
      <xdr:row>191</xdr:row>
      <xdr:rowOff>114300</xdr:rowOff>
    </xdr:to>
    <xdr:graphicFrame macro="">
      <xdr:nvGraphicFramePr>
        <xdr:cNvPr id="11" name="Chart 10">
          <a:extLst>
            <a:ext uri="{FF2B5EF4-FFF2-40B4-BE49-F238E27FC236}">
              <a16:creationId xmlns:a16="http://schemas.microsoft.com/office/drawing/2014/main" id="{6323FBBE-DCAD-230A-C39A-9EEEF5639C5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143</xdr:col>
      <xdr:colOff>421342</xdr:colOff>
      <xdr:row>197</xdr:row>
      <xdr:rowOff>76200</xdr:rowOff>
    </xdr:from>
    <xdr:to>
      <xdr:col>152</xdr:col>
      <xdr:colOff>38100</xdr:colOff>
      <xdr:row>218</xdr:row>
      <xdr:rowOff>0</xdr:rowOff>
    </xdr:to>
    <xdr:graphicFrame macro="">
      <xdr:nvGraphicFramePr>
        <xdr:cNvPr id="27" name="Chart 26">
          <a:extLst>
            <a:ext uri="{FF2B5EF4-FFF2-40B4-BE49-F238E27FC236}">
              <a16:creationId xmlns:a16="http://schemas.microsoft.com/office/drawing/2014/main" id="{D6982E86-C7C3-B9B4-78FD-6C49BCC0A5C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134</xdr:col>
      <xdr:colOff>0</xdr:colOff>
      <xdr:row>193</xdr:row>
      <xdr:rowOff>76201</xdr:rowOff>
    </xdr:from>
    <xdr:to>
      <xdr:col>143</xdr:col>
      <xdr:colOff>228600</xdr:colOff>
      <xdr:row>217</xdr:row>
      <xdr:rowOff>38101</xdr:rowOff>
    </xdr:to>
    <xdr:graphicFrame macro="">
      <xdr:nvGraphicFramePr>
        <xdr:cNvPr id="29" name="Chart 28">
          <a:extLst>
            <a:ext uri="{FF2B5EF4-FFF2-40B4-BE49-F238E27FC236}">
              <a16:creationId xmlns:a16="http://schemas.microsoft.com/office/drawing/2014/main" id="{1A405885-5B56-C757-7907-2462EDE123A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xdr:from>
      <xdr:col>114</xdr:col>
      <xdr:colOff>119902</xdr:colOff>
      <xdr:row>195</xdr:row>
      <xdr:rowOff>61632</xdr:rowOff>
    </xdr:from>
    <xdr:to>
      <xdr:col>122</xdr:col>
      <xdr:colOff>514350</xdr:colOff>
      <xdr:row>217</xdr:row>
      <xdr:rowOff>76200</xdr:rowOff>
    </xdr:to>
    <xdr:graphicFrame macro="">
      <xdr:nvGraphicFramePr>
        <xdr:cNvPr id="33" name="Chart 32">
          <a:extLst>
            <a:ext uri="{FF2B5EF4-FFF2-40B4-BE49-F238E27FC236}">
              <a16:creationId xmlns:a16="http://schemas.microsoft.com/office/drawing/2014/main" id="{7E006DEE-E8C2-D5A0-F4F8-3A0533EBD6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twoCellAnchor>
    <xdr:from>
      <xdr:col>123</xdr:col>
      <xdr:colOff>90767</xdr:colOff>
      <xdr:row>193</xdr:row>
      <xdr:rowOff>114300</xdr:rowOff>
    </xdr:from>
    <xdr:to>
      <xdr:col>133</xdr:col>
      <xdr:colOff>323850</xdr:colOff>
      <xdr:row>218</xdr:row>
      <xdr:rowOff>19049</xdr:rowOff>
    </xdr:to>
    <xdr:graphicFrame macro="">
      <xdr:nvGraphicFramePr>
        <xdr:cNvPr id="34" name="Chart 33">
          <a:extLst>
            <a:ext uri="{FF2B5EF4-FFF2-40B4-BE49-F238E27FC236}">
              <a16:creationId xmlns:a16="http://schemas.microsoft.com/office/drawing/2014/main" id="{CB7DAF10-B684-A771-EE99-E7B49CE46B7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4"/>
        </a:graphicData>
      </a:graphic>
    </xdr:graphicFrame>
    <xdr:clientData/>
  </xdr:twoCellAnchor>
  <xdr:twoCellAnchor>
    <xdr:from>
      <xdr:col>6</xdr:col>
      <xdr:colOff>306469</xdr:colOff>
      <xdr:row>229</xdr:row>
      <xdr:rowOff>62120</xdr:rowOff>
    </xdr:from>
    <xdr:to>
      <xdr:col>14</xdr:col>
      <xdr:colOff>249319</xdr:colOff>
      <xdr:row>247</xdr:row>
      <xdr:rowOff>62120</xdr:rowOff>
    </xdr:to>
    <xdr:graphicFrame macro="">
      <xdr:nvGraphicFramePr>
        <xdr:cNvPr id="35" name="Chart 34">
          <a:extLst>
            <a:ext uri="{FF2B5EF4-FFF2-40B4-BE49-F238E27FC236}">
              <a16:creationId xmlns:a16="http://schemas.microsoft.com/office/drawing/2014/main" id="{E9C17CCC-A377-A6E0-587A-E5D1E49131D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5"/>
        </a:graphicData>
      </a:graphic>
    </xdr:graphicFrame>
    <xdr:clientData/>
  </xdr:twoCellAnchor>
  <xdr:twoCellAnchor>
    <xdr:from>
      <xdr:col>113</xdr:col>
      <xdr:colOff>33337</xdr:colOff>
      <xdr:row>225</xdr:row>
      <xdr:rowOff>57150</xdr:rowOff>
    </xdr:from>
    <xdr:to>
      <xdr:col>123</xdr:col>
      <xdr:colOff>66675</xdr:colOff>
      <xdr:row>247</xdr:row>
      <xdr:rowOff>133350</xdr:rowOff>
    </xdr:to>
    <xdr:graphicFrame macro="">
      <xdr:nvGraphicFramePr>
        <xdr:cNvPr id="36" name="Chart 35">
          <a:extLst>
            <a:ext uri="{FF2B5EF4-FFF2-40B4-BE49-F238E27FC236}">
              <a16:creationId xmlns:a16="http://schemas.microsoft.com/office/drawing/2014/main" id="{F40B7447-F809-BBD8-FAC9-EEDAF718522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6"/>
        </a:graphicData>
      </a:graphic>
    </xdr:graphicFrame>
    <xdr:clientData/>
  </xdr:twoCellAnchor>
  <xdr:twoCellAnchor>
    <xdr:from>
      <xdr:col>58</xdr:col>
      <xdr:colOff>108857</xdr:colOff>
      <xdr:row>152</xdr:row>
      <xdr:rowOff>66441</xdr:rowOff>
    </xdr:from>
    <xdr:to>
      <xdr:col>67</xdr:col>
      <xdr:colOff>449036</xdr:colOff>
      <xdr:row>171</xdr:row>
      <xdr:rowOff>41788</xdr:rowOff>
    </xdr:to>
    <xdr:graphicFrame macro="">
      <xdr:nvGraphicFramePr>
        <xdr:cNvPr id="37" name="Chart 36">
          <a:extLst>
            <a:ext uri="{FF2B5EF4-FFF2-40B4-BE49-F238E27FC236}">
              <a16:creationId xmlns:a16="http://schemas.microsoft.com/office/drawing/2014/main" id="{D4FE743B-EF39-B4FB-F799-A9FC64E77C9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7"/>
        </a:graphicData>
      </a:graphic>
    </xdr:graphicFrame>
    <xdr:clientData/>
  </xdr:twoCellAnchor>
  <xdr:twoCellAnchor>
    <xdr:from>
      <xdr:col>50</xdr:col>
      <xdr:colOff>0</xdr:colOff>
      <xdr:row>178</xdr:row>
      <xdr:rowOff>0</xdr:rowOff>
    </xdr:from>
    <xdr:to>
      <xdr:col>59</xdr:col>
      <xdr:colOff>149679</xdr:colOff>
      <xdr:row>196</xdr:row>
      <xdr:rowOff>121023</xdr:rowOff>
    </xdr:to>
    <xdr:graphicFrame macro="">
      <xdr:nvGraphicFramePr>
        <xdr:cNvPr id="38" name="Chart 37">
          <a:extLst>
            <a:ext uri="{FF2B5EF4-FFF2-40B4-BE49-F238E27FC236}">
              <a16:creationId xmlns:a16="http://schemas.microsoft.com/office/drawing/2014/main" id="{2E9ECC91-7043-4E5F-B5A3-9BA8B2726C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8"/>
        </a:graphicData>
      </a:graphic>
    </xdr:graphicFrame>
    <xdr:clientData/>
  </xdr:twoCellAnchor>
  <xdr:twoCellAnchor>
    <xdr:from>
      <xdr:col>70</xdr:col>
      <xdr:colOff>0</xdr:colOff>
      <xdr:row>158</xdr:row>
      <xdr:rowOff>0</xdr:rowOff>
    </xdr:from>
    <xdr:to>
      <xdr:col>77</xdr:col>
      <xdr:colOff>336176</xdr:colOff>
      <xdr:row>178</xdr:row>
      <xdr:rowOff>121024</xdr:rowOff>
    </xdr:to>
    <xdr:graphicFrame macro="">
      <xdr:nvGraphicFramePr>
        <xdr:cNvPr id="39" name="Chart 38">
          <a:extLst>
            <a:ext uri="{FF2B5EF4-FFF2-40B4-BE49-F238E27FC236}">
              <a16:creationId xmlns:a16="http://schemas.microsoft.com/office/drawing/2014/main" id="{675511BB-746F-4FF6-BEEA-AE36FDF905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9"/>
        </a:graphicData>
      </a:graphic>
    </xdr:graphicFrame>
    <xdr:clientData/>
  </xdr:twoCellAnchor>
  <xdr:twoCellAnchor>
    <xdr:from>
      <xdr:col>70</xdr:col>
      <xdr:colOff>0</xdr:colOff>
      <xdr:row>180</xdr:row>
      <xdr:rowOff>0</xdr:rowOff>
    </xdr:from>
    <xdr:to>
      <xdr:col>77</xdr:col>
      <xdr:colOff>336176</xdr:colOff>
      <xdr:row>198</xdr:row>
      <xdr:rowOff>121023</xdr:rowOff>
    </xdr:to>
    <xdr:graphicFrame macro="">
      <xdr:nvGraphicFramePr>
        <xdr:cNvPr id="40" name="Chart 39">
          <a:extLst>
            <a:ext uri="{FF2B5EF4-FFF2-40B4-BE49-F238E27FC236}">
              <a16:creationId xmlns:a16="http://schemas.microsoft.com/office/drawing/2014/main" id="{1E4048CD-03BA-415F-9FB8-99214BA04F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xdr:from>
      <xdr:col>113</xdr:col>
      <xdr:colOff>333935</xdr:colOff>
      <xdr:row>249</xdr:row>
      <xdr:rowOff>59952</xdr:rowOff>
    </xdr:from>
    <xdr:to>
      <xdr:col>121</xdr:col>
      <xdr:colOff>120463</xdr:colOff>
      <xdr:row>268</xdr:row>
      <xdr:rowOff>91889</xdr:rowOff>
    </xdr:to>
    <xdr:graphicFrame macro="">
      <xdr:nvGraphicFramePr>
        <xdr:cNvPr id="41" name="Chart 40">
          <a:extLst>
            <a:ext uri="{FF2B5EF4-FFF2-40B4-BE49-F238E27FC236}">
              <a16:creationId xmlns:a16="http://schemas.microsoft.com/office/drawing/2014/main" id="{7621473E-FDB3-795B-4D01-109810ECD30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1"/>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US_Internet_3">
  <a:themeElements>
    <a:clrScheme name="New Street Research Colors">
      <a:dk1>
        <a:sysClr val="windowText" lastClr="000000"/>
      </a:dk1>
      <a:lt1>
        <a:sysClr val="window" lastClr="FFFFFF"/>
      </a:lt1>
      <a:dk2>
        <a:srgbClr val="799098"/>
      </a:dk2>
      <a:lt2>
        <a:srgbClr val="263238"/>
      </a:lt2>
      <a:accent1>
        <a:srgbClr val="C7FE02"/>
      </a:accent1>
      <a:accent2>
        <a:srgbClr val="E3F982"/>
      </a:accent2>
      <a:accent3>
        <a:srgbClr val="F9663E"/>
      </a:accent3>
      <a:accent4>
        <a:srgbClr val="F19375"/>
      </a:accent4>
      <a:accent5>
        <a:srgbClr val="00C994"/>
      </a:accent5>
      <a:accent6>
        <a:srgbClr val="80D4C1"/>
      </a:accent6>
      <a:hlink>
        <a:srgbClr val="0563C1"/>
      </a:hlink>
      <a:folHlink>
        <a:srgbClr val="954F72"/>
      </a:folHlink>
    </a:clrScheme>
    <a:fontScheme name="Custom 22">
      <a:majorFont>
        <a:latin typeface="Euclid Circular A SemiBold"/>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tx1"/>
        </a:solidFill>
        <a:ln>
          <a:noFill/>
        </a:ln>
      </a:spPr>
      <a:bodyPr rtlCol="0" anchor="ctr"/>
      <a:lstStyle>
        <a:defPPr algn="ctr">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US_Internet_3" id="{5EA4409A-2A58-46E5-85D1-58BD92A9BBB8}" vid="{FAFEB120-61D2-4547-B893-C5B07ECE3945}"/>
    </a:ext>
  </a:extLst>
</a:theme>
</file>

<file path=xl/theme/themeOverride1.xml><?xml version="1.0" encoding="utf-8"?>
<a:themeOverride xmlns:a="http://schemas.openxmlformats.org/drawingml/2006/main">
  <a:clrScheme name="New Street Research Colors">
    <a:dk1>
      <a:sysClr val="windowText" lastClr="000000"/>
    </a:dk1>
    <a:lt1>
      <a:sysClr val="window" lastClr="FFFFFF"/>
    </a:lt1>
    <a:dk2>
      <a:srgbClr val="799098"/>
    </a:dk2>
    <a:lt2>
      <a:srgbClr val="263238"/>
    </a:lt2>
    <a:accent1>
      <a:srgbClr val="C7FE02"/>
    </a:accent1>
    <a:accent2>
      <a:srgbClr val="E3F982"/>
    </a:accent2>
    <a:accent3>
      <a:srgbClr val="F9663E"/>
    </a:accent3>
    <a:accent4>
      <a:srgbClr val="F19375"/>
    </a:accent4>
    <a:accent5>
      <a:srgbClr val="00C994"/>
    </a:accent5>
    <a:accent6>
      <a:srgbClr val="80D4C1"/>
    </a:accent6>
    <a:hlink>
      <a:srgbClr val="0563C1"/>
    </a:hlink>
    <a:folHlink>
      <a:srgbClr val="954F72"/>
    </a:folHlink>
  </a:clrScheme>
  <a:fontScheme name="Custom 22">
    <a:majorFont>
      <a:latin typeface="Euclid Circular A SemiBold"/>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xml><?xml version="1.0" encoding="utf-8"?>
<a:themeOverride xmlns:a="http://schemas.openxmlformats.org/drawingml/2006/main">
  <a:clrScheme name="New Street Research Colors">
    <a:dk1>
      <a:sysClr val="windowText" lastClr="000000"/>
    </a:dk1>
    <a:lt1>
      <a:sysClr val="window" lastClr="FFFFFF"/>
    </a:lt1>
    <a:dk2>
      <a:srgbClr val="799098"/>
    </a:dk2>
    <a:lt2>
      <a:srgbClr val="263238"/>
    </a:lt2>
    <a:accent1>
      <a:srgbClr val="C7FE02"/>
    </a:accent1>
    <a:accent2>
      <a:srgbClr val="E3F982"/>
    </a:accent2>
    <a:accent3>
      <a:srgbClr val="F9663E"/>
    </a:accent3>
    <a:accent4>
      <a:srgbClr val="F19375"/>
    </a:accent4>
    <a:accent5>
      <a:srgbClr val="00C994"/>
    </a:accent5>
    <a:accent6>
      <a:srgbClr val="80D4C1"/>
    </a:accent6>
    <a:hlink>
      <a:srgbClr val="0563C1"/>
    </a:hlink>
    <a:folHlink>
      <a:srgbClr val="954F72"/>
    </a:folHlink>
  </a:clrScheme>
  <a:fontScheme name="Custom 22">
    <a:majorFont>
      <a:latin typeface="Euclid Circular A SemiBold"/>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xml><?xml version="1.0" encoding="utf-8"?>
<a:themeOverride xmlns:a="http://schemas.openxmlformats.org/drawingml/2006/main">
  <a:clrScheme name="New Street Research Colors">
    <a:dk1>
      <a:sysClr val="windowText" lastClr="000000"/>
    </a:dk1>
    <a:lt1>
      <a:sysClr val="window" lastClr="FFFFFF"/>
    </a:lt1>
    <a:dk2>
      <a:srgbClr val="799098"/>
    </a:dk2>
    <a:lt2>
      <a:srgbClr val="263238"/>
    </a:lt2>
    <a:accent1>
      <a:srgbClr val="C7FE02"/>
    </a:accent1>
    <a:accent2>
      <a:srgbClr val="E3F982"/>
    </a:accent2>
    <a:accent3>
      <a:srgbClr val="F9663E"/>
    </a:accent3>
    <a:accent4>
      <a:srgbClr val="F19375"/>
    </a:accent4>
    <a:accent5>
      <a:srgbClr val="00C994"/>
    </a:accent5>
    <a:accent6>
      <a:srgbClr val="80D4C1"/>
    </a:accent6>
    <a:hlink>
      <a:srgbClr val="0563C1"/>
    </a:hlink>
    <a:folHlink>
      <a:srgbClr val="954F72"/>
    </a:folHlink>
  </a:clrScheme>
  <a:fontScheme name="Custom 22">
    <a:majorFont>
      <a:latin typeface="Euclid Circular A SemiBold"/>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xml><?xml version="1.0" encoding="utf-8"?>
<a:themeOverride xmlns:a="http://schemas.openxmlformats.org/drawingml/2006/main">
  <a:clrScheme name="New Street Research Colors">
    <a:dk1>
      <a:sysClr val="windowText" lastClr="000000"/>
    </a:dk1>
    <a:lt1>
      <a:sysClr val="window" lastClr="FFFFFF"/>
    </a:lt1>
    <a:dk2>
      <a:srgbClr val="799098"/>
    </a:dk2>
    <a:lt2>
      <a:srgbClr val="263238"/>
    </a:lt2>
    <a:accent1>
      <a:srgbClr val="C7FE02"/>
    </a:accent1>
    <a:accent2>
      <a:srgbClr val="E3F982"/>
    </a:accent2>
    <a:accent3>
      <a:srgbClr val="F9663E"/>
    </a:accent3>
    <a:accent4>
      <a:srgbClr val="F19375"/>
    </a:accent4>
    <a:accent5>
      <a:srgbClr val="00C994"/>
    </a:accent5>
    <a:accent6>
      <a:srgbClr val="80D4C1"/>
    </a:accent6>
    <a:hlink>
      <a:srgbClr val="0563C1"/>
    </a:hlink>
    <a:folHlink>
      <a:srgbClr val="954F72"/>
    </a:folHlink>
  </a:clrScheme>
  <a:fontScheme name="Custom 22">
    <a:majorFont>
      <a:latin typeface="Euclid Circular A SemiBold"/>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3.xml><?xml version="1.0" encoding="utf-8"?>
<a:themeOverride xmlns:a="http://schemas.openxmlformats.org/drawingml/2006/main">
  <a:clrScheme name="New Street Research Colors">
    <a:dk1>
      <a:sysClr val="windowText" lastClr="000000"/>
    </a:dk1>
    <a:lt1>
      <a:sysClr val="window" lastClr="FFFFFF"/>
    </a:lt1>
    <a:dk2>
      <a:srgbClr val="799098"/>
    </a:dk2>
    <a:lt2>
      <a:srgbClr val="263238"/>
    </a:lt2>
    <a:accent1>
      <a:srgbClr val="C7FE02"/>
    </a:accent1>
    <a:accent2>
      <a:srgbClr val="E3F982"/>
    </a:accent2>
    <a:accent3>
      <a:srgbClr val="F9663E"/>
    </a:accent3>
    <a:accent4>
      <a:srgbClr val="F19375"/>
    </a:accent4>
    <a:accent5>
      <a:srgbClr val="00C994"/>
    </a:accent5>
    <a:accent6>
      <a:srgbClr val="80D4C1"/>
    </a:accent6>
    <a:hlink>
      <a:srgbClr val="0563C1"/>
    </a:hlink>
    <a:folHlink>
      <a:srgbClr val="954F72"/>
    </a:folHlink>
  </a:clrScheme>
  <a:fontScheme name="Custom 22">
    <a:majorFont>
      <a:latin typeface="Euclid Circular A SemiBold"/>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4.xml><?xml version="1.0" encoding="utf-8"?>
<a:themeOverride xmlns:a="http://schemas.openxmlformats.org/drawingml/2006/main">
  <a:clrScheme name="New Street Research Colors">
    <a:dk1>
      <a:sysClr val="windowText" lastClr="000000"/>
    </a:dk1>
    <a:lt1>
      <a:sysClr val="window" lastClr="FFFFFF"/>
    </a:lt1>
    <a:dk2>
      <a:srgbClr val="799098"/>
    </a:dk2>
    <a:lt2>
      <a:srgbClr val="263238"/>
    </a:lt2>
    <a:accent1>
      <a:srgbClr val="C7FE02"/>
    </a:accent1>
    <a:accent2>
      <a:srgbClr val="E3F982"/>
    </a:accent2>
    <a:accent3>
      <a:srgbClr val="F9663E"/>
    </a:accent3>
    <a:accent4>
      <a:srgbClr val="F19375"/>
    </a:accent4>
    <a:accent5>
      <a:srgbClr val="00C994"/>
    </a:accent5>
    <a:accent6>
      <a:srgbClr val="80D4C1"/>
    </a:accent6>
    <a:hlink>
      <a:srgbClr val="0563C1"/>
    </a:hlink>
    <a:folHlink>
      <a:srgbClr val="954F72"/>
    </a:folHlink>
  </a:clrScheme>
  <a:fontScheme name="Custom 22">
    <a:majorFont>
      <a:latin typeface="Euclid Circular A SemiBold"/>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5.xml><?xml version="1.0" encoding="utf-8"?>
<a:themeOverride xmlns:a="http://schemas.openxmlformats.org/drawingml/2006/main">
  <a:clrScheme name="New Street Research Colors">
    <a:dk1>
      <a:sysClr val="windowText" lastClr="000000"/>
    </a:dk1>
    <a:lt1>
      <a:sysClr val="window" lastClr="FFFFFF"/>
    </a:lt1>
    <a:dk2>
      <a:srgbClr val="799098"/>
    </a:dk2>
    <a:lt2>
      <a:srgbClr val="263238"/>
    </a:lt2>
    <a:accent1>
      <a:srgbClr val="C7FE02"/>
    </a:accent1>
    <a:accent2>
      <a:srgbClr val="E3F982"/>
    </a:accent2>
    <a:accent3>
      <a:srgbClr val="F9663E"/>
    </a:accent3>
    <a:accent4>
      <a:srgbClr val="F19375"/>
    </a:accent4>
    <a:accent5>
      <a:srgbClr val="00C994"/>
    </a:accent5>
    <a:accent6>
      <a:srgbClr val="80D4C1"/>
    </a:accent6>
    <a:hlink>
      <a:srgbClr val="0563C1"/>
    </a:hlink>
    <a:folHlink>
      <a:srgbClr val="954F72"/>
    </a:folHlink>
  </a:clrScheme>
  <a:fontScheme name="Custom 22">
    <a:majorFont>
      <a:latin typeface="Euclid Circular A SemiBold"/>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6.xml><?xml version="1.0" encoding="utf-8"?>
<a:themeOverride xmlns:a="http://schemas.openxmlformats.org/drawingml/2006/main">
  <a:clrScheme name="New Street Research Colors">
    <a:dk1>
      <a:sysClr val="windowText" lastClr="000000"/>
    </a:dk1>
    <a:lt1>
      <a:sysClr val="window" lastClr="FFFFFF"/>
    </a:lt1>
    <a:dk2>
      <a:srgbClr val="799098"/>
    </a:dk2>
    <a:lt2>
      <a:srgbClr val="263238"/>
    </a:lt2>
    <a:accent1>
      <a:srgbClr val="C7FE02"/>
    </a:accent1>
    <a:accent2>
      <a:srgbClr val="E3F982"/>
    </a:accent2>
    <a:accent3>
      <a:srgbClr val="F9663E"/>
    </a:accent3>
    <a:accent4>
      <a:srgbClr val="F19375"/>
    </a:accent4>
    <a:accent5>
      <a:srgbClr val="00C994"/>
    </a:accent5>
    <a:accent6>
      <a:srgbClr val="80D4C1"/>
    </a:accent6>
    <a:hlink>
      <a:srgbClr val="0563C1"/>
    </a:hlink>
    <a:folHlink>
      <a:srgbClr val="954F72"/>
    </a:folHlink>
  </a:clrScheme>
  <a:fontScheme name="Custom 22">
    <a:majorFont>
      <a:latin typeface="Euclid Circular A SemiBold"/>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New Street Research Colors">
    <a:dk1>
      <a:sysClr val="windowText" lastClr="000000"/>
    </a:dk1>
    <a:lt1>
      <a:sysClr val="window" lastClr="FFFFFF"/>
    </a:lt1>
    <a:dk2>
      <a:srgbClr val="799098"/>
    </a:dk2>
    <a:lt2>
      <a:srgbClr val="263238"/>
    </a:lt2>
    <a:accent1>
      <a:srgbClr val="C7FE02"/>
    </a:accent1>
    <a:accent2>
      <a:srgbClr val="E3F982"/>
    </a:accent2>
    <a:accent3>
      <a:srgbClr val="F9663E"/>
    </a:accent3>
    <a:accent4>
      <a:srgbClr val="F19375"/>
    </a:accent4>
    <a:accent5>
      <a:srgbClr val="00C994"/>
    </a:accent5>
    <a:accent6>
      <a:srgbClr val="80D4C1"/>
    </a:accent6>
    <a:hlink>
      <a:srgbClr val="0563C1"/>
    </a:hlink>
    <a:folHlink>
      <a:srgbClr val="954F72"/>
    </a:folHlink>
  </a:clrScheme>
  <a:fontScheme name="Custom 22">
    <a:majorFont>
      <a:latin typeface="Euclid Circular A SemiBold"/>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New Street Research Colors">
    <a:dk1>
      <a:sysClr val="windowText" lastClr="000000"/>
    </a:dk1>
    <a:lt1>
      <a:sysClr val="window" lastClr="FFFFFF"/>
    </a:lt1>
    <a:dk2>
      <a:srgbClr val="799098"/>
    </a:dk2>
    <a:lt2>
      <a:srgbClr val="263238"/>
    </a:lt2>
    <a:accent1>
      <a:srgbClr val="C7FE02"/>
    </a:accent1>
    <a:accent2>
      <a:srgbClr val="E3F982"/>
    </a:accent2>
    <a:accent3>
      <a:srgbClr val="F9663E"/>
    </a:accent3>
    <a:accent4>
      <a:srgbClr val="F19375"/>
    </a:accent4>
    <a:accent5>
      <a:srgbClr val="00C994"/>
    </a:accent5>
    <a:accent6>
      <a:srgbClr val="80D4C1"/>
    </a:accent6>
    <a:hlink>
      <a:srgbClr val="0563C1"/>
    </a:hlink>
    <a:folHlink>
      <a:srgbClr val="954F72"/>
    </a:folHlink>
  </a:clrScheme>
  <a:fontScheme name="Custom 22">
    <a:majorFont>
      <a:latin typeface="Euclid Circular A SemiBold"/>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New Street Research Colors">
    <a:dk1>
      <a:sysClr val="windowText" lastClr="000000"/>
    </a:dk1>
    <a:lt1>
      <a:sysClr val="window" lastClr="FFFFFF"/>
    </a:lt1>
    <a:dk2>
      <a:srgbClr val="799098"/>
    </a:dk2>
    <a:lt2>
      <a:srgbClr val="263238"/>
    </a:lt2>
    <a:accent1>
      <a:srgbClr val="C7FE02"/>
    </a:accent1>
    <a:accent2>
      <a:srgbClr val="E3F982"/>
    </a:accent2>
    <a:accent3>
      <a:srgbClr val="F9663E"/>
    </a:accent3>
    <a:accent4>
      <a:srgbClr val="F19375"/>
    </a:accent4>
    <a:accent5>
      <a:srgbClr val="00C994"/>
    </a:accent5>
    <a:accent6>
      <a:srgbClr val="80D4C1"/>
    </a:accent6>
    <a:hlink>
      <a:srgbClr val="0563C1"/>
    </a:hlink>
    <a:folHlink>
      <a:srgbClr val="954F72"/>
    </a:folHlink>
  </a:clrScheme>
  <a:fontScheme name="Custom 22">
    <a:majorFont>
      <a:latin typeface="Euclid Circular A SemiBold"/>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New Street Research Colors">
    <a:dk1>
      <a:sysClr val="windowText" lastClr="000000"/>
    </a:dk1>
    <a:lt1>
      <a:sysClr val="window" lastClr="FFFFFF"/>
    </a:lt1>
    <a:dk2>
      <a:srgbClr val="799098"/>
    </a:dk2>
    <a:lt2>
      <a:srgbClr val="263238"/>
    </a:lt2>
    <a:accent1>
      <a:srgbClr val="C7FE02"/>
    </a:accent1>
    <a:accent2>
      <a:srgbClr val="E3F982"/>
    </a:accent2>
    <a:accent3>
      <a:srgbClr val="F9663E"/>
    </a:accent3>
    <a:accent4>
      <a:srgbClr val="F19375"/>
    </a:accent4>
    <a:accent5>
      <a:srgbClr val="00C994"/>
    </a:accent5>
    <a:accent6>
      <a:srgbClr val="80D4C1"/>
    </a:accent6>
    <a:hlink>
      <a:srgbClr val="0563C1"/>
    </a:hlink>
    <a:folHlink>
      <a:srgbClr val="954F72"/>
    </a:folHlink>
  </a:clrScheme>
  <a:fontScheme name="Custom 22">
    <a:majorFont>
      <a:latin typeface="Euclid Circular A SemiBold"/>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New Street Research Colors">
    <a:dk1>
      <a:sysClr val="windowText" lastClr="000000"/>
    </a:dk1>
    <a:lt1>
      <a:sysClr val="window" lastClr="FFFFFF"/>
    </a:lt1>
    <a:dk2>
      <a:srgbClr val="799098"/>
    </a:dk2>
    <a:lt2>
      <a:srgbClr val="263238"/>
    </a:lt2>
    <a:accent1>
      <a:srgbClr val="C7FE02"/>
    </a:accent1>
    <a:accent2>
      <a:srgbClr val="E3F982"/>
    </a:accent2>
    <a:accent3>
      <a:srgbClr val="F9663E"/>
    </a:accent3>
    <a:accent4>
      <a:srgbClr val="F19375"/>
    </a:accent4>
    <a:accent5>
      <a:srgbClr val="00C994"/>
    </a:accent5>
    <a:accent6>
      <a:srgbClr val="80D4C1"/>
    </a:accent6>
    <a:hlink>
      <a:srgbClr val="0563C1"/>
    </a:hlink>
    <a:folHlink>
      <a:srgbClr val="954F72"/>
    </a:folHlink>
  </a:clrScheme>
  <a:fontScheme name="Custom 22">
    <a:majorFont>
      <a:latin typeface="Euclid Circular A SemiBold"/>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New Street Research Colors">
    <a:dk1>
      <a:sysClr val="windowText" lastClr="000000"/>
    </a:dk1>
    <a:lt1>
      <a:sysClr val="window" lastClr="FFFFFF"/>
    </a:lt1>
    <a:dk2>
      <a:srgbClr val="799098"/>
    </a:dk2>
    <a:lt2>
      <a:srgbClr val="263238"/>
    </a:lt2>
    <a:accent1>
      <a:srgbClr val="C7FE02"/>
    </a:accent1>
    <a:accent2>
      <a:srgbClr val="E3F982"/>
    </a:accent2>
    <a:accent3>
      <a:srgbClr val="F9663E"/>
    </a:accent3>
    <a:accent4>
      <a:srgbClr val="F19375"/>
    </a:accent4>
    <a:accent5>
      <a:srgbClr val="00C994"/>
    </a:accent5>
    <a:accent6>
      <a:srgbClr val="80D4C1"/>
    </a:accent6>
    <a:hlink>
      <a:srgbClr val="0563C1"/>
    </a:hlink>
    <a:folHlink>
      <a:srgbClr val="954F72"/>
    </a:folHlink>
  </a:clrScheme>
  <a:fontScheme name="Custom 22">
    <a:majorFont>
      <a:latin typeface="Euclid Circular A SemiBold"/>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New Street Research Colors">
    <a:dk1>
      <a:sysClr val="windowText" lastClr="000000"/>
    </a:dk1>
    <a:lt1>
      <a:sysClr val="window" lastClr="FFFFFF"/>
    </a:lt1>
    <a:dk2>
      <a:srgbClr val="799098"/>
    </a:dk2>
    <a:lt2>
      <a:srgbClr val="263238"/>
    </a:lt2>
    <a:accent1>
      <a:srgbClr val="C7FE02"/>
    </a:accent1>
    <a:accent2>
      <a:srgbClr val="E3F982"/>
    </a:accent2>
    <a:accent3>
      <a:srgbClr val="F9663E"/>
    </a:accent3>
    <a:accent4>
      <a:srgbClr val="F19375"/>
    </a:accent4>
    <a:accent5>
      <a:srgbClr val="00C994"/>
    </a:accent5>
    <a:accent6>
      <a:srgbClr val="80D4C1"/>
    </a:accent6>
    <a:hlink>
      <a:srgbClr val="0563C1"/>
    </a:hlink>
    <a:folHlink>
      <a:srgbClr val="954F72"/>
    </a:folHlink>
  </a:clrScheme>
  <a:fontScheme name="Custom 22">
    <a:majorFont>
      <a:latin typeface="Euclid Circular A SemiBold"/>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New Street Research Colors">
    <a:dk1>
      <a:sysClr val="windowText" lastClr="000000"/>
    </a:dk1>
    <a:lt1>
      <a:sysClr val="window" lastClr="FFFFFF"/>
    </a:lt1>
    <a:dk2>
      <a:srgbClr val="799098"/>
    </a:dk2>
    <a:lt2>
      <a:srgbClr val="263238"/>
    </a:lt2>
    <a:accent1>
      <a:srgbClr val="C7FE02"/>
    </a:accent1>
    <a:accent2>
      <a:srgbClr val="E3F982"/>
    </a:accent2>
    <a:accent3>
      <a:srgbClr val="F9663E"/>
    </a:accent3>
    <a:accent4>
      <a:srgbClr val="F19375"/>
    </a:accent4>
    <a:accent5>
      <a:srgbClr val="00C994"/>
    </a:accent5>
    <a:accent6>
      <a:srgbClr val="80D4C1"/>
    </a:accent6>
    <a:hlink>
      <a:srgbClr val="0563C1"/>
    </a:hlink>
    <a:folHlink>
      <a:srgbClr val="954F72"/>
    </a:folHlink>
  </a:clrScheme>
  <a:fontScheme name="Custom 22">
    <a:majorFont>
      <a:latin typeface="Euclid Circular A SemiBold"/>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2.xml"/><Relationship Id="rId1" Type="http://schemas.openxmlformats.org/officeDocument/2006/relationships/printerSettings" Target="../printerSettings/printerSettings11.bin"/><Relationship Id="rId4" Type="http://schemas.openxmlformats.org/officeDocument/2006/relationships/comments" Target="../comments6.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B60B1-BA19-4BF8-A0E0-DAB48EFE248C}">
  <sheetPr codeName="Sheet14"/>
  <dimension ref="A1:A11"/>
  <sheetViews>
    <sheetView showGridLines="0" workbookViewId="0">
      <pane xSplit="3" ySplit="5" topLeftCell="D6" activePane="bottomRight" state="frozen"/>
      <selection pane="topRight" activeCell="D1" sqref="D1"/>
      <selection pane="bottomLeft" activeCell="A6" sqref="A6"/>
      <selection pane="bottomRight" activeCell="D6" sqref="D6"/>
    </sheetView>
  </sheetViews>
  <sheetFormatPr defaultRowHeight="13.2"/>
  <sheetData>
    <row r="1" spans="1:1">
      <c r="A1" t="s">
        <v>419</v>
      </c>
    </row>
    <row r="2" spans="1:1">
      <c r="A2" t="s">
        <v>420</v>
      </c>
    </row>
    <row r="3" spans="1:1">
      <c r="A3" t="s">
        <v>167</v>
      </c>
    </row>
    <row r="4" spans="1:1">
      <c r="A4" t="s">
        <v>421</v>
      </c>
    </row>
    <row r="5" spans="1:1">
      <c r="A5" t="s">
        <v>418</v>
      </c>
    </row>
    <row r="6" spans="1:1">
      <c r="A6" t="s">
        <v>422</v>
      </c>
    </row>
    <row r="7" spans="1:1">
      <c r="A7" t="s">
        <v>190</v>
      </c>
    </row>
    <row r="8" spans="1:1">
      <c r="A8" t="s">
        <v>423</v>
      </c>
    </row>
    <row r="9" spans="1:1">
      <c r="A9" t="s">
        <v>424</v>
      </c>
    </row>
    <row r="10" spans="1:1">
      <c r="A10" t="s">
        <v>417</v>
      </c>
    </row>
    <row r="11" spans="1:1">
      <c r="A11" t="s">
        <v>425</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07022-D418-402B-A47E-565CD0510457}">
  <sheetPr codeName="Sheet10">
    <tabColor theme="6" tint="-0.249977111117893"/>
  </sheetPr>
  <dimension ref="A1:BH49"/>
  <sheetViews>
    <sheetView showGridLines="0" zoomScaleNormal="100" workbookViewId="0">
      <pane xSplit="17" ySplit="8" topLeftCell="AJ9" activePane="bottomRight" state="frozen"/>
      <selection pane="topRight" activeCell="R1" sqref="R1"/>
      <selection pane="bottomLeft" activeCell="A9" sqref="A9"/>
      <selection pane="bottomRight" activeCell="Q2" sqref="Q2"/>
    </sheetView>
  </sheetViews>
  <sheetFormatPr defaultColWidth="9.33203125" defaultRowHeight="13.2" outlineLevelRow="1" outlineLevelCol="3"/>
  <cols>
    <col min="1" max="1" width="1.6640625" customWidth="1"/>
    <col min="2" max="2" width="13.33203125" style="694" hidden="1" customWidth="1" outlineLevel="3"/>
    <col min="3" max="3" width="13.5546875" style="694" hidden="1" customWidth="1" outlineLevel="3"/>
    <col min="4" max="4" width="18.5546875" style="694" hidden="1" customWidth="1" outlineLevel="3"/>
    <col min="5" max="5" width="8.33203125" style="694" hidden="1" customWidth="1" outlineLevel="3"/>
    <col min="6" max="6" width="35" style="695" hidden="1" customWidth="1" outlineLevel="3"/>
    <col min="7" max="7" width="8.33203125" style="694" hidden="1" customWidth="1" outlineLevel="3" collapsed="1"/>
    <col min="8" max="16" width="9.33203125" style="694" hidden="1" customWidth="1" outlineLevel="3"/>
    <col min="17" max="17" width="21.6640625" style="694" customWidth="1" collapsed="1"/>
    <col min="18" max="18" width="7.33203125" style="694" hidden="1" customWidth="1" outlineLevel="2"/>
    <col min="19" max="19" width="8.44140625" style="694" hidden="1" customWidth="1" outlineLevel="2"/>
    <col min="20" max="20" width="8.88671875" style="694" hidden="1" customWidth="1" outlineLevel="2"/>
    <col min="21" max="21" width="9" style="694" hidden="1" customWidth="1" outlineLevel="3"/>
    <col min="22" max="22" width="7.33203125" style="694" hidden="1" customWidth="1" outlineLevel="2"/>
    <col min="23" max="23" width="9.44140625" style="694" hidden="1" customWidth="1" outlineLevel="2"/>
    <col min="24" max="24" width="14.33203125" style="1578" hidden="1" customWidth="1" outlineLevel="2"/>
    <col min="25" max="25" width="7.6640625" style="694" hidden="1" customWidth="1" outlineLevel="2"/>
    <col min="26" max="26" width="8.44140625" style="694" hidden="1" customWidth="1" outlineLevel="2"/>
    <col min="27" max="27" width="9.33203125" style="1255" hidden="1" customWidth="1" outlineLevel="2"/>
    <col min="28" max="28" width="8.33203125" style="694" hidden="1" customWidth="1" outlineLevel="2"/>
    <col min="29" max="29" width="9.44140625" style="694" hidden="1" customWidth="1" outlineLevel="2"/>
    <col min="30" max="30" width="11.6640625" style="1578" hidden="1" customWidth="1" outlineLevel="2"/>
    <col min="31" max="31" width="7.33203125" style="694" hidden="1" customWidth="1" outlineLevel="2"/>
    <col min="32" max="32" width="8.44140625" style="694" hidden="1" customWidth="1" outlineLevel="2"/>
    <col min="33" max="33" width="9.44140625" style="694" hidden="1" customWidth="1" outlineLevel="2"/>
    <col min="34" max="34" width="8.44140625" style="694" hidden="1" customWidth="1" outlineLevel="2"/>
    <col min="35" max="35" width="9.44140625" style="694" hidden="1" customWidth="1" outlineLevel="2"/>
    <col min="36" max="36" width="7.33203125" style="694" customWidth="1" outlineLevel="1" collapsed="1"/>
    <col min="37" max="37" width="8.44140625" style="694" customWidth="1" outlineLevel="1"/>
    <col min="38" max="38" width="8.88671875" style="694" customWidth="1" outlineLevel="1"/>
    <col min="39" max="39" width="8.44140625" style="694" customWidth="1" outlineLevel="1"/>
    <col min="40" max="40" width="9.44140625" style="694" customWidth="1" outlineLevel="1"/>
    <col min="41" max="41" width="7.33203125" style="694" customWidth="1" outlineLevel="1"/>
    <col min="42" max="42" width="8.44140625" style="694" customWidth="1" outlineLevel="1"/>
    <col min="43" max="43" width="9.44140625" style="694" customWidth="1" outlineLevel="1"/>
    <col min="44" max="44" width="8.44140625" style="694" customWidth="1" outlineLevel="1"/>
    <col min="45" max="45" width="9.44140625" style="694" customWidth="1" outlineLevel="1"/>
    <col min="46" max="46" width="7.33203125" style="694" customWidth="1"/>
    <col min="47" max="47" width="8.44140625" style="694" customWidth="1"/>
    <col min="48" max="48" width="8.33203125" style="694" customWidth="1"/>
    <col min="49" max="49" width="8.44140625" style="694" customWidth="1"/>
    <col min="50" max="50" width="10.88671875" style="694" customWidth="1"/>
    <col min="51" max="51" width="9.33203125" style="694" customWidth="1"/>
    <col min="52" max="52" width="9.109375" style="694" customWidth="1"/>
    <col min="53" max="53" width="8.33203125" style="694" customWidth="1"/>
    <col min="54" max="54" width="9" style="694" customWidth="1"/>
    <col min="55" max="55" width="9.33203125" style="694"/>
    <col min="56" max="56" width="9.33203125" style="694" customWidth="1"/>
    <col min="57" max="57" width="8.44140625" style="694" bestFit="1" customWidth="1"/>
    <col min="58" max="58" width="8.33203125" style="694" customWidth="1"/>
    <col min="59" max="59" width="8.44140625" style="694" bestFit="1" customWidth="1"/>
    <col min="60" max="16384" width="9.33203125" style="694"/>
  </cols>
  <sheetData>
    <row r="1" spans="1:60">
      <c r="B1" s="791"/>
      <c r="AA1" s="694"/>
    </row>
    <row r="2" spans="1:60">
      <c r="Q2" s="899" t="s">
        <v>417</v>
      </c>
      <c r="AA2" s="694"/>
      <c r="AK2" s="805"/>
      <c r="AP2" s="805"/>
      <c r="AU2" s="805"/>
      <c r="AZ2" s="805"/>
      <c r="BE2" s="805"/>
    </row>
    <row r="3" spans="1:60">
      <c r="Q3" s="696" t="s">
        <v>415</v>
      </c>
      <c r="AA3" s="694"/>
    </row>
    <row r="4" spans="1:60" ht="15.6">
      <c r="B4" s="807"/>
      <c r="C4" s="807"/>
      <c r="Q4" s="695" t="s">
        <v>416</v>
      </c>
      <c r="AA4" s="694"/>
      <c r="AK4" s="1084"/>
      <c r="AP4" s="1084"/>
      <c r="AU4" s="1084"/>
      <c r="AZ4" s="1084"/>
      <c r="BE4" s="1084"/>
    </row>
    <row r="5" spans="1:60">
      <c r="G5" s="695"/>
      <c r="Q5" s="800">
        <v>46203</v>
      </c>
      <c r="AA5" s="694"/>
      <c r="AX5" s="1083" t="s">
        <v>623</v>
      </c>
      <c r="BC5" s="1083" t="s">
        <v>623</v>
      </c>
      <c r="BH5" s="1083" t="s">
        <v>623</v>
      </c>
    </row>
    <row r="6" spans="1:60">
      <c r="G6" s="1509">
        <f>EOMONTH(H6,-3)</f>
        <v>45473</v>
      </c>
      <c r="H6" s="1509">
        <f>EOMONTH(I6,-3)</f>
        <v>45565</v>
      </c>
      <c r="I6" s="1509">
        <f>EOMONTH(J6,-3)</f>
        <v>45657</v>
      </c>
      <c r="J6" s="1509">
        <f>EOMONTH(N6,-12)</f>
        <v>45747</v>
      </c>
      <c r="K6" s="1509">
        <f>+EOMONTH(Q5,-12)</f>
        <v>45838</v>
      </c>
      <c r="L6" s="1509">
        <f>EOMONTH(K6,3)</f>
        <v>45930</v>
      </c>
      <c r="M6" s="1509">
        <f>EOMONTH(L6,3)</f>
        <v>46022</v>
      </c>
      <c r="N6" s="1509">
        <f>EOMONTH(M6,3)</f>
        <v>46112</v>
      </c>
      <c r="O6" s="784">
        <f>+P6-1</f>
        <v>2024</v>
      </c>
      <c r="P6" s="784">
        <f>+AK6-1</f>
        <v>2025</v>
      </c>
      <c r="S6" s="1510">
        <f>Q5</f>
        <v>46203</v>
      </c>
      <c r="U6" s="694" t="s">
        <v>387</v>
      </c>
      <c r="V6" s="788" t="s">
        <v>388</v>
      </c>
      <c r="W6" s="788"/>
      <c r="X6" s="1579"/>
      <c r="Y6" s="789"/>
      <c r="Z6" s="1510">
        <f>EOMONTH(S6,3)</f>
        <v>46295</v>
      </c>
      <c r="AA6" s="787"/>
      <c r="AB6" s="787" t="s">
        <v>387</v>
      </c>
      <c r="AC6" s="88"/>
      <c r="AD6" s="1579"/>
      <c r="AE6" s="789"/>
      <c r="AF6" s="1510">
        <f>EOMONTH(Z6,3)</f>
        <v>46387</v>
      </c>
      <c r="AG6" s="787"/>
      <c r="AH6" s="785" t="s">
        <v>387</v>
      </c>
      <c r="AI6" s="88"/>
      <c r="AJ6" s="799"/>
      <c r="AK6" s="784">
        <f>YEAR(S6)</f>
        <v>2026</v>
      </c>
      <c r="AL6" s="784"/>
      <c r="AM6" s="88" t="s">
        <v>387</v>
      </c>
      <c r="AN6" s="88"/>
      <c r="AO6" s="1150"/>
      <c r="AP6" s="784">
        <f>AK6+1</f>
        <v>2027</v>
      </c>
      <c r="AQ6" s="783"/>
      <c r="AR6" s="88" t="s">
        <v>387</v>
      </c>
      <c r="AS6" s="88"/>
      <c r="AT6" s="799"/>
      <c r="AU6" s="784">
        <f>AP6+1</f>
        <v>2028</v>
      </c>
      <c r="AV6" s="784"/>
      <c r="AW6" s="88" t="s">
        <v>387</v>
      </c>
      <c r="AX6" s="88"/>
      <c r="AY6" s="799"/>
      <c r="AZ6" s="784">
        <f>AU6+1</f>
        <v>2029</v>
      </c>
      <c r="BA6" s="784"/>
      <c r="BB6" s="88" t="s">
        <v>387</v>
      </c>
      <c r="BC6" s="88"/>
      <c r="BD6" s="799"/>
      <c r="BE6" s="784">
        <f>AZ6+1</f>
        <v>2030</v>
      </c>
      <c r="BF6" s="784"/>
      <c r="BG6" s="88" t="s">
        <v>387</v>
      </c>
      <c r="BH6" s="88"/>
    </row>
    <row r="7" spans="1:60">
      <c r="A7" s="1151"/>
      <c r="F7" s="694"/>
      <c r="Q7" s="1219"/>
      <c r="R7" s="1592" t="str">
        <f>+INDEX(Income!1:1000001,4,MATCH(S6,Income!5:5,0))</f>
        <v>2Q26A</v>
      </c>
      <c r="S7" s="1592"/>
      <c r="T7" s="1592"/>
      <c r="U7" s="1593"/>
      <c r="V7" s="1220"/>
      <c r="W7" s="1220"/>
      <c r="X7" s="1580"/>
      <c r="Y7" s="1592" t="str">
        <f>+INDEX(Income!1:1000001,4,MATCH(Z6,Income!5:5,0))</f>
        <v>3Q26E</v>
      </c>
      <c r="Z7" s="1592"/>
      <c r="AA7" s="1592"/>
      <c r="AB7" s="1592"/>
      <c r="AC7" s="1594"/>
      <c r="AD7" s="1580"/>
      <c r="AE7" s="1595"/>
      <c r="AF7" s="1592" t="str">
        <f>+INDEX(Income!1:1000001,4,MATCH(AF6,Income!5:5,0))</f>
        <v>4Q26E</v>
      </c>
      <c r="AG7" s="1592"/>
      <c r="AH7" s="1592"/>
      <c r="AI7" s="1220"/>
      <c r="AJ7" s="1256" t="str">
        <f>+INDEX(Income!1:1000001,4,MATCH(AK6,Income!5:5,0))</f>
        <v>2026E</v>
      </c>
      <c r="AK7" s="1227"/>
      <c r="AL7" s="1227"/>
      <c r="AM7" s="1226"/>
      <c r="AN7" s="1228"/>
      <c r="AO7" s="1226" t="str">
        <f>+INDEX(Income!1:1000001,4,MATCH(AP6,Income!5:5,0))</f>
        <v>2027E</v>
      </c>
      <c r="AP7" s="1227"/>
      <c r="AQ7" s="1227"/>
      <c r="AR7" s="1226"/>
      <c r="AS7" s="1228"/>
      <c r="AT7" s="1226" t="str">
        <f>+INDEX(Income!1:1000001,4,MATCH(AU6,Income!5:5,0))</f>
        <v>2028E</v>
      </c>
      <c r="AU7" s="1227"/>
      <c r="AV7" s="1227"/>
      <c r="AW7" s="1226"/>
      <c r="AX7" s="1228"/>
      <c r="AY7" s="1226" t="str">
        <f>+INDEX(Income!1:1000001,4,MATCH(AZ6,Income!5:5,0))</f>
        <v>2029E</v>
      </c>
      <c r="AZ7" s="1227"/>
      <c r="BA7" s="1227"/>
      <c r="BB7" s="1226"/>
      <c r="BC7" s="1228"/>
      <c r="BD7" s="1226" t="str">
        <f>+INDEX(Income!1:1000001,4,MATCH(BE6,Income!5:5,0))</f>
        <v>2030E</v>
      </c>
      <c r="BE7" s="1227"/>
      <c r="BF7" s="1227"/>
      <c r="BG7" s="1226"/>
      <c r="BH7" s="1228"/>
    </row>
    <row r="8" spans="1:60" s="1255" customFormat="1" ht="15" customHeight="1">
      <c r="A8" s="1296"/>
      <c r="F8" s="1297" t="str">
        <f ca="1">B13</f>
        <v>'Income'!$5:$5</v>
      </c>
      <c r="Q8" s="802" t="s">
        <v>389</v>
      </c>
      <c r="R8" s="1596" t="s">
        <v>789</v>
      </c>
      <c r="S8" s="1596" t="s">
        <v>150</v>
      </c>
      <c r="T8" s="1596" t="s">
        <v>390</v>
      </c>
      <c r="U8" s="1596" t="s">
        <v>74</v>
      </c>
      <c r="V8" s="1596" t="s">
        <v>74</v>
      </c>
      <c r="W8" s="1596" t="s">
        <v>391</v>
      </c>
      <c r="X8" s="1581" t="s">
        <v>578</v>
      </c>
      <c r="Y8" s="1192" t="s">
        <v>392</v>
      </c>
      <c r="Z8" s="1597" t="s">
        <v>682</v>
      </c>
      <c r="AA8" s="1596" t="s">
        <v>390</v>
      </c>
      <c r="AB8" s="1597" t="s">
        <v>74</v>
      </c>
      <c r="AC8" s="1596" t="s">
        <v>391</v>
      </c>
      <c r="AD8" s="1581" t="s">
        <v>578</v>
      </c>
      <c r="AE8" s="1192" t="s">
        <v>392</v>
      </c>
      <c r="AF8" s="1596" t="s">
        <v>72</v>
      </c>
      <c r="AG8" s="1596" t="s">
        <v>390</v>
      </c>
      <c r="AH8" s="1596" t="s">
        <v>74</v>
      </c>
      <c r="AI8" s="801" t="s">
        <v>391</v>
      </c>
      <c r="AJ8" s="1188" t="s">
        <v>392</v>
      </c>
      <c r="AK8" s="803" t="s">
        <v>72</v>
      </c>
      <c r="AL8" s="803" t="s">
        <v>390</v>
      </c>
      <c r="AM8" s="803" t="s">
        <v>74</v>
      </c>
      <c r="AN8" s="803" t="s">
        <v>391</v>
      </c>
      <c r="AO8" s="1188" t="s">
        <v>392</v>
      </c>
      <c r="AP8" s="803" t="s">
        <v>72</v>
      </c>
      <c r="AQ8" s="803" t="s">
        <v>390</v>
      </c>
      <c r="AR8" s="803" t="s">
        <v>74</v>
      </c>
      <c r="AS8" s="804" t="s">
        <v>391</v>
      </c>
      <c r="AT8" s="1188" t="s">
        <v>392</v>
      </c>
      <c r="AU8" s="803" t="s">
        <v>72</v>
      </c>
      <c r="AV8" s="803" t="s">
        <v>390</v>
      </c>
      <c r="AW8" s="803" t="s">
        <v>74</v>
      </c>
      <c r="AX8" s="804" t="s">
        <v>391</v>
      </c>
      <c r="AY8" s="1188" t="s">
        <v>392</v>
      </c>
      <c r="AZ8" s="803" t="s">
        <v>72</v>
      </c>
      <c r="BA8" s="803" t="s">
        <v>390</v>
      </c>
      <c r="BB8" s="803" t="s">
        <v>74</v>
      </c>
      <c r="BC8" s="804" t="s">
        <v>391</v>
      </c>
      <c r="BD8" s="1188" t="s">
        <v>392</v>
      </c>
      <c r="BE8" s="803" t="s">
        <v>72</v>
      </c>
      <c r="BF8" s="803" t="s">
        <v>390</v>
      </c>
      <c r="BG8" s="803" t="s">
        <v>74</v>
      </c>
      <c r="BH8" s="804" t="s">
        <v>391</v>
      </c>
    </row>
    <row r="9" spans="1:60" s="1255" customFormat="1" ht="15" customHeight="1">
      <c r="A9" s="1296"/>
      <c r="B9" s="1255" t="str">
        <f ca="1">"'"&amp;E9&amp;"'"&amp;"!$5:$5"</f>
        <v>'Revenue Build'!$5:$5</v>
      </c>
      <c r="C9" s="1255" t="str">
        <f ca="1">"'"&amp;E9&amp;"'"&amp;"!$A:$A"</f>
        <v>'Revenue Build'!$A:$A</v>
      </c>
      <c r="D9" s="1255" t="str">
        <f ca="1">"'"&amp;$E9&amp;"'"&amp;"!$1:$1048576"</f>
        <v>'Revenue Build'!$1:$1048576</v>
      </c>
      <c r="E9" s="1298" t="str" cm="1">
        <f t="array" aca="1" ref="E9" ca="1">IFERROR(INDEX(SheetNames,MATCH(1,COUNTIF(INDIRECT("'"&amp;SheetNames&amp;"'!A:A"),$F9),0)),"Not Found")</f>
        <v>Revenue Build</v>
      </c>
      <c r="F9" s="1299" t="s">
        <v>337</v>
      </c>
      <c r="G9" s="806">
        <f ca="1">INDEX(INDIRECT($D9),MATCH('Estimate Changes'!$F9,INDIRECT($C9),0),MATCH('Estimate Changes'!G$6,INDIRECT($B9),0))</f>
        <v>67245</v>
      </c>
      <c r="H9" s="806">
        <f ca="1">INDEX(INDIRECT($D9),MATCH('Estimate Changes'!$F9,INDIRECT($C9),0),MATCH('Estimate Changes'!H$6,INDIRECT($B9),0))</f>
        <v>69715</v>
      </c>
      <c r="I9" s="806">
        <f ca="1">INDEX(INDIRECT($D9),MATCH('Estimate Changes'!$F9,INDIRECT($C9),0),MATCH('Estimate Changes'!I$6,INDIRECT($B9),0))</f>
        <v>94460</v>
      </c>
      <c r="J9" s="806">
        <f ca="1">INDEX(INDIRECT($D9),MATCH('Estimate Changes'!$F9,INDIRECT($C9),0),MATCH('Estimate Changes'!J$6,INDIRECT($B9),0))</f>
        <v>74750</v>
      </c>
      <c r="K9" s="806">
        <f ca="1">INDEX(INDIRECT($D9),MATCH('Estimate Changes'!$F9,INDIRECT($C9),0),MATCH('Estimate Changes'!K$6,INDIRECT($B9),0))</f>
        <v>87837</v>
      </c>
      <c r="L9" s="806">
        <f ca="1">INDEX(INDIRECT($D9),MATCH('Estimate Changes'!$F9,INDIRECT($C9),0),MATCH('Estimate Changes'!L$6,INDIRECT($B9),0))</f>
        <v>92013</v>
      </c>
      <c r="M9" s="806">
        <f ca="1">INDEX(INDIRECT($D9),MATCH('Estimate Changes'!$F9,INDIRECT($C9),0),MATCH('Estimate Changes'!M$6,INDIRECT($B9),0))</f>
        <v>123841</v>
      </c>
      <c r="N9" s="806">
        <f ca="1">INDEX(INDIRECT($D9),MATCH('Estimate Changes'!$F9,INDIRECT($C9),0),MATCH('Estimate Changes'!N$6,INDIRECT($B9),0))</f>
        <v>100743</v>
      </c>
      <c r="O9" s="806">
        <f ca="1">INDEX(INDIRECT($D9),MATCH('Estimate Changes'!$F9,INDIRECT($C9),0),MATCH('Estimate Changes'!O$6,INDIRECT($B9),0))</f>
        <v>292275</v>
      </c>
      <c r="P9" s="806">
        <f ca="1">INDEX(INDIRECT($D9),MATCH('Estimate Changes'!$F9,INDIRECT($C9),0),MATCH('Estimate Changes'!P$6,INDIRECT($B9),0))</f>
        <v>378441</v>
      </c>
      <c r="Q9" s="1221" t="s">
        <v>337</v>
      </c>
      <c r="R9" s="1598">
        <v>114188.1</v>
      </c>
      <c r="S9" s="1598">
        <f ca="1">INDEX(INDIRECT($D9),MATCH('Estimate Changes'!$F9,INDIRECT($C9),0),MATCH('Estimate Changes'!S$6,INDIRECT($B9),0))</f>
        <v>115567</v>
      </c>
      <c r="T9" s="1599">
        <f ca="1">S9/R9-1</f>
        <v>1.2075689147993396E-2</v>
      </c>
      <c r="U9" s="1598">
        <f>INDEX(Consensus!$A$1:$BO$180,MATCH('Estimate Changes'!$F9,Consensus!$A:$A,0),MATCH('Estimate Changes'!S$6,Consensus!$4:$4,0))</f>
        <v>115567</v>
      </c>
      <c r="V9" s="1598">
        <v>112088.31</v>
      </c>
      <c r="W9" s="1599">
        <f ca="1">+S9/V9-1</f>
        <v>3.1035261393449476E-2</v>
      </c>
      <c r="X9" s="1582"/>
      <c r="Y9" s="1222">
        <v>117776.64</v>
      </c>
      <c r="Z9" s="1598">
        <f ca="1">INDEX(INDIRECT($D9),MATCH('Estimate Changes'!$F9,INDIRECT($C9),0),MATCH('Estimate Changes'!Z$6,INDIRECT($B9),0))</f>
        <v>119616.90000000001</v>
      </c>
      <c r="AA9" s="1599">
        <f ca="1">Z9/Y9-1</f>
        <v>1.5625E-2</v>
      </c>
      <c r="AB9" s="1598">
        <f>INDEX(Consensus!$A$1:$BO$180,MATCH('Estimate Changes'!$F9,Consensus!$A:$A,0),MATCH('Estimate Changes'!Z$6,Consensus!$4:$4,0))</f>
        <v>116926.80499999999</v>
      </c>
      <c r="AC9" s="1599">
        <f ca="1">+Z9/AB9-1</f>
        <v>2.3006657883109183E-2</v>
      </c>
      <c r="AD9" s="1582"/>
      <c r="AE9" s="1222">
        <v>157278.07</v>
      </c>
      <c r="AF9" s="1598">
        <f ca="1">INDEX(INDIRECT($D9),MATCH('Estimate Changes'!$F9,INDIRECT($C9),0),MATCH('Estimate Changes'!AF$6,INDIRECT($B9),0))</f>
        <v>159754.89000000001</v>
      </c>
      <c r="AG9" s="1599">
        <f ca="1">AF9/AE9-1</f>
        <v>1.5748031496062964E-2</v>
      </c>
      <c r="AH9" s="1598">
        <f>INDEX(Consensus!$A$1:$BO$180,MATCH('Estimate Changes'!$F9,Consensus!$A:$A,0),MATCH('Estimate Changes'!AF$6,Consensus!$4:$4,0))</f>
        <v>156022.82999999999</v>
      </c>
      <c r="AI9" s="1300">
        <f ca="1">+AF9/AH9-1</f>
        <v>2.3919960944177365E-2</v>
      </c>
      <c r="AJ9" s="1231">
        <v>489985.81</v>
      </c>
      <c r="AK9" s="1229">
        <f ca="1">INDEX(INDIRECT($D9),MATCH('Estimate Changes'!$F9,INDIRECT($C9),0),MATCH('Estimate Changes'!AK$6,INDIRECT($B9),0))</f>
        <v>495681.79000000004</v>
      </c>
      <c r="AL9" s="1301">
        <f ca="1">AK9/AJ9-1</f>
        <v>1.1624785623894018E-2</v>
      </c>
      <c r="AM9" s="1229">
        <f>INDEX(Consensus!$A$1:$BO$180,MATCH('Estimate Changes'!$F9,Consensus!$A:$A,0),MATCH('Estimate Changes'!AK$6,Consensus!$4:$4,0))</f>
        <v>487453.25</v>
      </c>
      <c r="AN9" s="1301">
        <f ca="1">+AK9/AM9-1</f>
        <v>1.6880675223726715E-2</v>
      </c>
      <c r="AO9" s="1231">
        <v>604272.09640000004</v>
      </c>
      <c r="AP9" s="1229">
        <f ca="1">INDEX(INDIRECT($D9),MATCH('Estimate Changes'!$F9,INDIRECT($C9),0),MATCH('Estimate Changes'!AP$6,INDIRECT($B9),0))</f>
        <v>623338.3186</v>
      </c>
      <c r="AQ9" s="1301">
        <f ca="1">AP9/AO9-1</f>
        <v>3.1552378992160124E-2</v>
      </c>
      <c r="AR9" s="1229">
        <f>INDEX(Consensus!$A$1:$BO$180,MATCH('Estimate Changes'!$F9,Consensus!$A:$A,0),MATCH('Estimate Changes'!AP$6,Consensus!$4:$4,0))</f>
        <v>604181.80000000005</v>
      </c>
      <c r="AS9" s="1302">
        <f ca="1">+AP9/AR9-1</f>
        <v>3.1706546936700164E-2</v>
      </c>
      <c r="AT9" s="1231">
        <v>725126.51568000007</v>
      </c>
      <c r="AU9" s="1229">
        <f ca="1">INDEX(INDIRECT($D9),MATCH('Estimate Changes'!$F9,INDIRECT($C9),0),MATCH('Estimate Changes'!AU$6,INDIRECT($B9),0))</f>
        <v>748005.98231999995</v>
      </c>
      <c r="AV9" s="1301">
        <f ca="1">AU9/AT9-1</f>
        <v>3.1552378992160124E-2</v>
      </c>
      <c r="AW9" s="1229">
        <f>INDEX(Consensus!$A$1:$BO$180,MATCH('Estimate Changes'!$F9,Consensus!$A:$A,0),MATCH('Estimate Changes'!AU$6,Consensus!$4:$4,0))</f>
        <v>752986.7</v>
      </c>
      <c r="AX9" s="1302">
        <f ca="1">+AU9/AW9-1</f>
        <v>-6.6146157428810248E-3</v>
      </c>
      <c r="AY9" s="1231">
        <v>852023.65592400008</v>
      </c>
      <c r="AZ9" s="1229">
        <f ca="1">INDEX(INDIRECT($D9),MATCH('Estimate Changes'!$F9,INDIRECT($C9),0),MATCH('Estimate Changes'!AZ$6,INDIRECT($B9),0))</f>
        <v>878907.02922599996</v>
      </c>
      <c r="BA9" s="1301">
        <f ca="1">AZ9/AY9-1</f>
        <v>3.1552378992160124E-2</v>
      </c>
      <c r="BB9" s="1229">
        <f>INDEX(Consensus!$A$1:$BO$180,MATCH('Estimate Changes'!$F9,Consensus!$A:$A,0),MATCH('Estimate Changes'!AZ$6,Consensus!$4:$4,0))</f>
        <v>897686.9</v>
      </c>
      <c r="BC9" s="1302">
        <f ca="1">+AZ9/BB9-1</f>
        <v>-2.0920290553421372E-2</v>
      </c>
      <c r="BD9" s="1231">
        <v>988347.44087184011</v>
      </c>
      <c r="BE9" s="1229">
        <f ca="1">INDEX(INDIRECT($D9),MATCH('Estimate Changes'!$F9,INDIRECT($C9),0),MATCH('Estimate Changes'!BE$6,INDIRECT($B9),0))</f>
        <v>1019532.15390216</v>
      </c>
      <c r="BF9" s="1301">
        <f ca="1">BE9/BD9-1</f>
        <v>3.1552378992160124E-2</v>
      </c>
      <c r="BG9" s="1229">
        <f>INDEX(Consensus!$A$1:$BO$180,MATCH('Estimate Changes'!$F9,Consensus!$A:$A,0),MATCH('Estimate Changes'!BE$6,Consensus!$4:$4,0))</f>
        <v>1057535.1000000001</v>
      </c>
      <c r="BH9" s="1302">
        <f ca="1">+BE9/BG9-1</f>
        <v>-3.5935399305271343E-2</v>
      </c>
    </row>
    <row r="10" spans="1:60" s="1304" customFormat="1" ht="15" customHeight="1">
      <c r="A10" s="1303"/>
      <c r="B10" s="1304" t="str">
        <f ca="1">"'"&amp;E10&amp;"'"&amp;"!$5:$5"</f>
        <v>'Revenue Build'!$5:$5</v>
      </c>
      <c r="C10" s="1304" t="str">
        <f ca="1">"'"&amp;E10&amp;"'"&amp;"!$A:$A"</f>
        <v>'Revenue Build'!$A:$A</v>
      </c>
      <c r="D10" s="1304" t="str">
        <f ca="1">"'"&amp;$E10&amp;"'"&amp;"!$1:$1048576"</f>
        <v>'Revenue Build'!$1:$1048576</v>
      </c>
      <c r="E10" s="1305" t="str" cm="1">
        <f t="array" aca="1" ref="E10" ca="1">IFERROR(INDEX(SheetNames,MATCH(1,COUNTIF(INDIRECT("'"&amp;SheetNames&amp;"'!A:A"),$F10),0)),"Not Found")</f>
        <v>Revenue Build</v>
      </c>
      <c r="F10" s="1299" t="s">
        <v>573</v>
      </c>
      <c r="K10" s="1306">
        <f ca="1">K9/G9-1</f>
        <v>0.30622351104171308</v>
      </c>
      <c r="L10" s="1306">
        <f ca="1">L9/H9-1</f>
        <v>0.31984508355447172</v>
      </c>
      <c r="M10" s="1306">
        <f ca="1">M9/I9-1</f>
        <v>0.31104171077704845</v>
      </c>
      <c r="N10" s="1306">
        <f ca="1">N9/J9-1</f>
        <v>0.3477324414715719</v>
      </c>
      <c r="P10" s="1306">
        <f ca="1">P9/O9-1</f>
        <v>0.29481139337952267</v>
      </c>
      <c r="Q10" s="793" t="s">
        <v>395</v>
      </c>
      <c r="R10" s="1306">
        <v>0.30000000000000004</v>
      </c>
      <c r="S10" s="1306">
        <f ca="1">S9/K9-1</f>
        <v>0.31569839589239157</v>
      </c>
      <c r="T10" s="1307">
        <f ca="1">(S10-R10)*10000</f>
        <v>156.98395892391525</v>
      </c>
      <c r="U10" s="1306">
        <f ca="1">+U9/K9-1</f>
        <v>0.31569839589239157</v>
      </c>
      <c r="V10" s="1306">
        <v>0.27609447043956425</v>
      </c>
      <c r="W10" s="1307">
        <f ca="1">(S10-V10)*10000</f>
        <v>396.03925452827315</v>
      </c>
      <c r="X10" s="1583"/>
      <c r="Y10" s="1308">
        <v>0.28000000000000003</v>
      </c>
      <c r="Z10" s="1306">
        <f ca="1">Z9/L9-1</f>
        <v>0.30000000000000004</v>
      </c>
      <c r="AA10" s="1307">
        <f ca="1">(Z10-Y10)*10000</f>
        <v>200.00000000000017</v>
      </c>
      <c r="AB10" s="1306">
        <f ca="1">+AB9/L9-1</f>
        <v>0.27076396813493742</v>
      </c>
      <c r="AC10" s="1307">
        <f ca="1">(Z10-AB10)*10000</f>
        <v>292.36031865062625</v>
      </c>
      <c r="AD10" s="1583"/>
      <c r="AE10" s="1308">
        <v>0.27</v>
      </c>
      <c r="AF10" s="1306">
        <f ca="1">AF9/M9-1</f>
        <v>0.29000000000000004</v>
      </c>
      <c r="AG10" s="1307">
        <f ca="1">(AF10-AE10)*10000</f>
        <v>200.00000000000017</v>
      </c>
      <c r="AH10" s="1306">
        <f ca="1">+AH9/M9-1</f>
        <v>0.25986409993459336</v>
      </c>
      <c r="AI10" s="1309">
        <f ca="1">(AF10-AH10)*10000</f>
        <v>301.35900065406673</v>
      </c>
      <c r="AJ10" s="1308">
        <v>0.29474821702722487</v>
      </c>
      <c r="AK10" s="1306">
        <f ca="1">AK9/P9-1</f>
        <v>0.30979938748708524</v>
      </c>
      <c r="AL10" s="1307">
        <f ca="1">(AK10-AJ10)*10000</f>
        <v>150.51170459860376</v>
      </c>
      <c r="AM10" s="1306">
        <f ca="1">+AM9/P9-1</f>
        <v>0.28805613028186694</v>
      </c>
      <c r="AN10" s="1307">
        <f ca="1">(AK10-AM10)*10000</f>
        <v>217.43257205218302</v>
      </c>
      <c r="AO10" s="1308">
        <v>0.23324407374164569</v>
      </c>
      <c r="AP10" s="1306">
        <f ca="1">AP9/AK9-1</f>
        <v>0.25753725711812003</v>
      </c>
      <c r="AQ10" s="1307">
        <f ca="1">(AP10-AO10)*10000</f>
        <v>242.93183376474349</v>
      </c>
      <c r="AR10" s="1306">
        <f>+AR9/AM9-1</f>
        <v>0.23946614367634234</v>
      </c>
      <c r="AS10" s="1309">
        <f ca="1">(AP10-AR10)*10000</f>
        <v>180.71113441777698</v>
      </c>
      <c r="AT10" s="1308">
        <v>0.19999999999999996</v>
      </c>
      <c r="AU10" s="1306">
        <f ca="1">AU9/AP9-1</f>
        <v>0.19999999999999996</v>
      </c>
      <c r="AV10" s="1307">
        <f ca="1">(AU10-AT10)*10000</f>
        <v>0</v>
      </c>
      <c r="AW10" s="1306">
        <f>+AW9/AR9-1</f>
        <v>0.24629159633739373</v>
      </c>
      <c r="AX10" s="1309">
        <f ca="1">(AU10-AW10)*10000</f>
        <v>-462.9159633739377</v>
      </c>
      <c r="AY10" s="1308">
        <v>0.17500000000000004</v>
      </c>
      <c r="AZ10" s="1306">
        <f ca="1">AZ9/AU9-1</f>
        <v>0.17500000000000004</v>
      </c>
      <c r="BA10" s="1307">
        <f ca="1">(AZ10-AY10)*10000</f>
        <v>0</v>
      </c>
      <c r="BB10" s="1306">
        <f>+BB9/AW9-1</f>
        <v>0.19216833444734172</v>
      </c>
      <c r="BC10" s="1309">
        <f ca="1">(AZ10-BB10)*10000</f>
        <v>-171.6833444734167</v>
      </c>
      <c r="BD10" s="1308">
        <v>0.15999999999999992</v>
      </c>
      <c r="BE10" s="1306">
        <f ca="1">BE9/AZ9-1</f>
        <v>0.16000000000000014</v>
      </c>
      <c r="BF10" s="1307">
        <f ca="1">(BE10-BD10)*10000</f>
        <v>2.2204460492503131E-12</v>
      </c>
      <c r="BG10" s="1306">
        <f>+BG9/BB9-1</f>
        <v>0.17806676247587006</v>
      </c>
      <c r="BH10" s="1309">
        <f ca="1">(BE10-BG10)*10000</f>
        <v>-180.66762475869913</v>
      </c>
    </row>
    <row r="11" spans="1:60" s="1255" customFormat="1" ht="15" customHeight="1">
      <c r="A11" s="1296"/>
      <c r="B11" s="1255" t="str">
        <f ca="1">"'"&amp;E11&amp;"'"&amp;"!$5:$5"</f>
        <v>'Revenue Build'!$5:$5</v>
      </c>
      <c r="C11" s="1255" t="str">
        <f ca="1">"'"&amp;E11&amp;"'"&amp;"!$A:$A"</f>
        <v>'Revenue Build'!$A:$A</v>
      </c>
      <c r="D11" s="1255" t="str">
        <f ca="1">"'"&amp;$E11&amp;"'"&amp;"!$1:$1048576"</f>
        <v>'Revenue Build'!$1:$1048576</v>
      </c>
      <c r="E11" s="1298" t="str" cm="1">
        <f t="array" aca="1" ref="E11" ca="1">IFERROR(INDEX(SheetNames,MATCH(1,COUNTIF(INDIRECT("'"&amp;SheetNames&amp;"'!A:A"),$F11),0)),"Not Found")</f>
        <v>Revenue Build</v>
      </c>
      <c r="F11" s="1299" t="s">
        <v>575</v>
      </c>
      <c r="G11" s="806">
        <f ca="1">INDEX(INDIRECT($D11),MATCH('Estimate Changes'!$F11,INDIRECT($C11),0),MATCH('Estimate Changes'!G$6,INDIRECT($B11),0))</f>
        <v>41400</v>
      </c>
      <c r="H11" s="806">
        <f ca="1">INDEX(INDIRECT($D11),MATCH('Estimate Changes'!$F11,INDIRECT($C11),0),MATCH('Estimate Changes'!H$6,INDIRECT($B11),0))</f>
        <v>42900</v>
      </c>
      <c r="I11" s="806">
        <f ca="1">INDEX(INDIRECT($D11),MATCH('Estimate Changes'!$F11,INDIRECT($C11),0),MATCH('Estimate Changes'!I$6,INDIRECT($B11),0))</f>
        <v>60650</v>
      </c>
      <c r="J11" s="806">
        <f ca="1">INDEX(INDIRECT($D11),MATCH('Estimate Changes'!$F11,INDIRECT($C11),0),MATCH('Estimate Changes'!J$6,INDIRECT($B11),0))</f>
        <v>47538</v>
      </c>
      <c r="K11" s="806">
        <f ca="1">INDEX(INDIRECT($D11),MATCH('Estimate Changes'!$F11,INDIRECT($C11),0),MATCH('Estimate Changes'!K$6,INDIRECT($B11),0))</f>
        <v>56567.027999999998</v>
      </c>
      <c r="L11" s="806">
        <f ca="1">INDEX(INDIRECT($D11),MATCH('Estimate Changes'!$F11,INDIRECT($C11),0),MATCH('Estimate Changes'!L$6,INDIRECT($B11),0))</f>
        <v>59992.476000000002</v>
      </c>
      <c r="M11" s="806">
        <f ca="1">INDEX(INDIRECT($D11),MATCH('Estimate Changes'!$F11,INDIRECT($C11),0),MATCH('Estimate Changes'!M$6,INDIRECT($B11),0))</f>
        <v>84159.792000000016</v>
      </c>
      <c r="N11" s="806">
        <f ca="1">INDEX(INDIRECT($D11),MATCH('Estimate Changes'!$F11,INDIRECT($C11),0),MATCH('Estimate Changes'!N$6,INDIRECT($B11),0))</f>
        <v>67000</v>
      </c>
      <c r="O11" s="806">
        <f ca="1">INDEX(INDIRECT($D11),MATCH('Estimate Changes'!$F11,INDIRECT($C11),0),MATCH('Estimate Changes'!O$6,INDIRECT($B11),0))</f>
        <v>180918.22500000001</v>
      </c>
      <c r="P11" s="806">
        <f ca="1">INDEX(INDIRECT($D11),MATCH('Estimate Changes'!$F11,INDIRECT($C11),0),MATCH('Estimate Changes'!P$6,INDIRECT($B11),0))</f>
        <v>248257.296</v>
      </c>
      <c r="Q11" s="1223" t="s">
        <v>575</v>
      </c>
      <c r="R11" s="1598">
        <v>75820.898400000005</v>
      </c>
      <c r="S11" s="1598">
        <f ca="1">INDEX(INDIRECT($D11),MATCH('Estimate Changes'!$F11,INDIRECT($C11),0),MATCH('Estimate Changes'!S$6,INDIRECT($B11),0))</f>
        <v>78585.560000000012</v>
      </c>
      <c r="T11" s="1599">
        <f ca="1">S11/R11-1</f>
        <v>3.6463055151559676E-2</v>
      </c>
      <c r="U11" s="1598" t="s">
        <v>717</v>
      </c>
      <c r="V11" s="1598" t="s">
        <v>717</v>
      </c>
      <c r="W11" s="1599" t="s">
        <v>717</v>
      </c>
      <c r="X11" s="1582"/>
      <c r="Y11" s="1222">
        <v>79145.90208</v>
      </c>
      <c r="Z11" s="1598">
        <f ca="1">INDEX(INDIRECT($D11),MATCH('Estimate Changes'!$F11,INDIRECT($C11),0),MATCH('Estimate Changes'!Z$6,INDIRECT($B11),0))</f>
        <v>80382.556800000006</v>
      </c>
      <c r="AA11" s="1599">
        <f ca="1">Z11/Y11-1</f>
        <v>1.5625E-2</v>
      </c>
      <c r="AB11" s="1598" t="s">
        <v>717</v>
      </c>
      <c r="AC11" s="1599" t="s">
        <v>717</v>
      </c>
      <c r="AD11" s="1582"/>
      <c r="AE11" s="1222">
        <v>110028.49724000004</v>
      </c>
      <c r="AF11" s="1598">
        <f ca="1">INDEX(INDIRECT($D11),MATCH('Estimate Changes'!$F11,INDIRECT($C11),0),MATCH('Estimate Changes'!AF$6,INDIRECT($B11),0))</f>
        <v>111761.22948000004</v>
      </c>
      <c r="AG11" s="1599">
        <f ca="1">AF11/AE11-1</f>
        <v>1.5748031496062964E-2</v>
      </c>
      <c r="AH11" s="1598" t="s">
        <v>717</v>
      </c>
      <c r="AI11" s="1300" t="s">
        <v>717</v>
      </c>
      <c r="AJ11" s="1231">
        <v>331995.29772000003</v>
      </c>
      <c r="AK11" s="1229">
        <f ca="1">INDEX(INDIRECT($D11),MATCH('Estimate Changes'!$F11,INDIRECT($C11),0),MATCH('Estimate Changes'!AK$6,INDIRECT($B11),0))</f>
        <v>337729.34628000006</v>
      </c>
      <c r="AL11" s="1301">
        <f ca="1">AK11/AJ11-1</f>
        <v>1.7271475226845023E-2</v>
      </c>
      <c r="AM11" s="1293" t="s">
        <v>717</v>
      </c>
      <c r="AN11" s="1707" t="s">
        <v>717</v>
      </c>
      <c r="AO11" s="1231">
        <v>418992.28177280014</v>
      </c>
      <c r="AP11" s="1229">
        <f ca="1">INDEX(INDIRECT($D11),MATCH('Estimate Changes'!$F11,INDIRECT($C11),0),MATCH('Estimate Changes'!AP$6,INDIRECT($B11),0))</f>
        <v>434613.05333420006</v>
      </c>
      <c r="AQ11" s="1301">
        <f ca="1">AP11/AO11-1</f>
        <v>3.7281764464268452E-2</v>
      </c>
      <c r="AR11" s="1293" t="s">
        <v>717</v>
      </c>
      <c r="AS11" s="1311" t="s">
        <v>717</v>
      </c>
      <c r="AT11" s="1231">
        <v>510042.00328416011</v>
      </c>
      <c r="AU11" s="1229">
        <f ca="1">INDEX(INDIRECT($D11),MATCH('Estimate Changes'!$F11,INDIRECT($C11),0),MATCH('Estimate Changes'!AU$6,INDIRECT($B11),0))</f>
        <v>529015.72382424003</v>
      </c>
      <c r="AV11" s="1301">
        <f ca="1">AU11/AT11-1</f>
        <v>3.7200309813521626E-2</v>
      </c>
      <c r="AW11" s="1293" t="s">
        <v>717</v>
      </c>
      <c r="AX11" s="1311" t="s">
        <v>717</v>
      </c>
      <c r="AY11" s="1231">
        <v>607819.59041812806</v>
      </c>
      <c r="AZ11" s="1229">
        <f ca="1">INDEX(INDIRECT($D11),MATCH('Estimate Changes'!$F11,INDIRECT($C11),0),MATCH('Estimate Changes'!AZ$6,INDIRECT($B11),0))</f>
        <v>630382.54578574211</v>
      </c>
      <c r="BA11" s="1301">
        <f ca="1">AZ11/AY11-1</f>
        <v>3.7121138777532092E-2</v>
      </c>
      <c r="BB11" s="1293" t="s">
        <v>717</v>
      </c>
      <c r="BC11" s="1311" t="s">
        <v>717</v>
      </c>
      <c r="BD11" s="1231">
        <v>714954.19929374708</v>
      </c>
      <c r="BE11" s="1229">
        <f ca="1">INDEX(INDIRECT($D11),MATCH('Estimate Changes'!$F11,INDIRECT($C11),0),MATCH('Estimate Changes'!BE$6,INDIRECT($B11),0))</f>
        <v>741439.07465048239</v>
      </c>
      <c r="BF11" s="1301">
        <f ca="1">BE11/BD11-1</f>
        <v>3.7044156650730686E-2</v>
      </c>
      <c r="BG11" s="1293" t="s">
        <v>717</v>
      </c>
      <c r="BH11" s="1311" t="s">
        <v>717</v>
      </c>
    </row>
    <row r="12" spans="1:60" s="1304" customFormat="1" ht="15" customHeight="1">
      <c r="A12" s="1303"/>
      <c r="B12" s="1304" t="str">
        <f ca="1">"'"&amp;E12&amp;"'"&amp;"!$5:$5"</f>
        <v>'Revenue Build'!$5:$5</v>
      </c>
      <c r="C12" s="1304" t="str">
        <f ca="1">"'"&amp;E12&amp;"'"&amp;"!$A:$A"</f>
        <v>'Revenue Build'!$A:$A</v>
      </c>
      <c r="D12" s="1304" t="str">
        <f ca="1">"'"&amp;$E12&amp;"'"&amp;"!$1:$1048576"</f>
        <v>'Revenue Build'!$1:$1048576</v>
      </c>
      <c r="E12" s="1305" t="str" cm="1">
        <f t="array" aca="1" ref="E12" ca="1">IFERROR(INDEX(SheetNames,MATCH(1,COUNTIF(INDIRECT("'"&amp;SheetNames&amp;"'!A:A"),$F12),0)),"Not Found")</f>
        <v>Revenue Build</v>
      </c>
      <c r="F12" s="1299" t="s">
        <v>591</v>
      </c>
      <c r="K12" s="1306">
        <f ca="1">K11/G11-1</f>
        <v>0.36635333333333331</v>
      </c>
      <c r="L12" s="1306">
        <f ca="1">L11/H11-1</f>
        <v>0.39842601398601407</v>
      </c>
      <c r="M12" s="1306">
        <f ca="1">M11/I11-1</f>
        <v>0.38763053586150065</v>
      </c>
      <c r="N12" s="1306">
        <f ca="1">N11/J11-1</f>
        <v>0.40939879675207203</v>
      </c>
      <c r="P12" s="1306">
        <f ca="1">P11/O11-1</f>
        <v>0.37220722787878335</v>
      </c>
      <c r="Q12" s="793" t="s">
        <v>395</v>
      </c>
      <c r="R12" s="1306">
        <v>0.34037267080745348</v>
      </c>
      <c r="S12" s="1306">
        <f ca="1">S11/K11-1</f>
        <v>0.38924675342674919</v>
      </c>
      <c r="T12" s="1307">
        <f ca="1">(S12-R12)*10000</f>
        <v>488.74082619295712</v>
      </c>
      <c r="U12" s="1306" t="s">
        <v>717</v>
      </c>
      <c r="V12" s="1306" t="s">
        <v>717</v>
      </c>
      <c r="W12" s="1304" t="s">
        <v>717</v>
      </c>
      <c r="X12" s="1583"/>
      <c r="Y12" s="1308">
        <v>0.31926380368098162</v>
      </c>
      <c r="Z12" s="1306">
        <f ca="1">Z11/L11-1</f>
        <v>0.33987730061349697</v>
      </c>
      <c r="AA12" s="1307">
        <f ca="1">(Z12-Y12)*10000</f>
        <v>206.13496932515352</v>
      </c>
      <c r="AB12" s="1306" t="s">
        <v>717</v>
      </c>
      <c r="AC12" s="1304" t="s">
        <v>717</v>
      </c>
      <c r="AD12" s="1583"/>
      <c r="AE12" s="1308">
        <v>0.30737605957961511</v>
      </c>
      <c r="AF12" s="1306">
        <f ca="1">AF11/M11-1</f>
        <v>0.32796465894307358</v>
      </c>
      <c r="AG12" s="1307">
        <f ca="1">(AF12-AE12)*10000</f>
        <v>205.88599363458471</v>
      </c>
      <c r="AH12" s="1306" t="s">
        <v>717</v>
      </c>
      <c r="AI12" s="1312" t="s">
        <v>717</v>
      </c>
      <c r="AJ12" s="1308">
        <v>0.33730328602306225</v>
      </c>
      <c r="AK12" s="1306">
        <f ca="1">AK11/P11-1</f>
        <v>0.36040048659838808</v>
      </c>
      <c r="AL12" s="1307">
        <f ca="1">(AK12-AJ12)*10000</f>
        <v>230.97200575325826</v>
      </c>
      <c r="AM12" s="1306" t="s">
        <v>717</v>
      </c>
      <c r="AN12" s="1307" t="s">
        <v>717</v>
      </c>
      <c r="AO12" s="1308">
        <v>0.26204282003467427</v>
      </c>
      <c r="AP12" s="1306">
        <f ca="1">AP11/AK11-1</f>
        <v>0.28686789620549291</v>
      </c>
      <c r="AQ12" s="1307">
        <f ca="1">(AP12-AO12)*10000</f>
        <v>248.25076170818639</v>
      </c>
      <c r="AR12" s="1306" t="s">
        <v>717</v>
      </c>
      <c r="AS12" s="1312" t="s">
        <v>717</v>
      </c>
      <c r="AT12" s="1308">
        <v>0.21730644088745277</v>
      </c>
      <c r="AU12" s="1306">
        <f ca="1">AU11/AP11-1</f>
        <v>0.21721084943449243</v>
      </c>
      <c r="AV12" s="1307">
        <f ca="1">(AU12-AT12)*10000</f>
        <v>-0.95591452960341883</v>
      </c>
      <c r="AW12" s="1306" t="s">
        <v>717</v>
      </c>
      <c r="AX12" s="1312" t="s">
        <v>717</v>
      </c>
      <c r="AY12" s="1308">
        <v>0.1917049703835727</v>
      </c>
      <c r="AZ12" s="1306">
        <f ca="1">AZ11/AU11-1</f>
        <v>0.1916140057779836</v>
      </c>
      <c r="BA12" s="1307">
        <f ca="1">(AZ12-AY12)*10000</f>
        <v>-0.90964605589105574</v>
      </c>
      <c r="BB12" s="1306" t="s">
        <v>717</v>
      </c>
      <c r="BC12" s="1312" t="s">
        <v>717</v>
      </c>
      <c r="BD12" s="1308">
        <v>0.1762605394174932</v>
      </c>
      <c r="BE12" s="1306">
        <f ca="1">BE11/AZ11-1</f>
        <v>0.17617322942581404</v>
      </c>
      <c r="BF12" s="1307">
        <f ca="1">(BE12-BD12)*10000</f>
        <v>-0.8730999167916309</v>
      </c>
      <c r="BG12" s="1306" t="s">
        <v>717</v>
      </c>
      <c r="BH12" s="1312" t="s">
        <v>717</v>
      </c>
    </row>
    <row r="13" spans="1:60" s="1255" customFormat="1" ht="15" customHeight="1">
      <c r="A13" s="1296"/>
      <c r="B13" s="1255" t="str">
        <f ca="1">"'"&amp;E13&amp;"'"&amp;"!$5:$5"</f>
        <v>'Income'!$5:$5</v>
      </c>
      <c r="C13" s="1255" t="str">
        <f ca="1">"'"&amp;E13&amp;"'"&amp;"!$A:$A"</f>
        <v>'Income'!$A:$A</v>
      </c>
      <c r="D13" s="1255" t="str">
        <f ca="1">"'"&amp;$E13&amp;"'"&amp;"!$1:$1048576"</f>
        <v>'Income'!$1:$1048576</v>
      </c>
      <c r="E13" s="1298" t="str" cm="1">
        <f t="array" aca="1" ref="E13" ca="1">IFERROR(INDEX(SheetNames,MATCH(1,COUNTIF(INDIRECT("'"&amp;SheetNames&amp;"'!A:A"),$F13),0)),"Not Found")</f>
        <v>Income</v>
      </c>
      <c r="F13" s="1299" t="s">
        <v>393</v>
      </c>
      <c r="G13" s="806">
        <f ca="1">INDEX(INDIRECT($D13),MATCH('Estimate Changes'!$F13,INDIRECT($C13),0),MATCH('Estimate Changes'!G$6,INDIRECT($B13),0))</f>
        <v>2045</v>
      </c>
      <c r="H13" s="806">
        <f ca="1">INDEX(INDIRECT($D13),MATCH('Estimate Changes'!$F13,INDIRECT($C13),0),MATCH('Estimate Changes'!H$6,INDIRECT($B13),0))</f>
        <v>2162</v>
      </c>
      <c r="I13" s="806">
        <f ca="1">INDEX(INDIRECT($D13),MATCH('Estimate Changes'!$F13,INDIRECT($C13),0),MATCH('Estimate Changes'!I$6,INDIRECT($B13),0))</f>
        <v>2812</v>
      </c>
      <c r="J13" s="806">
        <f ca="1">INDEX(INDIRECT($D13),MATCH('Estimate Changes'!$F13,INDIRECT($C13),0),MATCH('Estimate Changes'!J$6,INDIRECT($B13),0))</f>
        <v>2360</v>
      </c>
      <c r="K13" s="806">
        <f ca="1">INDEX(INDIRECT($D13),MATCH('Estimate Changes'!$F13,INDIRECT($C13),0),MATCH('Estimate Changes'!K$6,INDIRECT($B13),0))</f>
        <v>2680</v>
      </c>
      <c r="L13" s="806">
        <f ca="1">INDEX(INDIRECT($D13),MATCH('Estimate Changes'!$F13,INDIRECT($C13),0),MATCH('Estimate Changes'!L$6,INDIRECT($B13),0))</f>
        <v>2844</v>
      </c>
      <c r="M13" s="806">
        <f ca="1">INDEX(INDIRECT($D13),MATCH('Estimate Changes'!$F13,INDIRECT($C13),0),MATCH('Estimate Changes'!M$6,INDIRECT($B13),0))</f>
        <v>3672</v>
      </c>
      <c r="N13" s="806">
        <f ca="1">INDEX(INDIRECT($D13),MATCH('Estimate Changes'!$F13,INDIRECT($C13),0),MATCH('Estimate Changes'!N$6,INDIRECT($B13),0))</f>
        <v>3170</v>
      </c>
      <c r="O13" s="806">
        <f ca="1">INDEX(INDIRECT($D13),MATCH('Estimate Changes'!$F13,INDIRECT($C13),0),MATCH('Estimate Changes'!O$6,INDIRECT($B13),0))</f>
        <v>8880</v>
      </c>
      <c r="P13" s="806">
        <f ca="1">INDEX(INDIRECT($D13),MATCH('Estimate Changes'!$F13,INDIRECT($C13),0),MATCH('Estimate Changes'!P$6,INDIRECT($B13),0))</f>
        <v>11556</v>
      </c>
      <c r="Q13" s="1221" t="s">
        <v>178</v>
      </c>
      <c r="R13" s="1598">
        <v>3496.2242418749997</v>
      </c>
      <c r="S13" s="1598">
        <f ca="1">INDEX(INDIRECT($D13),MATCH('Estimate Changes'!$F13,INDIRECT($C13),0),MATCH('Estimate Changes'!S$6,INDIRECT($B13),0))</f>
        <v>3583</v>
      </c>
      <c r="T13" s="1599">
        <f ca="1">S13/R13-1</f>
        <v>2.4819849106264114E-2</v>
      </c>
      <c r="U13" s="1598">
        <f>INDEX(Consensus!$A$1:$BO$180,MATCH('Estimate Changes'!$F13,Consensus!$A:$A,0),MATCH('Estimate Changes'!S$6,Consensus!$4:$4,0))</f>
        <v>3583</v>
      </c>
      <c r="V13" s="1598">
        <v>3441.2627000000002</v>
      </c>
      <c r="W13" s="1599">
        <f ca="1">+S13/V13-1</f>
        <v>4.1187585010583394E-2</v>
      </c>
      <c r="X13" s="1582"/>
      <c r="Y13" s="1222">
        <v>3645.4943994960931</v>
      </c>
      <c r="Z13" s="1598">
        <f ca="1">INDEX(INDIRECT($D13),MATCH('Estimate Changes'!$F13,INDIRECT($C13),0),MATCH('Estimate Changes'!Z$6,INDIRECT($B13),0))</f>
        <v>3708.9235770421878</v>
      </c>
      <c r="AA13" s="1599">
        <f ca="1">Z13/Y13-1</f>
        <v>1.7399334793892995E-2</v>
      </c>
      <c r="AB13" s="1598">
        <f>INDEX(Consensus!$A$1:$BO$180,MATCH('Estimate Changes'!$F13,Consensus!$A:$A,0),MATCH('Estimate Changes'!Z$6,Consensus!$4:$4,0))</f>
        <v>3651.5129999999999</v>
      </c>
      <c r="AC13" s="1599">
        <f ca="1">+Z13/AB13-1</f>
        <v>1.5722407955876871E-2</v>
      </c>
      <c r="AD13" s="1582"/>
      <c r="AE13" s="1222">
        <v>4681.5646602968745</v>
      </c>
      <c r="AF13" s="1598">
        <f ca="1">INDEX(INDIRECT($D13),MATCH('Estimate Changes'!$F13,INDIRECT($C13),0),MATCH('Estimate Changes'!AF$6,INDIRECT($B13),0))</f>
        <v>4749.7619467274999</v>
      </c>
      <c r="AG13" s="1599">
        <f ca="1">AF13/AE13-1</f>
        <v>1.4567199511092754E-2</v>
      </c>
      <c r="AH13" s="1598">
        <f>INDEX(Consensus!$A$1:$BO$180,MATCH('Estimate Changes'!$F13,Consensus!$A:$A,0),MATCH('Estimate Changes'!AF$6,Consensus!$4:$4,0))</f>
        <v>4656.4146000000001</v>
      </c>
      <c r="AI13" s="1300">
        <f ca="1">+AF13/AH13-1</f>
        <v>2.0047043647595242E-2</v>
      </c>
      <c r="AJ13" s="1231">
        <v>14993.283301667965</v>
      </c>
      <c r="AK13" s="1229">
        <f ca="1">INDEX(INDIRECT($D13),MATCH('Estimate Changes'!$F13,INDIRECT($C13),0),MATCH('Estimate Changes'!AK$6,INDIRECT($B13),0))</f>
        <v>15211.685523769687</v>
      </c>
      <c r="AL13" s="1301">
        <f ca="1">AK13/AJ13-1</f>
        <v>1.4566670802346859E-2</v>
      </c>
      <c r="AM13" s="1229">
        <f>INDEX(Consensus!$A$1:$BO$180,MATCH('Estimate Changes'!$F13,Consensus!$A:$A,0),MATCH('Estimate Changes'!AK$6,Consensus!$4:$4,0))</f>
        <v>14977.527</v>
      </c>
      <c r="AN13" s="1301">
        <f ca="1">+AK13/AM13-1</f>
        <v>1.5633991096773769E-2</v>
      </c>
      <c r="AO13" s="1231">
        <v>18462.320483053798</v>
      </c>
      <c r="AP13" s="1229">
        <f ca="1">INDEX(INDIRECT($D13),MATCH('Estimate Changes'!$F13,INDIRECT($C13),0),MATCH('Estimate Changes'!AP$6,INDIRECT($B13),0))</f>
        <v>19134.27960159217</v>
      </c>
      <c r="AQ13" s="1301">
        <f ca="1">AP13/AO13-1</f>
        <v>3.6396243860848942E-2</v>
      </c>
      <c r="AR13" s="1229">
        <f>INDEX(Consensus!$A$1:$BO$180,MATCH('Estimate Changes'!$F13,Consensus!$A:$A,0),MATCH('Estimate Changes'!AP$6,Consensus!$4:$4,0))</f>
        <v>18667.963</v>
      </c>
      <c r="AS13" s="1302">
        <f ca="1">+AP13/AR13-1</f>
        <v>2.4979511775985896E-2</v>
      </c>
      <c r="AT13" s="1231">
        <v>22256.165798112695</v>
      </c>
      <c r="AU13" s="1229">
        <f ca="1">INDEX(INDIRECT($D13),MATCH('Estimate Changes'!$F13,INDIRECT($C13),0),MATCH('Estimate Changes'!AU$6,INDIRECT($B13),0))</f>
        <v>23097.312228932591</v>
      </c>
      <c r="AV13" s="1301">
        <f ca="1">AU13/AT13-1</f>
        <v>3.7793860741782481E-2</v>
      </c>
      <c r="AW13" s="1229">
        <f>INDEX(Consensus!$A$1:$BO$180,MATCH('Estimate Changes'!$F13,Consensus!$A:$A,0),MATCH('Estimate Changes'!AU$6,Consensus!$4:$4,0))</f>
        <v>23471.11</v>
      </c>
      <c r="AX13" s="1302">
        <f ca="1">+AU13/AW13-1</f>
        <v>-1.5925866781222098E-2</v>
      </c>
      <c r="AY13" s="1231">
        <v>26384.108049496866</v>
      </c>
      <c r="AZ13" s="1229">
        <f ca="1">INDEX(INDIRECT($D13),MATCH('Estimate Changes'!$F13,INDIRECT($C13),0),MATCH('Estimate Changes'!AZ$6,INDIRECT($B13),0))</f>
        <v>27379.487596355673</v>
      </c>
      <c r="BA13" s="1301">
        <f ca="1">AZ13/AY13-1</f>
        <v>3.7726480841856258E-2</v>
      </c>
      <c r="BB13" s="1229">
        <f>INDEX(Consensus!$A$1:$BO$180,MATCH('Estimate Changes'!$F13,Consensus!$A:$A,0),MATCH('Estimate Changes'!AZ$6,Consensus!$4:$4,0))</f>
        <v>28231.14</v>
      </c>
      <c r="BC13" s="1302">
        <f ca="1">+AZ13/BB13-1</f>
        <v>-3.0167127634389779E-2</v>
      </c>
      <c r="BD13" s="1231">
        <v>30955.370532765235</v>
      </c>
      <c r="BE13" s="1229">
        <f ca="1">INDEX(INDIRECT($D13),MATCH('Estimate Changes'!$F13,INDIRECT($C13),0),MATCH('Estimate Changes'!BE$6,INDIRECT($B13),0))</f>
        <v>32121.812861222668</v>
      </c>
      <c r="BF13" s="1301">
        <f ca="1">BE13/BD13-1</f>
        <v>3.7681420328107285E-2</v>
      </c>
      <c r="BG13" s="1229">
        <f>INDEX(Consensus!$A$1:$BO$180,MATCH('Estimate Changes'!$F13,Consensus!$A:$A,0),MATCH('Estimate Changes'!BE$6,Consensus!$4:$4,0))</f>
        <v>33373.300000000003</v>
      </c>
      <c r="BH13" s="1302">
        <f ca="1">+BE13/BG13-1</f>
        <v>-3.7499652080475565E-2</v>
      </c>
    </row>
    <row r="14" spans="1:60" s="1304" customFormat="1" ht="24.9" customHeight="1">
      <c r="A14" s="1303"/>
      <c r="B14" s="1304" t="str">
        <f t="shared" ref="B14:B47" ca="1" si="0">"'"&amp;E14&amp;"'"&amp;"!$5:$5"</f>
        <v>'Income'!$5:$5</v>
      </c>
      <c r="C14" s="1304" t="str">
        <f t="shared" ref="C14:C47" ca="1" si="1">"'"&amp;E14&amp;"'"&amp;"!$A:$A"</f>
        <v>'Income'!$A:$A</v>
      </c>
      <c r="D14" s="1304" t="str">
        <f t="shared" ref="D14:D47" ca="1" si="2">"'"&amp;$E14&amp;"'"&amp;"!$1:$1048576"</f>
        <v>'Income'!$1:$1048576</v>
      </c>
      <c r="E14" s="1305" t="str" cm="1">
        <f t="array" aca="1" ref="E14" ca="1">IFERROR(INDEX(SheetNames,MATCH(1,COUNTIF(INDIRECT("'"&amp;SheetNames&amp;"'!A:A"),$F14),0)),"Not Found")</f>
        <v>Income</v>
      </c>
      <c r="F14" s="1299" t="s">
        <v>394</v>
      </c>
      <c r="K14" s="1306">
        <f ca="1">K13/G13-1</f>
        <v>0.31051344743276288</v>
      </c>
      <c r="L14" s="1306">
        <f ca="1">L13/H13-1</f>
        <v>0.31544865864939875</v>
      </c>
      <c r="M14" s="1306">
        <f ca="1">M13/I13-1</f>
        <v>0.30583214793741109</v>
      </c>
      <c r="N14" s="1306">
        <f ca="1">N13/J13-1</f>
        <v>0.34322033898305082</v>
      </c>
      <c r="P14" s="1306">
        <f ca="1">P13/O13-1</f>
        <v>0.30135135135135127</v>
      </c>
      <c r="Q14" s="793" t="s">
        <v>395</v>
      </c>
      <c r="R14" s="1306">
        <v>0.30456128428171625</v>
      </c>
      <c r="S14" s="1306">
        <f ca="1">S13/K13-1</f>
        <v>0.33694029850746277</v>
      </c>
      <c r="T14" s="1307">
        <f ca="1">(S14-R14)*10000</f>
        <v>323.79014225746516</v>
      </c>
      <c r="U14" s="1306">
        <f ca="1">+U13/K13-1</f>
        <v>0.33694029850746277</v>
      </c>
      <c r="V14" s="1306">
        <v>0.28405324626865669</v>
      </c>
      <c r="W14" s="1307">
        <f ca="1">(S14-V14)*10000</f>
        <v>528.87052238806075</v>
      </c>
      <c r="X14" s="1583" t="s">
        <v>822</v>
      </c>
      <c r="Y14" s="1308">
        <v>0.28181940910551795</v>
      </c>
      <c r="Z14" s="1306">
        <f ca="1">Z13/L13-1</f>
        <v>0.30412221414985519</v>
      </c>
      <c r="AA14" s="1307">
        <f ca="1">(Z14-Y14)*10000</f>
        <v>223.02805044337236</v>
      </c>
      <c r="AB14" s="1306">
        <f ca="1">+AB13/L13-1</f>
        <v>0.28393565400843879</v>
      </c>
      <c r="AC14" s="1307">
        <f ca="1">(Z14-AB14)*10000</f>
        <v>201.86560141416399</v>
      </c>
      <c r="AD14" s="1583" t="s">
        <v>829</v>
      </c>
      <c r="AE14" s="1308">
        <v>0.27493590966690484</v>
      </c>
      <c r="AF14" s="1306">
        <f ca="1">AF13/M13-1</f>
        <v>0.29350815542687902</v>
      </c>
      <c r="AG14" s="1307">
        <f ca="1">(AF14-AE14)*10000</f>
        <v>185.72245759974183</v>
      </c>
      <c r="AH14" s="1306">
        <f ca="1">+AH13/M13-1</f>
        <v>0.26808676470588244</v>
      </c>
      <c r="AI14" s="1309">
        <f ca="1">(AF14-AH14)*10000</f>
        <v>254.21390720996584</v>
      </c>
      <c r="AJ14" s="1308">
        <v>0.29744576857632099</v>
      </c>
      <c r="AK14" s="1306">
        <f ca="1">AK13/P13-1</f>
        <v>0.31634523397107017</v>
      </c>
      <c r="AL14" s="1307">
        <f ca="1">(AK14-AJ14)*10000</f>
        <v>188.99465394749183</v>
      </c>
      <c r="AM14" s="1306">
        <f ca="1">+AM13/P13-1</f>
        <v>0.2960822949117341</v>
      </c>
      <c r="AN14" s="1307">
        <f ca="1">(AK14-AM14)*10000</f>
        <v>202.62939059336071</v>
      </c>
      <c r="AO14" s="1308">
        <v>0.23137274948976061</v>
      </c>
      <c r="AP14" s="1306">
        <f ca="1">AP13/AK13-1</f>
        <v>0.25786715559515483</v>
      </c>
      <c r="AQ14" s="1307">
        <f ca="1">(AP14-AO14)*10000</f>
        <v>264.94406105394216</v>
      </c>
      <c r="AR14" s="1306">
        <f>+AR13/AM13-1</f>
        <v>0.24639822048059057</v>
      </c>
      <c r="AS14" s="1309">
        <f ca="1">(AP14-AR14)*10000</f>
        <v>114.6893511456426</v>
      </c>
      <c r="AT14" s="1308">
        <v>0.20549125005934088</v>
      </c>
      <c r="AU14" s="1306">
        <f ca="1">AU13/AP13-1</f>
        <v>0.20711689751887263</v>
      </c>
      <c r="AV14" s="1307">
        <f ca="1">(AU14-AT14)*10000</f>
        <v>16.256474595317538</v>
      </c>
      <c r="AW14" s="1306">
        <f>+AW13/AR13-1</f>
        <v>0.25729357830846356</v>
      </c>
      <c r="AX14" s="1309">
        <f ca="1">(AU14-AW14)*10000</f>
        <v>-501.76680789590921</v>
      </c>
      <c r="AY14" s="1308">
        <v>0.18547409687854755</v>
      </c>
      <c r="AZ14" s="1306">
        <f ca="1">AZ13/AU13-1</f>
        <v>0.18539712867798808</v>
      </c>
      <c r="BA14" s="1307">
        <f ca="1">(AZ14-AY14)*10000</f>
        <v>-0.76968200559468514</v>
      </c>
      <c r="BB14" s="1306">
        <f>+BB13/AW13-1</f>
        <v>0.2028037872942523</v>
      </c>
      <c r="BC14" s="1309">
        <f ca="1">(AZ14-BB14)*10000</f>
        <v>-174.06658616264227</v>
      </c>
      <c r="BD14" s="1308">
        <v>0.17325817778992691</v>
      </c>
      <c r="BE14" s="1306">
        <f ca="1">BE13/AZ13-1</f>
        <v>0.1732072321725342</v>
      </c>
      <c r="BF14" s="1307">
        <f ca="1">(BE14-BD14)*10000</f>
        <v>-0.50945617392716969</v>
      </c>
      <c r="BG14" s="1306">
        <f>+BG13/BB13-1</f>
        <v>0.18214496474460495</v>
      </c>
      <c r="BH14" s="1309">
        <f ca="1">(BE14-BG14)*10000</f>
        <v>-89.37732572070756</v>
      </c>
    </row>
    <row r="15" spans="1:60" s="1255" customFormat="1" ht="15" customHeight="1">
      <c r="A15" s="1296"/>
      <c r="B15" s="1255" t="str">
        <f t="shared" ca="1" si="0"/>
        <v>'Income'!$5:$5</v>
      </c>
      <c r="C15" s="1255" t="str">
        <f t="shared" ca="1" si="1"/>
        <v>'Income'!$A:$A</v>
      </c>
      <c r="D15" s="1255" t="str">
        <f t="shared" ca="1" si="2"/>
        <v>'Income'!$1:$1048576</v>
      </c>
      <c r="E15" s="1298" t="str" cm="1">
        <f t="array" aca="1" ref="E15" ca="1">IFERROR(INDEX(SheetNames,MATCH(1,COUNTIF(INDIRECT("'"&amp;SheetNames&amp;"'!A:A"),$F15),0)),"Not Found")</f>
        <v>Income</v>
      </c>
      <c r="F15" s="1313" t="s">
        <v>494</v>
      </c>
      <c r="G15" s="806">
        <f ca="1">INDEX(INDIRECT($D15),MATCH('Estimate Changes'!$F15,INDIRECT($C15),0),MATCH('Estimate Changes'!G$6,INDIRECT($B15),0))</f>
        <v>563</v>
      </c>
      <c r="H15" s="806">
        <f ca="1">INDEX(INDIRECT($D15),MATCH('Estimate Changes'!$F15,INDIRECT($C15),0),MATCH('Estimate Changes'!H$6,INDIRECT($B15),0))</f>
        <v>610</v>
      </c>
      <c r="I15" s="806">
        <f ca="1">INDEX(INDIRECT($D15),MATCH('Estimate Changes'!$F15,INDIRECT($C15),0),MATCH('Estimate Changes'!I$6,INDIRECT($B15),0))</f>
        <v>666</v>
      </c>
      <c r="J15" s="806">
        <f ca="1">INDEX(INDIRECT($D15),MATCH('Estimate Changes'!$F15,INDIRECT($C15),0),MATCH('Estimate Changes'!J$6,INDIRECT($B15),0))</f>
        <v>620</v>
      </c>
      <c r="K15" s="806">
        <f ca="1">INDEX(INDIRECT($D15),MATCH('Estimate Changes'!$F15,INDIRECT($C15),0),MATCH('Estimate Changes'!K$6,INDIRECT($B15),0))</f>
        <v>656</v>
      </c>
      <c r="L15" s="806">
        <f ca="1">INDEX(INDIRECT($D15),MATCH('Estimate Changes'!$F15,INDIRECT($C15),0),MATCH('Estimate Changes'!L$6,INDIRECT($B15),0))</f>
        <v>699</v>
      </c>
      <c r="M15" s="806">
        <f ca="1">INDEX(INDIRECT($D15),MATCH('Estimate Changes'!$F15,INDIRECT($C15),0),MATCH('Estimate Changes'!M$6,INDIRECT($B15),0))</f>
        <v>777</v>
      </c>
      <c r="N15" s="806">
        <f ca="1">INDEX(INDIRECT($D15),MATCH('Estimate Changes'!$F15,INDIRECT($C15),0),MATCH('Estimate Changes'!N$6,INDIRECT($B15),0))</f>
        <v>750</v>
      </c>
      <c r="O15" s="806">
        <f ca="1">INDEX(INDIRECT($D15),MATCH('Estimate Changes'!$F15,INDIRECT($C15),0),MATCH('Estimate Changes'!O$6,INDIRECT($B15),0))</f>
        <v>2350</v>
      </c>
      <c r="P15" s="806">
        <f ca="1">INDEX(INDIRECT($D15),MATCH('Estimate Changes'!$F15,INDIRECT($C15),0),MATCH('Estimate Changes'!P$6,INDIRECT($B15),0))</f>
        <v>2752</v>
      </c>
      <c r="Q15" s="795" t="s">
        <v>704</v>
      </c>
      <c r="R15" s="1600">
        <v>796.51138187499976</v>
      </c>
      <c r="S15" s="1600">
        <f ca="1">INDEX(INDIRECT($D15),MATCH('Estimate Changes'!$F15,INDIRECT($C15),0),MATCH('Estimate Changes'!S$6,INDIRECT($B15),0))</f>
        <v>802</v>
      </c>
      <c r="T15" s="1601">
        <f ca="1">S15/R15-1</f>
        <v>6.8908219642511703E-3</v>
      </c>
      <c r="U15" s="1600">
        <f>INDEX(Consensus!$A$1:$BO$180,MATCH('Estimate Changes'!$F15,Consensus!$A:$A,0),MATCH('Estimate Changes'!S$6,Consensus!$4:$4,0))</f>
        <v>802</v>
      </c>
      <c r="V15" s="1600">
        <v>787.49130000000002</v>
      </c>
      <c r="W15" s="1601">
        <f ca="1">+S15/V15-1</f>
        <v>1.8423949572522247E-2</v>
      </c>
      <c r="X15" s="1584"/>
      <c r="Y15" s="1193">
        <v>841.00607949609332</v>
      </c>
      <c r="Z15" s="1600">
        <f ca="1">INDEX(INDIRECT($D15),MATCH('Estimate Changes'!$F15,INDIRECT($C15),0),MATCH('Estimate Changes'!Z$6,INDIRECT($B15),0))</f>
        <v>860.61512704218728</v>
      </c>
      <c r="AA15" s="1601">
        <f ca="1">Z15/Y15-1</f>
        <v>2.3316178115909914E-2</v>
      </c>
      <c r="AB15" s="1600">
        <f>INDEX(Consensus!$A$1:$BO$180,MATCH('Estimate Changes'!$F15,Consensus!$A:$A,0),MATCH('Estimate Changes'!Z$6,Consensus!$4:$4,0))</f>
        <v>838.45180000000005</v>
      </c>
      <c r="AC15" s="1601">
        <f ca="1">+Z15/AB15-1</f>
        <v>2.6433632848289257E-2</v>
      </c>
      <c r="AD15" s="1584"/>
      <c r="AE15" s="1193">
        <v>926.27562529687464</v>
      </c>
      <c r="AF15" s="1600">
        <f ca="1">INDEX(INDIRECT($D15),MATCH('Estimate Changes'!$F15,INDIRECT($C15),0),MATCH('Estimate Changes'!AF$6,INDIRECT($B15),0))</f>
        <v>935.33450172749986</v>
      </c>
      <c r="AG15" s="1601">
        <f ca="1">AF15/AE15-1</f>
        <v>9.7798929208807728E-3</v>
      </c>
      <c r="AH15" s="1600">
        <f>INDEX(Consensus!$A$1:$BO$180,MATCH('Estimate Changes'!$F15,Consensus!$A:$A,0),MATCH('Estimate Changes'!AF$6,Consensus!$4:$4,0))</f>
        <v>916.29290000000003</v>
      </c>
      <c r="AI15" s="1314">
        <f ca="1">+AF15/AH15-1</f>
        <v>2.0781129841232815E-2</v>
      </c>
      <c r="AJ15" s="1189">
        <v>3313.7930866679676</v>
      </c>
      <c r="AK15" s="796">
        <f ca="1">INDEX(INDIRECT($D15),MATCH('Estimate Changes'!$F15,INDIRECT($C15),0),MATCH('Estimate Changes'!AK$6,INDIRECT($B15),0))</f>
        <v>3347.9496287696875</v>
      </c>
      <c r="AL15" s="1315">
        <f ca="1">AK15/AJ15-1</f>
        <v>1.0307385285803772E-2</v>
      </c>
      <c r="AM15" s="796">
        <f>INDEX(Consensus!$A$1:$BO$180,MATCH('Estimate Changes'!$F15,Consensus!$A:$A,0),MATCH('Estimate Changes'!AK$6,Consensus!$4:$4,0))</f>
        <v>3293.0320000000002</v>
      </c>
      <c r="AN15" s="1315">
        <f ca="1">+AK15/AM15-1</f>
        <v>1.6676919255472544E-2</v>
      </c>
      <c r="AO15" s="1189">
        <v>3877.2759774837959</v>
      </c>
      <c r="AP15" s="796">
        <f ca="1">INDEX(INDIRECT($D15),MATCH('Estimate Changes'!$F15,INDIRECT($C15),0),MATCH('Estimate Changes'!AP$6,INDIRECT($B15),0))</f>
        <v>4027.5325117121693</v>
      </c>
      <c r="AQ15" s="1315">
        <f ca="1">AP15/AO15-1</f>
        <v>3.8753118194563951E-2</v>
      </c>
      <c r="AR15" s="796">
        <f>INDEX(Consensus!$A$1:$BO$180,MATCH('Estimate Changes'!$F15,Consensus!$A:$A,0),MATCH('Estimate Changes'!AP$6,Consensus!$4:$4,0))</f>
        <v>3848.8227999999999</v>
      </c>
      <c r="AS15" s="1316">
        <f ca="1">+AP15/AR15-1</f>
        <v>4.6432304369057764E-2</v>
      </c>
      <c r="AT15" s="1189">
        <v>4536.5744367246953</v>
      </c>
      <c r="AU15" s="796">
        <f ca="1">INDEX(INDIRECT($D15),MATCH('Estimate Changes'!$F15,INDIRECT($C15),0),MATCH('Estimate Changes'!AU$6,INDIRECT($B15),0))</f>
        <v>4744.8139263805897</v>
      </c>
      <c r="AV15" s="1315">
        <f ca="1">AU15/AT15-1</f>
        <v>4.5902363679992675E-2</v>
      </c>
      <c r="AW15" s="796">
        <f>INDEX(Consensus!$A$1:$BO$180,MATCH('Estimate Changes'!$F15,Consensus!$A:$A,0),MATCH('Estimate Changes'!AU$6,Consensus!$4:$4,0))</f>
        <v>4485.1109999999999</v>
      </c>
      <c r="AX15" s="1316">
        <f ca="1">+AU15/AW15-1</f>
        <v>5.790334428302657E-2</v>
      </c>
      <c r="AY15" s="1189">
        <v>5307.9811030887604</v>
      </c>
      <c r="AZ15" s="796">
        <f ca="1">INDEX(INDIRECT($D15),MATCH('Estimate Changes'!$F15,INDIRECT($C15),0),MATCH('Estimate Changes'!AZ$6,INDIRECT($B15),0))</f>
        <v>5551.6299820892673</v>
      </c>
      <c r="BA15" s="1315">
        <f ca="1">AZ15/AY15-1</f>
        <v>4.5902363679992231E-2</v>
      </c>
      <c r="BB15" s="796">
        <f>INDEX(Consensus!$A$1:$BO$180,MATCH('Estimate Changes'!$F15,Consensus!$A:$A,0),MATCH('Estimate Changes'!AZ$6,Consensus!$4:$4,0))</f>
        <v>5086.1000000000004</v>
      </c>
      <c r="BC15" s="1316">
        <f ca="1">+AZ15/BB15-1</f>
        <v>9.1529852360210606E-2</v>
      </c>
      <c r="BD15" s="1189">
        <v>6210.5590426702756</v>
      </c>
      <c r="BE15" s="796">
        <f ca="1">INDEX(INDIRECT($D15),MATCH('Estimate Changes'!$F15,INDIRECT($C15),0),MATCH('Estimate Changes'!BE$6,INDIRECT($B15),0))</f>
        <v>6495.6383825029916</v>
      </c>
      <c r="BF15" s="1315">
        <f ca="1">BE15/BD15-1</f>
        <v>4.5902363679992231E-2</v>
      </c>
      <c r="BG15" s="796">
        <f>INDEX(Consensus!$A$1:$BO$180,MATCH('Estimate Changes'!$F15,Consensus!$A:$A,0),MATCH('Estimate Changes'!BE$6,Consensus!$4:$4,0))</f>
        <v>5833.9</v>
      </c>
      <c r="BH15" s="1316">
        <f ca="1">+BE15/BG15-1</f>
        <v>0.11342984667255052</v>
      </c>
    </row>
    <row r="16" spans="1:60" s="1304" customFormat="1" ht="15" customHeight="1">
      <c r="A16" s="1303"/>
      <c r="B16" s="1304" t="str">
        <f t="shared" ca="1" si="0"/>
        <v>'Income'!$5:$5</v>
      </c>
      <c r="C16" s="1304" t="str">
        <f t="shared" ca="1" si="1"/>
        <v>'Income'!$A:$A</v>
      </c>
      <c r="D16" s="1304" t="str">
        <f t="shared" ca="1" si="2"/>
        <v>'Income'!$1:$1048576</v>
      </c>
      <c r="E16" s="1305" t="str" cm="1">
        <f t="array" aca="1" ref="E16" ca="1">IFERROR(INDEX(SheetNames,MATCH(1,COUNTIF(INDIRECT("'"&amp;SheetNames&amp;"'!A:A"),$F16),0)),"Not Found")</f>
        <v>Income</v>
      </c>
      <c r="F16" s="1299" t="s">
        <v>495</v>
      </c>
      <c r="K16" s="1306">
        <f ca="1">K15/G15-1</f>
        <v>0.1651865008880995</v>
      </c>
      <c r="L16" s="1306">
        <f ca="1">L15/H15-1</f>
        <v>0.14590163934426226</v>
      </c>
      <c r="M16" s="1306">
        <f ca="1">M15/I15-1</f>
        <v>0.16666666666666674</v>
      </c>
      <c r="N16" s="1306">
        <f ca="1">N15/J15-1</f>
        <v>0.20967741935483875</v>
      </c>
      <c r="P16" s="1306">
        <f ca="1">P15/O15-1</f>
        <v>0.171063829787234</v>
      </c>
      <c r="Q16" s="793" t="s">
        <v>395</v>
      </c>
      <c r="R16" s="1306">
        <v>0.21419417968749954</v>
      </c>
      <c r="S16" s="1306">
        <f ca="1">S15/K15-1</f>
        <v>0.22256097560975618</v>
      </c>
      <c r="T16" s="1307">
        <f ca="1">(S16-R16)*10000</f>
        <v>83.667959222566424</v>
      </c>
      <c r="U16" s="1306">
        <f ca="1">+U15/K15-1</f>
        <v>0.22256097560975618</v>
      </c>
      <c r="V16" s="1306">
        <v>0.20044405487804884</v>
      </c>
      <c r="W16" s="1307">
        <f ca="1">(S16-V16)*10000</f>
        <v>221.16920731707347</v>
      </c>
      <c r="X16" s="1583"/>
      <c r="Y16" s="1308">
        <v>0.20315605078124932</v>
      </c>
      <c r="Z16" s="1306">
        <f ca="1">Z15/L15-1</f>
        <v>0.2312090515624996</v>
      </c>
      <c r="AA16" s="1307">
        <f ca="1">(Z16-Y16)*10000</f>
        <v>280.53000781250279</v>
      </c>
      <c r="AB16" s="1306">
        <f ca="1">+AB15/L15-1</f>
        <v>0.19950185979971402</v>
      </c>
      <c r="AC16" s="1307">
        <f ca="1">(Z16-AB16)*10000</f>
        <v>317.07191762785578</v>
      </c>
      <c r="AD16" s="1583"/>
      <c r="AE16" s="1308">
        <v>0.19211792187499954</v>
      </c>
      <c r="AF16" s="1306">
        <f ca="1">AF15/M15-1</f>
        <v>0.20377670749999988</v>
      </c>
      <c r="AG16" s="1307">
        <f ca="1">(AF16-AE16)*10000</f>
        <v>116.58785625000334</v>
      </c>
      <c r="AH16" s="1306">
        <f ca="1">+AH15/M15-1</f>
        <v>0.17927014157014165</v>
      </c>
      <c r="AI16" s="1309">
        <f ca="1">(AF16-AH16)*10000</f>
        <v>245.06565929858226</v>
      </c>
      <c r="AJ16" s="1308">
        <v>0.20413992974853468</v>
      </c>
      <c r="AK16" s="1306">
        <f ca="1">AK15/P15-1</f>
        <v>0.21655146394247371</v>
      </c>
      <c r="AL16" s="1307">
        <f ca="1">(AK16-AJ16)*10000</f>
        <v>124.11534193939033</v>
      </c>
      <c r="AM16" s="1306">
        <f ca="1">+AM15/P15-1</f>
        <v>0.19659593023255817</v>
      </c>
      <c r="AN16" s="1307">
        <f ca="1">(AK16-AM16)*10000</f>
        <v>199.55533709915539</v>
      </c>
      <c r="AO16" s="1308">
        <v>0.17004166406249954</v>
      </c>
      <c r="AP16" s="1306">
        <f ca="1">AP15/AK15-1</f>
        <v>0.202984799144728</v>
      </c>
      <c r="AQ16" s="1307">
        <f ca="1">(AP16-AO16)*10000</f>
        <v>329.43135082228457</v>
      </c>
      <c r="AR16" s="1306">
        <f>+AR15/AM15-1</f>
        <v>0.16877783149389369</v>
      </c>
      <c r="AS16" s="1309">
        <f ca="1">(AP16-AR16)*10000</f>
        <v>342.06967650834309</v>
      </c>
      <c r="AT16" s="1308">
        <v>0.17004166406249954</v>
      </c>
      <c r="AU16" s="1306">
        <f ca="1">AU15/AP15-1</f>
        <v>0.17809450639629776</v>
      </c>
      <c r="AV16" s="1307">
        <f ca="1">(AU16-AT16)*10000</f>
        <v>80.528423337982161</v>
      </c>
      <c r="AW16" s="1306">
        <f>+AW15/AR15-1</f>
        <v>0.16532021167615207</v>
      </c>
      <c r="AX16" s="1309">
        <f ca="1">(AU16-AW16)*10000</f>
        <v>127.74294720145684</v>
      </c>
      <c r="AY16" s="1308">
        <v>0.17004166406249976</v>
      </c>
      <c r="AZ16" s="1306">
        <f ca="1">AZ15/AU15-1</f>
        <v>0.17004166406249954</v>
      </c>
      <c r="BA16" s="1307">
        <f ca="1">(AZ16-AY16)*10000</f>
        <v>-2.2204460492503131E-12</v>
      </c>
      <c r="BB16" s="1306">
        <f>+BB15/AW15-1</f>
        <v>0.13399646073419369</v>
      </c>
      <c r="BC16" s="1309">
        <f ca="1">(AZ16-BB16)*10000</f>
        <v>360.45203328305854</v>
      </c>
      <c r="BD16" s="1308">
        <v>0.17004166406249954</v>
      </c>
      <c r="BE16" s="1306">
        <f ca="1">BE15/AZ15-1</f>
        <v>0.17004166406249976</v>
      </c>
      <c r="BF16" s="1307">
        <f ca="1">(BE16-BD16)*10000</f>
        <v>2.2204460492503131E-12</v>
      </c>
      <c r="BG16" s="1306">
        <f>+BG15/BB15-1</f>
        <v>0.14702817482943686</v>
      </c>
      <c r="BH16" s="1309">
        <f ca="1">(BE16-BG16)*10000</f>
        <v>230.13489233062901</v>
      </c>
    </row>
    <row r="17" spans="1:60" s="1255" customFormat="1" ht="15" customHeight="1">
      <c r="A17" s="1296"/>
      <c r="B17" s="1255" t="str">
        <f t="shared" ca="1" si="0"/>
        <v>'Income'!$5:$5</v>
      </c>
      <c r="C17" s="1255" t="str">
        <f t="shared" ca="1" si="1"/>
        <v>'Income'!$A:$A</v>
      </c>
      <c r="D17" s="1255" t="str">
        <f t="shared" ca="1" si="2"/>
        <v>'Income'!$1:$1048576</v>
      </c>
      <c r="E17" s="1298" t="str" cm="1">
        <f t="array" aca="1" ref="E17" ca="1">IFERROR(INDEX(SheetNames,MATCH(1,COUNTIF(INDIRECT("'"&amp;SheetNames&amp;"'!A:A"),$F17),0)),"Not Found")</f>
        <v>Income</v>
      </c>
      <c r="F17" s="1313" t="s">
        <v>497</v>
      </c>
      <c r="G17" s="806">
        <f ca="1">INDEX(INDIRECT($D17),MATCH('Estimate Changes'!$F17,INDIRECT($C17),0),MATCH('Estimate Changes'!G$6,INDIRECT($B17),0))</f>
        <v>1482</v>
      </c>
      <c r="H17" s="806">
        <f ca="1">INDEX(INDIRECT($D17),MATCH('Estimate Changes'!$F17,INDIRECT($C17),0),MATCH('Estimate Changes'!H$6,INDIRECT($B17),0))</f>
        <v>1552</v>
      </c>
      <c r="I17" s="806">
        <f ca="1">INDEX(INDIRECT($D17),MATCH('Estimate Changes'!$F17,INDIRECT($C17),0),MATCH('Estimate Changes'!I$6,INDIRECT($B17),0))</f>
        <v>2146</v>
      </c>
      <c r="J17" s="806">
        <f ca="1">INDEX(INDIRECT($D17),MATCH('Estimate Changes'!$F17,INDIRECT($C17),0),MATCH('Estimate Changes'!J$6,INDIRECT($B17),0))</f>
        <v>1740</v>
      </c>
      <c r="K17" s="806">
        <f ca="1">INDEX(INDIRECT($D17),MATCH('Estimate Changes'!$F17,INDIRECT($C17),0),MATCH('Estimate Changes'!K$6,INDIRECT($B17),0))</f>
        <v>2024</v>
      </c>
      <c r="L17" s="806">
        <f ca="1">INDEX(INDIRECT($D17),MATCH('Estimate Changes'!$F17,INDIRECT($C17),0),MATCH('Estimate Changes'!L$6,INDIRECT($B17),0))</f>
        <v>2145</v>
      </c>
      <c r="M17" s="806">
        <f ca="1">INDEX(INDIRECT($D17),MATCH('Estimate Changes'!$F17,INDIRECT($C17),0),MATCH('Estimate Changes'!M$6,INDIRECT($B17),0))</f>
        <v>2895</v>
      </c>
      <c r="N17" s="806">
        <f ca="1">INDEX(INDIRECT($D17),MATCH('Estimate Changes'!$F17,INDIRECT($C17),0),MATCH('Estimate Changes'!N$6,INDIRECT($B17),0))</f>
        <v>2420</v>
      </c>
      <c r="O17" s="806">
        <f ca="1">INDEX(INDIRECT($D17),MATCH('Estimate Changes'!$F17,INDIRECT($C17),0),MATCH('Estimate Changes'!O$6,INDIRECT($B17),0))</f>
        <v>6530</v>
      </c>
      <c r="P17" s="806">
        <f ca="1">INDEX(INDIRECT($D17),MATCH('Estimate Changes'!$F17,INDIRECT($C17),0),MATCH('Estimate Changes'!P$6,INDIRECT($B17),0))</f>
        <v>8804</v>
      </c>
      <c r="Q17" s="795" t="s">
        <v>332</v>
      </c>
      <c r="R17" s="1600">
        <v>2699.7128600000001</v>
      </c>
      <c r="S17" s="1600">
        <f ca="1">INDEX(INDIRECT($D17),MATCH('Estimate Changes'!$F17,INDIRECT($C17),0),MATCH('Estimate Changes'!S$6,INDIRECT($B17),0))</f>
        <v>2781</v>
      </c>
      <c r="T17" s="1601">
        <f ca="1">S17/R17-1</f>
        <v>3.0109550243057948E-2</v>
      </c>
      <c r="U17" s="1600">
        <f>INDEX(Consensus!$A$1:$BO$180,MATCH('Estimate Changes'!$F17,Consensus!$A:$A,0),MATCH('Estimate Changes'!S$6,Consensus!$4:$4,0))</f>
        <v>2781</v>
      </c>
      <c r="V17" s="1600">
        <v>2657.3525</v>
      </c>
      <c r="W17" s="1601">
        <f ca="1">+S17/V17-1</f>
        <v>4.6530334233038317E-2</v>
      </c>
      <c r="X17" s="1584"/>
      <c r="Y17" s="1193">
        <v>2804.4883199999999</v>
      </c>
      <c r="Z17" s="1600">
        <f ca="1">INDEX(INDIRECT($D17),MATCH('Estimate Changes'!$F17,INDIRECT($C17),0),MATCH('Estimate Changes'!Z$6,INDIRECT($B17),0))</f>
        <v>2848.3084500000004</v>
      </c>
      <c r="AA17" s="1601">
        <f ca="1">Z17/Y17-1</f>
        <v>1.5625000000000222E-2</v>
      </c>
      <c r="AB17" s="1600">
        <f>INDEX(Consensus!$A$1:$BO$180,MATCH('Estimate Changes'!$F17,Consensus!$A:$A,0),MATCH('Estimate Changes'!Z$6,Consensus!$4:$4,0))</f>
        <v>2784.4268000000002</v>
      </c>
      <c r="AC17" s="1601">
        <f ca="1">+Z17/AB17-1</f>
        <v>2.2942477783937543E-2</v>
      </c>
      <c r="AD17" s="1584"/>
      <c r="AE17" s="1193">
        <v>3755.2890349999998</v>
      </c>
      <c r="AF17" s="1600">
        <f ca="1">INDEX(INDIRECT($D17),MATCH('Estimate Changes'!$F17,INDIRECT($C17),0),MATCH('Estimate Changes'!AF$6,INDIRECT($B17),0))</f>
        <v>3814.4274450000003</v>
      </c>
      <c r="AG17" s="1601">
        <f ca="1">AF17/AE17-1</f>
        <v>1.5748031496063186E-2</v>
      </c>
      <c r="AH17" s="1600">
        <f>INDEX(Consensus!$A$1:$BO$180,MATCH('Estimate Changes'!$F17,Consensus!$A:$A,0),MATCH('Estimate Changes'!AF$6,Consensus!$4:$4,0))</f>
        <v>3698.4079999999999</v>
      </c>
      <c r="AI17" s="1314">
        <f ca="1">+AF17/AH17-1</f>
        <v>3.1370104380046948E-2</v>
      </c>
      <c r="AJ17" s="1189">
        <v>11679.490215</v>
      </c>
      <c r="AK17" s="796">
        <f ca="1">INDEX(INDIRECT($D17),MATCH('Estimate Changes'!$F17,INDIRECT($C17),0),MATCH('Estimate Changes'!AK$6,INDIRECT($B17),0))</f>
        <v>11863.735895000002</v>
      </c>
      <c r="AL17" s="1315">
        <f ca="1">AK17/AJ17-1</f>
        <v>1.5775147425816094E-2</v>
      </c>
      <c r="AM17" s="796">
        <f>INDEX(Consensus!$A$1:$BO$180,MATCH('Estimate Changes'!$F17,Consensus!$A:$A,0),MATCH('Estimate Changes'!AK$6,Consensus!$4:$4,0))</f>
        <v>11599.311</v>
      </c>
      <c r="AN17" s="1315">
        <f ca="1">+AK17/AM17-1</f>
        <v>2.2796603608611132E-2</v>
      </c>
      <c r="AO17" s="1189">
        <v>14585.044505570002</v>
      </c>
      <c r="AP17" s="796">
        <f ca="1">INDEX(INDIRECT($D17),MATCH('Estimate Changes'!$F17,INDIRECT($C17),0),MATCH('Estimate Changes'!AP$6,INDIRECT($B17),0))</f>
        <v>15106.747089880002</v>
      </c>
      <c r="AQ17" s="1315">
        <f ca="1">AP17/AO17-1</f>
        <v>3.5769694368142924E-2</v>
      </c>
      <c r="AR17" s="796">
        <f>INDEX(Consensus!$A$1:$BO$180,MATCH('Estimate Changes'!$F17,Consensus!$A:$A,0),MATCH('Estimate Changes'!AP$6,Consensus!$4:$4,0))</f>
        <v>14477.754000000001</v>
      </c>
      <c r="AS17" s="1316">
        <f ca="1">+AP17/AR17-1</f>
        <v>4.3445488152375145E-2</v>
      </c>
      <c r="AT17" s="1189">
        <v>17719.591361388004</v>
      </c>
      <c r="AU17" s="796">
        <f ca="1">INDEX(INDIRECT($D17),MATCH('Estimate Changes'!$F17,INDIRECT($C17),0),MATCH('Estimate Changes'!AU$6,INDIRECT($B17),0))</f>
        <v>18352.498302552001</v>
      </c>
      <c r="AV17" s="1315">
        <f ca="1">AU17/AT17-1</f>
        <v>3.5717919688776689E-2</v>
      </c>
      <c r="AW17" s="796">
        <f>INDEX(Consensus!$A$1:$BO$180,MATCH('Estimate Changes'!$F17,Consensus!$A:$A,0),MATCH('Estimate Changes'!AU$6,Consensus!$4:$4,0))</f>
        <v>18555.201000000001</v>
      </c>
      <c r="AX17" s="1316">
        <f ca="1">+AU17/AW17-1</f>
        <v>-1.0924306206545498E-2</v>
      </c>
      <c r="AY17" s="1189">
        <v>21076.126946408105</v>
      </c>
      <c r="AZ17" s="796">
        <f ca="1">INDEX(INDIRECT($D17),MATCH('Estimate Changes'!$F17,INDIRECT($C17),0),MATCH('Estimate Changes'!AZ$6,INDIRECT($B17),0))</f>
        <v>21827.857614266406</v>
      </c>
      <c r="BA17" s="1315">
        <f ca="1">AZ17/AY17-1</f>
        <v>3.5667400835541763E-2</v>
      </c>
      <c r="BB17" s="796">
        <f>INDEX(Consensus!$A$1:$BO$180,MATCH('Estimate Changes'!$F17,Consensus!$A:$A,0),MATCH('Estimate Changes'!AZ$6,Consensus!$4:$4,0))</f>
        <v>22418.85</v>
      </c>
      <c r="BC17" s="1316">
        <f ca="1">+AZ17/BB17-1</f>
        <v>-2.6361405055727372E-2</v>
      </c>
      <c r="BD17" s="1189">
        <v>24744.811490094955</v>
      </c>
      <c r="BE17" s="796">
        <f ca="1">INDEX(INDIRECT($D17),MATCH('Estimate Changes'!$F17,INDIRECT($C17),0),MATCH('Estimate Changes'!BE$6,INDIRECT($B17),0))</f>
        <v>25626.17447871968</v>
      </c>
      <c r="BF17" s="1315">
        <f ca="1">BE17/BD17-1</f>
        <v>3.5618092664699619E-2</v>
      </c>
      <c r="BG17" s="796">
        <f>INDEX(Consensus!$A$1:$BO$180,MATCH('Estimate Changes'!$F17,Consensus!$A:$A,0),MATCH('Estimate Changes'!BE$6,Consensus!$4:$4,0))</f>
        <v>26788.15</v>
      </c>
      <c r="BH17" s="1316">
        <f ca="1">+BE17/BG17-1</f>
        <v>-4.3376475093663491E-2</v>
      </c>
    </row>
    <row r="18" spans="1:60" s="1304" customFormat="1" ht="15" customHeight="1">
      <c r="A18" s="1303"/>
      <c r="B18" s="1304" t="str">
        <f t="shared" ca="1" si="0"/>
        <v>'Income'!$5:$5</v>
      </c>
      <c r="C18" s="1304" t="str">
        <f t="shared" ca="1" si="1"/>
        <v>'Income'!$A:$A</v>
      </c>
      <c r="D18" s="1304" t="str">
        <f t="shared" ca="1" si="2"/>
        <v>'Income'!$1:$1048576</v>
      </c>
      <c r="E18" s="1305" t="str" cm="1">
        <f t="array" aca="1" ref="E18" ca="1">IFERROR(INDEX(SheetNames,MATCH(1,COUNTIF(INDIRECT("'"&amp;SheetNames&amp;"'!A:A"),$F18),0)),"Not Found")</f>
        <v>Income</v>
      </c>
      <c r="F18" s="1299" t="s">
        <v>498</v>
      </c>
      <c r="K18" s="1306">
        <f ca="1">K17/G17-1</f>
        <v>0.36572199730094468</v>
      </c>
      <c r="L18" s="1306">
        <f ca="1">L17/H17-1</f>
        <v>0.38208762886597936</v>
      </c>
      <c r="M18" s="1306">
        <f ca="1">M17/I17-1</f>
        <v>0.34902143522833184</v>
      </c>
      <c r="N18" s="1306">
        <f ca="1">N17/J17-1</f>
        <v>0.39080459770114939</v>
      </c>
      <c r="P18" s="1306">
        <f ca="1">P17/O17-1</f>
        <v>0.34823889739663083</v>
      </c>
      <c r="Q18" s="793" t="s">
        <v>395</v>
      </c>
      <c r="R18" s="1306">
        <v>0.33385022727272728</v>
      </c>
      <c r="S18" s="1306">
        <f ca="1">S17/K17-1</f>
        <v>0.37401185770750978</v>
      </c>
      <c r="T18" s="1307">
        <f ca="1">(S18-R18)*10000</f>
        <v>401.61630434782489</v>
      </c>
      <c r="U18" s="1306">
        <f ca="1">+U17/K17-1</f>
        <v>0.37401185770750978</v>
      </c>
      <c r="V18" s="1306">
        <v>0.3129211956521738</v>
      </c>
      <c r="W18" s="1307">
        <f ca="1">(S18-V18)*10000</f>
        <v>610.90662055335974</v>
      </c>
      <c r="X18" s="1583"/>
      <c r="Y18" s="1308">
        <v>0.30745376223776222</v>
      </c>
      <c r="Z18" s="1306">
        <f ca="1">Z17/L17-1</f>
        <v>0.32788272727272738</v>
      </c>
      <c r="AA18" s="1307">
        <f ca="1">(Z18-Y18)*10000</f>
        <v>204.28965034965162</v>
      </c>
      <c r="AB18" s="1306">
        <f ca="1">+AB17/L17-1</f>
        <v>0.29810107226107241</v>
      </c>
      <c r="AC18" s="1307">
        <f ca="1">(Z18-AB18)*10000</f>
        <v>297.81655011654971</v>
      </c>
      <c r="AD18" s="1583"/>
      <c r="AE18" s="1308">
        <v>0.2971637426597582</v>
      </c>
      <c r="AF18" s="1306">
        <f ca="1">AF17/M17-1</f>
        <v>0.31759151813471509</v>
      </c>
      <c r="AG18" s="1307">
        <f ca="1">(AF18-AE18)*10000</f>
        <v>204.27775474956889</v>
      </c>
      <c r="AH18" s="1306">
        <f ca="1">+AH17/M17-1</f>
        <v>0.27751571675302245</v>
      </c>
      <c r="AI18" s="1309">
        <f ca="1">(AF18-AH18)*10000</f>
        <v>400.75801381692645</v>
      </c>
      <c r="AJ18" s="1308">
        <v>0.32661179179918221</v>
      </c>
      <c r="AK18" s="1306">
        <f ca="1">AK17/P17-1</f>
        <v>0.34753928839164039</v>
      </c>
      <c r="AL18" s="1307">
        <f ca="1">(AK18-AJ18)*10000</f>
        <v>209.27496592458183</v>
      </c>
      <c r="AM18" s="1306">
        <f ca="1">+AM17/P17-1</f>
        <v>0.31750465697410268</v>
      </c>
      <c r="AN18" s="1307">
        <f ca="1">(AK18-AM18)*10000</f>
        <v>300.34631417537707</v>
      </c>
      <c r="AO18" s="1308">
        <v>0.2487740677960748</v>
      </c>
      <c r="AP18" s="1306">
        <f ca="1">AP17/AK17-1</f>
        <v>0.27335497212532989</v>
      </c>
      <c r="AQ18" s="1307">
        <f ca="1">(AP18-AO18)*10000</f>
        <v>245.80904329255083</v>
      </c>
      <c r="AR18" s="1306">
        <f>+AR17/AM17-1</f>
        <v>0.24815637756415021</v>
      </c>
      <c r="AS18" s="1309">
        <f ca="1">(AP18-AR18)*10000</f>
        <v>251.98594561179678</v>
      </c>
      <c r="AT18" s="1308">
        <v>0.21491513821715968</v>
      </c>
      <c r="AU18" s="1306">
        <f ca="1">AU17/AP17-1</f>
        <v>0.2148544086533577</v>
      </c>
      <c r="AV18" s="1307">
        <f ca="1">(AU18-AT18)*10000</f>
        <v>-0.60729563801986686</v>
      </c>
      <c r="AW18" s="1306">
        <f>+AW17/AR17-1</f>
        <v>0.28163532824221216</v>
      </c>
      <c r="AX18" s="1309">
        <f ca="1">(AU18-AW18)*10000</f>
        <v>-667.80919588854454</v>
      </c>
      <c r="AY18" s="1308">
        <v>0.18942511238347071</v>
      </c>
      <c r="AZ18" s="1306">
        <f ca="1">AZ17/AU17-1</f>
        <v>0.18936709620788461</v>
      </c>
      <c r="BA18" s="1307">
        <f ca="1">(AZ18-AY18)*10000</f>
        <v>-0.58016175586095287</v>
      </c>
      <c r="BB18" s="1306">
        <f>+BB17/AW17-1</f>
        <v>0.20822458350087381</v>
      </c>
      <c r="BC18" s="1309">
        <f ca="1">(AZ18-BB18)*10000</f>
        <v>-188.57487292989194</v>
      </c>
      <c r="BD18" s="1308">
        <v>0.17406825044352292</v>
      </c>
      <c r="BE18" s="1306">
        <f ca="1">BE17/AZ17-1</f>
        <v>0.17401235300209872</v>
      </c>
      <c r="BF18" s="1307">
        <f ca="1">(BE18-BD18)*10000</f>
        <v>-0.55897441424201944</v>
      </c>
      <c r="BG18" s="1306">
        <f>+BG17/BB17-1</f>
        <v>0.19489402890870866</v>
      </c>
      <c r="BH18" s="1309">
        <f ca="1">(BE18-BG18)*10000</f>
        <v>-208.81675906609942</v>
      </c>
    </row>
    <row r="19" spans="1:60" s="1255" customFormat="1" ht="15" customHeight="1">
      <c r="A19" s="1296"/>
      <c r="B19" s="1255" t="str">
        <f ca="1">"'"&amp;E19&amp;"'"&amp;"!$5:$5"</f>
        <v>'Income'!$5:$5</v>
      </c>
      <c r="C19" s="1255" t="str">
        <f t="shared" ca="1" si="1"/>
        <v>'Income'!$A:$A</v>
      </c>
      <c r="D19" s="1255" t="str">
        <f t="shared" ca="1" si="2"/>
        <v>'Income'!$1:$1048576</v>
      </c>
      <c r="E19" s="1298" t="str" cm="1">
        <f t="array" aca="1" ref="E19" ca="1">IFERROR(INDEX(SheetNames,MATCH(1,COUNTIF(INDIRECT("'"&amp;SheetNames&amp;"'!A:A"),$F19),0)),"Not Found")</f>
        <v>Income</v>
      </c>
      <c r="F19" s="1313" t="s">
        <v>396</v>
      </c>
      <c r="G19" s="806">
        <f ca="1">INDEX(INDIRECT($D19),MATCH('Estimate Changes'!$F19,INDIRECT($C19),0),MATCH('Estimate Changes'!G$6,INDIRECT($B19),0))</f>
        <v>1045</v>
      </c>
      <c r="H19" s="806">
        <f ca="1">INDEX(INDIRECT($D19),MATCH('Estimate Changes'!$F19,INDIRECT($C19),0),MATCH('Estimate Changes'!H$6,INDIRECT($B19),0))</f>
        <v>1118</v>
      </c>
      <c r="I19" s="806">
        <f ca="1">INDEX(INDIRECT($D19),MATCH('Estimate Changes'!$F19,INDIRECT($C19),0),MATCH('Estimate Changes'!I$6,INDIRECT($B19),0))</f>
        <v>1352</v>
      </c>
      <c r="J19" s="806">
        <f ca="1">INDEX(INDIRECT($D19),MATCH('Estimate Changes'!$F19,INDIRECT($C19),0),MATCH('Estimate Changes'!J$6,INDIRECT($B19),0))</f>
        <v>1169</v>
      </c>
      <c r="K19" s="806">
        <f ca="1">INDEX(INDIRECT($D19),MATCH('Estimate Changes'!$F19,INDIRECT($C19),0),MATCH('Estimate Changes'!K$6,INDIRECT($B19),0))</f>
        <v>1302</v>
      </c>
      <c r="L19" s="806">
        <f ca="1">INDEX(INDIRECT($D19),MATCH('Estimate Changes'!$F19,INDIRECT($C19),0),MATCH('Estimate Changes'!L$6,INDIRECT($B19),0))</f>
        <v>1391</v>
      </c>
      <c r="M19" s="806">
        <f ca="1">INDEX(INDIRECT($D19),MATCH('Estimate Changes'!$F19,INDIRECT($C19),0),MATCH('Estimate Changes'!M$6,INDIRECT($B19),0))</f>
        <v>1693</v>
      </c>
      <c r="N19" s="806">
        <f ca="1">INDEX(INDIRECT($D19),MATCH('Estimate Changes'!$F19,INDIRECT($C19),0),MATCH('Estimate Changes'!N$6,INDIRECT($B19),0))</f>
        <v>1546</v>
      </c>
      <c r="O19" s="806">
        <f ca="1">INDEX(INDIRECT($D19),MATCH('Estimate Changes'!$F19,INDIRECT($C19),0),MATCH('Estimate Changes'!O$6,INDIRECT($B19),0))</f>
        <v>4472</v>
      </c>
      <c r="P19" s="806">
        <f ca="1">INDEX(INDIRECT($D19),MATCH('Estimate Changes'!$F19,INDIRECT($C19),0),MATCH('Estimate Changes'!P$6,INDIRECT($B19),0))</f>
        <v>5555</v>
      </c>
      <c r="Q19" s="1221" t="s">
        <v>330</v>
      </c>
      <c r="R19" s="1598">
        <v>1669.1607862091191</v>
      </c>
      <c r="S19" s="1598">
        <f ca="1">INDEX(INDIRECT($D19),MATCH('Estimate Changes'!$F19,INDIRECT($C19),0),MATCH('Estimate Changes'!S$6,INDIRECT($B19),0))</f>
        <v>1708</v>
      </c>
      <c r="T19" s="1599">
        <f ca="1">S19/R19-1</f>
        <v>2.3268707311947967E-2</v>
      </c>
      <c r="U19" s="1598">
        <f>INDEX(Consensus!$A$1:$BO$180,MATCH('Estimate Changes'!$F19,Consensus!$A:$A,0),MATCH('Estimate Changes'!S$6,Consensus!$4:$4,0))</f>
        <v>1669.4131</v>
      </c>
      <c r="V19" s="1598">
        <v>1642.5751</v>
      </c>
      <c r="W19" s="1599">
        <f ca="1">+S19/V19-1</f>
        <v>3.9830690237542266E-2</v>
      </c>
      <c r="X19" s="1582"/>
      <c r="Y19" s="1222">
        <v>1755.0481925918141</v>
      </c>
      <c r="Z19" s="1598">
        <f ca="1">INDEX(INDIRECT($D19),MATCH('Estimate Changes'!$F19,INDIRECT($C19),0),MATCH('Estimate Changes'!Z$6,INDIRECT($B19),0))</f>
        <v>1796.2898990152607</v>
      </c>
      <c r="AA19" s="1599">
        <f ca="1">Z19/Y19-1</f>
        <v>2.3498902535856736E-2</v>
      </c>
      <c r="AB19" s="1598">
        <f>INDEX(Consensus!$A$1:$BO$180,MATCH('Estimate Changes'!$F19,Consensus!$A:$A,0),MATCH('Estimate Changes'!Z$6,Consensus!$4:$4,0))</f>
        <v>1746.3556000000001</v>
      </c>
      <c r="AC19" s="1599">
        <f ca="1">+Z19/AB19-1</f>
        <v>2.8593431380905754E-2</v>
      </c>
      <c r="AD19" s="1582"/>
      <c r="AE19" s="1222">
        <v>2124.8796925764123</v>
      </c>
      <c r="AF19" s="1598">
        <f ca="1">INDEX(INDIRECT($D19),MATCH('Estimate Changes'!$F19,INDIRECT($C19),0),MATCH('Estimate Changes'!AF$6,INDIRECT($B19),0))</f>
        <v>2165.3187774502453</v>
      </c>
      <c r="AG19" s="1599">
        <f ca="1">AF19/AE19-1</f>
        <v>1.9031235045971373E-2</v>
      </c>
      <c r="AH19" s="1598">
        <f>INDEX(Consensus!$A$1:$BO$180,MATCH('Estimate Changes'!$F19,Consensus!$A:$A,0),MATCH('Estimate Changes'!AF$6,Consensus!$4:$4,0))</f>
        <v>2125.8044</v>
      </c>
      <c r="AI19" s="1300">
        <f ca="1">+AF19/AH19-1</f>
        <v>1.8587964842976756E-2</v>
      </c>
      <c r="AJ19" s="1231">
        <v>7095.0886713773425</v>
      </c>
      <c r="AK19" s="1229">
        <f ca="1">INDEX(INDIRECT($D19),MATCH('Estimate Changes'!$F19,INDIRECT($C19),0),MATCH('Estimate Changes'!AK$6,INDIRECT($B19),0))</f>
        <v>7215.6086764655056</v>
      </c>
      <c r="AL19" s="1301">
        <f ca="1">AK19/AJ19-1</f>
        <v>1.6986398714699424E-2</v>
      </c>
      <c r="AM19" s="1229">
        <f>INDEX(Consensus!$A$1:$BO$180,MATCH('Estimate Changes'!$F19,Consensus!$A:$A,0),MATCH('Estimate Changes'!AK$6,Consensus!$4:$4,0))</f>
        <v>7072.5209999999997</v>
      </c>
      <c r="AN19" s="1301">
        <f ca="1">+AK19/AM19-1</f>
        <v>2.023149545480396E-2</v>
      </c>
      <c r="AO19" s="1231">
        <v>8653.5153391897147</v>
      </c>
      <c r="AP19" s="1229">
        <f ca="1">INDEX(INDIRECT($D19),MATCH('Estimate Changes'!$F19,INDIRECT($C19),0),MATCH('Estimate Changes'!AP$6,INDIRECT($B19),0))</f>
        <v>9002.5499504355375</v>
      </c>
      <c r="AQ19" s="1301">
        <f ca="1">AP19/AO19-1</f>
        <v>4.0334430293909262E-2</v>
      </c>
      <c r="AR19" s="1229">
        <f>INDEX(Consensus!$A$1:$BO$180,MATCH('Estimate Changes'!$F19,Consensus!$A:$A,0),MATCH('Estimate Changes'!AP$6,Consensus!$4:$4,0))</f>
        <v>8700.6309999999994</v>
      </c>
      <c r="AS19" s="1302">
        <f ca="1">+AP19/AR19-1</f>
        <v>3.4700810830333717E-2</v>
      </c>
      <c r="AT19" s="1231">
        <v>10376.828605498213</v>
      </c>
      <c r="AU19" s="1229">
        <f ca="1">INDEX(INDIRECT($D19),MATCH('Estimate Changes'!$F19,INDIRECT($C19),0),MATCH('Estimate Changes'!AU$6,INDIRECT($B19),0))</f>
        <v>10821.944390342107</v>
      </c>
      <c r="AV19" s="1301">
        <f ca="1">AU19/AT19-1</f>
        <v>4.2895165928446444E-2</v>
      </c>
      <c r="AW19" s="1229">
        <f>INDEX(Consensus!$A$1:$BO$180,MATCH('Estimate Changes'!$F19,Consensus!$A:$A,0),MATCH('Estimate Changes'!AU$6,Consensus!$4:$4,0))</f>
        <v>11272.657999999999</v>
      </c>
      <c r="AX19" s="1302">
        <f ca="1">+AU19/AW19-1</f>
        <v>-3.9982904622662407E-2</v>
      </c>
      <c r="AY19" s="1231">
        <v>12276.624596243802</v>
      </c>
      <c r="AZ19" s="1229">
        <f ca="1">INDEX(INDIRECT($D19),MATCH('Estimate Changes'!$F19,INDIRECT($C19),0),MATCH('Estimate Changes'!AZ$6,INDIRECT($B19),0))</f>
        <v>12802.909924996884</v>
      </c>
      <c r="BA19" s="1301">
        <f ca="1">AZ19/AY19-1</f>
        <v>4.2868894835646154E-2</v>
      </c>
      <c r="BB19" s="1229">
        <f>INDEX(Consensus!$A$1:$BO$180,MATCH('Estimate Changes'!$F19,Consensus!$A:$A,0),MATCH('Estimate Changes'!AZ$6,Consensus!$4:$4,0))</f>
        <v>12928.75</v>
      </c>
      <c r="BC19" s="1302">
        <f ca="1">+AZ19/BB19-1</f>
        <v>-9.7333520257655293E-3</v>
      </c>
      <c r="BD19" s="1231">
        <v>14402.502421194004</v>
      </c>
      <c r="BE19" s="1229">
        <f ca="1">INDEX(INDIRECT($D19),MATCH('Estimate Changes'!$F19,INDIRECT($C19),0),MATCH('Estimate Changes'!BE$6,INDIRECT($B19),0))</f>
        <v>15019.388492803271</v>
      </c>
      <c r="BF19" s="1301">
        <f ca="1">BE19/BD19-1</f>
        <v>4.283186723867427E-2</v>
      </c>
      <c r="BG19" s="1229">
        <f>INDEX(Consensus!$A$1:$BO$180,MATCH('Estimate Changes'!$F19,Consensus!$A:$A,0),MATCH('Estimate Changes'!BE$6,Consensus!$4:$4,0))</f>
        <v>15135.975</v>
      </c>
      <c r="BH19" s="1302">
        <f ca="1">+BE19/BG19-1</f>
        <v>-7.7026096565784297E-3</v>
      </c>
    </row>
    <row r="20" spans="1:60" s="1304" customFormat="1" ht="24.9" customHeight="1">
      <c r="A20" s="1303"/>
      <c r="B20" s="1304" t="str">
        <f ca="1">"'"&amp;E20&amp;"'"&amp;"!$5:$5"</f>
        <v>'Income'!$5:$5</v>
      </c>
      <c r="C20" s="1304" t="str">
        <f ca="1">"'"&amp;E20&amp;"'"&amp;"!$A:$A"</f>
        <v>'Income'!$A:$A</v>
      </c>
      <c r="D20" s="1304" t="str">
        <f t="shared" ca="1" si="2"/>
        <v>'Income'!$1:$1048576</v>
      </c>
      <c r="E20" s="1305" t="str" cm="1">
        <f t="array" aca="1" ref="E20" ca="1">IFERROR(INDEX(SheetNames,MATCH(1,COUNTIF(INDIRECT("'"&amp;SheetNames&amp;"'!A:A"),$F20),0)),"Not Found")</f>
        <v>Income</v>
      </c>
      <c r="F20" s="1299" t="s">
        <v>498</v>
      </c>
      <c r="K20" s="1306">
        <f ca="1">K19/G19-1</f>
        <v>0.245933014354067</v>
      </c>
      <c r="L20" s="1306">
        <f ca="1">L19/H19-1</f>
        <v>0.2441860465116279</v>
      </c>
      <c r="M20" s="1306">
        <f ca="1">M19/I19-1</f>
        <v>0.2522189349112427</v>
      </c>
      <c r="N20" s="1306">
        <f ca="1">N19/J19-1</f>
        <v>0.32249786142001713</v>
      </c>
      <c r="P20" s="1306">
        <f ca="1">P19/O19-1</f>
        <v>0.24217352415026827</v>
      </c>
      <c r="Q20" s="793" t="s">
        <v>395</v>
      </c>
      <c r="R20" s="1306">
        <v>0.28199753165062913</v>
      </c>
      <c r="S20" s="1306">
        <f ca="1">S19/K19-1</f>
        <v>0.31182795698924726</v>
      </c>
      <c r="T20" s="1307">
        <f ca="1">(S20-R20)*10000</f>
        <v>298.30425338618124</v>
      </c>
      <c r="U20" s="1306">
        <f ca="1">+U19/K19-1</f>
        <v>0.28219132104454681</v>
      </c>
      <c r="V20" s="1306">
        <v>0.26157841781874036</v>
      </c>
      <c r="W20" s="1307">
        <f ca="1">(S20-V20)*10000</f>
        <v>502.49539170506898</v>
      </c>
      <c r="X20" s="1585" t="s">
        <v>821</v>
      </c>
      <c r="Y20" s="1308">
        <v>0.26171688899483403</v>
      </c>
      <c r="Z20" s="1306">
        <f ca="1">Z19/L19-1</f>
        <v>0.29136585119716796</v>
      </c>
      <c r="AA20" s="1307">
        <f ca="1">(Z20-Y20)*10000</f>
        <v>296.48962202333928</v>
      </c>
      <c r="AB20" s="1306">
        <f ca="1">+AB19/L19-1</f>
        <v>0.25546772106398286</v>
      </c>
      <c r="AC20" s="1307">
        <f ca="1">(Z20-AB20)*10000</f>
        <v>358.981301331851</v>
      </c>
      <c r="AD20" s="1583" t="s">
        <v>830</v>
      </c>
      <c r="AE20" s="1308">
        <v>0.25509727854483888</v>
      </c>
      <c r="AF20" s="1306">
        <f ca="1">AF19/M19-1</f>
        <v>0.27898332985838481</v>
      </c>
      <c r="AG20" s="1307">
        <f ca="1">(AF20-AE20)*10000</f>
        <v>238.86051313545931</v>
      </c>
      <c r="AH20" s="1306">
        <f ca="1">+AH19/M19-1</f>
        <v>0.25564347312463087</v>
      </c>
      <c r="AI20" s="1309">
        <f ca="1">(AF20-AH20)*10000</f>
        <v>233.39856733753939</v>
      </c>
      <c r="AJ20" s="1308">
        <v>0.27724368521644327</v>
      </c>
      <c r="AK20" s="1306">
        <f ca="1">AK19/P19-1</f>
        <v>0.29893945570936187</v>
      </c>
      <c r="AL20" s="1307"/>
      <c r="AM20" s="1306">
        <f ca="1">+AM19/P19-1</f>
        <v>0.27318109810981084</v>
      </c>
      <c r="AN20" s="1307"/>
      <c r="AO20" s="1308">
        <v>0.21964865275035961</v>
      </c>
      <c r="AP20" s="1306">
        <f ca="1">AP19/AK19-1</f>
        <v>0.24764941588342171</v>
      </c>
      <c r="AQ20" s="1307"/>
      <c r="AR20" s="1306">
        <f>+AR19/AM19-1</f>
        <v>0.23020221502346905</v>
      </c>
      <c r="AS20" s="1309"/>
      <c r="AT20" s="1308">
        <v>0.19914603473388692</v>
      </c>
      <c r="AU20" s="1306">
        <f ca="1">AU19/AP19-1</f>
        <v>0.202097677871651</v>
      </c>
      <c r="AV20" s="1307"/>
      <c r="AW20" s="1306">
        <f>+AW19/AR19-1</f>
        <v>0.29561384685777381</v>
      </c>
      <c r="AX20" s="1309"/>
      <c r="AY20" s="1308">
        <v>0.18308059841510471</v>
      </c>
      <c r="AZ20" s="1306">
        <f ca="1">AZ19/AU19-1</f>
        <v>0.18305079597550522</v>
      </c>
      <c r="BA20" s="1307"/>
      <c r="BB20" s="1306">
        <f>+BB19/AW19-1</f>
        <v>0.14691228989649119</v>
      </c>
      <c r="BC20" s="1309"/>
      <c r="BD20" s="1308">
        <v>0.17316468450136058</v>
      </c>
      <c r="BE20" s="1306">
        <f ca="1">BE19/AZ19-1</f>
        <v>0.17312303068530155</v>
      </c>
      <c r="BF20" s="1307"/>
      <c r="BG20" s="1306">
        <f>+BG19/BB19-1</f>
        <v>0.17072222759354161</v>
      </c>
      <c r="BH20" s="1309"/>
    </row>
    <row r="21" spans="1:60" s="1304" customFormat="1" ht="15" customHeight="1">
      <c r="A21" s="1303"/>
      <c r="B21" s="1304" t="str">
        <f t="shared" ca="1" si="0"/>
        <v>'Income'!$5:$5</v>
      </c>
      <c r="C21" s="1304" t="str">
        <f t="shared" ca="1" si="1"/>
        <v>'Income'!$A:$A</v>
      </c>
      <c r="D21" s="1304" t="str">
        <f t="shared" ca="1" si="2"/>
        <v>'Income'!$1:$1048576</v>
      </c>
      <c r="E21" s="1305" t="str" cm="1">
        <f t="array" aca="1" ref="E21" ca="1">IFERROR(INDEX(SheetNames,MATCH(1,COUNTIF(INDIRECT("'"&amp;SheetNames&amp;"'!A:A"),$F21),0)),"Not Found")</f>
        <v>Income</v>
      </c>
      <c r="F21" s="1299" t="s">
        <v>397</v>
      </c>
      <c r="G21" s="1306">
        <f ca="1">+G19/G$13</f>
        <v>0.51100244498777503</v>
      </c>
      <c r="H21" s="1306">
        <f t="shared" ref="H21:P21" ca="1" si="3">+H19/H$13</f>
        <v>0.51711378353376503</v>
      </c>
      <c r="I21" s="1306">
        <f ca="1">+I19/I$13</f>
        <v>0.48079658605974396</v>
      </c>
      <c r="J21" s="1306">
        <f ca="1">+J19/J$13</f>
        <v>0.49533898305084745</v>
      </c>
      <c r="K21" s="1306">
        <f t="shared" ca="1" si="3"/>
        <v>0.48582089552238805</v>
      </c>
      <c r="L21" s="1306">
        <f t="shared" ca="1" si="3"/>
        <v>0.48909985935302391</v>
      </c>
      <c r="M21" s="1306">
        <f ca="1">+M19/M$13</f>
        <v>0.46105664488017428</v>
      </c>
      <c r="N21" s="1306">
        <f ca="1">+N19/N$13</f>
        <v>0.48769716088328074</v>
      </c>
      <c r="O21" s="1306">
        <f ca="1">+O19/O$13</f>
        <v>0.50360360360360357</v>
      </c>
      <c r="P21" s="1306">
        <f t="shared" ca="1" si="3"/>
        <v>0.48070266528210454</v>
      </c>
      <c r="Q21" s="829" t="s">
        <v>398</v>
      </c>
      <c r="R21" s="1306">
        <v>0.47741811472423185</v>
      </c>
      <c r="S21" s="1306">
        <f ca="1">+S19/S$13</f>
        <v>0.47669550655874965</v>
      </c>
      <c r="T21" s="1307">
        <f ca="1">(S21-R21)*10000</f>
        <v>-7.2260816548219697</v>
      </c>
      <c r="U21" s="1306">
        <f>+U19/U$13</f>
        <v>0.46592606754116661</v>
      </c>
      <c r="V21" s="1306">
        <v>0.4773175555588941</v>
      </c>
      <c r="W21" s="1307">
        <f ca="1">(S21-V21)*10000</f>
        <v>-6.2204900014445341</v>
      </c>
      <c r="X21" s="1583"/>
      <c r="Y21" s="1308">
        <v>0.48142940305556625</v>
      </c>
      <c r="Z21" s="1306">
        <f ca="1">+Z19/Z$13</f>
        <v>0.48431569475685332</v>
      </c>
      <c r="AA21" s="1307">
        <f ca="1">(Z21-Y21)*10000</f>
        <v>28.862917012870692</v>
      </c>
      <c r="AB21" s="1306">
        <f>+AB19/AB$13</f>
        <v>0.47825534237451711</v>
      </c>
      <c r="AC21" s="1307">
        <f ca="1">(Z21-AB21)*10000</f>
        <v>60.603523823362096</v>
      </c>
      <c r="AD21" s="1583"/>
      <c r="AE21" s="1308">
        <v>0.45388237624847122</v>
      </c>
      <c r="AF21" s="1306">
        <f ca="1">+AF19/AF$13</f>
        <v>0.45587943179807378</v>
      </c>
      <c r="AG21" s="1307">
        <f ca="1">(AF21-AE21)*10000</f>
        <v>19.970555496025554</v>
      </c>
      <c r="AH21" s="1306">
        <f>+AH19/AH$13</f>
        <v>0.45653245739758652</v>
      </c>
      <c r="AI21" s="1309">
        <f ca="1">(AF21-AH21)*10000</f>
        <v>-6.5302559951274652</v>
      </c>
      <c r="AJ21" s="1308">
        <v>0.47321780884297915</v>
      </c>
      <c r="AK21" s="1306">
        <f ca="1">+AK19/AK$13</f>
        <v>0.47434642697487006</v>
      </c>
      <c r="AL21" s="1307">
        <f ca="1">(AK21-AJ21)*10000</f>
        <v>11.286181318909128</v>
      </c>
      <c r="AM21" s="1306">
        <f>+AM19/AM$13</f>
        <v>0.47220886331902456</v>
      </c>
      <c r="AN21" s="1307">
        <f ca="1">(AK21-AM21)*10000</f>
        <v>21.375636558454978</v>
      </c>
      <c r="AO21" s="1308">
        <v>0.46871222645780669</v>
      </c>
      <c r="AP21" s="1306">
        <f ca="1">+AP19/AP$13</f>
        <v>0.47049327896757775</v>
      </c>
      <c r="AQ21" s="1307">
        <f ca="1">(AP21-AO21)*10000</f>
        <v>17.810525097710638</v>
      </c>
      <c r="AR21" s="1306">
        <f>+AR19/AR$13</f>
        <v>0.46607286504692558</v>
      </c>
      <c r="AS21" s="1309">
        <f t="shared" ref="AS21" ca="1" si="4">(AP21-AR21)*10000</f>
        <v>44.204139206521774</v>
      </c>
      <c r="AT21" s="1308">
        <v>0.46624511605580143</v>
      </c>
      <c r="AU21" s="1306">
        <f ca="1">+AU19/AU$13</f>
        <v>0.46853695716102062</v>
      </c>
      <c r="AV21" s="1307">
        <f ca="1">(AU21-AT21)*10000</f>
        <v>22.918411052191836</v>
      </c>
      <c r="AW21" s="1306">
        <f>+AW19/AW$13</f>
        <v>0.48027800985978075</v>
      </c>
      <c r="AX21" s="1309">
        <f ca="1">(AU21-AW21)*10000</f>
        <v>-117.41052698760134</v>
      </c>
      <c r="AY21" s="1308">
        <v>0.46530375683774206</v>
      </c>
      <c r="AZ21" s="1306">
        <f ca="1">+AZ19/AZ$13</f>
        <v>0.46760955185666098</v>
      </c>
      <c r="BA21" s="1307">
        <f ca="1">(AZ21-AY21)*10000</f>
        <v>23.057950189189214</v>
      </c>
      <c r="BB21" s="1306">
        <f>+BB19/BB$13</f>
        <v>0.45796060662091576</v>
      </c>
      <c r="BC21" s="1309">
        <f ca="1">(AZ21-BB21)*10000</f>
        <v>96.489452357452208</v>
      </c>
      <c r="BD21" s="1308">
        <v>0.4652666782311467</v>
      </c>
      <c r="BE21" s="1306">
        <f ca="1">+BE19/BE$13</f>
        <v>0.46757599135802885</v>
      </c>
      <c r="BF21" s="1307">
        <f ca="1">(BE21-BD21)*10000</f>
        <v>23.093131268821509</v>
      </c>
      <c r="BG21" s="1306">
        <f>+BG19/BG$13</f>
        <v>0.4535354609822822</v>
      </c>
      <c r="BH21" s="1309">
        <f ca="1">(BE21-BG21)*10000</f>
        <v>140.40530375746653</v>
      </c>
    </row>
    <row r="22" spans="1:60" s="1304" customFormat="1" ht="15" hidden="1" customHeight="1" outlineLevel="1">
      <c r="A22" s="1303"/>
      <c r="B22" s="1304" t="str">
        <f t="shared" ref="B22" ca="1" si="5">"'"&amp;E22&amp;"'"&amp;"!$5:$5"</f>
        <v>'Income'!$5:$5</v>
      </c>
      <c r="C22" s="1304" t="str">
        <f t="shared" ref="C22" ca="1" si="6">"'"&amp;E22&amp;"'"&amp;"!$A:$A"</f>
        <v>'Income'!$A:$A</v>
      </c>
      <c r="D22" s="1304" t="str">
        <f t="shared" ca="1" si="2"/>
        <v>'Income'!$1:$1048576</v>
      </c>
      <c r="E22" s="1305" t="str" cm="1">
        <f t="array" aca="1" ref="E22" ca="1">IFERROR(INDEX(SheetNames,MATCH(1,COUNTIF(INDIRECT("'"&amp;SheetNames&amp;"'!A:A"),$F22),0)),"Not Found")</f>
        <v>Income</v>
      </c>
      <c r="F22" s="1299" t="s">
        <v>782</v>
      </c>
      <c r="G22" s="806">
        <f ca="1">INDEX(INDIRECT($D22),MATCH('Estimate Changes'!$F22,INDIRECT($C22),0),MATCH('Estimate Changes'!G$6,INDIRECT($B22),0))</f>
        <v>466</v>
      </c>
      <c r="H22" s="806">
        <f ca="1">INDEX(INDIRECT($D22),MATCH('Estimate Changes'!$F22,INDIRECT($C22),0),MATCH('Estimate Changes'!H$6,INDIRECT($B22),0))</f>
        <v>502</v>
      </c>
      <c r="I22" s="806">
        <f ca="1">INDEX(INDIRECT($D22),MATCH('Estimate Changes'!$F22,INDIRECT($C22),0),MATCH('Estimate Changes'!I$6,INDIRECT($B22),0))</f>
        <v>532</v>
      </c>
      <c r="J22" s="806">
        <f ca="1">INDEX(INDIRECT($D22),MATCH('Estimate Changes'!$F22,INDIRECT($C22),0),MATCH('Estimate Changes'!J$6,INDIRECT($B22),0))</f>
        <v>497</v>
      </c>
      <c r="K22" s="806">
        <f ca="1">INDEX(INDIRECT($D22),MATCH('Estimate Changes'!$F22,INDIRECT($C22),0),MATCH('Estimate Changes'!K$6,INDIRECT($B22),0))</f>
        <v>535</v>
      </c>
      <c r="L22" s="806">
        <f ca="1">INDEX(INDIRECT($D22),MATCH('Estimate Changes'!$F22,INDIRECT($C22),0),MATCH('Estimate Changes'!L$6,INDIRECT($B22),0))</f>
        <v>571</v>
      </c>
      <c r="M22" s="806">
        <f ca="1">INDEX(INDIRECT($D22),MATCH('Estimate Changes'!$F22,INDIRECT($C22),0),MATCH('Estimate Changes'!M$6,INDIRECT($B22),0))</f>
        <v>629</v>
      </c>
      <c r="N22" s="806">
        <f ca="1">INDEX(INDIRECT($D22),MATCH('Estimate Changes'!$F22,INDIRECT($C22),0),MATCH('Estimate Changes'!N$6,INDIRECT($B22),0))</f>
        <v>602</v>
      </c>
      <c r="O22" s="806">
        <f ca="1">INDEX(INDIRECT($D22),MATCH('Estimate Changes'!$F22,INDIRECT($C22),0),MATCH('Estimate Changes'!O$6,INDIRECT($B22),0))</f>
        <v>1916</v>
      </c>
      <c r="P22" s="806">
        <f ca="1">INDEX(INDIRECT($D22),MATCH('Estimate Changes'!$F22,INDIRECT($C22),0),MATCH('Estimate Changes'!P$6,INDIRECT($B22),0))</f>
        <v>2232</v>
      </c>
      <c r="Q22" s="795" t="s">
        <v>755</v>
      </c>
      <c r="R22" s="1600">
        <v>648.79737475093725</v>
      </c>
      <c r="S22" s="1600">
        <f ca="1">INDEX(INDIRECT($D22),MATCH('Estimate Changes'!$F22,INDIRECT($C22),0),MATCH('Estimate Changes'!S$6,INDIRECT($B22),0))</f>
        <v>639</v>
      </c>
      <c r="T22" s="1601">
        <f ca="1">S22/R22-1</f>
        <v>-1.5100823665783691E-2</v>
      </c>
      <c r="U22" s="1600"/>
      <c r="V22" s="1600"/>
      <c r="W22" s="1601"/>
      <c r="X22" s="1584"/>
      <c r="Y22" s="1193">
        <v>685.74059587684928</v>
      </c>
      <c r="Z22" s="1600">
        <f ca="1">INDEX(INDIRECT($D22),MATCH('Estimate Changes'!$F22,INDIRECT($C22),0),MATCH('Estimate Changes'!Z$6,INDIRECT($B22),0))</f>
        <v>701.7294457516241</v>
      </c>
      <c r="AA22" s="1601">
        <f ca="1">Z22/Y22-1</f>
        <v>2.3316178115909914E-2</v>
      </c>
      <c r="AB22" s="1600"/>
      <c r="AC22" s="1601"/>
      <c r="AD22" s="1584"/>
      <c r="AE22" s="1193">
        <v>748.45275942142939</v>
      </c>
      <c r="AF22" s="1600">
        <f ca="1">INDEX(INDIRECT($D22),MATCH('Estimate Changes'!$F22,INDIRECT($C22),0),MATCH('Estimate Changes'!AF$6,INDIRECT($B22),0))</f>
        <v>755.77254726490867</v>
      </c>
      <c r="AG22" s="1601">
        <f ca="1">AF22/AE22-1</f>
        <v>9.7798929208807728E-3</v>
      </c>
      <c r="AH22" s="1600"/>
      <c r="AI22" s="1314"/>
      <c r="AJ22" s="1189">
        <v>2684.9907300492159</v>
      </c>
      <c r="AK22" s="796">
        <f ca="1">INDEX(INDIRECT($D22),MATCH('Estimate Changes'!$F22,INDIRECT($C22),0),MATCH('Estimate Changes'!AK$6,INDIRECT($B22),0))</f>
        <v>2698.5019930165327</v>
      </c>
      <c r="AL22" s="1315">
        <f ca="1">AK22/AJ22-1</f>
        <v>5.0321451080277413E-3</v>
      </c>
      <c r="AM22" s="796"/>
      <c r="AN22" s="1315"/>
      <c r="AO22" s="1189">
        <v>3137.2349801776636</v>
      </c>
      <c r="AP22" s="796">
        <f ca="1">INDEX(INDIRECT($D22),MATCH('Estimate Changes'!$F22,INDIRECT($C22),0),MATCH('Estimate Changes'!AP$6,INDIRECT($B22),0))</f>
        <v>3241.7946141415728</v>
      </c>
      <c r="AQ22" s="1315">
        <f ca="1">AP22/AO22-1</f>
        <v>3.3328594964852742E-2</v>
      </c>
      <c r="AR22" s="796"/>
      <c r="AS22" s="1316"/>
      <c r="AT22" s="1189">
        <v>3666.1590623254315</v>
      </c>
      <c r="AU22" s="796">
        <f ca="1">INDEX(INDIRECT($D22),MATCH('Estimate Changes'!$F22,INDIRECT($C22),0),MATCH('Estimate Changes'!AU$6,INDIRECT($B22),0))</f>
        <v>3814.2926518531349</v>
      </c>
      <c r="AV22" s="1315">
        <f ca="1">AU22/AT22-1</f>
        <v>4.0405663532160796E-2</v>
      </c>
      <c r="AW22" s="796"/>
      <c r="AX22" s="1316"/>
      <c r="AY22" s="1189">
        <v>4284.2508688979724</v>
      </c>
      <c r="AZ22" s="796">
        <f ca="1">INDEX(INDIRECT($D22),MATCH('Estimate Changes'!$F22,INDIRECT($C22),0),MATCH('Estimate Changes'!AZ$6,INDIRECT($B22),0))</f>
        <v>4457.3296916135159</v>
      </c>
      <c r="BA22" s="1315">
        <f ca="1">AZ22/AY22-1</f>
        <v>4.0398853384620903E-2</v>
      </c>
      <c r="BB22" s="796"/>
      <c r="BC22" s="1316"/>
      <c r="BD22" s="1189">
        <v>5006.5414568639235</v>
      </c>
      <c r="BE22" s="796">
        <f ca="1">INDEX(INDIRECT($D22),MATCH('Estimate Changes'!$F22,INDIRECT($C22),0),MATCH('Estimate Changes'!BE$6,INDIRECT($B22),0))</f>
        <v>5208.7658112681656</v>
      </c>
      <c r="BF22" s="1315">
        <f ca="1">BE22/BD22-1</f>
        <v>4.0392026341256937E-2</v>
      </c>
      <c r="BG22" s="796"/>
      <c r="BH22" s="1316"/>
    </row>
    <row r="23" spans="1:60" s="1304" customFormat="1" ht="15" hidden="1" customHeight="1" outlineLevel="1">
      <c r="A23" s="1303"/>
      <c r="E23" s="1305"/>
      <c r="F23" s="1299" t="s">
        <v>786</v>
      </c>
      <c r="K23" s="1306">
        <f ca="1">K22/G22-1</f>
        <v>0.14806866952789699</v>
      </c>
      <c r="L23" s="1306">
        <f ca="1">L22/H22-1</f>
        <v>0.13745019920318735</v>
      </c>
      <c r="M23" s="1306">
        <f ca="1">M22/I22-1</f>
        <v>0.18233082706766912</v>
      </c>
      <c r="N23" s="1306">
        <f ca="1">N22/J22-1</f>
        <v>0.21126760563380276</v>
      </c>
      <c r="P23" s="1306">
        <f ca="1">P22/O22-1</f>
        <v>0.16492693110647183</v>
      </c>
      <c r="Q23" s="793" t="s">
        <v>395</v>
      </c>
      <c r="R23" s="1306">
        <v>0.21270537336623785</v>
      </c>
      <c r="S23" s="1306">
        <f ca="1">S22/K22-1</f>
        <v>0.19439252336448609</v>
      </c>
      <c r="T23" s="1307">
        <f ca="1">(S23-R23)*10000</f>
        <v>-183.12850001751758</v>
      </c>
      <c r="U23" s="1306"/>
      <c r="V23" s="1306"/>
      <c r="W23" s="1307"/>
      <c r="X23" s="1583"/>
      <c r="Y23" s="1308">
        <v>0.20094675284912311</v>
      </c>
      <c r="Z23" s="1306">
        <f ca="1">Z22/L22-1</f>
        <v>0.22894824124627688</v>
      </c>
      <c r="AA23" s="1307">
        <f ca="1">(Z23-Y23)*10000</f>
        <v>280.01488397153776</v>
      </c>
      <c r="AB23" s="1306"/>
      <c r="AC23" s="1307"/>
      <c r="AD23" s="1583"/>
      <c r="AE23" s="1308">
        <v>9.1451729592282316E-2</v>
      </c>
      <c r="AF23" s="1306">
        <f ca="1">AF22/Z22-1</f>
        <v>7.7014156724460658E-2</v>
      </c>
      <c r="AG23" s="1307">
        <f ca="1">(AF23-AE23)*10000</f>
        <v>-144.37572867821657</v>
      </c>
      <c r="AH23" s="1306"/>
      <c r="AI23" s="1309"/>
      <c r="AJ23" s="1308">
        <v>0.20295283604355552</v>
      </c>
      <c r="AK23" s="1306">
        <f ca="1">AK22/P22-1</f>
        <v>0.20900626927263999</v>
      </c>
      <c r="AL23" s="1307">
        <f ca="1">(AK23-AJ23)*10000</f>
        <v>60.534332290844702</v>
      </c>
      <c r="AM23" s="1306"/>
      <c r="AN23" s="1307"/>
      <c r="AO23" s="1308">
        <v>0.16843419422910189</v>
      </c>
      <c r="AP23" s="1306">
        <f ca="1">AP22/AK22-1</f>
        <v>0.20133119135395483</v>
      </c>
      <c r="AQ23" s="1307">
        <f ca="1">(AP23-AO23)*10000</f>
        <v>328.96997124852942</v>
      </c>
      <c r="AR23" s="1306"/>
      <c r="AS23" s="1309"/>
      <c r="AT23" s="1308">
        <v>0.16859562177832621</v>
      </c>
      <c r="AU23" s="1306">
        <f ca="1">AU22/AP22-1</f>
        <v>0.17659910816501845</v>
      </c>
      <c r="AV23" s="1307">
        <f ca="1">(AU23-AT23)*10000</f>
        <v>80.034863866922379</v>
      </c>
      <c r="AW23" s="1306"/>
      <c r="AX23" s="1309"/>
      <c r="AY23" s="1308">
        <v>0.16859383241830406</v>
      </c>
      <c r="AZ23" s="1306">
        <f ca="1">AZ22/AU22-1</f>
        <v>0.16858618319387952</v>
      </c>
      <c r="BA23" s="1307">
        <f ca="1">(AZ23-AY23)*10000</f>
        <v>-7.6492244245329744E-2</v>
      </c>
      <c r="BB23" s="1306"/>
      <c r="BC23" s="1309"/>
      <c r="BD23" s="1308">
        <v>0.16859203862441974</v>
      </c>
      <c r="BE23" s="1306">
        <f ca="1">BE22/AZ22-1</f>
        <v>0.16858437038401708</v>
      </c>
      <c r="BF23" s="1307">
        <f ca="1">(BE23-BD23)*10000</f>
        <v>-7.668240402658455E-2</v>
      </c>
      <c r="BG23" s="1306"/>
      <c r="BH23" s="1309"/>
    </row>
    <row r="24" spans="1:60" s="1304" customFormat="1" ht="15" hidden="1" customHeight="1" outlineLevel="1">
      <c r="A24" s="1303"/>
      <c r="E24" s="1305"/>
      <c r="F24" s="1299" t="s">
        <v>787</v>
      </c>
      <c r="G24" s="1306">
        <f ca="1">+G22/G$15</f>
        <v>0.82770870337477798</v>
      </c>
      <c r="H24" s="1306">
        <f t="shared" ref="H24:P24" ca="1" si="7">+H22/H$15</f>
        <v>0.82295081967213113</v>
      </c>
      <c r="I24" s="1306">
        <f t="shared" ca="1" si="7"/>
        <v>0.79879879879879878</v>
      </c>
      <c r="J24" s="1306">
        <f t="shared" ca="1" si="7"/>
        <v>0.80161290322580647</v>
      </c>
      <c r="K24" s="1306">
        <f t="shared" ca="1" si="7"/>
        <v>0.81554878048780488</v>
      </c>
      <c r="L24" s="1306">
        <f t="shared" ca="1" si="7"/>
        <v>0.81688125894134478</v>
      </c>
      <c r="M24" s="1306">
        <f t="shared" ca="1" si="7"/>
        <v>0.80952380952380953</v>
      </c>
      <c r="N24" s="1306">
        <f t="shared" ca="1" si="7"/>
        <v>0.80266666666666664</v>
      </c>
      <c r="O24" s="1306">
        <f t="shared" ca="1" si="7"/>
        <v>0.81531914893617019</v>
      </c>
      <c r="P24" s="1306">
        <f t="shared" ca="1" si="7"/>
        <v>0.81104651162790697</v>
      </c>
      <c r="Q24" s="829" t="s">
        <v>398</v>
      </c>
      <c r="R24" s="1306">
        <v>0.81454878048780477</v>
      </c>
      <c r="S24" s="1306">
        <f t="shared" ref="S24" ca="1" si="8">+S22/S$15</f>
        <v>0.79675810473815456</v>
      </c>
      <c r="T24" s="1307">
        <f ca="1">(S24-R24)*10000</f>
        <v>-177.90675749650208</v>
      </c>
      <c r="U24" s="1306"/>
      <c r="V24" s="1306"/>
      <c r="W24" s="1307"/>
      <c r="X24" s="1583"/>
      <c r="Y24" s="1308">
        <v>0.81538125894134483</v>
      </c>
      <c r="Z24" s="1306">
        <f t="shared" ref="Z24" ca="1" si="9">+Z22/Z$15</f>
        <v>0.81538125894134483</v>
      </c>
      <c r="AA24" s="1307">
        <f ca="1">(Z24-Y24)*10000</f>
        <v>0</v>
      </c>
      <c r="AB24" s="1306"/>
      <c r="AC24" s="1307"/>
      <c r="AD24" s="1583"/>
      <c r="AE24" s="1308">
        <v>0.80802380952380948</v>
      </c>
      <c r="AF24" s="1306">
        <f t="shared" ref="AF24" ca="1" si="10">+AF22/AF$15</f>
        <v>0.80802380952380959</v>
      </c>
      <c r="AG24" s="1307">
        <f ca="1">(AF24-AE24)*10000</f>
        <v>1.1102230246251565E-12</v>
      </c>
      <c r="AH24" s="1306"/>
      <c r="AI24" s="1309"/>
      <c r="AJ24" s="1308">
        <v>0.81024694657353669</v>
      </c>
      <c r="AK24" s="1306">
        <f t="shared" ref="AK24" ca="1" si="11">+AK22/AK$15</f>
        <v>0.80601630616771991</v>
      </c>
      <c r="AL24" s="1307">
        <f ca="1">(AK24-AJ24)*10000</f>
        <v>-42.306404058167772</v>
      </c>
      <c r="AM24" s="1306"/>
      <c r="AN24" s="1307"/>
      <c r="AO24" s="1308">
        <v>0.80913378320147566</v>
      </c>
      <c r="AP24" s="1306">
        <f t="shared" ref="AP24" ca="1" si="12">+AP22/AP$15</f>
        <v>0.80490836627993689</v>
      </c>
      <c r="AQ24" s="1307">
        <f ca="1">(AP24-AO24)*10000</f>
        <v>-42.254169215387719</v>
      </c>
      <c r="AR24" s="1306"/>
      <c r="AS24" s="1309"/>
      <c r="AT24" s="1308">
        <v>0.80813378320147566</v>
      </c>
      <c r="AU24" s="1306">
        <f t="shared" ref="AU24" ca="1" si="13">+AU22/AU$15</f>
        <v>0.8038866667976442</v>
      </c>
      <c r="AV24" s="1307">
        <f ca="1">(AU24-AT24)*10000</f>
        <v>-42.471164038314633</v>
      </c>
      <c r="AW24" s="1306"/>
      <c r="AX24" s="1309"/>
      <c r="AY24" s="1308">
        <v>0.80713378320147555</v>
      </c>
      <c r="AZ24" s="1306">
        <f t="shared" ref="AZ24" ca="1" si="14">+AZ22/AZ$15</f>
        <v>0.80288666679764398</v>
      </c>
      <c r="BA24" s="1307">
        <f ca="1">(AZ24-AY24)*10000</f>
        <v>-42.471164038315749</v>
      </c>
      <c r="BB24" s="1306"/>
      <c r="BC24" s="1309"/>
      <c r="BD24" s="1308">
        <v>0.80613378320147555</v>
      </c>
      <c r="BE24" s="1306">
        <f t="shared" ref="BE24" ca="1" si="15">+BE22/BE$15</f>
        <v>0.80188666679764431</v>
      </c>
      <c r="BF24" s="1307">
        <f ca="1">(BE24-BD24)*10000</f>
        <v>-42.471164038312416</v>
      </c>
      <c r="BG24" s="1306"/>
      <c r="BH24" s="1309"/>
    </row>
    <row r="25" spans="1:60" s="1304" customFormat="1" ht="15" hidden="1" customHeight="1" outlineLevel="1">
      <c r="A25" s="1303"/>
      <c r="B25" s="1304" t="str">
        <f t="shared" ref="B25" ca="1" si="16">"'"&amp;E25&amp;"'"&amp;"!$5:$5"</f>
        <v>'Income'!$5:$5</v>
      </c>
      <c r="C25" s="1304" t="str">
        <f t="shared" ref="C25" ca="1" si="17">"'"&amp;E25&amp;"'"&amp;"!$A:$A"</f>
        <v>'Income'!$A:$A</v>
      </c>
      <c r="D25" s="1304" t="str">
        <f t="shared" ca="1" si="2"/>
        <v>'Income'!$1:$1048576</v>
      </c>
      <c r="E25" s="1305" t="str" cm="1">
        <f t="array" aca="1" ref="E25" ca="1">IFERROR(INDEX(SheetNames,MATCH(1,COUNTIF(INDIRECT("'"&amp;SheetNames&amp;"'!A:A"),$F25),0)),"Not Found")</f>
        <v>Income</v>
      </c>
      <c r="F25" s="1299" t="s">
        <v>783</v>
      </c>
      <c r="G25" s="806">
        <f ca="1">INDEX(INDIRECT($D25),MATCH('Estimate Changes'!$F25,INDIRECT($C25),0),MATCH('Estimate Changes'!G$6,INDIRECT($B25),0))</f>
        <v>579</v>
      </c>
      <c r="H25" s="806">
        <f ca="1">INDEX(INDIRECT($D25),MATCH('Estimate Changes'!$F25,INDIRECT($C25),0),MATCH('Estimate Changes'!H$6,INDIRECT($B25),0))</f>
        <v>616</v>
      </c>
      <c r="I25" s="806">
        <f ca="1">INDEX(INDIRECT($D25),MATCH('Estimate Changes'!$F25,INDIRECT($C25),0),MATCH('Estimate Changes'!I$6,INDIRECT($B25),0))</f>
        <v>820</v>
      </c>
      <c r="J25" s="806">
        <f ca="1">INDEX(INDIRECT($D25),MATCH('Estimate Changes'!$F25,INDIRECT($C25),0),MATCH('Estimate Changes'!J$6,INDIRECT($B25),0))</f>
        <v>672</v>
      </c>
      <c r="K25" s="806">
        <f ca="1">INDEX(INDIRECT($D25),MATCH('Estimate Changes'!$F25,INDIRECT($C25),0),MATCH('Estimate Changes'!K$6,INDIRECT($B25),0))</f>
        <v>767</v>
      </c>
      <c r="L25" s="806">
        <f ca="1">INDEX(INDIRECT($D25),MATCH('Estimate Changes'!$F25,INDIRECT($C25),0),MATCH('Estimate Changes'!L$6,INDIRECT($B25),0))</f>
        <v>820</v>
      </c>
      <c r="M25" s="806">
        <f ca="1">INDEX(INDIRECT($D25),MATCH('Estimate Changes'!$F25,INDIRECT($C25),0),MATCH('Estimate Changes'!M$6,INDIRECT($B25),0))</f>
        <v>1064</v>
      </c>
      <c r="N25" s="806">
        <f ca="1">INDEX(INDIRECT($D25),MATCH('Estimate Changes'!$F25,INDIRECT($C25),0),MATCH('Estimate Changes'!N$6,INDIRECT($B25),0))</f>
        <v>944</v>
      </c>
      <c r="O25" s="806">
        <f ca="1">INDEX(INDIRECT($D25),MATCH('Estimate Changes'!$F25,INDIRECT($C25),0),MATCH('Estimate Changes'!O$6,INDIRECT($B25),0))</f>
        <v>2556</v>
      </c>
      <c r="P25" s="806">
        <f ca="1">INDEX(INDIRECT($D25),MATCH('Estimate Changes'!$F25,INDIRECT($C25),0),MATCH('Estimate Changes'!P$6,INDIRECT($B25),0))</f>
        <v>3323</v>
      </c>
      <c r="Q25" s="795" t="s">
        <v>756</v>
      </c>
      <c r="R25" s="1600">
        <v>1020.3634114581819</v>
      </c>
      <c r="S25" s="1600">
        <f ca="1">INDEX(INDIRECT($D25),MATCH('Estimate Changes'!$F25,INDIRECT($C25),0),MATCH('Estimate Changes'!S$6,INDIRECT($B25),0))</f>
        <v>1069</v>
      </c>
      <c r="T25" s="1601">
        <f ca="1">S25/R25-1</f>
        <v>4.7665947245513651E-2</v>
      </c>
      <c r="U25" s="1600"/>
      <c r="V25" s="1600"/>
      <c r="W25" s="1601"/>
      <c r="X25" s="1584"/>
      <c r="Y25" s="1193">
        <v>1069.307596714965</v>
      </c>
      <c r="Z25" s="1600">
        <f ca="1">INDEX(INDIRECT($D25),MATCH('Estimate Changes'!$F25,INDIRECT($C25),0),MATCH('Estimate Changes'!Z$6,INDIRECT($B25),0))</f>
        <v>1094.5604532636366</v>
      </c>
      <c r="AA25" s="1601">
        <f ca="1">Z25/Y25-1</f>
        <v>2.361608261855741E-2</v>
      </c>
      <c r="AB25" s="1600"/>
      <c r="AC25" s="1601"/>
      <c r="AD25" s="1584"/>
      <c r="AE25" s="1193">
        <v>1376.4269331549826</v>
      </c>
      <c r="AF25" s="1600">
        <f ca="1">INDEX(INDIRECT($D25),MATCH('Estimate Changes'!$F25,INDIRECT($C25),0),MATCH('Estimate Changes'!AF$6,INDIRECT($B25),0))</f>
        <v>1409.5462301853368</v>
      </c>
      <c r="AG25" s="1601">
        <f ca="1">AF25/AE25-1</f>
        <v>2.4061790882309753E-2</v>
      </c>
      <c r="AH25" s="1600"/>
      <c r="AI25" s="1314"/>
      <c r="AJ25" s="1189">
        <v>4410.0979413281293</v>
      </c>
      <c r="AK25" s="796">
        <f ca="1">INDEX(INDIRECT($D25),MATCH('Estimate Changes'!$F25,INDIRECT($C25),0),MATCH('Estimate Changes'!AK$6,INDIRECT($B25),0))</f>
        <v>4517.1066834489739</v>
      </c>
      <c r="AL25" s="1315">
        <f ca="1">AK25/AJ25-1</f>
        <v>2.4264482001190801E-2</v>
      </c>
      <c r="AM25" s="796"/>
      <c r="AN25" s="1315"/>
      <c r="AO25" s="1189">
        <v>5516.2803590120529</v>
      </c>
      <c r="AP25" s="796">
        <f ca="1">INDEX(INDIRECT($D25),MATCH('Estimate Changes'!$F25,INDIRECT($C25),0),MATCH('Estimate Changes'!AP$6,INDIRECT($B25),0))</f>
        <v>5760.7553362939634</v>
      </c>
      <c r="AQ25" s="1315">
        <f ca="1">AP25/AO25-1</f>
        <v>4.4318809301000739E-2</v>
      </c>
      <c r="AR25" s="796"/>
      <c r="AS25" s="1316"/>
      <c r="AT25" s="1189">
        <v>6710.669543172784</v>
      </c>
      <c r="AU25" s="796">
        <f ca="1">INDEX(INDIRECT($D25),MATCH('Estimate Changes'!$F25,INDIRECT($C25),0),MATCH('Estimate Changes'!AU$6,INDIRECT($B25),0))</f>
        <v>7007.6517384889721</v>
      </c>
      <c r="AV25" s="1315">
        <f ca="1">AU25/AT25-1</f>
        <v>4.4255225712660495E-2</v>
      </c>
      <c r="AW25" s="796"/>
      <c r="AX25" s="1316"/>
      <c r="AY25" s="1189">
        <v>7992.3737273458273</v>
      </c>
      <c r="AZ25" s="796">
        <f ca="1">INDEX(INDIRECT($D25),MATCH('Estimate Changes'!$F25,INDIRECT($C25),0),MATCH('Estimate Changes'!AZ$6,INDIRECT($B25),0))</f>
        <v>8345.5802333833635</v>
      </c>
      <c r="BA25" s="1315">
        <f ca="1">AZ25/AY25-1</f>
        <v>4.4192941682524634E-2</v>
      </c>
      <c r="BB25" s="796"/>
      <c r="BC25" s="1316"/>
      <c r="BD25" s="1189">
        <v>9395.9609643300755</v>
      </c>
      <c r="BE25" s="796">
        <f ca="1">INDEX(INDIRECT($D25),MATCH('Estimate Changes'!$F25,INDIRECT($C25),0),MATCH('Estimate Changes'!BE$6,INDIRECT($B25),0))</f>
        <v>9810.6226815351074</v>
      </c>
      <c r="BF25" s="1315">
        <f ca="1">BE25/BD25-1</f>
        <v>4.4131911443567429E-2</v>
      </c>
      <c r="BG25" s="796"/>
      <c r="BH25" s="1316"/>
    </row>
    <row r="26" spans="1:60" s="1304" customFormat="1" ht="15" hidden="1" customHeight="1" outlineLevel="1">
      <c r="A26" s="1303"/>
      <c r="E26" s="1305"/>
      <c r="F26" s="1299" t="s">
        <v>784</v>
      </c>
      <c r="K26" s="1306">
        <f ca="1">K25/G25-1</f>
        <v>0.32469775474956819</v>
      </c>
      <c r="L26" s="1306">
        <f ca="1">L25/H25-1</f>
        <v>0.33116883116883122</v>
      </c>
      <c r="M26" s="1306">
        <f ca="1">M25/I25-1</f>
        <v>0.29756097560975614</v>
      </c>
      <c r="N26" s="1306">
        <f ca="1">N25/J25-1</f>
        <v>0.40476190476190466</v>
      </c>
      <c r="P26" s="1306">
        <f ca="1">P25/O25-1</f>
        <v>0.30007824726134591</v>
      </c>
      <c r="Q26" s="793" t="s">
        <v>395</v>
      </c>
      <c r="R26" s="1306">
        <v>0.33033039303543932</v>
      </c>
      <c r="S26" s="1306">
        <f ca="1">S25/K25-1</f>
        <v>0.39374185136897011</v>
      </c>
      <c r="T26" s="1307">
        <f ca="1">(S26-R26)*10000</f>
        <v>634.11458333530788</v>
      </c>
      <c r="U26" s="1306"/>
      <c r="V26" s="1306"/>
      <c r="W26" s="1307"/>
      <c r="X26" s="1583"/>
      <c r="Y26" s="1308">
        <v>0.30403365453044517</v>
      </c>
      <c r="Z26" s="1306">
        <f ca="1">Z25/L25-1</f>
        <v>0.33482982105321546</v>
      </c>
      <c r="AA26" s="1307">
        <f ca="1">(Z26-Y26)*10000</f>
        <v>307.96166522770284</v>
      </c>
      <c r="AB26" s="1306"/>
      <c r="AC26" s="1307"/>
      <c r="AD26" s="1583"/>
      <c r="AE26" s="1308">
        <v>0.28721327463072677</v>
      </c>
      <c r="AF26" s="1306">
        <f ca="1">AF25/Z25-1</f>
        <v>0.28777375976129149</v>
      </c>
      <c r="AG26" s="1307">
        <f ca="1">(AF26-AE26)*10000</f>
        <v>5.6048513056472515</v>
      </c>
      <c r="AH26" s="1306"/>
      <c r="AI26" s="1309"/>
      <c r="AJ26" s="1308">
        <v>0.32714352733317154</v>
      </c>
      <c r="AK26" s="1306">
        <f ca="1">AK25/P25-1</f>
        <v>0.35934597756514419</v>
      </c>
      <c r="AL26" s="1307">
        <f ca="1">(AK26-AJ26)*10000</f>
        <v>322.02450231972659</v>
      </c>
      <c r="AM26" s="1306"/>
      <c r="AN26" s="1307"/>
      <c r="AO26" s="1308">
        <v>0.25082944469727342</v>
      </c>
      <c r="AP26" s="1306">
        <f ca="1">AP25/AK25-1</f>
        <v>0.27531974336621579</v>
      </c>
      <c r="AQ26" s="1307">
        <f ca="1">(AP26-AO26)*10000</f>
        <v>244.90298668942367</v>
      </c>
      <c r="AR26" s="1306"/>
      <c r="AS26" s="1309"/>
      <c r="AT26" s="1308">
        <v>0.21652075428135809</v>
      </c>
      <c r="AU26" s="1306">
        <f ca="1">AU25/AP25-1</f>
        <v>0.21644668613841334</v>
      </c>
      <c r="AV26" s="1307">
        <f ca="1">(AU26-AT26)*10000</f>
        <v>-0.74068142944749837</v>
      </c>
      <c r="AW26" s="1306"/>
      <c r="AX26" s="1309"/>
      <c r="AY26" s="1308">
        <v>0.19099497835905321</v>
      </c>
      <c r="AZ26" s="1306">
        <f ca="1">AZ25/AU25-1</f>
        <v>0.19092394211686137</v>
      </c>
      <c r="BA26" s="1307">
        <f ca="1">(AZ26-AY26)*10000</f>
        <v>-0.71036242191846455</v>
      </c>
      <c r="BB26" s="1306"/>
      <c r="BC26" s="1309"/>
      <c r="BD26" s="1308">
        <v>0.17561581638529855</v>
      </c>
      <c r="BE26" s="1306">
        <f ca="1">BE25/AZ25-1</f>
        <v>0.17554710483656866</v>
      </c>
      <c r="BF26" s="1307">
        <f ca="1">(BE26-BD26)*10000</f>
        <v>-0.68711548729893934</v>
      </c>
      <c r="BG26" s="1306"/>
      <c r="BH26" s="1309"/>
    </row>
    <row r="27" spans="1:60" s="1304" customFormat="1" ht="15" hidden="1" customHeight="1" outlineLevel="1">
      <c r="A27" s="1303"/>
      <c r="E27" s="1305"/>
      <c r="F27" s="1299" t="s">
        <v>785</v>
      </c>
      <c r="G27" s="1306">
        <f ca="1">+G25/G$17</f>
        <v>0.39068825910931176</v>
      </c>
      <c r="H27" s="1306">
        <f t="shared" ref="H27:P27" ca="1" si="18">+H25/H$17</f>
        <v>0.39690721649484534</v>
      </c>
      <c r="I27" s="1306">
        <f t="shared" ca="1" si="18"/>
        <v>0.38210624417520972</v>
      </c>
      <c r="J27" s="1306">
        <f t="shared" ca="1" si="18"/>
        <v>0.38620689655172413</v>
      </c>
      <c r="K27" s="1306">
        <f t="shared" ca="1" si="18"/>
        <v>0.37895256916996045</v>
      </c>
      <c r="L27" s="1306">
        <f t="shared" ca="1" si="18"/>
        <v>0.38228438228438227</v>
      </c>
      <c r="M27" s="1306">
        <f t="shared" ca="1" si="18"/>
        <v>0.36753022452504319</v>
      </c>
      <c r="N27" s="1306">
        <f t="shared" ca="1" si="18"/>
        <v>0.39008264462809916</v>
      </c>
      <c r="O27" s="1306">
        <f t="shared" ca="1" si="18"/>
        <v>0.39142419601837675</v>
      </c>
      <c r="P27" s="1306">
        <f t="shared" ca="1" si="18"/>
        <v>0.377442071785552</v>
      </c>
      <c r="Q27" s="829" t="s">
        <v>398</v>
      </c>
      <c r="R27" s="1306">
        <v>0.37795256916996051</v>
      </c>
      <c r="S27" s="1306">
        <f t="shared" ref="S27" ca="1" si="19">+S25/S$17</f>
        <v>0.3843941028407048</v>
      </c>
      <c r="T27" s="1307">
        <f ca="1">(S27-R27)*10000</f>
        <v>64.415336707442933</v>
      </c>
      <c r="U27" s="1306"/>
      <c r="V27" s="1306"/>
      <c r="W27" s="1307"/>
      <c r="X27" s="1583"/>
      <c r="Y27" s="1308">
        <v>0.38128438228438227</v>
      </c>
      <c r="Z27" s="1306">
        <f t="shared" ref="Z27" ca="1" si="20">+Z25/Z$17</f>
        <v>0.38428438228438233</v>
      </c>
      <c r="AA27" s="1307">
        <f ca="1">(Z27-Y27)*10000</f>
        <v>30.000000000000583</v>
      </c>
      <c r="AB27" s="1306"/>
      <c r="AC27" s="1307"/>
      <c r="AD27" s="1583"/>
      <c r="AE27" s="1308">
        <v>0.36653022452504319</v>
      </c>
      <c r="AF27" s="1306">
        <f t="shared" ref="AF27" ca="1" si="21">+AF25/AF$17</f>
        <v>0.36953022452504314</v>
      </c>
      <c r="AG27" s="1307">
        <f ca="1">(AF27-AE27)*10000</f>
        <v>29.999999999999471</v>
      </c>
      <c r="AH27" s="1306"/>
      <c r="AI27" s="1309"/>
      <c r="AJ27" s="1308">
        <v>0.37759335896906093</v>
      </c>
      <c r="AK27" s="1306">
        <f t="shared" ref="AK27" ca="1" si="22">+AK25/AK$17</f>
        <v>0.38074909315477251</v>
      </c>
      <c r="AL27" s="1307">
        <f ca="1">(AK27-AJ27)*10000</f>
        <v>31.557341857115784</v>
      </c>
      <c r="AM27" s="1306"/>
      <c r="AN27" s="1307"/>
      <c r="AO27" s="1308">
        <v>0.37821484582411768</v>
      </c>
      <c r="AP27" s="1306">
        <f t="shared" ref="AP27" ca="1" si="23">+AP25/AP$17</f>
        <v>0.38133658437646639</v>
      </c>
      <c r="AQ27" s="1307">
        <f ca="1">(AP27-AO27)*10000</f>
        <v>31.217385523487074</v>
      </c>
      <c r="AR27" s="1306"/>
      <c r="AS27" s="1309"/>
      <c r="AT27" s="1308">
        <v>0.37871468965112332</v>
      </c>
      <c r="AU27" s="1306">
        <f t="shared" ref="AU27" ca="1" si="24">+AU25/AU$17</f>
        <v>0.38183639213384507</v>
      </c>
      <c r="AV27" s="1307">
        <f ca="1">(AU27-AT27)*10000</f>
        <v>31.217024827217553</v>
      </c>
      <c r="AW27" s="1306"/>
      <c r="AX27" s="1309"/>
      <c r="AY27" s="1308">
        <v>0.37921453726619947</v>
      </c>
      <c r="AZ27" s="1306">
        <f t="shared" ref="AZ27" ca="1" si="25">+AZ25/AZ$17</f>
        <v>0.3823362045356572</v>
      </c>
      <c r="BA27" s="1307">
        <f ca="1">(AZ27-AY27)*10000</f>
        <v>31.216672694577284</v>
      </c>
      <c r="BB27" s="1306"/>
      <c r="BC27" s="1309"/>
      <c r="BD27" s="1308">
        <v>0.37971438853317446</v>
      </c>
      <c r="BE27" s="1306">
        <f t="shared" ref="BE27" ca="1" si="26">+BE25/BE$17</f>
        <v>0.38283602141560302</v>
      </c>
      <c r="BF27" s="1307">
        <f ca="1">(BE27-BD27)*10000</f>
        <v>31.216328824285601</v>
      </c>
      <c r="BG27" s="1306"/>
      <c r="BH27" s="1309"/>
    </row>
    <row r="28" spans="1:60" s="1255" customFormat="1" ht="15" customHeight="1" collapsed="1">
      <c r="A28" s="1296"/>
      <c r="B28" s="1255" t="str">
        <f t="shared" ca="1" si="0"/>
        <v>'Income'!$5:$5</v>
      </c>
      <c r="C28" s="1255" t="str">
        <f t="shared" ca="1" si="1"/>
        <v>'Income'!$A:$A</v>
      </c>
      <c r="D28" s="1255" t="str">
        <f t="shared" ca="1" si="2"/>
        <v>'Income'!$1:$1048576</v>
      </c>
      <c r="E28" s="1298" t="str" cm="1">
        <f t="array" aca="1" ref="E28" ca="1">IFERROR(INDEX(SheetNames,MATCH(1,COUNTIF(INDIRECT("'"&amp;SheetNames&amp;"'!A:A"),$F28),0)),"Not Found")</f>
        <v>Income</v>
      </c>
      <c r="F28" s="1299" t="s">
        <v>582</v>
      </c>
      <c r="G28" s="806">
        <f t="shared" ref="G28:P28" ca="1" si="27">G19-G33</f>
        <v>804</v>
      </c>
      <c r="H28" s="806">
        <f t="shared" ca="1" si="27"/>
        <v>835</v>
      </c>
      <c r="I28" s="806">
        <f t="shared" ca="1" si="27"/>
        <v>887</v>
      </c>
      <c r="J28" s="806">
        <f t="shared" ca="1" si="27"/>
        <v>966</v>
      </c>
      <c r="K28" s="806">
        <f t="shared" ca="1" si="27"/>
        <v>1011</v>
      </c>
      <c r="L28" s="806">
        <f t="shared" ca="1" si="27"/>
        <v>1048</v>
      </c>
      <c r="M28" s="806">
        <f t="shared" ca="1" si="27"/>
        <v>1062</v>
      </c>
      <c r="N28" s="806">
        <f t="shared" ca="1" si="27"/>
        <v>1164</v>
      </c>
      <c r="O28" s="806">
        <f ca="1">O19-O33</f>
        <v>3397</v>
      </c>
      <c r="P28" s="806">
        <f t="shared" ca="1" si="27"/>
        <v>4087</v>
      </c>
      <c r="Q28" s="795" t="s">
        <v>581</v>
      </c>
      <c r="R28" s="1600">
        <v>1241.0414134363361</v>
      </c>
      <c r="S28" s="1602">
        <f ca="1">-INDEX(INDIRECT($D28),MATCH('Estimate Changes'!$F28,INDIRECT($C28),0),MATCH('Estimate Changes'!S$6,INDIRECT($B28),0))</f>
        <v>1220</v>
      </c>
      <c r="T28" s="1601">
        <f ca="1">S28/R28-1</f>
        <v>-1.6954642454738322E-2</v>
      </c>
      <c r="U28" s="1602">
        <f>INDEX(Consensus!$A$1:$BO$180,MATCH('Estimate Changes'!$F28,Consensus!$A:$A,0),MATCH('Estimate Changes'!S$6,Consensus!$4:$4,0))</f>
        <v>1234.5894000000001</v>
      </c>
      <c r="V28" s="1602">
        <v>1226.5131000000001</v>
      </c>
      <c r="W28" s="1601">
        <f ca="1">+S28/V28-1</f>
        <v>-5.3102571835557111E-3</v>
      </c>
      <c r="X28" s="1584"/>
      <c r="Y28" s="1193">
        <v>1214.650357584384</v>
      </c>
      <c r="Z28" s="1602">
        <f ca="1">-INDEX(INDIRECT($D28),MATCH('Estimate Changes'!$F28,INDIRECT($C28),0),MATCH('Estimate Changes'!Z$6,INDIRECT($B28),0))</f>
        <v>1246.0190103593661</v>
      </c>
      <c r="AA28" s="1601">
        <f ca="1">Z28/Y28-1</f>
        <v>2.5825252986683367E-2</v>
      </c>
      <c r="AB28" s="1602">
        <f>AB19-AB33</f>
        <v>1247.1261000000002</v>
      </c>
      <c r="AC28" s="1601">
        <f ca="1">+Z28/AB28-1</f>
        <v>-8.8771267046217073E-4</v>
      </c>
      <c r="AD28" s="1584"/>
      <c r="AE28" s="1193">
        <v>1294.7047039130141</v>
      </c>
      <c r="AF28" s="1602">
        <f ca="1">-INDEX(INDIRECT($D28),MATCH('Estimate Changes'!$F28,INDIRECT($C28),0),MATCH('Estimate Changes'!AF$6,INDIRECT($B28),0))</f>
        <v>1326.6715991065253</v>
      </c>
      <c r="AG28" s="1601">
        <f ca="1">AF28/AE28-1</f>
        <v>2.4690491273335891E-2</v>
      </c>
      <c r="AH28" s="1602">
        <f>AH19-AH33</f>
        <v>1318.9399600000002</v>
      </c>
      <c r="AI28" s="1314">
        <f ca="1">+AF28/AH28-1</f>
        <v>5.8620099026531758E-3</v>
      </c>
      <c r="AJ28" s="1189">
        <v>4914.3964749337347</v>
      </c>
      <c r="AK28" s="947">
        <f ca="1">-INDEX(INDIRECT($D28),MATCH('Estimate Changes'!$F28,INDIRECT($C28),0),MATCH('Estimate Changes'!AK$6,INDIRECT($B28),0))</f>
        <v>4956.6906094658916</v>
      </c>
      <c r="AL28" s="1315">
        <f ca="1">AK28/AJ28-1</f>
        <v>8.6061706148214956E-3</v>
      </c>
      <c r="AM28" s="947">
        <f>AM19-AM33</f>
        <v>4958.8913999999995</v>
      </c>
      <c r="AN28" s="1315">
        <f ca="1">+AK28/AM28-1</f>
        <v>-4.4380696340873271E-4</v>
      </c>
      <c r="AO28" s="1189">
        <v>5689.4896285106188</v>
      </c>
      <c r="AP28" s="947">
        <f ca="1">-INDEX(INDIRECT($D28),MATCH('Estimate Changes'!$F28,INDIRECT($C28),0),MATCH('Estimate Changes'!AP$6,INDIRECT($B28),0))</f>
        <v>5868.2874218901152</v>
      </c>
      <c r="AQ28" s="1315">
        <f ca="1">AP28/AO28-1</f>
        <v>3.1425981072805254E-2</v>
      </c>
      <c r="AR28" s="947">
        <f>AR19-AR33</f>
        <v>5813.9541999999992</v>
      </c>
      <c r="AS28" s="1316">
        <f ca="1">+AP28/AR28-1</f>
        <v>9.3453130212335367E-3</v>
      </c>
      <c r="AT28" s="1189">
        <v>6724.7273185302474</v>
      </c>
      <c r="AU28" s="947">
        <f ca="1">-INDEX(INDIRECT($D28),MATCH('Estimate Changes'!$F28,INDIRECT($C28),0),MATCH('Estimate Changes'!AU$6,INDIRECT($B28),0))</f>
        <v>6945.6059730139359</v>
      </c>
      <c r="AV28" s="1315">
        <f ca="1">AU28/AT28-1</f>
        <v>3.2845741399067485E-2</v>
      </c>
      <c r="AW28" s="947">
        <f>AW19-AW33</f>
        <v>6589.0009999999993</v>
      </c>
      <c r="AX28" s="1316">
        <f ca="1">+AU28/AW28-1</f>
        <v>5.4121250401075516E-2</v>
      </c>
      <c r="AY28" s="1189">
        <v>7813.5014458197766</v>
      </c>
      <c r="AZ28" s="947">
        <f ca="1">-INDEX(INDIRECT($D28),MATCH('Estimate Changes'!$F28,INDIRECT($C28),0),MATCH('Estimate Changes'!AZ$6,INDIRECT($B28),0))</f>
        <v>8068.7989350173621</v>
      </c>
      <c r="BA28" s="1315">
        <f ca="1">AZ28/AY28-1</f>
        <v>3.2673890312539644E-2</v>
      </c>
      <c r="BB28" s="947">
        <f>BB19-BB33</f>
        <v>7857.4165000000003</v>
      </c>
      <c r="BC28" s="1316">
        <f ca="1">+AZ28/BB28-1</f>
        <v>2.6902282069095174E-2</v>
      </c>
      <c r="BD28" s="1189">
        <v>8981.4810602439593</v>
      </c>
      <c r="BE28" s="947">
        <f ca="1">-INDEX(INDIRECT($D28),MATCH('Estimate Changes'!$F28,INDIRECT($C28),0),MATCH('Estimate Changes'!BE$6,INDIRECT($B28),0))</f>
        <v>9273.5705004382144</v>
      </c>
      <c r="BF28" s="1315">
        <f ca="1">BE28/BD28-1</f>
        <v>3.2521300021125965E-2</v>
      </c>
      <c r="BG28" s="947">
        <f>BG19-BG33</f>
        <v>8833.9750000000004</v>
      </c>
      <c r="BH28" s="1316">
        <f ca="1">+BE28/BG28-1</f>
        <v>4.9761913570981697E-2</v>
      </c>
    </row>
    <row r="29" spans="1:60" s="1255" customFormat="1" ht="15" customHeight="1">
      <c r="A29" s="1296"/>
      <c r="B29" s="1255" t="str">
        <f ca="1">"'"&amp;E29&amp;"'"&amp;"!$5:$5"</f>
        <v>'Income'!$5:$5</v>
      </c>
      <c r="C29" s="1255" t="str">
        <f ca="1">"'"&amp;E29&amp;"'"&amp;"!$A:$A"</f>
        <v>'Income'!$A:$A</v>
      </c>
      <c r="D29" s="1255" t="str">
        <f t="shared" ca="1" si="2"/>
        <v>'Income'!$1:$1048576</v>
      </c>
      <c r="E29" s="1298" t="str" cm="1">
        <f t="array" aca="1" ref="E29" ca="1">IFERROR(INDEX(SheetNames,MATCH(1,COUNTIF(INDIRECT("'"&amp;SheetNames&amp;"'!A:A"),$F29),0)),"Not Found")</f>
        <v>Income</v>
      </c>
      <c r="F29" s="1299" t="s">
        <v>406</v>
      </c>
      <c r="K29" s="1310">
        <f ca="1">K28/G28-1</f>
        <v>0.25746268656716409</v>
      </c>
      <c r="L29" s="1310">
        <f ca="1">L28/H28-1</f>
        <v>0.25508982035928152</v>
      </c>
      <c r="M29" s="1310">
        <f ca="1">M28/I28-1</f>
        <v>0.19729425028184888</v>
      </c>
      <c r="N29" s="1310">
        <f ca="1">N28/J28-1</f>
        <v>0.20496894409937894</v>
      </c>
      <c r="P29" s="1310">
        <f ca="1">P28/O28-1</f>
        <v>0.20312040035325296</v>
      </c>
      <c r="Q29" s="793" t="s">
        <v>395</v>
      </c>
      <c r="R29" s="1306">
        <v>0.22753849004583193</v>
      </c>
      <c r="S29" s="1310">
        <f ca="1">S28/K28-1</f>
        <v>0.20672601384767564</v>
      </c>
      <c r="T29" s="1307">
        <f ca="1">(S29-R29)*10000</f>
        <v>-208.12476198156293</v>
      </c>
      <c r="U29" s="1310">
        <f ca="1">+U28/K28-1</f>
        <v>0.22115667655786364</v>
      </c>
      <c r="V29" s="1306">
        <v>0.21316824925816036</v>
      </c>
      <c r="W29" s="1307">
        <f ca="1">(S29-V29)*10000</f>
        <v>-64.422354104847201</v>
      </c>
      <c r="X29" s="1586"/>
      <c r="Y29" s="1308">
        <v>0.15901751677899245</v>
      </c>
      <c r="Z29" s="1310">
        <f ca="1">Z28/L28-1</f>
        <v>0.18894943736580738</v>
      </c>
      <c r="AA29" s="1307">
        <f ca="1">(Z29-Y29)*10000</f>
        <v>299.31920586814931</v>
      </c>
      <c r="AB29" s="1306">
        <f ca="1">+AB28/L28-1</f>
        <v>0.19000582061068716</v>
      </c>
      <c r="AC29" s="1307">
        <f ca="1">(Z29-AB29)*10000</f>
        <v>-10.563832448797772</v>
      </c>
      <c r="AD29" s="1586"/>
      <c r="AE29" s="1308">
        <v>0.21911930688607728</v>
      </c>
      <c r="AF29" s="1310">
        <f ca="1">AF28/M28-1</f>
        <v>0.24921996149390324</v>
      </c>
      <c r="AG29" s="1307">
        <f ca="1">(AF29-AE29)*10000</f>
        <v>301.00654607825959</v>
      </c>
      <c r="AH29" s="1306">
        <f ca="1">+AH28/M28-1</f>
        <v>0.24193969868173282</v>
      </c>
      <c r="AI29" s="1309">
        <f ca="1">(AF29-AH29)*10000</f>
        <v>72.802628121704231</v>
      </c>
      <c r="AJ29" s="1317">
        <v>0.20244591997399919</v>
      </c>
      <c r="AK29" s="1310">
        <f ca="1">AK28/P28-1</f>
        <v>0.2127943747163914</v>
      </c>
      <c r="AL29" s="1307"/>
      <c r="AM29" s="1306">
        <f ca="1">+AM28/P28-1</f>
        <v>0.21333286028872012</v>
      </c>
      <c r="AN29" s="1307"/>
      <c r="AO29" s="1317">
        <v>0.15771888929399736</v>
      </c>
      <c r="AP29" s="1310">
        <f ca="1">AP28/AK28-1</f>
        <v>0.18391238918227604</v>
      </c>
      <c r="AQ29" s="1307"/>
      <c r="AR29" s="1310">
        <f ca="1">AR28/AK28-1</f>
        <v>0.17295079682741821</v>
      </c>
      <c r="AS29" s="1309"/>
      <c r="AT29" s="1317">
        <v>0.18195616085350541</v>
      </c>
      <c r="AU29" s="1310">
        <f ca="1">AU28/AP28-1</f>
        <v>0.18358312633174112</v>
      </c>
      <c r="AV29" s="1307"/>
      <c r="AW29" s="1310">
        <f>AW28/AR28-1</f>
        <v>0.13330803328309671</v>
      </c>
      <c r="AX29" s="1309"/>
      <c r="AY29" s="1317">
        <v>0.16190606335655722</v>
      </c>
      <c r="AZ29" s="1310">
        <f ca="1">AZ28/AU28-1</f>
        <v>0.16171273843742595</v>
      </c>
      <c r="BA29" s="1307"/>
      <c r="BB29" s="1310">
        <f>BB28/AW28-1</f>
        <v>0.19250497913113107</v>
      </c>
      <c r="BC29" s="1309"/>
      <c r="BD29" s="1317">
        <v>0.14948222925703192</v>
      </c>
      <c r="BE29" s="1310">
        <f ca="1">BE28/AZ28-1</f>
        <v>0.14931237909428208</v>
      </c>
      <c r="BF29" s="1307"/>
      <c r="BG29" s="1310">
        <f>BG28/BB28-1</f>
        <v>0.124284935131032</v>
      </c>
      <c r="BH29" s="1309"/>
    </row>
    <row r="30" spans="1:60" s="1304" customFormat="1" ht="15" customHeight="1">
      <c r="A30" s="1303"/>
      <c r="B30" s="1304" t="str">
        <f ca="1">"'"&amp;E30&amp;"'"&amp;"!$5:$5"</f>
        <v>'Income'!$5:$5</v>
      </c>
      <c r="C30" s="1304" t="str">
        <f ca="1">"'"&amp;E30&amp;"'"&amp;"!$A:$A"</f>
        <v>'Income'!$A:$A</v>
      </c>
      <c r="D30" s="1304" t="str">
        <f t="shared" ca="1" si="2"/>
        <v>'Income'!$1:$1048576</v>
      </c>
      <c r="E30" s="1305" t="str" cm="1">
        <f t="array" aca="1" ref="E30" ca="1">IFERROR(INDEX(SheetNames,MATCH(1,COUNTIF(INDIRECT("'"&amp;SheetNames&amp;"'!A:A"),$F30),0)),"Not Found")</f>
        <v>Income</v>
      </c>
      <c r="F30" s="1299" t="s">
        <v>584</v>
      </c>
      <c r="G30" s="1306">
        <f ca="1">+G28/G$13</f>
        <v>0.39315403422982886</v>
      </c>
      <c r="H30" s="1306">
        <f t="shared" ref="H30:P30" ca="1" si="28">+H28/H$13</f>
        <v>0.38621646623496764</v>
      </c>
      <c r="I30" s="1306">
        <f ca="1">+I28/I$13</f>
        <v>0.31543385490753911</v>
      </c>
      <c r="J30" s="1306">
        <f ca="1">+J28/J$13</f>
        <v>0.40932203389830507</v>
      </c>
      <c r="K30" s="1306">
        <f t="shared" ca="1" si="28"/>
        <v>0.37723880597014925</v>
      </c>
      <c r="L30" s="1306">
        <f t="shared" ca="1" si="28"/>
        <v>0.36849507735583686</v>
      </c>
      <c r="M30" s="1306">
        <f ca="1">+M28/M$13</f>
        <v>0.28921568627450983</v>
      </c>
      <c r="N30" s="1306">
        <f ca="1">+N28/N$13</f>
        <v>0.36719242902208205</v>
      </c>
      <c r="O30" s="1306">
        <f ca="1">+O28/O$13</f>
        <v>0.38254504504504505</v>
      </c>
      <c r="P30" s="1306">
        <f t="shared" ca="1" si="28"/>
        <v>0.35366908965039806</v>
      </c>
      <c r="Q30" s="793" t="s">
        <v>412</v>
      </c>
      <c r="R30" s="1306">
        <v>0.35496619426526677</v>
      </c>
      <c r="S30" s="1306">
        <f ca="1">+S28/S$13</f>
        <v>0.34049679039910691</v>
      </c>
      <c r="T30" s="1307">
        <f ca="1">(S30-R30)*10000</f>
        <v>-144.69403866159857</v>
      </c>
      <c r="U30" s="1306">
        <f>+U28/U$13</f>
        <v>0.34456862963996654</v>
      </c>
      <c r="V30" s="1306">
        <v>0.35641367919978911</v>
      </c>
      <c r="W30" s="1307">
        <f ca="1">(S30-V30)*10000</f>
        <v>-159.16888800682204</v>
      </c>
      <c r="X30" s="1583" t="s">
        <v>823</v>
      </c>
      <c r="Y30" s="1308">
        <v>0.33319221605505189</v>
      </c>
      <c r="Z30" s="1306">
        <f ca="1">+Z28/Z$13</f>
        <v>0.33595165402492549</v>
      </c>
      <c r="AA30" s="1307">
        <f ca="1">(Z30-Y30)*10000</f>
        <v>27.594379698736017</v>
      </c>
      <c r="AB30" s="1306">
        <f>+AB28/AB$13</f>
        <v>0.34153680953621146</v>
      </c>
      <c r="AC30" s="1307">
        <f ca="1">(Z30-AB30)*10000</f>
        <v>-55.851555112859664</v>
      </c>
      <c r="AD30" s="1583" t="s">
        <v>831</v>
      </c>
      <c r="AE30" s="1308">
        <v>0.27655384425063401</v>
      </c>
      <c r="AF30" s="1306">
        <f ca="1">+AF28/AF$13</f>
        <v>0.2793132822205075</v>
      </c>
      <c r="AG30" s="1307">
        <f ca="1">(AF30-AE30)*10000</f>
        <v>27.594379698734905</v>
      </c>
      <c r="AH30" s="1306">
        <f>+AH28/AH$13</f>
        <v>0.28325226022614053</v>
      </c>
      <c r="AI30" s="1309">
        <f ca="1">(AF30-AH30)*10000</f>
        <v>-39.389780056330316</v>
      </c>
      <c r="AJ30" s="1308">
        <v>0.32777320191015269</v>
      </c>
      <c r="AK30" s="1306">
        <f ca="1">+AK28/AK$13</f>
        <v>0.32584755987234926</v>
      </c>
      <c r="AL30" s="1307">
        <f ca="1">(AK30-AJ30)*10000</f>
        <v>-19.256420378034321</v>
      </c>
      <c r="AM30" s="1306">
        <f>AM28/AM13</f>
        <v>0.33108879723601897</v>
      </c>
      <c r="AN30" s="1307">
        <f ca="1">(AK30-AM30)*10000</f>
        <v>-52.412373636697154</v>
      </c>
      <c r="AO30" s="1308">
        <v>0.30816763438446915</v>
      </c>
      <c r="AP30" s="1306">
        <f ca="1">+AP28/AP$13</f>
        <v>0.30668974970982515</v>
      </c>
      <c r="AQ30" s="1307">
        <f ca="1">(AP30-AO30)*10000</f>
        <v>-14.778846746439921</v>
      </c>
      <c r="AR30" s="1306">
        <f>+AR28/AR$13</f>
        <v>0.3114402037329943</v>
      </c>
      <c r="AS30" s="1309">
        <f ca="1">(AP30-AR30)*10000</f>
        <v>-47.504540231691486</v>
      </c>
      <c r="AT30" s="1308">
        <v>0.30215120517751082</v>
      </c>
      <c r="AU30" s="1306">
        <f ca="1">+AU28/AU$13</f>
        <v>0.30071057204281976</v>
      </c>
      <c r="AV30" s="1307">
        <f ca="1">(AU30-AT30)*10000</f>
        <v>-14.406331346910605</v>
      </c>
      <c r="AW30" s="1306">
        <f>+AW28/AW$13</f>
        <v>0.28072813769779098</v>
      </c>
      <c r="AX30" s="1309">
        <f ca="1">(AU30-AW30)*10000</f>
        <v>199.82434345028776</v>
      </c>
      <c r="AY30" s="1308">
        <v>0.29614423315586658</v>
      </c>
      <c r="AZ30" s="1306">
        <f ca="1">+AZ28/AZ$13</f>
        <v>0.29470233533849455</v>
      </c>
      <c r="BA30" s="1307">
        <f ca="1">(AZ30-AY30)*10000</f>
        <v>-14.418978173720287</v>
      </c>
      <c r="BB30" s="1306">
        <f>+BB28/BB$13</f>
        <v>0.27832444952630325</v>
      </c>
      <c r="BC30" s="1309">
        <f ca="1">(AZ30-BB30)*10000</f>
        <v>163.77885812191295</v>
      </c>
      <c r="BD30" s="1308">
        <v>0.29014290269074178</v>
      </c>
      <c r="BE30" s="1306">
        <f ca="1">+BE28/BE$13</f>
        <v>0.28870009736073254</v>
      </c>
      <c r="BF30" s="1307">
        <f ca="1">(BE30-BD30)*10000</f>
        <v>-14.428053300092337</v>
      </c>
      <c r="BG30" s="1306">
        <f>+BG28/BG$13</f>
        <v>0.26470187245492655</v>
      </c>
      <c r="BH30" s="1309">
        <f ca="1">(BE30-BG30)*10000</f>
        <v>239.98224905805998</v>
      </c>
    </row>
    <row r="31" spans="1:60" s="1304" customFormat="1" ht="15" hidden="1" customHeight="1" outlineLevel="1">
      <c r="A31" s="1303"/>
      <c r="B31" s="1304" t="str">
        <f t="shared" ref="B31:B32" ca="1" si="29">"'"&amp;E31&amp;"'"&amp;"!$5:$5"</f>
        <v>'Income'!$5:$5</v>
      </c>
      <c r="C31" s="1304" t="str">
        <f t="shared" ref="C31:C32" ca="1" si="30">"'"&amp;E31&amp;"'"&amp;"!$A:$A"</f>
        <v>'Income'!$A:$A</v>
      </c>
      <c r="D31" s="1304" t="str">
        <f t="shared" ca="1" si="2"/>
        <v>'Income'!$1:$1048576</v>
      </c>
      <c r="E31" s="1305" t="str" cm="1">
        <f t="array" aca="1" ref="E31" ca="1">IFERROR(INDEX(SheetNames,MATCH(1,COUNTIF(INDIRECT("'"&amp;SheetNames&amp;"'!A:A"),$F31),0)),"Not Found")</f>
        <v>Income</v>
      </c>
      <c r="F31" s="1299" t="s">
        <v>500</v>
      </c>
      <c r="G31" s="1306"/>
      <c r="H31" s="1306"/>
      <c r="I31" s="1306"/>
      <c r="J31" s="1306"/>
      <c r="K31" s="1306"/>
      <c r="L31" s="1306"/>
      <c r="M31" s="1306"/>
      <c r="N31" s="1306"/>
      <c r="O31" s="1306"/>
      <c r="P31" s="1306"/>
      <c r="Q31" s="795" t="s">
        <v>788</v>
      </c>
      <c r="R31" s="1602">
        <v>145.70617398996899</v>
      </c>
      <c r="S31" s="1602">
        <f ca="1">INDEX(INDIRECT($D31),MATCH('Estimate Changes'!$F31,INDIRECT($C31),0),MATCH('Estimate Changes'!S$6,INDIRECT($B31),0))</f>
        <v>133</v>
      </c>
      <c r="T31" s="1601">
        <f ca="1">S31/R31-1</f>
        <v>-8.7204087802372321E-2</v>
      </c>
      <c r="U31" s="1602"/>
      <c r="V31" s="1602"/>
      <c r="W31" s="1601"/>
      <c r="X31" s="1587" t="s">
        <v>824</v>
      </c>
      <c r="Y31" s="1602">
        <v>153.549749309302</v>
      </c>
      <c r="Z31" s="1602">
        <f ca="1">INDEX(INDIRECT($D31),MATCH('Estimate Changes'!$F31,INDIRECT($C31),0),MATCH('Estimate Changes'!Z$6,INDIRECT($B31),0))</f>
        <v>156.06481879190784</v>
      </c>
      <c r="AA31" s="1601">
        <f ca="1">Z31/Y31-1</f>
        <v>1.6379508881773752E-2</v>
      </c>
      <c r="AB31" s="1602"/>
      <c r="AC31" s="1601"/>
      <c r="AD31" s="1587" t="s">
        <v>832</v>
      </c>
      <c r="AE31" s="1602">
        <v>195.26042705933401</v>
      </c>
      <c r="AF31" s="1602">
        <f ca="1">INDEX(INDIRECT($D31),MATCH('Estimate Changes'!$F31,INDIRECT($C31),0),MATCH('Estimate Changes'!AF$6,INDIRECT($B31),0))</f>
        <v>197.95915266181763</v>
      </c>
      <c r="AG31" s="1601">
        <f ca="1">AF31/AE31-1</f>
        <v>1.3821159991950438E-2</v>
      </c>
      <c r="AH31" s="1602"/>
      <c r="AI31" s="1314"/>
      <c r="AJ31" s="947">
        <v>-632.51635035860522</v>
      </c>
      <c r="AK31" s="947">
        <f ca="1">-INDEX(INDIRECT($D31),MATCH('Estimate Changes'!$F31,INDIRECT($C31),0),MATCH('Estimate Changes'!AK$6,INDIRECT($B31),0))</f>
        <v>-625.02397145372549</v>
      </c>
      <c r="AL31" s="1315">
        <f ca="1">AK31/AJ31-1</f>
        <v>-1.1845352140908205E-2</v>
      </c>
      <c r="AM31" s="947"/>
      <c r="AN31" s="1316"/>
      <c r="AO31" s="947">
        <v>-702.35479834089824</v>
      </c>
      <c r="AP31" s="947">
        <f ca="1">-INDEX(INDIRECT($D31),MATCH('Estimate Changes'!$F31,INDIRECT($C31),0),MATCH('Estimate Changes'!AP$6,INDIRECT($B31),0))</f>
        <v>-706.67035575215107</v>
      </c>
      <c r="AQ31" s="1315">
        <f ca="1">AP31/AO31-1</f>
        <v>6.1444122279039615E-3</v>
      </c>
      <c r="AR31" s="947"/>
      <c r="AS31" s="1316"/>
      <c r="AT31" s="947">
        <v>-633.76741397313742</v>
      </c>
      <c r="AU31" s="947">
        <f ca="1">-INDEX(INDIRECT($D31),MATCH('Estimate Changes'!$F31,INDIRECT($C31),0),MATCH('Estimate Changes'!AU$6,INDIRECT($B31),0))</f>
        <v>-655.08521836736509</v>
      </c>
      <c r="AV31" s="1315">
        <f ca="1">AU31/AT31-1</f>
        <v>3.3636636917926621E-2</v>
      </c>
      <c r="AW31" s="947"/>
      <c r="AX31" s="1316"/>
      <c r="AY31" s="947">
        <v>-745.35970747711713</v>
      </c>
      <c r="AZ31" s="947">
        <f ca="1">-INDEX(INDIRECT($D31),MATCH('Estimate Changes'!$F31,INDIRECT($C31),0),MATCH('Estimate Changes'!AZ$6,INDIRECT($B31),0))</f>
        <v>-770.94899550273226</v>
      </c>
      <c r="BA31" s="1315">
        <f ca="1">AZ31/AY31-1</f>
        <v>3.433146139899268E-2</v>
      </c>
      <c r="BB31" s="947"/>
      <c r="BC31" s="1316"/>
      <c r="BD31" s="947">
        <v>-868.94964008943725</v>
      </c>
      <c r="BE31" s="947">
        <f ca="1">-INDEX(INDIRECT($D31),MATCH('Estimate Changes'!$F31,INDIRECT($C31),0),MATCH('Estimate Changes'!BE$6,INDIRECT($B31),0))</f>
        <v>-899.27732328162165</v>
      </c>
      <c r="BF31" s="1315">
        <f ca="1">BE31/BD31-1</f>
        <v>3.4901542958304166E-2</v>
      </c>
      <c r="BG31" s="947"/>
      <c r="BH31" s="1316"/>
    </row>
    <row r="32" spans="1:60" s="1304" customFormat="1" ht="15" hidden="1" customHeight="1" outlineLevel="1">
      <c r="A32" s="1303"/>
      <c r="B32" s="1304" t="str">
        <f t="shared" ca="1" si="29"/>
        <v>'Income'!$5:$5</v>
      </c>
      <c r="C32" s="1304" t="str">
        <f t="shared" ca="1" si="30"/>
        <v>'Income'!$A:$A</v>
      </c>
      <c r="D32" s="1304" t="str">
        <f t="shared" ca="1" si="2"/>
        <v>'Income'!$1:$1048576</v>
      </c>
      <c r="E32" s="1305" t="str" cm="1">
        <f t="array" aca="1" ref="E32" ca="1">IFERROR(INDEX(SheetNames,MATCH(1,COUNTIF(INDIRECT("'"&amp;SheetNames&amp;"'!A:A"),$F32),0)),"Not Found")</f>
        <v>Income</v>
      </c>
      <c r="F32" s="1299" t="s">
        <v>714</v>
      </c>
      <c r="G32" s="1306"/>
      <c r="H32" s="1306"/>
      <c r="I32" s="1306"/>
      <c r="J32" s="1306"/>
      <c r="K32" s="1306"/>
      <c r="L32" s="1306"/>
      <c r="M32" s="1306"/>
      <c r="N32" s="1306"/>
      <c r="O32" s="1306"/>
      <c r="P32" s="1306"/>
      <c r="Q32" s="793" t="s">
        <v>412</v>
      </c>
      <c r="R32" s="1306">
        <v>-0.21421811658307677</v>
      </c>
      <c r="S32" s="1306">
        <f ca="1">-INDEX(INDIRECT($D32),MATCH('Estimate Changes'!$F32,INDIRECT($C32),0),MATCH('Estimate Changes'!S$6,INDIRECT($B32),0))</f>
        <v>-0.10833333333333339</v>
      </c>
      <c r="T32" s="1307">
        <f ca="1">(S32-R32)*10000</f>
        <v>1058.8478324974337</v>
      </c>
      <c r="U32" s="1306"/>
      <c r="V32" s="1306"/>
      <c r="W32" s="1307"/>
      <c r="X32" s="1583"/>
      <c r="Y32" s="1308">
        <v>-0.3237047354250171</v>
      </c>
      <c r="Z32" s="1306">
        <f ca="1">-INDEX(INDIRECT($D32),MATCH('Estimate Changes'!$F32,INDIRECT($C32),0),MATCH('Estimate Changes'!Z$6,INDIRECT($B32),0))</f>
        <v>-0.34538636889575725</v>
      </c>
      <c r="AA32" s="1307">
        <f ca="1">(Z32-Y32)*10000</f>
        <v>-216.81633470740147</v>
      </c>
      <c r="AB32" s="1306"/>
      <c r="AC32" s="1307"/>
      <c r="AD32" s="1583"/>
      <c r="AE32" s="1308">
        <v>-0.56208341647467241</v>
      </c>
      <c r="AF32" s="1306">
        <f ca="1">-INDEX(INDIRECT($D32),MATCH('Estimate Changes'!$F32,INDIRECT($C32),0),MATCH('Estimate Changes'!AF$6,INDIRECT($B32),0))</f>
        <v>-0.58367322129454102</v>
      </c>
      <c r="AG32" s="1307">
        <f ca="1">(AF32-AE32)*10000</f>
        <v>-215.89804819868607</v>
      </c>
      <c r="AH32" s="1306"/>
      <c r="AI32" s="1309"/>
      <c r="AJ32" s="1308">
        <v>-0.30685196355083733</v>
      </c>
      <c r="AK32" s="1306">
        <f ca="1">-INDEX(INDIRECT($D32),MATCH('Estimate Changes'!$F32,INDIRECT($C32),0),MATCH('Estimate Changes'!AK$6,INDIRECT($B32),0))</f>
        <v>-0.2913718418465403</v>
      </c>
      <c r="AL32" s="1307">
        <f ca="1">(AK32-AJ32)*10000</f>
        <v>154.80121704297022</v>
      </c>
      <c r="AM32" s="1306"/>
      <c r="AN32" s="1307"/>
      <c r="AO32" s="1308">
        <v>-0.11041366431507749</v>
      </c>
      <c r="AP32" s="1306">
        <f ca="1">-INDEX(INDIRECT($D32),MATCH('Estimate Changes'!$F32,INDIRECT($C32),0),MATCH('Estimate Changes'!AP$6,INDIRECT($B32),0))</f>
        <v>-0.13062920468238448</v>
      </c>
      <c r="AQ32" s="1307">
        <f ca="1">(AP32-AO32)*10000</f>
        <v>-202.15540367306994</v>
      </c>
      <c r="AR32" s="1306"/>
      <c r="AS32" s="1309"/>
      <c r="AT32" s="1308">
        <v>9.7653471621149124E-2</v>
      </c>
      <c r="AU32" s="1306">
        <f ca="1">-INDEX(INDIRECT($D32),MATCH('Estimate Changes'!$F32,INDIRECT($C32),0),MATCH('Estimate Changes'!AU$6,INDIRECT($B32),0))</f>
        <v>7.2997454845662557E-2</v>
      </c>
      <c r="AV32" s="1307">
        <f ca="1">(AU32-AT32)*10000</f>
        <v>-246.56016775486566</v>
      </c>
      <c r="AW32" s="1306"/>
      <c r="AX32" s="1309"/>
      <c r="AY32" s="1308">
        <v>-0.1760776762004832</v>
      </c>
      <c r="AZ32" s="1306">
        <f ca="1">-INDEX(INDIRECT($D32),MATCH('Estimate Changes'!$F32,INDIRECT($C32),0),MATCH('Estimate Changes'!AZ$6,INDIRECT($B32),0))</f>
        <v>-0.17686825146830287</v>
      </c>
      <c r="BA32" s="1307">
        <f ca="1">(AZ32-AY32)*10000</f>
        <v>-7.9057526781967091</v>
      </c>
      <c r="BB32" s="1306"/>
      <c r="BC32" s="1309"/>
      <c r="BD32" s="1308">
        <v>-0.16581246795677429</v>
      </c>
      <c r="BE32" s="1306">
        <f ca="1">-INDEX(INDIRECT($D32),MATCH('Estimate Changes'!$F32,INDIRECT($C32),0),MATCH('Estimate Changes'!BE$6,INDIRECT($B32),0))</f>
        <v>-0.16645501651533645</v>
      </c>
      <c r="BF32" s="1307">
        <f ca="1">(BE32-BD32)*10000</f>
        <v>-6.4254855856216153</v>
      </c>
      <c r="BG32" s="1306"/>
      <c r="BH32" s="1309"/>
    </row>
    <row r="33" spans="1:60" s="1255" customFormat="1" ht="15" customHeight="1" collapsed="1">
      <c r="A33" s="1296"/>
      <c r="B33" s="1255" t="str">
        <f t="shared" ca="1" si="0"/>
        <v>'Income'!$5:$5</v>
      </c>
      <c r="C33" s="1255" t="str">
        <f t="shared" ca="1" si="1"/>
        <v>'Income'!$A:$A</v>
      </c>
      <c r="D33" s="1255" t="str">
        <f t="shared" ca="1" si="2"/>
        <v>'Income'!$1:$1048576</v>
      </c>
      <c r="E33" s="1298" t="str" cm="1">
        <f t="array" aca="1" ref="E33" ca="1">IFERROR(INDEX(SheetNames,MATCH(1,COUNTIF(INDIRECT("'"&amp;SheetNames&amp;"'!A:A"),$F33),0)),"Not Found")</f>
        <v>Income</v>
      </c>
      <c r="F33" s="1313" t="s">
        <v>126</v>
      </c>
      <c r="G33" s="828">
        <f ca="1">INDEX(INDIRECT($D33),MATCH('Estimate Changes'!$F33,INDIRECT($C33),0),MATCH('Estimate Changes'!G$6,INDIRECT($B33),0))</f>
        <v>241</v>
      </c>
      <c r="H33" s="828">
        <f ca="1">INDEX(INDIRECT($D33),MATCH('Estimate Changes'!$F33,INDIRECT($C33),0),MATCH('Estimate Changes'!H$6,INDIRECT($B33),0))</f>
        <v>283</v>
      </c>
      <c r="I33" s="828">
        <f ca="1">INDEX(INDIRECT($D33),MATCH('Estimate Changes'!$F33,INDIRECT($C33),0),MATCH('Estimate Changes'!I$6,INDIRECT($B33),0))</f>
        <v>465</v>
      </c>
      <c r="J33" s="828">
        <f ca="1">INDEX(INDIRECT($D33),MATCH('Estimate Changes'!$F33,INDIRECT($C33),0),MATCH('Estimate Changes'!J$6,INDIRECT($B33),0))</f>
        <v>203</v>
      </c>
      <c r="K33" s="828">
        <f ca="1">INDEX(INDIRECT($D33),MATCH('Estimate Changes'!$F33,INDIRECT($C33),0),MATCH('Estimate Changes'!K$6,INDIRECT($B33),0))</f>
        <v>291</v>
      </c>
      <c r="L33" s="828">
        <f ca="1">INDEX(INDIRECT($D33),MATCH('Estimate Changes'!$F33,INDIRECT($C33),0),MATCH('Estimate Changes'!L$6,INDIRECT($B33),0))</f>
        <v>343</v>
      </c>
      <c r="M33" s="828">
        <f ca="1">INDEX(INDIRECT($D33),MATCH('Estimate Changes'!$F33,INDIRECT($C33),0),MATCH('Estimate Changes'!M$6,INDIRECT($B33),0))</f>
        <v>631</v>
      </c>
      <c r="N33" s="828">
        <f ca="1">INDEX(INDIRECT($D33),MATCH('Estimate Changes'!$F33,INDIRECT($C33),0),MATCH('Estimate Changes'!N$6,INDIRECT($B33),0))</f>
        <v>382</v>
      </c>
      <c r="O33" s="828">
        <f ca="1">INDEX(INDIRECT($D33),MATCH('Estimate Changes'!$F33,INDIRECT($C33),0),MATCH('Estimate Changes'!O$6,INDIRECT($B33),0))</f>
        <v>1075</v>
      </c>
      <c r="P33" s="828">
        <f ca="1">INDEX(INDIRECT($D33),MATCH('Estimate Changes'!$F33,INDIRECT($C33),0),MATCH('Estimate Changes'!P$6,INDIRECT($B33),0))</f>
        <v>1468</v>
      </c>
      <c r="Q33" s="1221" t="s">
        <v>126</v>
      </c>
      <c r="R33" s="1598">
        <v>428.11937277278298</v>
      </c>
      <c r="S33" s="1598">
        <f ca="1">INDEX(INDIRECT($D33),MATCH('Estimate Changes'!$F33,INDIRECT($C33),0),MATCH('Estimate Changes'!S$6,INDIRECT($B33),0))</f>
        <v>488</v>
      </c>
      <c r="T33" s="1599">
        <f ca="1">S33/R33-1</f>
        <v>0.1398689969094149</v>
      </c>
      <c r="U33" s="1598">
        <f>INDEX(Consensus!$A$1:$BO$180,MATCH('Estimate Changes'!$F33,Consensus!$A:$A,0),MATCH('Estimate Changes'!S$6,Consensus!$4:$4,0))</f>
        <v>434.82369999999997</v>
      </c>
      <c r="V33" s="1598">
        <v>416.06200000000001</v>
      </c>
      <c r="W33" s="1599">
        <f ca="1">+S33/V33-1</f>
        <v>0.17290211555008628</v>
      </c>
      <c r="X33" s="1582"/>
      <c r="Y33" s="1222">
        <v>540.3978350074301</v>
      </c>
      <c r="Z33" s="1598">
        <f ca="1">INDEX(INDIRECT($D33),MATCH('Estimate Changes'!$F33,INDIRECT($C33),0),MATCH('Estimate Changes'!Z$6,INDIRECT($B33),0))</f>
        <v>550.27088865589462</v>
      </c>
      <c r="AA33" s="1599">
        <f ca="1">Z33/Y33-1</f>
        <v>1.8269972618096819E-2</v>
      </c>
      <c r="AB33" s="1598">
        <f>INDEX(Consensus!$A$1:$BO$180,MATCH('Estimate Changes'!$F33,Consensus!$A:$A,0),MATCH('Estimate Changes'!Z$6,Consensus!$4:$4,0))</f>
        <v>499.22949999999997</v>
      </c>
      <c r="AC33" s="1599">
        <f ca="1">+Z33/AB33-1</f>
        <v>0.10224032965979513</v>
      </c>
      <c r="AD33" s="1582"/>
      <c r="AE33" s="1222">
        <v>830.17498866339815</v>
      </c>
      <c r="AF33" s="1598">
        <f ca="1">INDEX(INDIRECT($D33),MATCH('Estimate Changes'!$F33,INDIRECT($C33),0),MATCH('Estimate Changes'!AF$6,INDIRECT($B33),0))</f>
        <v>838.64717834372004</v>
      </c>
      <c r="AG33" s="1599">
        <f ca="1">AF33/AE33-1</f>
        <v>1.020530586444468E-2</v>
      </c>
      <c r="AH33" s="1598">
        <f>INDEX(Consensus!$A$1:$BO$180,MATCH('Estimate Changes'!$F33,Consensus!$A:$A,0),MATCH('Estimate Changes'!AF$6,Consensus!$4:$4,0))</f>
        <v>806.86443999999995</v>
      </c>
      <c r="AI33" s="1300">
        <f ca="1">+AF33/AH33-1</f>
        <v>3.9390431363811373E-2</v>
      </c>
      <c r="AJ33" s="1231">
        <v>2180.6921964436115</v>
      </c>
      <c r="AK33" s="1229">
        <f ca="1">INDEX(INDIRECT($D33),MATCH('Estimate Changes'!$F33,INDIRECT($C33),0),MATCH('Estimate Changes'!AK$6,INDIRECT($B33),0))</f>
        <v>2258.9180669996149</v>
      </c>
      <c r="AL33" s="1301">
        <f ca="1">AK33/AJ33-1</f>
        <v>3.587203672465944E-2</v>
      </c>
      <c r="AM33" s="1229">
        <f>INDEX(Consensus!$A$1:$BO$180,MATCH('Estimate Changes'!$F33,Consensus!$A:$A,0),MATCH('Estimate Changes'!AK$6,Consensus!$4:$4,0))</f>
        <v>2113.6296000000002</v>
      </c>
      <c r="AN33" s="1301">
        <f ca="1">+AK33/AM33-1</f>
        <v>6.8738849512523181E-2</v>
      </c>
      <c r="AO33" s="1231">
        <v>2964.0257106790968</v>
      </c>
      <c r="AP33" s="1229">
        <f ca="1">INDEX(INDIRECT($D33),MATCH('Estimate Changes'!$F33,INDIRECT($C33),0),MATCH('Estimate Changes'!AP$6,INDIRECT($B33),0))</f>
        <v>3134.2625285454214</v>
      </c>
      <c r="AQ33" s="1301">
        <f ca="1">AP33/AO33-1</f>
        <v>5.7434325637924832E-2</v>
      </c>
      <c r="AR33" s="1229">
        <f>INDEX(Consensus!$A$1:$BO$180,MATCH('Estimate Changes'!$F33,Consensus!$A:$A,0),MATCH('Estimate Changes'!AP$6,Consensus!$4:$4,0))</f>
        <v>2886.6768000000002</v>
      </c>
      <c r="AS33" s="1302">
        <f ca="1">+AP33/AR33-1</f>
        <v>8.5768427052665297E-2</v>
      </c>
      <c r="AT33" s="1231">
        <v>3652.1012869679689</v>
      </c>
      <c r="AU33" s="1229">
        <f ca="1">INDEX(INDIRECT($D33),MATCH('Estimate Changes'!$F33,INDIRECT($C33),0),MATCH('Estimate Changes'!AU$6,INDIRECT($B33),0))</f>
        <v>3876.3384173281711</v>
      </c>
      <c r="AV33" s="1301">
        <f ca="1">AU33/AT33-1</f>
        <v>6.1399482856721921E-2</v>
      </c>
      <c r="AW33" s="1229">
        <f>INDEX(Consensus!$A$1:$BO$180,MATCH('Estimate Changes'!$F33,Consensus!$A:$A,0),MATCH('Estimate Changes'!AU$6,Consensus!$4:$4,0))</f>
        <v>4683.6570000000002</v>
      </c>
      <c r="AX33" s="1302">
        <f ca="1">+AU33/AW33-1</f>
        <v>-0.17236927953345627</v>
      </c>
      <c r="AY33" s="1231">
        <v>4463.1231504240241</v>
      </c>
      <c r="AZ33" s="1229">
        <f ca="1">INDEX(INDIRECT($D33),MATCH('Estimate Changes'!$F33,INDIRECT($C33),0),MATCH('Estimate Changes'!AZ$6,INDIRECT($B33),0))</f>
        <v>4734.1109899795192</v>
      </c>
      <c r="BA33" s="1301">
        <f ca="1">AZ33/AY33-1</f>
        <v>6.0717087658616276E-2</v>
      </c>
      <c r="BB33" s="1229">
        <f>INDEX(Consensus!$A$1:$BO$180,MATCH('Estimate Changes'!$F33,Consensus!$A:$A,0),MATCH('Estimate Changes'!AZ$6,Consensus!$4:$4,0))</f>
        <v>5071.3334999999997</v>
      </c>
      <c r="BC33" s="1302">
        <f ca="1">+AZ33/BB33-1</f>
        <v>-6.6495826003255432E-2</v>
      </c>
      <c r="BD33" s="1231">
        <v>5421.0213609500406</v>
      </c>
      <c r="BE33" s="1229">
        <f ca="1">INDEX(INDIRECT($D33),MATCH('Estimate Changes'!$F33,INDIRECT($C33),0),MATCH('Estimate Changes'!BE$6,INDIRECT($B33),0))</f>
        <v>5745.8179923650569</v>
      </c>
      <c r="BF33" s="1301">
        <f ca="1">BE33/BD33-1</f>
        <v>5.9914287325017135E-2</v>
      </c>
      <c r="BG33" s="1229">
        <f>INDEX(Consensus!$A$1:$BO$180,MATCH('Estimate Changes'!$F33,Consensus!$A:$A,0),MATCH('Estimate Changes'!BE$6,Consensus!$4:$4,0))</f>
        <v>6302</v>
      </c>
      <c r="BH33" s="1302">
        <f ca="1">+BE33/BG33-1</f>
        <v>-8.825484094492908E-2</v>
      </c>
    </row>
    <row r="34" spans="1:60" s="1304" customFormat="1" ht="15" customHeight="1">
      <c r="A34" s="1303"/>
      <c r="B34" s="1304" t="str">
        <f t="shared" ca="1" si="0"/>
        <v>'Income'!$5:$5</v>
      </c>
      <c r="C34" s="1304" t="str">
        <f t="shared" ca="1" si="1"/>
        <v>'Income'!$A:$A</v>
      </c>
      <c r="D34" s="1304" t="str">
        <f t="shared" ca="1" si="2"/>
        <v>'Income'!$1:$1048576</v>
      </c>
      <c r="E34" s="1305" t="str" cm="1">
        <f t="array" aca="1" ref="E34" ca="1">IFERROR(INDEX(SheetNames,MATCH(1,COUNTIF(INDIRECT("'"&amp;SheetNames&amp;"'!A:A"),$F34),0)),"Not Found")</f>
        <v>Income</v>
      </c>
      <c r="F34" s="1299" t="s">
        <v>400</v>
      </c>
      <c r="G34" s="1306">
        <f t="shared" ref="G34:P34" ca="1" si="31">+G33/G$13</f>
        <v>0.11784841075794621</v>
      </c>
      <c r="H34" s="1306">
        <f t="shared" ca="1" si="31"/>
        <v>0.13089731729879742</v>
      </c>
      <c r="I34" s="1306">
        <f ca="1">+I33/I$13</f>
        <v>0.16536273115220484</v>
      </c>
      <c r="J34" s="1306">
        <f ca="1">+J33/J$13</f>
        <v>8.6016949152542377E-2</v>
      </c>
      <c r="K34" s="1306">
        <f t="shared" ca="1" si="31"/>
        <v>0.1085820895522388</v>
      </c>
      <c r="L34" s="1306">
        <f t="shared" ca="1" si="31"/>
        <v>0.12060478199718706</v>
      </c>
      <c r="M34" s="1306">
        <f ca="1">+M33/M$13</f>
        <v>0.17184095860566448</v>
      </c>
      <c r="N34" s="1306">
        <f ca="1">+N33/N$13</f>
        <v>0.12050473186119874</v>
      </c>
      <c r="O34" s="1306">
        <f ca="1">+O33/O$13</f>
        <v>0.12105855855855856</v>
      </c>
      <c r="P34" s="1306">
        <f t="shared" ca="1" si="31"/>
        <v>0.12703357563170647</v>
      </c>
      <c r="Q34" s="829" t="s">
        <v>579</v>
      </c>
      <c r="R34" s="1306">
        <v>0.12245192045896509</v>
      </c>
      <c r="S34" s="1306">
        <f ca="1">+S33/S$13</f>
        <v>0.13619871615964277</v>
      </c>
      <c r="T34" s="1307">
        <f ca="1">(S34-R34)*10000</f>
        <v>137.46795700677674</v>
      </c>
      <c r="U34" s="1306">
        <f>+U33/U$13</f>
        <v>0.1213574379012001</v>
      </c>
      <c r="V34" s="1306">
        <v>0.12090387635910504</v>
      </c>
      <c r="W34" s="1307">
        <f ca="1">(S34-V34)*10000</f>
        <v>152.94839800537724</v>
      </c>
      <c r="X34" s="1585"/>
      <c r="Y34" s="1308">
        <v>0.14823718700051433</v>
      </c>
      <c r="Z34" s="1306">
        <f ca="1">+Z33/Z$13</f>
        <v>0.14836404073192783</v>
      </c>
      <c r="AA34" s="1307">
        <f ca="1">(Z34-Y34)*10000</f>
        <v>1.2685373141349543</v>
      </c>
      <c r="AB34" s="1306">
        <f>+AB33/AB$13</f>
        <v>0.13671853283830565</v>
      </c>
      <c r="AC34" s="1307">
        <f ca="1">(Z34-AB34)*10000</f>
        <v>116.45507893622175</v>
      </c>
      <c r="AD34" s="1585"/>
      <c r="AE34" s="1308">
        <v>0.17732853199783719</v>
      </c>
      <c r="AF34" s="1306">
        <f ca="1">+AF33/AF$13</f>
        <v>0.17656614957756625</v>
      </c>
      <c r="AG34" s="1307">
        <f ca="1">(AF34-AE34)*10000</f>
        <v>-7.6238242027093506</v>
      </c>
      <c r="AH34" s="1306">
        <f>+AH33/AH$13</f>
        <v>0.17328019717144602</v>
      </c>
      <c r="AI34" s="1309">
        <f ca="1">(AF34-AH34)*10000</f>
        <v>32.859524061202293</v>
      </c>
      <c r="AJ34" s="1308">
        <v>0.14544460693282671</v>
      </c>
      <c r="AK34" s="1306">
        <f ca="1">+AK33/AK$13</f>
        <v>0.14849886710252083</v>
      </c>
      <c r="AL34" s="1307">
        <f ca="1">(AK34-AJ34)*10000</f>
        <v>30.54260169694123</v>
      </c>
      <c r="AM34" s="1306">
        <f>+AM33/AM$13</f>
        <v>0.14112006608300556</v>
      </c>
      <c r="AN34" s="1307">
        <f ca="1">(AK34-AM34)*10000</f>
        <v>73.78801019515268</v>
      </c>
      <c r="AO34" s="1308">
        <v>0.16054459207333757</v>
      </c>
      <c r="AP34" s="1306">
        <f ca="1">+AP33/AP$13</f>
        <v>0.16380352925775257</v>
      </c>
      <c r="AQ34" s="1307">
        <f ca="1">(AP34-AO34)*10000</f>
        <v>32.589371844150008</v>
      </c>
      <c r="AR34" s="1306">
        <f>+AR33/AR$13</f>
        <v>0.15463266131393127</v>
      </c>
      <c r="AS34" s="1309">
        <f ca="1">(AP34-AR34)*10000</f>
        <v>91.708679438212982</v>
      </c>
      <c r="AT34" s="1308">
        <v>0.16409391087829081</v>
      </c>
      <c r="AU34" s="1306">
        <f ca="1">+AU33/AU$13</f>
        <v>0.16782638511820086</v>
      </c>
      <c r="AV34" s="1307">
        <f ca="1">(AU34-AT34)*10000</f>
        <v>37.324742399100494</v>
      </c>
      <c r="AW34" s="1306">
        <f>+AW33/AW$13</f>
        <v>0.19954987216198977</v>
      </c>
      <c r="AX34" s="1309">
        <f ca="1">(AU34-AW34)*10000</f>
        <v>-317.23487043788913</v>
      </c>
      <c r="AY34" s="1308">
        <v>0.16915952368187537</v>
      </c>
      <c r="AZ34" s="1306">
        <f ca="1">+AZ33/AZ$13</f>
        <v>0.17290721651816632</v>
      </c>
      <c r="BA34" s="1307">
        <f ca="1">(AZ34-AY34)*10000</f>
        <v>37.476928362909504</v>
      </c>
      <c r="BB34" s="1306">
        <f>+BB33/BB$13</f>
        <v>0.17963615709461253</v>
      </c>
      <c r="BC34" s="1309">
        <f ca="1">(AZ34-BB34)*10000</f>
        <v>-67.289405764462131</v>
      </c>
      <c r="BD34" s="1308">
        <v>0.17512377554040481</v>
      </c>
      <c r="BE34" s="1306">
        <f ca="1">+BE33/BE$13</f>
        <v>0.17887589399729636</v>
      </c>
      <c r="BF34" s="1307">
        <f ca="1">(BE34-BD34)*10000</f>
        <v>37.521184568915508</v>
      </c>
      <c r="BG34" s="1306">
        <f>+BG33/BG$13</f>
        <v>0.18883358852735568</v>
      </c>
      <c r="BH34" s="1309">
        <f ca="1">(BE34-BG34)*10000</f>
        <v>-99.576945300593195</v>
      </c>
    </row>
    <row r="35" spans="1:60" s="1255" customFormat="1" ht="15" customHeight="1">
      <c r="A35" s="1296"/>
      <c r="B35" s="1255" t="str">
        <f t="shared" ca="1" si="0"/>
        <v>'Income'!$5:$5</v>
      </c>
      <c r="C35" s="1255" t="str">
        <f t="shared" ca="1" si="1"/>
        <v>'Income'!$A:$A</v>
      </c>
      <c r="D35" s="1255" t="str">
        <f t="shared" ca="1" si="2"/>
        <v>'Income'!$1:$1048576</v>
      </c>
      <c r="E35" s="1298" t="str" cm="1">
        <f t="array" aca="1" ref="E35" ca="1">IFERROR(INDEX(SheetNames,MATCH(1,COUNTIF(INDIRECT("'"&amp;SheetNames&amp;"'!A:A"),$F35),0)),"Not Found")</f>
        <v>Income</v>
      </c>
      <c r="F35" s="1313" t="s">
        <v>403</v>
      </c>
      <c r="G35" s="828">
        <f ca="1">INDEX(INDIRECT($D35),MATCH('Estimate Changes'!$F35,INDIRECT($C35),0),MATCH('Estimate Changes'!G$6,INDIRECT($B35),0))</f>
        <v>305</v>
      </c>
      <c r="H35" s="828">
        <f ca="1">INDEX(INDIRECT($D35),MATCH('Estimate Changes'!$F35,INDIRECT($C35),0),MATCH('Estimate Changes'!H$6,INDIRECT($B35),0))</f>
        <v>406</v>
      </c>
      <c r="I35" s="828">
        <f ca="1">INDEX(INDIRECT($D35),MATCH('Estimate Changes'!$F35,INDIRECT($C35),0),MATCH('Estimate Changes'!I$6,INDIRECT($B35),0))</f>
        <v>590</v>
      </c>
      <c r="J35" s="828">
        <f ca="1">INDEX(INDIRECT($D35),MATCH('Estimate Changes'!$F35,INDIRECT($C35),0),MATCH('Estimate Changes'!J$6,INDIRECT($B35),0))</f>
        <v>334</v>
      </c>
      <c r="K35" s="828">
        <f ca="1">INDEX(INDIRECT($D35),MATCH('Estimate Changes'!$F35,INDIRECT($C35),0),MATCH('Estimate Changes'!K$6,INDIRECT($B35),0))</f>
        <v>429</v>
      </c>
      <c r="L35" s="828">
        <f ca="1">INDEX(INDIRECT($D35),MATCH('Estimate Changes'!$F35,INDIRECT($C35),0),MATCH('Estimate Changes'!L$6,INDIRECT($B35),0))</f>
        <v>470</v>
      </c>
      <c r="M35" s="828">
        <f ca="1">INDEX(INDIRECT($D35),MATCH('Estimate Changes'!$F35,INDIRECT($C35),0),MATCH('Estimate Changes'!M$6,INDIRECT($B35),0))</f>
        <v>763</v>
      </c>
      <c r="N35" s="828">
        <f ca="1">INDEX(INDIRECT($D35),MATCH('Estimate Changes'!$F35,INDIRECT($C35),0),MATCH('Estimate Changes'!N$6,INDIRECT($B35),0))</f>
        <v>527</v>
      </c>
      <c r="O35" s="828">
        <f ca="1">INDEX(INDIRECT($D35),MATCH('Estimate Changes'!$F35,INDIRECT($C35),0),MATCH('Estimate Changes'!O$6,INDIRECT($B35),0))</f>
        <v>1508</v>
      </c>
      <c r="P35" s="828">
        <f ca="1">INDEX(INDIRECT($D35),MATCH('Estimate Changes'!$F35,INDIRECT($C35),0),MATCH('Estimate Changes'!P$6,INDIRECT($B35),0))</f>
        <v>1996</v>
      </c>
      <c r="Q35" s="1221" t="s">
        <v>88</v>
      </c>
      <c r="R35" s="1598">
        <v>579.57365888368963</v>
      </c>
      <c r="S35" s="1598">
        <f ca="1">INDEX(INDIRECT($D35),MATCH('Estimate Changes'!$F35,INDIRECT($C35),0),MATCH('Estimate Changes'!S$6,INDIRECT($B35),0))</f>
        <v>628</v>
      </c>
      <c r="T35" s="1599">
        <f ca="1">S35/R35-1</f>
        <v>8.3555110509307529E-2</v>
      </c>
      <c r="U35" s="1598">
        <f>INDEX(Consensus!$A$1:$BO$180,MATCH('Estimate Changes'!$F35,Consensus!$A:$A,0),MATCH('Estimate Changes'!S$6,Consensus!$4:$4,0))</f>
        <v>594.84550000000002</v>
      </c>
      <c r="V35" s="1598">
        <v>571.57129999999995</v>
      </c>
      <c r="W35" s="1599">
        <f ca="1">+S35/V35-1</f>
        <v>9.8725565821796923E-2</v>
      </c>
      <c r="X35" s="1582"/>
      <c r="Y35" s="1222">
        <v>699.77033151648016</v>
      </c>
      <c r="Z35" s="1598">
        <f ca="1">INDEX(INDIRECT($D35),MATCH('Estimate Changes'!$F35,INDIRECT($C35),0),MATCH('Estimate Changes'!Z$6,INDIRECT($B35),0))</f>
        <v>713.19016923632353</v>
      </c>
      <c r="AA35" s="1599">
        <f ca="1">Z35/Y35-1</f>
        <v>1.9177488835174117E-2</v>
      </c>
      <c r="AB35" s="1598">
        <f>INDEX(Consensus!$A$1:$BO$180,MATCH('Estimate Changes'!$F35,Consensus!$A:$A,0),MATCH('Estimate Changes'!Z$6,Consensus!$4:$4,0))</f>
        <v>668.07587000000001</v>
      </c>
      <c r="AC35" s="1599">
        <f ca="1">+Z35/AB35-1</f>
        <v>6.7528706337385724E-2</v>
      </c>
      <c r="AD35" s="1582"/>
      <c r="AE35" s="1222">
        <v>1031.7761980528805</v>
      </c>
      <c r="AF35" s="1598">
        <f ca="1">INDEX(INDIRECT($D35),MATCH('Estimate Changes'!$F35,INDIRECT($C35),0),MATCH('Estimate Changes'!AF$6,INDIRECT($B35),0))</f>
        <v>1043.9812119789015</v>
      </c>
      <c r="AG35" s="1599">
        <f ca="1">AF35/AE35-1</f>
        <v>1.1829129174576458E-2</v>
      </c>
      <c r="AH35" s="1598">
        <f>INDEX(Consensus!$A$1:$BO$180,MATCH('Estimate Changes'!$F35,Consensus!$A:$A,0),MATCH('Estimate Changes'!AF$6,Consensus!$4:$4,0))</f>
        <v>970.72040000000004</v>
      </c>
      <c r="AI35" s="1300">
        <f ca="1">+AF35/AH35-1</f>
        <v>7.5470559781067204E-2</v>
      </c>
      <c r="AJ35" s="1231">
        <v>2838.1201884530501</v>
      </c>
      <c r="AK35" s="1229">
        <f ca="1">INDEX(INDIRECT($D35),MATCH('Estimate Changes'!$F35,INDIRECT($C35),0),MATCH('Estimate Changes'!AK$6,INDIRECT($B35),0))</f>
        <v>2912.1713812152248</v>
      </c>
      <c r="AL35" s="1301">
        <f ca="1">AK35/AJ35-1</f>
        <v>2.6091633843927209E-2</v>
      </c>
      <c r="AM35" s="1229">
        <f>INDEX(Consensus!$A$1:$BO$180,MATCH('Estimate Changes'!$F35,Consensus!$A:$A,0),MATCH('Estimate Changes'!AK$6,Consensus!$4:$4,0))</f>
        <v>2760.9684999999999</v>
      </c>
      <c r="AN35" s="1301">
        <f ca="1">+AK35/AM35-1</f>
        <v>5.4764435456335248E-2</v>
      </c>
      <c r="AO35" s="1231">
        <v>3691.6116692615224</v>
      </c>
      <c r="AP35" s="1229">
        <f ca="1">INDEX(INDIRECT($D35),MATCH('Estimate Changes'!$F35,INDIRECT($C35),0),MATCH('Estimate Changes'!AP$6,INDIRECT($B35),0))</f>
        <v>3866.5000240983682</v>
      </c>
      <c r="AQ35" s="1301">
        <f ca="1">AP35/AO35-1</f>
        <v>4.7374526495586267E-2</v>
      </c>
      <c r="AR35" s="1229">
        <f>INDEX(Consensus!$A$1:$BO$180,MATCH('Estimate Changes'!$F35,Consensus!$A:$A,0),MATCH('Estimate Changes'!AP$6,Consensus!$4:$4,0))</f>
        <v>3575.3566999999998</v>
      </c>
      <c r="AS35" s="1302">
        <f ca="1">+AP35/AR35-1</f>
        <v>8.1430567220990291E-2</v>
      </c>
      <c r="AT35" s="1231">
        <v>4312.9967838401626</v>
      </c>
      <c r="AU35" s="1229">
        <f ca="1">INDEX(INDIRECT($D35),MATCH('Estimate Changes'!$F35,INDIRECT($C35),0),MATCH('Estimate Changes'!AU$6,INDIRECT($B35),0))</f>
        <v>4558.9722918100033</v>
      </c>
      <c r="AV35" s="1301">
        <f ca="1">AU35/AT35-1</f>
        <v>5.7031229165636299E-2</v>
      </c>
      <c r="AW35" s="1229">
        <f>INDEX(Consensus!$A$1:$BO$180,MATCH('Estimate Changes'!$F35,Consensus!$A:$A,0),MATCH('Estimate Changes'!AU$6,Consensus!$4:$4,0))</f>
        <v>5274.8657000000003</v>
      </c>
      <c r="AX35" s="1302">
        <f ca="1">+AU35/AW35-1</f>
        <v>-0.13571784551595256</v>
      </c>
      <c r="AY35" s="1231">
        <v>5237.6749119258893</v>
      </c>
      <c r="AZ35" s="1229">
        <f ca="1">INDEX(INDIRECT($D35),MATCH('Estimate Changes'!$F35,INDIRECT($C35),0),MATCH('Estimate Changes'!AZ$6,INDIRECT($B35),0))</f>
        <v>5534.7497292804292</v>
      </c>
      <c r="BA35" s="1301">
        <f ca="1">AZ35/AY35-1</f>
        <v>5.6718834664235773E-2</v>
      </c>
      <c r="BB35" s="1229">
        <f>INDEX(Consensus!$A$1:$BO$180,MATCH('Estimate Changes'!$F35,Consensus!$A:$A,0),MATCH('Estimate Changes'!AZ$6,Consensus!$4:$4,0))</f>
        <v>5374</v>
      </c>
      <c r="BC35" s="1302">
        <f ca="1">+AZ35/BB35-1</f>
        <v>2.9912491492450455E-2</v>
      </c>
      <c r="BD35" s="1231">
        <v>6321.448686305861</v>
      </c>
      <c r="BE35" s="1229">
        <f ca="1">INDEX(INDIRECT($D35),MATCH('Estimate Changes'!$F35,INDIRECT($C35),0),MATCH('Estimate Changes'!BE$6,INDIRECT($B35),0))</f>
        <v>6677.1562220772894</v>
      </c>
      <c r="BF35" s="1301">
        <f ca="1">BE35/BD35-1</f>
        <v>5.626993960134441E-2</v>
      </c>
      <c r="BG35" s="1229">
        <f>INDEX(Consensus!$A$1:$BO$180,MATCH('Estimate Changes'!$F35,Consensus!$A:$A,0),MATCH('Estimate Changes'!BE$6,Consensus!$4:$4,0))</f>
        <v>6657.5</v>
      </c>
      <c r="BH35" s="1302">
        <f ca="1">+BE35/BG35-1</f>
        <v>2.952492989453992E-3</v>
      </c>
    </row>
    <row r="36" spans="1:60" s="1304" customFormat="1" ht="15" customHeight="1">
      <c r="A36" s="1303"/>
      <c r="B36" s="1304" t="str">
        <f t="shared" ca="1" si="0"/>
        <v>'Income'!$5:$5</v>
      </c>
      <c r="C36" s="1304" t="str">
        <f t="shared" ca="1" si="1"/>
        <v>'Income'!$A:$A</v>
      </c>
      <c r="D36" s="1304" t="str">
        <f t="shared" ca="1" si="2"/>
        <v>'Income'!$1:$1048576</v>
      </c>
      <c r="E36" s="1305" t="str" cm="1">
        <f t="array" aca="1" ref="E36" ca="1">IFERROR(INDEX(SheetNames,MATCH(1,COUNTIF(INDIRECT("'"&amp;SheetNames&amp;"'!A:A"),$F36),0)),"Not Found")</f>
        <v>Income</v>
      </c>
      <c r="F36" s="1299" t="s">
        <v>404</v>
      </c>
      <c r="G36" s="1306">
        <f t="shared" ref="G36:P36" ca="1" si="32">+G35/G$13</f>
        <v>0.1491442542787286</v>
      </c>
      <c r="H36" s="1306">
        <f t="shared" ca="1" si="32"/>
        <v>0.1877890841813136</v>
      </c>
      <c r="I36" s="1306">
        <f ca="1">+I35/I$13</f>
        <v>0.20981507823613088</v>
      </c>
      <c r="J36" s="1306">
        <f ca="1">+J35/J$13</f>
        <v>0.14152542372881355</v>
      </c>
      <c r="K36" s="1306">
        <f t="shared" ca="1" si="32"/>
        <v>0.16007462686567164</v>
      </c>
      <c r="L36" s="1306">
        <f t="shared" ca="1" si="32"/>
        <v>0.16526019690576652</v>
      </c>
      <c r="M36" s="1306">
        <f ca="1">+M35/M$13</f>
        <v>0.20778867102396514</v>
      </c>
      <c r="N36" s="1306">
        <f ca="1">+N35/N$13</f>
        <v>0.16624605678233439</v>
      </c>
      <c r="O36" s="1306">
        <f ca="1">+O35/O$13</f>
        <v>0.16981981981981981</v>
      </c>
      <c r="P36" s="1306">
        <f t="shared" ca="1" si="32"/>
        <v>0.17272412599515402</v>
      </c>
      <c r="Q36" s="829" t="s">
        <v>579</v>
      </c>
      <c r="R36" s="1306">
        <v>0.16577130606841983</v>
      </c>
      <c r="S36" s="1306">
        <f ca="1">+S35/S$13</f>
        <v>0.17527211833658946</v>
      </c>
      <c r="T36" s="1307">
        <f ca="1">(S36-R36)*10000</f>
        <v>95.008122681696221</v>
      </c>
      <c r="U36" s="1306">
        <f>+U35/U$13</f>
        <v>0.16601883896176389</v>
      </c>
      <c r="V36" s="1306">
        <v>0.16609348074472777</v>
      </c>
      <c r="W36" s="1307">
        <f ca="1">(S36-V36)*10000</f>
        <v>91.786375918616883</v>
      </c>
      <c r="X36" s="1585"/>
      <c r="Y36" s="1308">
        <v>0.19195485024286624</v>
      </c>
      <c r="Z36" s="1306">
        <f ca="1">+Z35/Z$13</f>
        <v>0.19229033826711583</v>
      </c>
      <c r="AA36" s="1307">
        <f ca="1">(Z36-Y36)*10000</f>
        <v>3.3548802424959723</v>
      </c>
      <c r="AB36" s="1306">
        <f>+AB35/AB$13</f>
        <v>0.18295864481380733</v>
      </c>
      <c r="AC36" s="1307">
        <f ca="1">(Z36-AB36)*10000</f>
        <v>93.316934533085032</v>
      </c>
      <c r="AD36" s="1585"/>
      <c r="AE36" s="1308">
        <v>0.22039131634837913</v>
      </c>
      <c r="AF36" s="1306">
        <f ca="1">+AF35/AF$13</f>
        <v>0.21979653373958785</v>
      </c>
      <c r="AG36" s="1307">
        <f ca="1">(AF36-AE36)*10000</f>
        <v>-5.9478260879128335</v>
      </c>
      <c r="AH36" s="1306">
        <f>+AH35/AH$13</f>
        <v>0.20846949496292705</v>
      </c>
      <c r="AI36" s="1309">
        <f ca="1">(AF36-AH36)*10000</f>
        <v>113.27038776660802</v>
      </c>
      <c r="AJ36" s="1308">
        <v>0.18929277406085673</v>
      </c>
      <c r="AK36" s="1306">
        <f ca="1">+AK35/AK$13</f>
        <v>0.19144304401143999</v>
      </c>
      <c r="AL36" s="1307">
        <f ca="1">(AK36-AJ36)*10000</f>
        <v>21.502699505832613</v>
      </c>
      <c r="AM36" s="1306">
        <f>+AM35/AM$13</f>
        <v>0.18434074597228234</v>
      </c>
      <c r="AN36" s="1307">
        <f ca="1">(AK36-AM36)*10000</f>
        <v>71.022980391576567</v>
      </c>
      <c r="AO36" s="1308">
        <v>0.19995382880770488</v>
      </c>
      <c r="AP36" s="1306">
        <f ca="1">+AP35/AP$13</f>
        <v>0.20207188901831638</v>
      </c>
      <c r="AQ36" s="1307">
        <f ca="1">(AP36-AO36)*10000</f>
        <v>21.180602106115053</v>
      </c>
      <c r="AR36" s="1306">
        <f>+AR35/AR$13</f>
        <v>0.19152366543687707</v>
      </c>
      <c r="AS36" s="1309">
        <f ca="1">(AP36-AR36)*10000</f>
        <v>105.48223581439309</v>
      </c>
      <c r="AT36" s="1308">
        <v>0.19378885037807819</v>
      </c>
      <c r="AU36" s="1306">
        <f ca="1">+AU35/AU$13</f>
        <v>0.19738107389392509</v>
      </c>
      <c r="AV36" s="1307">
        <f ca="1">(AU36-AT36)*10000</f>
        <v>35.922235158468986</v>
      </c>
      <c r="AW36" s="1306">
        <f>+AW35/AW$13</f>
        <v>0.22473865530859002</v>
      </c>
      <c r="AX36" s="1309">
        <f ca="1">(AU36-AW36)*10000</f>
        <v>-273.57581414664935</v>
      </c>
      <c r="AY36" s="1308">
        <v>0.1985162773780321</v>
      </c>
      <c r="AZ36" s="1306">
        <f ca="1">+AZ35/AZ$13</f>
        <v>0.20214950005189752</v>
      </c>
      <c r="BA36" s="1307">
        <f ca="1">(AZ36-AY36)*10000</f>
        <v>36.332226738654271</v>
      </c>
      <c r="BB36" s="1306">
        <f>+BB35/BB$13</f>
        <v>0.19035717296573926</v>
      </c>
      <c r="BC36" s="1309">
        <f ca="1">(AZ36-BB36)*10000</f>
        <v>117.92327086158267</v>
      </c>
      <c r="BD36" s="1308">
        <v>0.20421169501475736</v>
      </c>
      <c r="BE36" s="1306">
        <f ca="1">+BE35/BE$13</f>
        <v>0.20786984380131071</v>
      </c>
      <c r="BF36" s="1307">
        <f ca="1">(BE36-BD36)*10000</f>
        <v>36.581487865533504</v>
      </c>
      <c r="BG36" s="1306">
        <f>+BG35/BG$13</f>
        <v>0.19948581650600927</v>
      </c>
      <c r="BH36" s="1309">
        <f ca="1">(BE36-BG36)*10000</f>
        <v>83.840272953014377</v>
      </c>
    </row>
    <row r="37" spans="1:60" s="1255" customFormat="1" ht="15" hidden="1" customHeight="1" outlineLevel="1">
      <c r="A37" s="1296"/>
      <c r="B37" s="1255" t="str">
        <f t="shared" ca="1" si="0"/>
        <v>'Income'!$5:$5</v>
      </c>
      <c r="C37" s="1255" t="str">
        <f t="shared" ca="1" si="1"/>
        <v>'Income'!$A:$A</v>
      </c>
      <c r="D37" s="1255" t="str">
        <f t="shared" ca="1" si="2"/>
        <v>'Income'!$1:$1048576</v>
      </c>
      <c r="E37" s="1298" t="str" cm="1">
        <f t="array" aca="1" ref="E37" ca="1">IFERROR(INDEX(SheetNames,MATCH(1,COUNTIF(INDIRECT("'"&amp;SheetNames&amp;"'!A:A"),$F37),0)),"Not Found")</f>
        <v>Income</v>
      </c>
      <c r="F37" s="1313" t="s">
        <v>405</v>
      </c>
      <c r="G37" s="833">
        <f ca="1">INDEX(INDIRECT($D37),MATCH('Estimate Changes'!$F37,INDIRECT($C37),0),MATCH('Estimate Changes'!G$6,INDIRECT($B37),0))</f>
        <v>171</v>
      </c>
      <c r="H37" s="833">
        <f ca="1">INDEX(INDIRECT($D37),MATCH('Estimate Changes'!$F37,INDIRECT($C37),0),MATCH('Estimate Changes'!H$6,INDIRECT($B37),0))</f>
        <v>828</v>
      </c>
      <c r="I37" s="833">
        <f ca="1">INDEX(INDIRECT($D37),MATCH('Estimate Changes'!$F37,INDIRECT($C37),0),MATCH('Estimate Changes'!I$6,INDIRECT($B37),0))</f>
        <v>1293</v>
      </c>
      <c r="J37" s="833">
        <f ca="1">INDEX(INDIRECT($D37),MATCH('Estimate Changes'!$F37,INDIRECT($C37),0),MATCH('Estimate Changes'!J$6,INDIRECT($B37),0))</f>
        <v>-682</v>
      </c>
      <c r="K37" s="833">
        <f ca="1">INDEX(INDIRECT($D37),MATCH('Estimate Changes'!$F37,INDIRECT($C37),0),MATCH('Estimate Changes'!K$6,INDIRECT($B37),0))</f>
        <v>906</v>
      </c>
      <c r="L37" s="833">
        <f ca="1">INDEX(INDIRECT($D37),MATCH('Estimate Changes'!$F37,INDIRECT($C37),0),MATCH('Estimate Changes'!L$6,INDIRECT($B37),0))</f>
        <v>264</v>
      </c>
      <c r="M37" s="833">
        <f ca="1">INDEX(INDIRECT($D37),MATCH('Estimate Changes'!$F37,INDIRECT($C37),0),MATCH('Estimate Changes'!M$6,INDIRECT($B37),0))</f>
        <v>743</v>
      </c>
      <c r="N37" s="833">
        <f ca="1">INDEX(INDIRECT($D37),MATCH('Estimate Changes'!$F37,INDIRECT($C37),0),MATCH('Estimate Changes'!N$6,INDIRECT($B37),0))</f>
        <v>-581</v>
      </c>
      <c r="O37" s="833">
        <f ca="1">INDEX(INDIRECT($D37),MATCH('Estimate Changes'!$F37,INDIRECT($C37),0),MATCH('Estimate Changes'!O$6,INDIRECT($B37),0))</f>
        <v>2019</v>
      </c>
      <c r="P37" s="833">
        <f ca="1">INDEX(INDIRECT($D37),MATCH('Estimate Changes'!$F37,INDIRECT($C37),0),MATCH('Estimate Changes'!P$6,INDIRECT($B37),0))</f>
        <v>1231</v>
      </c>
      <c r="Q37" s="830" t="s">
        <v>481</v>
      </c>
      <c r="R37" s="1603">
        <v>426.06923199184661</v>
      </c>
      <c r="S37" s="1603">
        <f ca="1">INDEX(INDIRECT($D37),MATCH('Estimate Changes'!$F37,INDIRECT($C37),0),MATCH('Estimate Changes'!S$6,INDIRECT($B37),0))</f>
        <v>1502</v>
      </c>
      <c r="T37" s="1604">
        <f ca="1">S37/R37-1</f>
        <v>2.5252486854735916</v>
      </c>
      <c r="U37" s="1605">
        <f>INDEX(Consensus!$A$1:$BO$180,MATCH('Estimate Changes'!$F37,Consensus!$A:$A,0),MATCH('Estimate Changes'!S$6,Consensus!$4:$4,0))</f>
        <v>439</v>
      </c>
      <c r="V37" s="1605">
        <v>499.23059999999998</v>
      </c>
      <c r="W37" s="1604">
        <f ca="1">+S37/V37-1</f>
        <v>2.0086296793505847</v>
      </c>
      <c r="X37" s="1584"/>
      <c r="Y37" s="1194">
        <v>519.11958745589448</v>
      </c>
      <c r="Z37" s="1605">
        <f ca="1">INDEX(INDIRECT($D37),MATCH('Estimate Changes'!$F37,INDIRECT($C37),0),MATCH('Estimate Changes'!Z$6,INDIRECT($B37),0))</f>
        <v>503.1176933722864</v>
      </c>
      <c r="AA37" s="1604">
        <f ca="1">Z37/Y37-1</f>
        <v>-3.082506318443945E-2</v>
      </c>
      <c r="AB37" s="1605">
        <f>INDEX(Consensus!$A$1:$BO$180,MATCH('Estimate Changes'!$F37,Consensus!$A:$A,0),MATCH('Estimate Changes'!Z$6,Consensus!$4:$4,0))</f>
        <v>567.30179999999996</v>
      </c>
      <c r="AC37" s="1604">
        <f ca="1">+Z37/AB37-1</f>
        <v>-0.11313926137324715</v>
      </c>
      <c r="AD37" s="1584"/>
      <c r="AE37" s="1194">
        <v>764.01321329501343</v>
      </c>
      <c r="AF37" s="1605">
        <f ca="1">INDEX(INDIRECT($D37),MATCH('Estimate Changes'!$F37,INDIRECT($C37),0),MATCH('Estimate Changes'!AF$6,INDIRECT($B37),0))</f>
        <v>740.39713876073233</v>
      </c>
      <c r="AG37" s="1604">
        <f ca="1">AF37/AE37-1</f>
        <v>-3.0910557727700017E-2</v>
      </c>
      <c r="AH37" s="1605">
        <f>INDEX(Consensus!$A$1:$BO$180,MATCH('Estimate Changes'!$F37,Consensus!$A:$A,0),MATCH('Estimate Changes'!AF$6,Consensus!$4:$4,0))</f>
        <v>810.01919999999996</v>
      </c>
      <c r="AI37" s="1318">
        <f ca="1">+AF37/AH37-1</f>
        <v>-8.5951124663795175E-2</v>
      </c>
      <c r="AJ37" s="1190">
        <v>1128.2020327427545</v>
      </c>
      <c r="AK37" s="831">
        <f ca="1">INDEX(INDIRECT($D37),MATCH('Estimate Changes'!$F37,INDIRECT($C37),0),MATCH('Estimate Changes'!AK$6,INDIRECT($B37),0))</f>
        <v>2164.5148321330189</v>
      </c>
      <c r="AL37" s="1319">
        <f ca="1">AK37/AJ37-1</f>
        <v>0.91855250151508816</v>
      </c>
      <c r="AM37" s="831">
        <f>INDEX(Consensus!$A$1:$BO$180,MATCH('Estimate Changes'!$F37,Consensus!$A:$A,0),MATCH('Estimate Changes'!AK$6,Consensus!$4:$4,0))</f>
        <v>2396.5302999999999</v>
      </c>
      <c r="AN37" s="1319">
        <f ca="1">+AK37/AM37-1</f>
        <v>-9.6813075080661837E-2</v>
      </c>
      <c r="AO37" s="1190">
        <v>2795.1596021706696</v>
      </c>
      <c r="AP37" s="831">
        <f ca="1">INDEX(INDIRECT($D37),MATCH('Estimate Changes'!$F37,INDIRECT($C37),0),MATCH('Estimate Changes'!AP$6,INDIRECT($B37),0))</f>
        <v>2810.5945443918181</v>
      </c>
      <c r="AQ37" s="1319">
        <f ca="1">AP37/AO37-1</f>
        <v>5.5220253645487105E-3</v>
      </c>
      <c r="AR37" s="831">
        <f>INDEX(Consensus!$A$1:$BO$180,MATCH('Estimate Changes'!$F37,Consensus!$A:$A,0),MATCH('Estimate Changes'!AP$6,Consensus!$4:$4,0))</f>
        <v>3046.1842999999999</v>
      </c>
      <c r="AS37" s="1320">
        <f ca="1">+AP37/AR37-1</f>
        <v>-7.7339298087834574E-2</v>
      </c>
      <c r="AT37" s="1190">
        <v>3437.4149119969516</v>
      </c>
      <c r="AU37" s="831">
        <f ca="1">INDEX(INDIRECT($D37),MATCH('Estimate Changes'!$F37,INDIRECT($C37),0),MATCH('Estimate Changes'!AU$6,INDIRECT($B37),0))</f>
        <v>3485.1398905314791</v>
      </c>
      <c r="AV37" s="1319">
        <f ca="1">AU37/AT37-1</f>
        <v>1.3883973787383708E-2</v>
      </c>
      <c r="AW37" s="831">
        <f>INDEX(Consensus!$A$1:$BO$180,MATCH('Estimate Changes'!$F37,Consensus!$A:$A,0),MATCH('Estimate Changes'!AU$6,Consensus!$4:$4,0))</f>
        <v>4330.6580000000004</v>
      </c>
      <c r="AX37" s="1320">
        <f ca="1">+AU37/AW37-1</f>
        <v>-0.1952401019587604</v>
      </c>
      <c r="AY37" s="1190">
        <v>4185.2020352329118</v>
      </c>
      <c r="AZ37" s="831">
        <f ca="1">INDEX(INDIRECT($D37),MATCH('Estimate Changes'!$F37,INDIRECT($C37),0),MATCH('Estimate Changes'!AZ$6,INDIRECT($B37),0))</f>
        <v>4256.6381917016624</v>
      </c>
      <c r="BA37" s="1319">
        <f ca="1">AZ37/AY37-1</f>
        <v>1.7068747426616238E-2</v>
      </c>
      <c r="BB37" s="831">
        <f>INDEX(Consensus!$A$1:$BO$180,MATCH('Estimate Changes'!$F37,Consensus!$A:$A,0),MATCH('Estimate Changes'!AZ$6,Consensus!$4:$4,0))</f>
        <v>4964.2749999999996</v>
      </c>
      <c r="BC37" s="1320">
        <f ca="1">+AZ37/BB37-1</f>
        <v>-0.14254585177056811</v>
      </c>
      <c r="BD37" s="1190">
        <v>5061.7634932866722</v>
      </c>
      <c r="BE37" s="831">
        <f ca="1">INDEX(INDIRECT($D37),MATCH('Estimate Changes'!$F37,INDIRECT($C37),0),MATCH('Estimate Changes'!BE$6,INDIRECT($B37),0))</f>
        <v>5159.1441157374447</v>
      </c>
      <c r="BF37" s="1319">
        <f ca="1">BE37/BD37-1</f>
        <v>1.9238477376496643E-2</v>
      </c>
      <c r="BG37" s="831">
        <f>INDEX(Consensus!$A$1:$BO$180,MATCH('Estimate Changes'!$F37,Consensus!$A:$A,0),MATCH('Estimate Changes'!BE$6,Consensus!$4:$4,0))</f>
        <v>5937.0249999999996</v>
      </c>
      <c r="BH37" s="1320">
        <f ca="1">+BE37/BG37-1</f>
        <v>-0.1310219991094117</v>
      </c>
    </row>
    <row r="38" spans="1:60" s="1304" customFormat="1" ht="15" hidden="1" customHeight="1" outlineLevel="1">
      <c r="A38" s="1303"/>
      <c r="B38" s="1304" t="str">
        <f t="shared" ca="1" si="0"/>
        <v>'Income'!$5:$5</v>
      </c>
      <c r="C38" s="1304" t="str">
        <f t="shared" ca="1" si="1"/>
        <v>'Income'!$A:$A</v>
      </c>
      <c r="D38" s="1304" t="str">
        <f t="shared" ca="1" si="2"/>
        <v>'Income'!$1:$1048576</v>
      </c>
      <c r="E38" s="1305" t="str" cm="1">
        <f t="array" aca="1" ref="E38" ca="1">IFERROR(INDEX(SheetNames,MATCH(1,COUNTIF(INDIRECT("'"&amp;SheetNames&amp;"'!A:A"),$F38),0)),"Not Found")</f>
        <v>Income</v>
      </c>
      <c r="F38" s="1299" t="s">
        <v>406</v>
      </c>
      <c r="K38" s="1306">
        <f ca="1">K37/G37-1</f>
        <v>4.2982456140350873</v>
      </c>
      <c r="L38" s="1306">
        <f ca="1">L37/H37-1</f>
        <v>-0.6811594202898551</v>
      </c>
      <c r="M38" s="1306">
        <f ca="1">M37/I37-1</f>
        <v>-0.42536736272235109</v>
      </c>
      <c r="N38" s="1306">
        <f ca="1">N37/J37-1</f>
        <v>-0.14809384164222872</v>
      </c>
      <c r="P38" s="1306">
        <f ca="1">P37/O37-1</f>
        <v>-0.3902922238732045</v>
      </c>
      <c r="Q38" s="793" t="s">
        <v>395</v>
      </c>
      <c r="R38" s="1306">
        <v>-0.52972490950127304</v>
      </c>
      <c r="S38" s="1306">
        <f ca="1">S37/K37-1</f>
        <v>0.65783664459161151</v>
      </c>
      <c r="T38" s="1307" t="s">
        <v>572</v>
      </c>
      <c r="U38" s="1306">
        <f ca="1">+U37/K37-1</f>
        <v>-0.51545253863134666</v>
      </c>
      <c r="V38" s="1306">
        <v>-0.4489728476821192</v>
      </c>
      <c r="W38" s="1307">
        <f>(V38-V38)*10000</f>
        <v>0</v>
      </c>
      <c r="X38" s="1583"/>
      <c r="Y38" s="1308">
        <v>0.9663620736965699</v>
      </c>
      <c r="Z38" s="1306">
        <f ca="1">Z37/L37-1</f>
        <v>0.90574883853138788</v>
      </c>
      <c r="AA38" s="1307">
        <f ca="1">(Z38-Y38)*10000</f>
        <v>-606.13235165182027</v>
      </c>
      <c r="AB38" s="1306">
        <f ca="1">+AB37/L37-1</f>
        <v>1.1488704545454542</v>
      </c>
      <c r="AC38" s="1307">
        <f ca="1">(Z38-AB38)*10000</f>
        <v>-2431.2161601406633</v>
      </c>
      <c r="AD38" s="1583"/>
      <c r="AE38" s="1308">
        <v>2.8281579131915757E-2</v>
      </c>
      <c r="AF38" s="1306">
        <f ca="1">AF37/M37-1</f>
        <v>-3.5031779801718566E-3</v>
      </c>
      <c r="AG38" s="1307">
        <f ca="1">(AF38-AE38)*10000</f>
        <v>-317.84757112087613</v>
      </c>
      <c r="AH38" s="1306">
        <f ca="1">+AH37/M37-1</f>
        <v>9.0200807537011984E-2</v>
      </c>
      <c r="AI38" s="1309">
        <f ca="1">(AF38-AH38)*10000</f>
        <v>-937.03985517183844</v>
      </c>
      <c r="AJ38" s="1308">
        <v>-8.3507690704504922E-2</v>
      </c>
      <c r="AK38" s="1306">
        <f ca="1">AK37/P37-1</f>
        <v>0.75833861261821189</v>
      </c>
      <c r="AL38" s="1307"/>
      <c r="AM38" s="1306">
        <f ca="1">+AM37/P37-1</f>
        <v>0.9468158407798537</v>
      </c>
      <c r="AN38" s="1708"/>
      <c r="AO38" s="1308">
        <v>1.4775346268215812</v>
      </c>
      <c r="AP38" s="1306">
        <f ca="1">AP37/AK37-1</f>
        <v>0.29848708018420944</v>
      </c>
      <c r="AQ38" s="1307"/>
      <c r="AR38" s="1306">
        <f>+AR37/AM37-1</f>
        <v>0.27108107082977417</v>
      </c>
      <c r="AS38" s="1309"/>
      <c r="AT38" s="1308">
        <v>0.22977410997480008</v>
      </c>
      <c r="AU38" s="1306">
        <f ca="1">AU37/AP37-1</f>
        <v>0.24000094481277268</v>
      </c>
      <c r="AV38" s="1307"/>
      <c r="AW38" s="1306">
        <f>+AW37/AR37-1</f>
        <v>0.42166644349128868</v>
      </c>
      <c r="AX38" s="1309"/>
      <c r="AY38" s="1308">
        <v>0.21754345703979516</v>
      </c>
      <c r="AZ38" s="1306">
        <f ca="1">AZ37/AU37-1</f>
        <v>0.22136795807428289</v>
      </c>
      <c r="BA38" s="1307"/>
      <c r="BB38" s="1306">
        <f>+BB37/AW37-1</f>
        <v>0.14630963701128086</v>
      </c>
      <c r="BC38" s="1309"/>
      <c r="BD38" s="1308">
        <v>0.20944304496520649</v>
      </c>
      <c r="BE38" s="1306">
        <f ca="1">BE37/AZ37-1</f>
        <v>0.21202317025563078</v>
      </c>
      <c r="BF38" s="1307"/>
      <c r="BG38" s="1306">
        <f>+BG37/BB37-1</f>
        <v>0.19595006320157538</v>
      </c>
      <c r="BH38" s="1309"/>
    </row>
    <row r="39" spans="1:60" s="1255" customFormat="1" ht="15" customHeight="1" collapsed="1">
      <c r="A39" s="1296"/>
      <c r="B39" s="1255" t="str">
        <f t="shared" ca="1" si="0"/>
        <v>'Income'!$5:$5</v>
      </c>
      <c r="C39" s="1255" t="str">
        <f t="shared" ca="1" si="1"/>
        <v>'Income'!$A:$A</v>
      </c>
      <c r="D39" s="1255" t="str">
        <f t="shared" ca="1" si="2"/>
        <v>'Income'!$1:$1048576</v>
      </c>
      <c r="E39" s="1298" t="str" cm="1">
        <f t="array" aca="1" ref="E39" ca="1">IFERROR(INDEX(SheetNames,MATCH(1,COUNTIF(INDIRECT("'"&amp;SheetNames&amp;"'!A:A"),$F39),0)),"Not Found")</f>
        <v>Income</v>
      </c>
      <c r="F39" s="1313" t="s">
        <v>80</v>
      </c>
      <c r="G39" s="832">
        <f ca="1">INDEX(INDIRECT($D39),MATCH('Estimate Changes'!$F39,INDIRECT($C39),0),MATCH('Estimate Changes'!G$6,INDIRECT($B39),0))</f>
        <v>0.13154725709164128</v>
      </c>
      <c r="H39" s="832">
        <f ca="1">INDEX(INDIRECT($D39),MATCH('Estimate Changes'!$F39,INDIRECT($C39),0),MATCH('Estimate Changes'!H$6,INDIRECT($B39),0))</f>
        <v>0.63613981460685431</v>
      </c>
      <c r="I39" s="832">
        <f ca="1">INDEX(INDIRECT($D39),MATCH('Estimate Changes'!$F39,INDIRECT($C39),0),MATCH('Estimate Changes'!I$6,INDIRECT($B39),0))</f>
        <v>0.99063006310699642</v>
      </c>
      <c r="J39" s="832">
        <f ca="1">INDEX(INDIRECT($D39),MATCH('Estimate Changes'!$F39,INDIRECT($C39),0),MATCH('Estimate Changes'!J$6,INDIRECT($B39),0))</f>
        <v>-0.52648750289737967</v>
      </c>
      <c r="K39" s="832">
        <f ca="1">INDEX(INDIRECT($D39),MATCH('Estimate Changes'!$F39,INDIRECT($C39),0),MATCH('Estimate Changes'!K$6,INDIRECT($B39),0))</f>
        <v>0.69213465617551662</v>
      </c>
      <c r="L39" s="832">
        <f ca="1">INDEX(INDIRECT($D39),MATCH('Estimate Changes'!$F39,INDIRECT($C39),0),MATCH('Estimate Changes'!L$6,INDIRECT($B39),0))</f>
        <v>0.20108575506995324</v>
      </c>
      <c r="M39" s="832">
        <f ca="1">INDEX(INDIRECT($D39),MATCH('Estimate Changes'!$F39,INDIRECT($C39),0),MATCH('Estimate Changes'!M$6,INDIRECT($B39),0))</f>
        <v>0.56786534164366376</v>
      </c>
      <c r="N39" s="832">
        <f ca="1">INDEX(INDIRECT($D39),MATCH('Estimate Changes'!$F39,INDIRECT($C39),0),MATCH('Estimate Changes'!N$6,INDIRECT($B39),0))</f>
        <v>-0.44577165764680837</v>
      </c>
      <c r="O39" s="832">
        <f ca="1">INDEX(INDIRECT($D39),MATCH('Estimate Changes'!$F39,INDIRECT($C39),0),MATCH('Estimate Changes'!O$6,INDIRECT($B39),0))</f>
        <v>1.5548349701936135</v>
      </c>
      <c r="P39" s="832">
        <f ca="1">INDEX(INDIRECT($D39),MATCH('Estimate Changes'!$F39,INDIRECT($C39),0),MATCH('Estimate Changes'!P$6,INDIRECT($B39),0))</f>
        <v>0.94227463591076888</v>
      </c>
      <c r="Q39" s="1224" t="s">
        <v>566</v>
      </c>
      <c r="R39" s="1606">
        <v>0.32627534778095352</v>
      </c>
      <c r="S39" s="1606">
        <f ca="1">INDEX(INDIRECT($D39),MATCH('Estimate Changes'!$F39,INDIRECT($C39),0),MATCH('Estimate Changes'!S$6,INDIRECT($B39),0))</f>
        <v>1.1572175072696951</v>
      </c>
      <c r="T39" s="1599">
        <f ca="1">S39/R39-1</f>
        <v>2.5467512796786549</v>
      </c>
      <c r="U39" s="1606">
        <f>INDEX(Consensus!$A$1:$BO$180,MATCH('Estimate Changes'!$F39,Consensus!$A:$A,0),MATCH('Estimate Changes'!S$6,Consensus!$4:$4,0))</f>
        <v>0.42264079999999998</v>
      </c>
      <c r="V39" s="1606">
        <v>0.30047327000000001</v>
      </c>
      <c r="W39" s="1599">
        <f ca="1">+S39/V39-1</f>
        <v>2.8513159831811161</v>
      </c>
      <c r="X39" s="1588"/>
      <c r="Y39" s="1225">
        <v>0.39677186018593447</v>
      </c>
      <c r="Z39" s="1606">
        <f ca="1">INDEX(INDIRECT($D39),MATCH('Estimate Changes'!$F39,INDIRECT($C39),0),MATCH('Estimate Changes'!Z$6,INDIRECT($B39),0))</f>
        <v>0.38688238037815359</v>
      </c>
      <c r="AA39" s="1599">
        <f ca="1">Z39/Y39-1</f>
        <v>-2.4924851785473101E-2</v>
      </c>
      <c r="AB39" s="1606">
        <f>INDEX(Consensus!$A$1:$BO$180,MATCH('Estimate Changes'!$F39,Consensus!$A:$A,0),MATCH('Estimate Changes'!Z$6,Consensus!$4:$4,0))</f>
        <v>0.36635869999999998</v>
      </c>
      <c r="AC39" s="1599">
        <f ca="1">+Z39/AB39-1</f>
        <v>5.6020726075711069E-2</v>
      </c>
      <c r="AD39" s="1588"/>
      <c r="AE39" s="1225">
        <v>0.58283451505209738</v>
      </c>
      <c r="AF39" s="1606">
        <f ca="1">INDEX(INDIRECT($D39),MATCH('Estimate Changes'!$F39,INDIRECT($C39),0),MATCH('Estimate Changes'!AF$6,INDIRECT($B39),0))</f>
        <v>0.56825072096684548</v>
      </c>
      <c r="AG39" s="1599">
        <f ca="1">AF39/AE39-1</f>
        <v>-2.502218675904655E-2</v>
      </c>
      <c r="AH39" s="1606">
        <f>INDEX(Consensus!$A$1:$BO$180,MATCH('Estimate Changes'!$F39,Consensus!$A:$A,0),MATCH('Estimate Changes'!AF$6,Consensus!$4:$4,0))</f>
        <v>0.55158079999999998</v>
      </c>
      <c r="AI39" s="1300">
        <f ca="1">+AF39/AH39-1</f>
        <v>3.0222083449687798E-2</v>
      </c>
      <c r="AJ39" s="1232">
        <v>0.86312848019975619</v>
      </c>
      <c r="AK39" s="1230">
        <f ca="1">INDEX(INDIRECT($D39),MATCH('Estimate Changes'!$F39,INDIRECT($C39),0),MATCH('Estimate Changes'!AK$6,INDIRECT($B39),0))</f>
        <v>1.6635140074363071</v>
      </c>
      <c r="AL39" s="1301">
        <f ca="1">AK39/AJ39-1</f>
        <v>0.92730751631705566</v>
      </c>
      <c r="AM39" s="1230">
        <f>INDEX(Consensus!$A$1:$BO$180,MATCH('Estimate Changes'!$F39,Consensus!$A:$A,0),MATCH('Estimate Changes'!AK$6,Consensus!$4:$4,0))</f>
        <v>0.89964180000000005</v>
      </c>
      <c r="AN39" s="1301">
        <f ca="1">+AK39/AM39-1</f>
        <v>0.84908483291495229</v>
      </c>
      <c r="AO39" s="1232">
        <v>2.1221948918139026</v>
      </c>
      <c r="AP39" s="1230">
        <f ca="1">INDEX(INDIRECT($D39),MATCH('Estimate Changes'!$F39,INDIRECT($C39),0),MATCH('Estimate Changes'!AP$6,INDIRECT($B39),0))</f>
        <v>2.146817870393372</v>
      </c>
      <c r="AQ39" s="1301">
        <f ca="1">AP39/AO39-1</f>
        <v>1.1602600060177881E-2</v>
      </c>
      <c r="AR39" s="1230">
        <f>INDEX(Consensus!$A$1:$BO$180,MATCH('Estimate Changes'!$F39,Consensus!$A:$A,0),MATCH('Estimate Changes'!AP$6,Consensus!$4:$4,0))</f>
        <v>2.0756657000000001</v>
      </c>
      <c r="AS39" s="1302">
        <f ca="1">+AP39/AR39-1</f>
        <v>3.4279205169393201E-2</v>
      </c>
      <c r="AT39" s="1232">
        <v>2.5901548618171724</v>
      </c>
      <c r="AU39" s="1230">
        <f ca="1">INDEX(INDIRECT($D39),MATCH('Estimate Changes'!$F39,INDIRECT($C39),0),MATCH('Estimate Changes'!AU$6,INDIRECT($B39),0))</f>
        <v>2.6418767270928183</v>
      </c>
      <c r="AV39" s="1301">
        <f ca="1">AU39/AT39-1</f>
        <v>1.9968638183803122E-2</v>
      </c>
      <c r="AW39" s="1230">
        <f>INDEX(Consensus!$A$1:$BO$180,MATCH('Estimate Changes'!$F39,Consensus!$A:$A,0),MATCH('Estimate Changes'!AU$6,Consensus!$4:$4,0))</f>
        <v>3.053137</v>
      </c>
      <c r="AX39" s="1302">
        <f ca="1">+AU39/AW39-1</f>
        <v>-0.13470089056179979</v>
      </c>
      <c r="AY39" s="1232">
        <v>3.1300406770567801</v>
      </c>
      <c r="AZ39" s="1230">
        <f ca="1">INDEX(INDIRECT($D39),MATCH('Estimate Changes'!$F39,INDIRECT($C39),0),MATCH('Estimate Changes'!AZ$6,INDIRECT($B39),0))</f>
        <v>3.2024278874921919</v>
      </c>
      <c r="BA39" s="1301">
        <f ca="1">AZ39/AY39-1</f>
        <v>2.3126603742248619E-2</v>
      </c>
      <c r="BB39" s="1230">
        <f>INDEX(Consensus!$A$1:$BO$180,MATCH('Estimate Changes'!$F39,Consensus!$A:$A,0),MATCH('Estimate Changes'!AZ$6,Consensus!$4:$4,0))</f>
        <v>3.5633333</v>
      </c>
      <c r="BC39" s="1302">
        <f ca="1">+AZ39/BB39-1</f>
        <v>-0.10128309145479264</v>
      </c>
      <c r="BD39" s="1232">
        <v>3.7575041991675509</v>
      </c>
      <c r="BE39" s="1230">
        <f ca="1">INDEX(INDIRECT($D39),MATCH('Estimate Changes'!$F39,INDIRECT($C39),0),MATCH('Estimate Changes'!BE$6,INDIRECT($B39),0))</f>
        <v>3.8524335046603899</v>
      </c>
      <c r="BF39" s="1301">
        <f ca="1">BE39/BD39-1</f>
        <v>2.5263925324120695E-2</v>
      </c>
      <c r="BG39" s="1230">
        <f>INDEX(Consensus!$A$1:$BO$180,MATCH('Estimate Changes'!$F39,Consensus!$A:$A,0),MATCH('Estimate Changes'!BE$6,Consensus!$4:$4,0))</f>
        <v>4.4233330000000004</v>
      </c>
      <c r="BH39" s="1302">
        <f ca="1">+BE39/BG39-1</f>
        <v>-0.1290654570523202</v>
      </c>
    </row>
    <row r="40" spans="1:60" s="1255" customFormat="1" ht="15" customHeight="1">
      <c r="A40" s="1296"/>
      <c r="B40" s="1255" t="str">
        <f t="shared" ca="1" si="0"/>
        <v>'Cash Flow'!$5:$5</v>
      </c>
      <c r="C40" s="1255" t="str">
        <f t="shared" ca="1" si="1"/>
        <v>'Cash Flow'!$A:$A</v>
      </c>
      <c r="D40" s="1255" t="str">
        <f t="shared" ca="1" si="2"/>
        <v>'Cash Flow'!$1:$1048576</v>
      </c>
      <c r="E40" s="1298" t="str" cm="1">
        <f t="array" aca="1" ref="E40" ca="1">IFERROR(INDEX(SheetNames,MATCH(1,COUNTIF(INDIRECT("'"&amp;SheetNames&amp;"'!A:A"),$F40),0)),"Not Found")</f>
        <v>Cash Flow</v>
      </c>
      <c r="F40" s="1313" t="s">
        <v>407</v>
      </c>
      <c r="G40" s="833">
        <f ca="1">INDEX(INDIRECT($D40),MATCH('Estimate Changes'!$F40,INDIRECT($C40),0),MATCH('Estimate Changes'!G$6,INDIRECT($B40),0))</f>
        <v>340</v>
      </c>
      <c r="H40" s="833">
        <f ca="1">INDEX(INDIRECT($D40),MATCH('Estimate Changes'!$F40,INDIRECT($C40),0),MATCH('Estimate Changes'!H$6,INDIRECT($B40),0))</f>
        <v>423</v>
      </c>
      <c r="I40" s="833">
        <f ca="1">INDEX(INDIRECT($D40),MATCH('Estimate Changes'!$F40,INDIRECT($C40),0),MATCH('Estimate Changes'!I$6,INDIRECT($B40),0))</f>
        <v>615</v>
      </c>
      <c r="J40" s="833">
        <f ca="1">INDEX(INDIRECT($D40),MATCH('Estimate Changes'!$F40,INDIRECT($C40),0),MATCH('Estimate Changes'!J$6,INDIRECT($B40),0))</f>
        <v>367</v>
      </c>
      <c r="K40" s="833">
        <f ca="1">INDEX(INDIRECT($D40),MATCH('Estimate Changes'!$F40,INDIRECT($C40),0),MATCH('Estimate Changes'!K$6,INDIRECT($B40),0))</f>
        <v>428</v>
      </c>
      <c r="L40" s="833">
        <f ca="1">INDEX(INDIRECT($D40),MATCH('Estimate Changes'!$F40,INDIRECT($C40),0),MATCH('Estimate Changes'!L$6,INDIRECT($B40),0))</f>
        <v>513</v>
      </c>
      <c r="M40" s="833">
        <f ca="1">INDEX(INDIRECT($D40),MATCH('Estimate Changes'!$F40,INDIRECT($C40),0),MATCH('Estimate Changes'!M$6,INDIRECT($B40),0))</f>
        <v>725</v>
      </c>
      <c r="N40" s="833">
        <f ca="1">INDEX(INDIRECT($D40),MATCH('Estimate Changes'!$F40,INDIRECT($C40),0),MATCH('Estimate Changes'!N$6,INDIRECT($B40),0))</f>
        <v>481</v>
      </c>
      <c r="O40" s="833">
        <f ca="1">INDEX(INDIRECT($D40),MATCH('Estimate Changes'!$F40,INDIRECT($C40),0),MATCH('Estimate Changes'!O$6,INDIRECT($B40),0))</f>
        <v>1616</v>
      </c>
      <c r="P40" s="833">
        <f ca="1">INDEX(INDIRECT($D40),MATCH('Estimate Changes'!$F40,INDIRECT($C40),0),MATCH('Estimate Changes'!P$6,INDIRECT($B40),0))</f>
        <v>2033</v>
      </c>
      <c r="Q40" s="830" t="s">
        <v>587</v>
      </c>
      <c r="R40" s="1605">
        <v>590.01918906451749</v>
      </c>
      <c r="S40" s="1605">
        <f ca="1">INDEX(INDIRECT($D40),MATCH('Estimate Changes'!$F40,INDIRECT($C40),0),MATCH('Estimate Changes'!S$6,INDIRECT($B40),0))</f>
        <v>658</v>
      </c>
      <c r="T40" s="1604">
        <f ca="1">S40/R40-1</f>
        <v>0.11521796611948654</v>
      </c>
      <c r="U40" s="1605">
        <f>INDEX(Consensus!$A$1:$BO$180,MATCH('Estimate Changes'!$F40,Consensus!$A:$A,0),MATCH('Estimate Changes'!S$6,Consensus!$4:$4,0))</f>
        <v>588.56946000000005</v>
      </c>
      <c r="V40" s="1605">
        <v>544.43349999999998</v>
      </c>
      <c r="W40" s="1604">
        <f ca="1">+S40/V40-1</f>
        <v>0.20859572381199909</v>
      </c>
      <c r="X40" s="1584"/>
      <c r="Y40" s="1194">
        <v>726.83898881385471</v>
      </c>
      <c r="Z40" s="1605">
        <f ca="1">INDEX(INDIRECT($D40),MATCH('Estimate Changes'!$F40,INDIRECT($C40),0),MATCH('Estimate Changes'!Z$6,INDIRECT($B40),0))</f>
        <v>788.7162013514444</v>
      </c>
      <c r="AA40" s="1604">
        <f ca="1">Z40/Y40-1</f>
        <v>8.5131939108781918E-2</v>
      </c>
      <c r="AB40" s="1605">
        <f>INDEX(Consensus!$A$1:$BO$180,MATCH('Estimate Changes'!$F40,Consensus!$A:$A,0),MATCH('Estimate Changes'!Z$6,Consensus!$4:$4,0))</f>
        <v>660.99959999999999</v>
      </c>
      <c r="AC40" s="1604">
        <f ca="1">+Z40/AB40-1</f>
        <v>0.19321736556488744</v>
      </c>
      <c r="AD40" s="1584"/>
      <c r="AE40" s="1194">
        <v>984.73904454715421</v>
      </c>
      <c r="AF40" s="1605">
        <f ca="1">INDEX(INDIRECT($D40),MATCH('Estimate Changes'!$F40,INDIRECT($C40),0),MATCH('Estimate Changes'!AF$6,INDIRECT($B40),0))</f>
        <v>1043.0786688213532</v>
      </c>
      <c r="AG40" s="1604">
        <f ca="1">AF40/AE40-1</f>
        <v>5.9243740356641705E-2</v>
      </c>
      <c r="AH40" s="1605">
        <f>INDEX(Consensus!$A$1:$BO$180,MATCH('Estimate Changes'!$F40,Consensus!$A:$A,0),MATCH('Estimate Changes'!AF$6,Consensus!$4:$4,0))</f>
        <v>958.26244999999994</v>
      </c>
      <c r="AI40" s="1318">
        <f ca="1">+AF40/AH40-1</f>
        <v>8.851042720222746E-2</v>
      </c>
      <c r="AJ40" s="1190">
        <v>2782.5972224255265</v>
      </c>
      <c r="AK40" s="831">
        <f ca="1">INDEX(INDIRECT($D40),MATCH('Estimate Changes'!$F40,INDIRECT($C40),0),MATCH('Estimate Changes'!AK$6,INDIRECT($B40),0))</f>
        <v>2970.7948701727973</v>
      </c>
      <c r="AL40" s="1319">
        <f ca="1">AK40/AJ40-1</f>
        <v>6.763380852627443E-2</v>
      </c>
      <c r="AM40" s="831">
        <f>INDEX(Consensus!$A$1:$BO$180,MATCH('Estimate Changes'!$F40,Consensus!$A:$A,0),MATCH('Estimate Changes'!AK$6,Consensus!$4:$4,0))</f>
        <v>2684.8560000000002</v>
      </c>
      <c r="AN40" s="1319">
        <f ca="1">+AK40/AM40-1</f>
        <v>0.10650063548018851</v>
      </c>
      <c r="AO40" s="1190">
        <v>3583.9100210866854</v>
      </c>
      <c r="AP40" s="831">
        <f ca="1">INDEX(INDIRECT($D40),MATCH('Estimate Changes'!$F40,INDIRECT($C40),0),MATCH('Estimate Changes'!AP$6,INDIRECT($B40),0))</f>
        <v>3785.1617959994178</v>
      </c>
      <c r="AQ40" s="1319">
        <f ca="1">AP40/AO40-1</f>
        <v>5.6154248775394766E-2</v>
      </c>
      <c r="AR40" s="831">
        <f>INDEX(Consensus!$A$1:$BO$180,MATCH('Estimate Changes'!$F40,Consensus!$A:$A,0),MATCH('Estimate Changes'!AP$6,Consensus!$4:$4,0))</f>
        <v>3439.8595999999998</v>
      </c>
      <c r="AS40" s="1320">
        <f ca="1">+AP40/AR40-1</f>
        <v>0.10038264236116445</v>
      </c>
      <c r="AT40" s="1190">
        <v>4181.2636475424633</v>
      </c>
      <c r="AU40" s="831">
        <f ca="1">INDEX(INDIRECT($D40),MATCH('Estimate Changes'!$F40,INDIRECT($C40),0),MATCH('Estimate Changes'!AU$6,INDIRECT($B40),0))</f>
        <v>4510.3462304554141</v>
      </c>
      <c r="AV40" s="1319">
        <f ca="1">AU40/AT40-1</f>
        <v>7.8704097768713677E-2</v>
      </c>
      <c r="AW40" s="831">
        <f>INDEX(Consensus!$A$1:$BO$180,MATCH('Estimate Changes'!$F40,Consensus!$A:$A,0),MATCH('Estimate Changes'!AU$6,Consensus!$4:$4,0))</f>
        <v>4703.2075000000004</v>
      </c>
      <c r="AX40" s="1320">
        <f ca="1">+AU40/AW40-1</f>
        <v>-4.1006328031367167E-2</v>
      </c>
      <c r="AY40" s="1190">
        <v>5098.0340129399683</v>
      </c>
      <c r="AZ40" s="831">
        <f ca="1">INDEX(INDIRECT($D40),MATCH('Estimate Changes'!$F40,INDIRECT($C40),0),MATCH('Estimate Changes'!AZ$6,INDIRECT($B40),0))</f>
        <v>5373.0899222123307</v>
      </c>
      <c r="BA40" s="1319">
        <f ca="1">AZ40/AY40-1</f>
        <v>5.3953329572578035E-2</v>
      </c>
      <c r="BB40" s="831">
        <f>INDEX(Consensus!$A$1:$BO$180,MATCH('Estimate Changes'!$F40,Consensus!$A:$A,0),MATCH('Estimate Changes'!AZ$6,Consensus!$4:$4,0))</f>
        <v>5843.5</v>
      </c>
      <c r="BC40" s="1320">
        <f ca="1">+AZ40/BB40-1</f>
        <v>-8.0501425136933258E-2</v>
      </c>
      <c r="BD40" s="1190">
        <v>6171.1447797057372</v>
      </c>
      <c r="BE40" s="831">
        <f ca="1">INDEX(INDIRECT($D40),MATCH('Estimate Changes'!$F40,INDIRECT($C40),0),MATCH('Estimate Changes'!BE$6,INDIRECT($B40),0))</f>
        <v>6421.0568805291205</v>
      </c>
      <c r="BF40" s="1319">
        <f ca="1">BE40/BD40-1</f>
        <v>4.0496878576765427E-2</v>
      </c>
      <c r="BG40" s="831">
        <f>INDEX(Consensus!$A$1:$BO$180,MATCH('Estimate Changes'!$F40,Consensus!$A:$A,0),MATCH('Estimate Changes'!BE$6,Consensus!$4:$4,0))</f>
        <v>7215.5</v>
      </c>
      <c r="BH40" s="1320">
        <f ca="1">+BE40/BG40-1</f>
        <v>-0.11010229637182167</v>
      </c>
    </row>
    <row r="41" spans="1:60" s="1304" customFormat="1" ht="15" hidden="1" customHeight="1" outlineLevel="1">
      <c r="A41" s="1303"/>
      <c r="B41" s="1304" t="str">
        <f t="shared" ca="1" si="0"/>
        <v>'Not Found'!$5:$5</v>
      </c>
      <c r="C41" s="1304" t="str">
        <f t="shared" ca="1" si="1"/>
        <v>'Not Found'!$A:$A</v>
      </c>
      <c r="D41" s="1304" t="str">
        <f t="shared" ca="1" si="2"/>
        <v>'Not Found'!$1:$1048576</v>
      </c>
      <c r="E41" s="1305" t="str" cm="1">
        <f t="array" aca="1" ref="E41" ca="1">IFERROR(INDEX(SheetNames,MATCH(1,COUNTIF(INDIRECT("'"&amp;SheetNames&amp;"'!A:A"),$F41),0)),"Not Found")</f>
        <v>Not Found</v>
      </c>
      <c r="F41" s="1299"/>
      <c r="K41" s="1306">
        <f ca="1">K40/G40-1</f>
        <v>0.25882352941176467</v>
      </c>
      <c r="L41" s="1306">
        <f ca="1">L40/H40-1</f>
        <v>0.2127659574468086</v>
      </c>
      <c r="M41" s="1306">
        <f ca="1">M40/I40-1</f>
        <v>0.17886178861788626</v>
      </c>
      <c r="N41" s="1306">
        <f ca="1">N40/J40-1</f>
        <v>0.31062670299727513</v>
      </c>
      <c r="P41" s="1306">
        <f ca="1">P40/O40-1</f>
        <v>0.2580445544554455</v>
      </c>
      <c r="Q41" s="793" t="s">
        <v>395</v>
      </c>
      <c r="R41" s="1306">
        <v>0.37854950716008751</v>
      </c>
      <c r="S41" s="1306">
        <f ca="1">S40/K40-1</f>
        <v>0.53738317757009346</v>
      </c>
      <c r="T41" s="1307">
        <f ca="1">(S41-R41)*10000</f>
        <v>1588.3367041000595</v>
      </c>
      <c r="U41" s="1306">
        <f ca="1">+U40/K40-1</f>
        <v>0.37516228971962629</v>
      </c>
      <c r="V41" s="1306">
        <v>0.27204088785046721</v>
      </c>
      <c r="W41" s="1307">
        <f ca="1">(S41-V41)*10000</f>
        <v>2653.4228971962625</v>
      </c>
      <c r="X41" s="1583"/>
      <c r="Y41" s="1308">
        <v>0.4168401341400676</v>
      </c>
      <c r="Z41" s="1306">
        <f ca="1">Z40/L40-1</f>
        <v>0.53745848216655823</v>
      </c>
      <c r="AA41" s="1307">
        <f ca="1">(Z41-Y41)*10000</f>
        <v>1206.1834802649064</v>
      </c>
      <c r="AB41" s="1306">
        <f ca="1">+AB40/L40-1</f>
        <v>0.28849824561403503</v>
      </c>
      <c r="AC41" s="1307">
        <f ca="1">(Z41-AB41)*10000</f>
        <v>2489.602365525232</v>
      </c>
      <c r="AD41" s="1583"/>
      <c r="AE41" s="1308">
        <v>0.35826075109952304</v>
      </c>
      <c r="AF41" s="1306">
        <f ca="1">AF40/M40-1</f>
        <v>0.43872919837428026</v>
      </c>
      <c r="AG41" s="1307">
        <f ca="1">(AF41-AE41)*10000</f>
        <v>804.68447274757216</v>
      </c>
      <c r="AH41" s="1306">
        <f ca="1">+AH40/M40-1</f>
        <v>0.32174131034482745</v>
      </c>
      <c r="AI41" s="1309">
        <f ca="1">(AF41-AH41)*10000</f>
        <v>1169.8788802945282</v>
      </c>
      <c r="AJ41" s="1308">
        <v>0.36871481673660922</v>
      </c>
      <c r="AK41" s="1306">
        <f ca="1">AK40/P40-1</f>
        <v>0.46128621257884772</v>
      </c>
      <c r="AL41" s="1307"/>
      <c r="AM41" s="1306">
        <f ca="1">+AM40/P40-1</f>
        <v>0.32063748155435334</v>
      </c>
      <c r="AN41" s="1307"/>
      <c r="AO41" s="1308">
        <v>0.28797297438638014</v>
      </c>
      <c r="AP41" s="1306">
        <f ca="1">AP40/AK40-1</f>
        <v>0.274124253412102</v>
      </c>
      <c r="AQ41" s="1307"/>
      <c r="AR41" s="1306">
        <f>+AR40/AM40-1</f>
        <v>0.28120822867222661</v>
      </c>
      <c r="AS41" s="1309"/>
      <c r="AT41" s="1308">
        <v>0.16667651334467748</v>
      </c>
      <c r="AU41" s="1306">
        <f ca="1">AU40/AP40-1</f>
        <v>0.19158611270526205</v>
      </c>
      <c r="AV41" s="1307"/>
      <c r="AW41" s="1306">
        <f>+AW40/AR40-1</f>
        <v>0.36726728614156245</v>
      </c>
      <c r="AX41" s="1309"/>
      <c r="AY41" s="1308">
        <v>0.21925677084159401</v>
      </c>
      <c r="AZ41" s="1306">
        <f ca="1">AZ40/AU40-1</f>
        <v>0.19128103424330778</v>
      </c>
      <c r="BA41" s="1307"/>
      <c r="BB41" s="1306">
        <f>+BB40/AW40-1</f>
        <v>0.24244996632617188</v>
      </c>
      <c r="BC41" s="1309"/>
      <c r="BD41" s="1308">
        <v>0.21049501906852131</v>
      </c>
      <c r="BE41" s="1306">
        <f ca="1">BE40/AZ40-1</f>
        <v>0.19503990692292317</v>
      </c>
      <c r="BF41" s="1307"/>
      <c r="BG41" s="1306">
        <f>+BG40/BB40-1</f>
        <v>0.23479079318901341</v>
      </c>
      <c r="BH41" s="1309"/>
    </row>
    <row r="42" spans="1:60" s="1255" customFormat="1" ht="15" customHeight="1" collapsed="1">
      <c r="A42" s="1296"/>
      <c r="B42" s="1255" t="str">
        <f t="shared" ca="1" si="0"/>
        <v>'Cash Flow'!$5:$5</v>
      </c>
      <c r="C42" s="1255" t="str">
        <f t="shared" ca="1" si="1"/>
        <v>'Cash Flow'!$A:$A</v>
      </c>
      <c r="D42" s="1255" t="str">
        <f t="shared" ca="1" si="2"/>
        <v>'Cash Flow'!$1:$1048576</v>
      </c>
      <c r="E42" s="1298" t="str" cm="1">
        <f t="array" aca="1" ref="E42" ca="1">IFERROR(INDEX(SheetNames,MATCH(1,COUNTIF(INDIRECT("'"&amp;SheetNames&amp;"'!A:A"),$F42),0)),"Not Found")</f>
        <v>Cash Flow</v>
      </c>
      <c r="F42" s="1313" t="s">
        <v>164</v>
      </c>
      <c r="G42" s="1187">
        <f ca="1">-INDEX(INDIRECT($D42),MATCH('Estimate Changes'!$F42,INDIRECT($C42),0),MATCH('Estimate Changes'!G$6,INDIRECT($B42),0))</f>
        <v>7</v>
      </c>
      <c r="H42" s="1187">
        <f ca="1">-INDEX(INDIRECT($D42),MATCH('Estimate Changes'!$F42,INDIRECT($C42),0),MATCH('Estimate Changes'!H$6,INDIRECT($B42),0))</f>
        <v>2</v>
      </c>
      <c r="I42" s="1187">
        <f ca="1">-INDEX(INDIRECT($D42),MATCH('Estimate Changes'!$F42,INDIRECT($C42),0),MATCH('Estimate Changes'!I$6,INDIRECT($B42),0))</f>
        <v>4</v>
      </c>
      <c r="J42" s="1187">
        <f ca="1">-INDEX(INDIRECT($D42),MATCH('Estimate Changes'!$F42,INDIRECT($C42),0),MATCH('Estimate Changes'!J$6,INDIRECT($B42),0))</f>
        <v>4</v>
      </c>
      <c r="K42" s="1187">
        <f ca="1">-INDEX(INDIRECT($D42),MATCH('Estimate Changes'!$F42,INDIRECT($C42),0),MATCH('Estimate Changes'!K$6,INDIRECT($B42),0))</f>
        <v>6</v>
      </c>
      <c r="L42" s="1187">
        <f ca="1">-INDEX(INDIRECT($D42),MATCH('Estimate Changes'!$F42,INDIRECT($C42),0),MATCH('Estimate Changes'!L$6,INDIRECT($B42),0))</f>
        <v>6</v>
      </c>
      <c r="M42" s="1187">
        <f ca="1">-INDEX(INDIRECT($D42),MATCH('Estimate Changes'!$F42,INDIRECT($C42),0),MATCH('Estimate Changes'!M$6,INDIRECT($B42),0))</f>
        <v>10</v>
      </c>
      <c r="N42" s="1187">
        <f ca="1">-INDEX(INDIRECT($D42),MATCH('Estimate Changes'!$F42,INDIRECT($C42),0),MATCH('Estimate Changes'!N$6,INDIRECT($B42),0))</f>
        <v>5</v>
      </c>
      <c r="O42" s="1187">
        <f ca="1">-INDEX(INDIRECT($D42),MATCH('Estimate Changes'!$F42,INDIRECT($C42),0),MATCH('Estimate Changes'!O$6,INDIRECT($B42),0))</f>
        <v>19</v>
      </c>
      <c r="P42" s="1187">
        <f ca="1">-INDEX(INDIRECT($D42),MATCH('Estimate Changes'!$F42,INDIRECT($C42),0),MATCH('Estimate Changes'!P$6,INDIRECT($B42),0))</f>
        <v>26</v>
      </c>
      <c r="Q42" s="830" t="s">
        <v>163</v>
      </c>
      <c r="R42" s="1607">
        <v>7.1999999999999993</v>
      </c>
      <c r="S42" s="1607">
        <f ca="1">-INDEX(INDIRECT($D42),MATCH('Estimate Changes'!$F42,INDIRECT($C42),0),MATCH('Estimate Changes'!S$6,INDIRECT($B42),0))</f>
        <v>4</v>
      </c>
      <c r="T42" s="1604">
        <f ca="1">S42/R42-1</f>
        <v>-0.44444444444444442</v>
      </c>
      <c r="U42" s="1607">
        <f>-INDEX(Consensus!$A$1:$BO$180,MATCH('Estimate Changes'!$F42,Consensus!$A:$A,0),MATCH('Estimate Changes'!S$6,Consensus!$4:$4,0))</f>
        <v>5.8347499999999997</v>
      </c>
      <c r="V42" s="1607">
        <v>6.2764544000000004</v>
      </c>
      <c r="W42" s="1604">
        <f ca="1">+S42/V42-1</f>
        <v>-0.36269751278683715</v>
      </c>
      <c r="X42" s="1589"/>
      <c r="Y42" s="1195">
        <v>7.1999999999999993</v>
      </c>
      <c r="Z42" s="1607">
        <f ca="1">-INDEX(INDIRECT($D42),MATCH('Estimate Changes'!$F42,INDIRECT($C42),0),MATCH('Estimate Changes'!Z$6,INDIRECT($B42),0))</f>
        <v>7.1999999999999993</v>
      </c>
      <c r="AA42" s="1604">
        <f ca="1">Z42/Y42-1</f>
        <v>0</v>
      </c>
      <c r="AB42" s="1607">
        <f>-INDEX(Consensus!$A$1:$BO$180,MATCH('Estimate Changes'!$F42,Consensus!$A:$A,0),MATCH('Estimate Changes'!Z$6,Consensus!$4:$4,0))</f>
        <v>6.3125</v>
      </c>
      <c r="AC42" s="1604">
        <f ca="1">+Z42/AB42-1</f>
        <v>0.1405940594059405</v>
      </c>
      <c r="AD42" s="1589"/>
      <c r="AE42" s="1195">
        <v>12</v>
      </c>
      <c r="AF42" s="1607">
        <f ca="1">-INDEX(INDIRECT($D42),MATCH('Estimate Changes'!$F42,INDIRECT($C42),0),MATCH('Estimate Changes'!AF$6,INDIRECT($B42),0))</f>
        <v>12</v>
      </c>
      <c r="AG42" s="1604">
        <f ca="1">AF42/AE42-1</f>
        <v>0</v>
      </c>
      <c r="AH42" s="1607">
        <f>-INDEX(Consensus!$A$1:$BO$180,MATCH('Estimate Changes'!$F42,Consensus!$A:$A,0),MATCH('Estimate Changes'!AF$6,Consensus!$4:$4,0))</f>
        <v>6.9235454000000001</v>
      </c>
      <c r="AI42" s="1318">
        <f ca="1">+AF42/AH42-1</f>
        <v>0.73321604852912503</v>
      </c>
      <c r="AJ42" s="1191">
        <v>31.4</v>
      </c>
      <c r="AK42" s="890">
        <f ca="1">-INDEX(INDIRECT($D42),MATCH('Estimate Changes'!$F42,INDIRECT($C42),0),MATCH('Estimate Changes'!AK$6,INDIRECT($B42),0))</f>
        <v>28.2</v>
      </c>
      <c r="AL42" s="1319">
        <f ca="1">AK42/AJ42-1</f>
        <v>-0.10191082802547768</v>
      </c>
      <c r="AM42" s="890">
        <f>-INDEX(Consensus!$A$1:$BO$180,MATCH('Estimate Changes'!$F42,Consensus!$A:$A,0),MATCH('Estimate Changes'!AK$6,Consensus!$4:$4,0))</f>
        <v>28.134440000000001</v>
      </c>
      <c r="AN42" s="1319">
        <f ca="1">+AK42/AM42-1</f>
        <v>2.3302400900817588E-3</v>
      </c>
      <c r="AO42" s="1191">
        <v>37.679999999999993</v>
      </c>
      <c r="AP42" s="890">
        <f ca="1">-INDEX(INDIRECT($D42),MATCH('Estimate Changes'!$F42,INDIRECT($C42),0),MATCH('Estimate Changes'!AP$6,INDIRECT($B42),0))</f>
        <v>33.839999999999996</v>
      </c>
      <c r="AQ42" s="1319">
        <f ca="1">AP42/AO42-1</f>
        <v>-0.10191082802547768</v>
      </c>
      <c r="AR42" s="890">
        <f>-INDEX(Consensus!$A$1:$BO$180,MATCH('Estimate Changes'!$F42,Consensus!$A:$A,0),MATCH('Estimate Changes'!AP$6,Consensus!$4:$4,0))</f>
        <v>32.478830000000002</v>
      </c>
      <c r="AS42" s="1320">
        <f ca="1">+AP42/AR42-1</f>
        <v>4.1909453019089549E-2</v>
      </c>
      <c r="AT42" s="1191">
        <v>45.215999999999994</v>
      </c>
      <c r="AU42" s="890">
        <f ca="1">-INDEX(INDIRECT($D42),MATCH('Estimate Changes'!$F42,INDIRECT($C42),0),MATCH('Estimate Changes'!AU$6,INDIRECT($B42),0))</f>
        <v>40.60799999999999</v>
      </c>
      <c r="AV42" s="1319">
        <f ca="1">AU42/AT42-1</f>
        <v>-0.1019108280254778</v>
      </c>
      <c r="AW42" s="890">
        <f>-INDEX(Consensus!$A$1:$BO$180,MATCH('Estimate Changes'!$F42,Consensus!$A:$A,0),MATCH('Estimate Changes'!AU$6,Consensus!$4:$4,0))</f>
        <v>40.304096000000001</v>
      </c>
      <c r="AX42" s="1320">
        <f ca="1">+AU42/AW42-1</f>
        <v>7.5402758072029563E-3</v>
      </c>
      <c r="AY42" s="1191">
        <v>54.259199999999986</v>
      </c>
      <c r="AZ42" s="890">
        <f ca="1">-INDEX(INDIRECT($D42),MATCH('Estimate Changes'!$F42,INDIRECT($C42),0),MATCH('Estimate Changes'!AZ$6,INDIRECT($B42),0))</f>
        <v>48.729599999999991</v>
      </c>
      <c r="BA42" s="1319">
        <f ca="1">AZ42/AY42-1</f>
        <v>-0.10191082802547768</v>
      </c>
      <c r="BB42" s="890">
        <f>-INDEX(Consensus!$A$1:$BO$180,MATCH('Estimate Changes'!$F42,Consensus!$A:$A,0),MATCH('Estimate Changes'!AZ$6,Consensus!$4:$4,0))</f>
        <v>44.65</v>
      </c>
      <c r="BC42" s="1320">
        <f ca="1">+AZ42/BB42-1</f>
        <v>9.1368421052631321E-2</v>
      </c>
      <c r="BD42" s="1191">
        <v>65.111039999999974</v>
      </c>
      <c r="BE42" s="890">
        <f ca="1">-INDEX(INDIRECT($D42),MATCH('Estimate Changes'!$F42,INDIRECT($C42),0),MATCH('Estimate Changes'!BE$6,INDIRECT($B42),0))</f>
        <v>58.475519999999989</v>
      </c>
      <c r="BF42" s="1319">
        <f ca="1">BE42/BD42-1</f>
        <v>-0.10191082802547757</v>
      </c>
      <c r="BG42" s="890">
        <f>-INDEX(Consensus!$A$1:$BO$180,MATCH('Estimate Changes'!$F42,Consensus!$A:$A,0),MATCH('Estimate Changes'!BE$6,Consensus!$4:$4,0))</f>
        <v>53.05</v>
      </c>
      <c r="BH42" s="1320">
        <f ca="1">+BE42/BG42-1</f>
        <v>0.10227181903864269</v>
      </c>
    </row>
    <row r="43" spans="1:60" s="1304" customFormat="1" ht="15" hidden="1" customHeight="1" outlineLevel="1">
      <c r="A43" s="1303"/>
      <c r="B43" s="1304" t="str">
        <f t="shared" ca="1" si="0"/>
        <v>'Not Found'!$5:$5</v>
      </c>
      <c r="C43" s="1304" t="str">
        <f t="shared" ca="1" si="1"/>
        <v>'Not Found'!$A:$A</v>
      </c>
      <c r="D43" s="1304" t="str">
        <f t="shared" ca="1" si="2"/>
        <v>'Not Found'!$1:$1048576</v>
      </c>
      <c r="E43" s="1305" t="str" cm="1">
        <f t="array" aca="1" ref="E43" ca="1">IFERROR(INDEX(SheetNames,MATCH(1,COUNTIF(INDIRECT("'"&amp;SheetNames&amp;"'!A:A"),$F43),0)),"Not Found")</f>
        <v>Not Found</v>
      </c>
      <c r="F43" s="1299"/>
      <c r="K43" s="1306">
        <f ca="1">K42/G42-1</f>
        <v>-0.1428571428571429</v>
      </c>
      <c r="L43" s="1306">
        <f ca="1">L42/H42-1</f>
        <v>2</v>
      </c>
      <c r="M43" s="1306">
        <f ca="1">M42/I42-1</f>
        <v>1.5</v>
      </c>
      <c r="N43" s="1306">
        <f ca="1">N42/J42-1</f>
        <v>0.25</v>
      </c>
      <c r="P43" s="1306">
        <f ca="1">P42/O42-1</f>
        <v>0.36842105263157898</v>
      </c>
      <c r="Q43" s="793" t="s">
        <v>395</v>
      </c>
      <c r="R43" s="1306">
        <v>0.19999999999999996</v>
      </c>
      <c r="S43" s="1306">
        <f ca="1">S42/K42-1</f>
        <v>-0.33333333333333337</v>
      </c>
      <c r="T43" s="1307">
        <f ca="1">(S43-R43)*10000</f>
        <v>-5333.333333333333</v>
      </c>
      <c r="U43" s="1306">
        <f ca="1">+U42/K42-1</f>
        <v>-2.7541666666666687E-2</v>
      </c>
      <c r="V43" s="1306">
        <v>4.607573333333348E-2</v>
      </c>
      <c r="W43" s="1307">
        <f ca="1">(S43-V43)*10000</f>
        <v>-3794.0906666666683</v>
      </c>
      <c r="X43" s="1583"/>
      <c r="Y43" s="1308">
        <v>0.19999999999999996</v>
      </c>
      <c r="Z43" s="1306">
        <f ca="1">Z42/L42-1</f>
        <v>0.19999999999999996</v>
      </c>
      <c r="AA43" s="1307">
        <f ca="1">(Z43-Y43)*10000</f>
        <v>0</v>
      </c>
      <c r="AB43" s="1306">
        <f ca="1">+AB42/L42-1</f>
        <v>5.2083333333333259E-2</v>
      </c>
      <c r="AC43" s="1307">
        <f ca="1">(Z43-AB43)*10000</f>
        <v>1479.166666666667</v>
      </c>
      <c r="AD43" s="1583"/>
      <c r="AE43" s="1308">
        <v>0.19999999999999996</v>
      </c>
      <c r="AF43" s="1306">
        <f ca="1">AF42/M42-1</f>
        <v>0.19999999999999996</v>
      </c>
      <c r="AG43" s="1307">
        <f ca="1">(AF43-AE43)*10000</f>
        <v>0</v>
      </c>
      <c r="AH43" s="1306">
        <f ca="1">+AH42/M42-1</f>
        <v>-0.30764546000000004</v>
      </c>
      <c r="AI43" s="1309">
        <f ca="1">(AF43-AH43)*10000</f>
        <v>5076.4546</v>
      </c>
      <c r="AJ43" s="1308">
        <v>0.20769230769230762</v>
      </c>
      <c r="AK43" s="1306">
        <f ca="1">AK42/P42-1</f>
        <v>8.4615384615384537E-2</v>
      </c>
      <c r="AL43" s="1307"/>
      <c r="AM43" s="1306">
        <f ca="1">+AM42/P42-1</f>
        <v>8.2093846153846295E-2</v>
      </c>
      <c r="AN43" s="1307"/>
      <c r="AO43" s="1308">
        <v>0.19999999999999973</v>
      </c>
      <c r="AP43" s="1306">
        <f ca="1">AP42/AK42-1</f>
        <v>0.19999999999999996</v>
      </c>
      <c r="AQ43" s="1307"/>
      <c r="AR43" s="1306">
        <f>+AR42/AM42-1</f>
        <v>0.15441537133847349</v>
      </c>
      <c r="AS43" s="1309"/>
      <c r="AT43" s="1308">
        <v>0.20000000000000018</v>
      </c>
      <c r="AU43" s="1306">
        <f ca="1">AU42/AP42-1</f>
        <v>0.19999999999999973</v>
      </c>
      <c r="AV43" s="1307"/>
      <c r="AW43" s="1306">
        <f>+AW42/AR42-1</f>
        <v>0.24093435631763827</v>
      </c>
      <c r="AX43" s="1309"/>
      <c r="AY43" s="1308">
        <v>0.19999999999999973</v>
      </c>
      <c r="AZ43" s="1306">
        <f ca="1">AZ42/AU42-1</f>
        <v>0.20000000000000018</v>
      </c>
      <c r="BA43" s="1307"/>
      <c r="BB43" s="1306">
        <f>+BB42/AW42-1</f>
        <v>0.10782784955653146</v>
      </c>
      <c r="BC43" s="1309"/>
      <c r="BD43" s="1308">
        <v>0.19999999999999973</v>
      </c>
      <c r="BE43" s="1306">
        <f ca="1">BE42/AZ42-1</f>
        <v>0.19999999999999996</v>
      </c>
      <c r="BF43" s="1307"/>
      <c r="BG43" s="1306">
        <f>+BG42/BB42-1</f>
        <v>0.18812989921612533</v>
      </c>
      <c r="BH43" s="1309"/>
    </row>
    <row r="44" spans="1:60" s="1304" customFormat="1" ht="15" hidden="1" customHeight="1" outlineLevel="1">
      <c r="A44" s="1303"/>
      <c r="B44" s="1304" t="str">
        <f t="shared" ca="1" si="0"/>
        <v>'Not Found'!$5:$5</v>
      </c>
      <c r="C44" s="1304" t="str">
        <f t="shared" ca="1" si="1"/>
        <v>'Not Found'!$A:$A</v>
      </c>
      <c r="D44" s="1304" t="str">
        <f t="shared" ca="1" si="2"/>
        <v>'Not Found'!$1:$1048576</v>
      </c>
      <c r="E44" s="1305" t="str" cm="1">
        <f t="array" aca="1" ref="E44" ca="1">IFERROR(INDEX(SheetNames,MATCH(1,COUNTIF(INDIRECT("'"&amp;SheetNames&amp;"'!A:A"),$F44),0)),"Not Found")</f>
        <v>Not Found</v>
      </c>
      <c r="F44" s="1299"/>
      <c r="G44" s="1306">
        <f ca="1">+G42/G$13</f>
        <v>3.4229828850855745E-3</v>
      </c>
      <c r="H44" s="1306">
        <f t="shared" ref="H44:P44" ca="1" si="33">+H42/H$13</f>
        <v>9.2506938020351531E-4</v>
      </c>
      <c r="I44" s="1306">
        <f ca="1">+I42/I$13</f>
        <v>1.4224751066856331E-3</v>
      </c>
      <c r="J44" s="1306">
        <f ca="1">+J42/J$13</f>
        <v>1.6949152542372881E-3</v>
      </c>
      <c r="K44" s="1306">
        <f t="shared" ca="1" si="33"/>
        <v>2.2388059701492539E-3</v>
      </c>
      <c r="L44" s="1306">
        <f t="shared" ca="1" si="33"/>
        <v>2.1097046413502108E-3</v>
      </c>
      <c r="M44" s="1306">
        <f ca="1">+M42/M$13</f>
        <v>2.7233115468409588E-3</v>
      </c>
      <c r="N44" s="1306">
        <f ca="1">+N42/N$13</f>
        <v>1.5772870662460567E-3</v>
      </c>
      <c r="O44" s="1306">
        <f ca="1">+O42/O$13</f>
        <v>2.1396396396396395E-3</v>
      </c>
      <c r="P44" s="1306">
        <f t="shared" ca="1" si="33"/>
        <v>2.2499134648667359E-3</v>
      </c>
      <c r="Q44" s="793" t="s">
        <v>412</v>
      </c>
      <c r="R44" s="1306">
        <v>2.0593644748995539E-3</v>
      </c>
      <c r="S44" s="1306">
        <f ca="1">+S42/S$13</f>
        <v>1.1163829193413341E-3</v>
      </c>
      <c r="T44" s="1307">
        <f ca="1">(S44-R44)*10000</f>
        <v>-9.4298155555821968</v>
      </c>
      <c r="U44" s="1306">
        <f>+U42/U$13</f>
        <v>1.6284538096567121E-3</v>
      </c>
      <c r="V44" s="1306">
        <v>1.8238812166243513E-3</v>
      </c>
      <c r="W44" s="1307">
        <f ca="1">(S44-V44)*10000</f>
        <v>-7.0749829728301723</v>
      </c>
      <c r="X44" s="1585"/>
      <c r="Y44" s="1308">
        <v>1.9750407519471807E-3</v>
      </c>
      <c r="Z44" s="1306">
        <f ca="1">+Z42/Z$13</f>
        <v>1.9412640488380981E-3</v>
      </c>
      <c r="AA44" s="1307">
        <f ca="1">(Z44-Y44)*10000</f>
        <v>-0.33776703109082579</v>
      </c>
      <c r="AB44" s="1306">
        <f>+AB42/AB$13</f>
        <v>1.728735458425042E-3</v>
      </c>
      <c r="AC44" s="1307">
        <f ca="1">(Z44-AB44)*10000</f>
        <v>2.1252859041305614</v>
      </c>
      <c r="AD44" s="1585"/>
      <c r="AE44" s="1308">
        <v>2.5632455964495933E-3</v>
      </c>
      <c r="AF44" s="1306">
        <f ca="1">+AF42/AF$13</f>
        <v>2.5264424058700002E-3</v>
      </c>
      <c r="AG44" s="1307">
        <f ca="1">(AF44-AE44)*10000</f>
        <v>-0.36803190579593087</v>
      </c>
      <c r="AH44" s="1306">
        <f>+AH42/AH$13</f>
        <v>1.4868833630063783E-3</v>
      </c>
      <c r="AI44" s="1309">
        <f ca="1">(AF44-AH44)*10000</f>
        <v>10.39559042863622</v>
      </c>
      <c r="AJ44" s="1308">
        <v>2.0942711058162177E-3</v>
      </c>
      <c r="AK44" s="1306">
        <f ca="1">+AK42/AK$13</f>
        <v>1.8538379560854616E-3</v>
      </c>
      <c r="AL44" s="1307">
        <f ca="1">(AK44-AJ44)*10000</f>
        <v>-2.4043314973075618</v>
      </c>
      <c r="AM44" s="1306">
        <f>+AM42/AM$13</f>
        <v>1.8784436175611635E-3</v>
      </c>
      <c r="AN44" s="1307">
        <f t="shared" ref="AN44" ca="1" si="34">(AK44-AM44)*10000</f>
        <v>-0.24605661475701929</v>
      </c>
      <c r="AO44" s="1308">
        <v>2.0409135479251229E-3</v>
      </c>
      <c r="AP44" s="1306">
        <f ca="1">+AP42/AP$13</f>
        <v>1.7685536484574082E-3</v>
      </c>
      <c r="AQ44" s="1307">
        <f ca="1">(AP44-AO44)*10000</f>
        <v>-2.7235989946771473</v>
      </c>
      <c r="AR44" s="1306">
        <f>+AR42/AR$13</f>
        <v>1.7398164973864583E-3</v>
      </c>
      <c r="AS44" s="1309">
        <f ca="1">(AP44-AR44)*10000</f>
        <v>0.28737151070949835</v>
      </c>
      <c r="AT44" s="1308">
        <v>2.0316167847668656E-3</v>
      </c>
      <c r="AU44" s="1306">
        <f ca="1">+AU42/AU$13</f>
        <v>1.7581266425074702E-3</v>
      </c>
      <c r="AV44" s="1307">
        <f ca="1">(AU44-AT44)*10000</f>
        <v>-2.7349014225939539</v>
      </c>
      <c r="AW44" s="1306">
        <f>+AW42/AW$13</f>
        <v>1.7171789489291303E-3</v>
      </c>
      <c r="AX44" s="1309">
        <f t="shared" ref="AX44" ca="1" si="35">(AU44-AW44)*10000</f>
        <v>0.40947693578339889</v>
      </c>
      <c r="AY44" s="1308">
        <v>2.056510680528186E-3</v>
      </c>
      <c r="AZ44" s="1306">
        <f ca="1">+AZ42/AZ$13</f>
        <v>1.7797849513621325E-3</v>
      </c>
      <c r="BA44" s="1307">
        <f ca="1">(AZ44-AY44)*10000</f>
        <v>-2.7672572916605351</v>
      </c>
      <c r="BB44" s="1306">
        <f>+BB42/BB$13</f>
        <v>1.5815868576330959E-3</v>
      </c>
      <c r="BC44" s="1309">
        <f t="shared" ref="BC44" ca="1" si="36">(AZ44-BB44)*10000</f>
        <v>1.9819809372903658</v>
      </c>
      <c r="BD44" s="1308">
        <v>2.1033842877468418E-3</v>
      </c>
      <c r="BE44" s="1306">
        <f ca="1">+BE42/BE$13</f>
        <v>1.8204302556843364E-3</v>
      </c>
      <c r="BF44" s="1307">
        <f ca="1">(BE44-BD44)*10000</f>
        <v>-2.8295403206250542</v>
      </c>
      <c r="BG44" s="1306">
        <f>+BG42/BG$13</f>
        <v>1.589594076702034E-3</v>
      </c>
      <c r="BH44" s="1309">
        <f t="shared" ref="BH44" ca="1" si="37">(BE44-BG44)*10000</f>
        <v>2.308361789823024</v>
      </c>
    </row>
    <row r="45" spans="1:60" s="1255" customFormat="1" ht="15" customHeight="1" collapsed="1">
      <c r="A45" s="1296"/>
      <c r="B45" s="1255" t="str">
        <f t="shared" ca="1" si="0"/>
        <v>'Cash Flow'!$5:$5</v>
      </c>
      <c r="C45" s="1255" t="str">
        <f t="shared" ca="1" si="1"/>
        <v>'Cash Flow'!$A:$A</v>
      </c>
      <c r="D45" s="1255" t="str">
        <f t="shared" ca="1" si="2"/>
        <v>'Cash Flow'!$1:$1048576</v>
      </c>
      <c r="E45" s="1298" t="str" cm="1">
        <f t="array" aca="1" ref="E45" ca="1">IFERROR(INDEX(SheetNames,MATCH(1,COUNTIF(INDIRECT("'"&amp;SheetNames&amp;"'!A:A"),$F45),0)),"Not Found")</f>
        <v>Cash Flow</v>
      </c>
      <c r="F45" s="1313" t="s">
        <v>168</v>
      </c>
      <c r="G45" s="833">
        <f ca="1">INDEX(INDIRECT($D45),MATCH('Estimate Changes'!$F45,INDIRECT($C45),0),MATCH('Estimate Changes'!G$6,INDIRECT($B45),0))</f>
        <v>333</v>
      </c>
      <c r="H45" s="833">
        <f ca="1">INDEX(INDIRECT($D45),MATCH('Estimate Changes'!$F45,INDIRECT($C45),0),MATCH('Estimate Changes'!H$6,INDIRECT($B45),0))</f>
        <v>421</v>
      </c>
      <c r="I45" s="833">
        <f ca="1">INDEX(INDIRECT($D45),MATCH('Estimate Changes'!$F45,INDIRECT($C45),0),MATCH('Estimate Changes'!I$6,INDIRECT($B45),0))</f>
        <v>611</v>
      </c>
      <c r="J45" s="833">
        <f ca="1">INDEX(INDIRECT($D45),MATCH('Estimate Changes'!$F45,INDIRECT($C45),0),MATCH('Estimate Changes'!J$6,INDIRECT($B45),0))</f>
        <v>363</v>
      </c>
      <c r="K45" s="833">
        <f ca="1">INDEX(INDIRECT($D45),MATCH('Estimate Changes'!$F45,INDIRECT($C45),0),MATCH('Estimate Changes'!K$6,INDIRECT($B45),0))</f>
        <v>422</v>
      </c>
      <c r="L45" s="833">
        <f ca="1">INDEX(INDIRECT($D45),MATCH('Estimate Changes'!$F45,INDIRECT($C45),0),MATCH('Estimate Changes'!L$6,INDIRECT($B45),0))</f>
        <v>507</v>
      </c>
      <c r="M45" s="833">
        <f ca="1">INDEX(INDIRECT($D45),MATCH('Estimate Changes'!$F45,INDIRECT($C45),0),MATCH('Estimate Changes'!M$6,INDIRECT($B45),0))</f>
        <v>715</v>
      </c>
      <c r="N45" s="833">
        <f ca="1">INDEX(INDIRECT($D45),MATCH('Estimate Changes'!$F45,INDIRECT($C45),0),MATCH('Estimate Changes'!N$6,INDIRECT($B45),0))</f>
        <v>476</v>
      </c>
      <c r="O45" s="833">
        <f ca="1">INDEX(INDIRECT($D45),MATCH('Estimate Changes'!$F45,INDIRECT($C45),0),MATCH('Estimate Changes'!O$6,INDIRECT($B45),0))</f>
        <v>1597</v>
      </c>
      <c r="P45" s="833">
        <f ca="1">INDEX(INDIRECT($D45),MATCH('Estimate Changes'!$F45,INDIRECT($C45),0),MATCH('Estimate Changes'!P$6,INDIRECT($B45),0))</f>
        <v>2007</v>
      </c>
      <c r="Q45" s="1221" t="s">
        <v>168</v>
      </c>
      <c r="R45" s="1598">
        <v>582.81918906451745</v>
      </c>
      <c r="S45" s="1598">
        <f ca="1">INDEX(INDIRECT($D45),MATCH('Estimate Changes'!$F45,INDIRECT($C45),0),MATCH('Estimate Changes'!S$6,INDIRECT($B45),0))</f>
        <v>654</v>
      </c>
      <c r="T45" s="1599">
        <f ca="1">S45/R45-1</f>
        <v>0.12213189316867701</v>
      </c>
      <c r="U45" s="1598">
        <f>INDEX(Consensus!$A$1:$BO$180,MATCH('Estimate Changes'!$F45,Consensus!$A:$A,0),MATCH('Estimate Changes'!S$6,Consensus!$4:$4,0))</f>
        <v>599.70680000000004</v>
      </c>
      <c r="V45" s="1598">
        <v>540.97076000000004</v>
      </c>
      <c r="W45" s="1599">
        <f ca="1">+S45/V45-1</f>
        <v>0.20893779915202804</v>
      </c>
      <c r="X45" s="1590"/>
      <c r="Y45" s="1222">
        <v>719.63898881385467</v>
      </c>
      <c r="Z45" s="1598">
        <f ca="1">INDEX(INDIRECT($D45),MATCH('Estimate Changes'!$F45,INDIRECT($C45),0),MATCH('Estimate Changes'!Z$6,INDIRECT($B45),0))</f>
        <v>781.51620135144435</v>
      </c>
      <c r="AA45" s="1599">
        <f ca="1">Z45/Y45-1</f>
        <v>8.5983685569314128E-2</v>
      </c>
      <c r="AB45" s="1598">
        <f>INDEX(Consensus!$A$1:$BO$180,MATCH('Estimate Changes'!$F45,Consensus!$A:$A,0),MATCH('Estimate Changes'!Z$6,Consensus!$4:$4,0))</f>
        <v>664.67145000000005</v>
      </c>
      <c r="AC45" s="1599">
        <f ca="1">+Z45/AB45-1</f>
        <v>0.17579324544697128</v>
      </c>
      <c r="AD45" s="1590"/>
      <c r="AE45" s="1222">
        <v>972.73904454715421</v>
      </c>
      <c r="AF45" s="1598">
        <f ca="1">INDEX(INDIRECT($D45),MATCH('Estimate Changes'!$F45,INDIRECT($C45),0),MATCH('Estimate Changes'!AF$6,INDIRECT($B45),0))</f>
        <v>1031.0786688213532</v>
      </c>
      <c r="AG45" s="1599">
        <f ca="1">AF45/AE45-1</f>
        <v>5.9974588869678103E-2</v>
      </c>
      <c r="AH45" s="1598">
        <f>INDEX(Consensus!$A$1:$BO$180,MATCH('Estimate Changes'!$F45,Consensus!$A:$A,0),MATCH('Estimate Changes'!AF$6,Consensus!$4:$4,0))</f>
        <v>954.06899999999996</v>
      </c>
      <c r="AI45" s="1300">
        <f ca="1">+AF45/AH45-1</f>
        <v>8.0717085264643496E-2</v>
      </c>
      <c r="AJ45" s="1231">
        <v>2751.1972224255264</v>
      </c>
      <c r="AK45" s="1229">
        <f ca="1">INDEX(INDIRECT($D45),MATCH('Estimate Changes'!$F45,INDIRECT($C45),0),MATCH('Estimate Changes'!AK$6,INDIRECT($B45),0))</f>
        <v>2942.5948701727975</v>
      </c>
      <c r="AL45" s="1301">
        <f ca="1">AK45/AJ45-1</f>
        <v>6.9568857582129384E-2</v>
      </c>
      <c r="AM45" s="1229">
        <f>INDEX(Consensus!$A$1:$BO$180,MATCH('Estimate Changes'!$F45,Consensus!$A:$A,0),MATCH('Estimate Changes'!AK$6,Consensus!$4:$4,0))</f>
        <v>2738.17</v>
      </c>
      <c r="AN45" s="1301">
        <f ca="1">+AK45/AM45-1</f>
        <v>7.4657479328455567E-2</v>
      </c>
      <c r="AO45" s="1231">
        <v>3546.2300210866856</v>
      </c>
      <c r="AP45" s="1229">
        <f ca="1">INDEX(INDIRECT($D45),MATCH('Estimate Changes'!$F45,INDIRECT($C45),0),MATCH('Estimate Changes'!AP$6,INDIRECT($B45),0))</f>
        <v>3751.3217959994176</v>
      </c>
      <c r="AQ45" s="1301">
        <f ca="1">AP45/AO45-1</f>
        <v>5.7833748429518161E-2</v>
      </c>
      <c r="AR45" s="1229">
        <f>INDEX(Consensus!$A$1:$BO$180,MATCH('Estimate Changes'!$F45,Consensus!$A:$A,0),MATCH('Estimate Changes'!AP$6,Consensus!$4:$4,0))</f>
        <v>3606.2523999999999</v>
      </c>
      <c r="AS45" s="1302">
        <f ca="1">+AP45/AR45-1</f>
        <v>4.0227188756787546E-2</v>
      </c>
      <c r="AT45" s="1231">
        <v>4136.047647542463</v>
      </c>
      <c r="AU45" s="1229">
        <f ca="1">INDEX(INDIRECT($D45),MATCH('Estimate Changes'!$F45,INDIRECT($C45),0),MATCH('Estimate Changes'!AU$6,INDIRECT($B45),0))</f>
        <v>4469.7382304554139</v>
      </c>
      <c r="AV45" s="1301">
        <f ca="1">AU45/AT45-1</f>
        <v>8.067861188959502E-2</v>
      </c>
      <c r="AW45" s="1229">
        <f>INDEX(Consensus!$A$1:$BO$180,MATCH('Estimate Changes'!$F45,Consensus!$A:$A,0),MATCH('Estimate Changes'!AU$6,Consensus!$4:$4,0))</f>
        <v>5300.0829999999996</v>
      </c>
      <c r="AX45" s="1302">
        <f ca="1">+AU45/AW45-1</f>
        <v>-0.15666637098788561</v>
      </c>
      <c r="AY45" s="1231">
        <v>5043.7748129399679</v>
      </c>
      <c r="AZ45" s="1229">
        <f ca="1">INDEX(INDIRECT($D45),MATCH('Estimate Changes'!$F45,INDIRECT($C45),0),MATCH('Estimate Changes'!AZ$6,INDIRECT($B45),0))</f>
        <v>5324.3603222123311</v>
      </c>
      <c r="BA45" s="1301">
        <f ca="1">AZ45/AY45-1</f>
        <v>5.5630062736447217E-2</v>
      </c>
      <c r="BB45" s="1229">
        <f>INDEX(Consensus!$A$1:$BO$180,MATCH('Estimate Changes'!$F45,Consensus!$A:$A,0),MATCH('Estimate Changes'!AZ$6,Consensus!$4:$4,0))</f>
        <v>5796.2665999999999</v>
      </c>
      <c r="BC45" s="1302">
        <f ca="1">+AZ45/BB45-1</f>
        <v>-8.1415557694959895E-2</v>
      </c>
      <c r="BD45" s="1231">
        <v>6106.0337397057374</v>
      </c>
      <c r="BE45" s="1229">
        <f ca="1">INDEX(INDIRECT($D45),MATCH('Estimate Changes'!$F45,INDIRECT($C45),0),MATCH('Estimate Changes'!BE$6,INDIRECT($B45),0))</f>
        <v>6362.5813605291205</v>
      </c>
      <c r="BF45" s="1301">
        <f ca="1">BE45/BD45-1</f>
        <v>4.2015427978252085E-2</v>
      </c>
      <c r="BG45" s="1229">
        <f>INDEX(Consensus!$A$1:$BO$180,MATCH('Estimate Changes'!$F45,Consensus!$A:$A,0),MATCH('Estimate Changes'!BE$6,Consensus!$4:$4,0))</f>
        <v>7107.6665000000003</v>
      </c>
      <c r="BH45" s="1302">
        <f ca="1">+BE45/BG45-1</f>
        <v>-0.10482837643984555</v>
      </c>
    </row>
    <row r="46" spans="1:60" s="1304" customFormat="1" ht="15" customHeight="1">
      <c r="A46" s="1303"/>
      <c r="B46" s="1304" t="str">
        <f t="shared" ca="1" si="0"/>
        <v>'Not Found'!$5:$5</v>
      </c>
      <c r="C46" s="1304" t="str">
        <f t="shared" ca="1" si="1"/>
        <v>'Not Found'!$A:$A</v>
      </c>
      <c r="D46" s="1304" t="str">
        <f t="shared" ca="1" si="2"/>
        <v>'Not Found'!$1:$1048576</v>
      </c>
      <c r="E46" s="1305" t="str" cm="1">
        <f t="array" aca="1" ref="E46" ca="1">IFERROR(INDEX(SheetNames,MATCH(1,COUNTIF(INDIRECT("'"&amp;SheetNames&amp;"'!A:A"),$F46),0)),"Not Found")</f>
        <v>Not Found</v>
      </c>
      <c r="F46" s="1299"/>
      <c r="K46" s="1306">
        <f ca="1">K45/G45-1</f>
        <v>0.26726726726726735</v>
      </c>
      <c r="L46" s="1306">
        <f ca="1">L45/H45-1</f>
        <v>0.20427553444180524</v>
      </c>
      <c r="M46" s="1306">
        <f ca="1">M45/I45-1</f>
        <v>0.17021276595744683</v>
      </c>
      <c r="N46" s="1306">
        <f ca="1">N45/J45-1</f>
        <v>0.31129476584022031</v>
      </c>
      <c r="P46" s="1306">
        <f ca="1">P45/O45-1</f>
        <v>0.25673137132122736</v>
      </c>
      <c r="Q46" s="793" t="s">
        <v>395</v>
      </c>
      <c r="R46" s="1306">
        <v>0.38108812574530204</v>
      </c>
      <c r="S46" s="1306">
        <f ca="1">S45/K45-1</f>
        <v>0.54976303317535535</v>
      </c>
      <c r="T46" s="1307">
        <f ca="1">(S46-R46)*10000</f>
        <v>1686.749074300533</v>
      </c>
      <c r="U46" s="1306">
        <f ca="1">+U45/K45-1</f>
        <v>0.42110616113744093</v>
      </c>
      <c r="V46" s="1306">
        <v>0.28192123222748822</v>
      </c>
      <c r="W46" s="1307">
        <f ca="1">(S46-V46)*10000</f>
        <v>2678.4180094786716</v>
      </c>
      <c r="X46" s="1583"/>
      <c r="Y46" s="1308">
        <v>0.41940628957367787</v>
      </c>
      <c r="Z46" s="1306">
        <f ca="1">Z45/L45-1</f>
        <v>0.54145207367148784</v>
      </c>
      <c r="AA46" s="1307">
        <f ca="1">(Z46-Y46)*10000</f>
        <v>1220.4578409780997</v>
      </c>
      <c r="AB46" s="1306">
        <f ca="1">+AB45/L45-1</f>
        <v>0.31098905325443793</v>
      </c>
      <c r="AC46" s="1307">
        <f ca="1">(Z46-AB46)*10000</f>
        <v>2304.6302041704989</v>
      </c>
      <c r="AD46" s="1583"/>
      <c r="AE46" s="1308">
        <v>0.36047418817783816</v>
      </c>
      <c r="AF46" s="1306">
        <f ca="1">AF45/M45-1</f>
        <v>0.44206806828161294</v>
      </c>
      <c r="AG46" s="1307">
        <f ca="1">(AF46-AE46)*10000</f>
        <v>815.93880103774779</v>
      </c>
      <c r="AH46" s="1306">
        <f ca="1">+AH45/M45-1</f>
        <v>0.33436223776223772</v>
      </c>
      <c r="AI46" s="1309">
        <f ca="1">(AF46-AH46)*10000</f>
        <v>1077.0583051937522</v>
      </c>
      <c r="AJ46" s="1308">
        <v>0.37080080838342133</v>
      </c>
      <c r="AK46" s="1306">
        <f ca="1">AK45/P45-1</f>
        <v>0.46616585459531512</v>
      </c>
      <c r="AL46" s="1307"/>
      <c r="AM46" s="1306">
        <f ca="1">+AM45/P45-1</f>
        <v>0.36430991529646239</v>
      </c>
      <c r="AN46" s="1307"/>
      <c r="AO46" s="1308">
        <v>0.28897702868434783</v>
      </c>
      <c r="AP46" s="1306">
        <f ca="1">AP45/AK45-1</f>
        <v>0.2748346141781759</v>
      </c>
      <c r="AQ46" s="1307"/>
      <c r="AR46" s="1306">
        <f>+AR45/AM45-1</f>
        <v>0.31703013326418739</v>
      </c>
      <c r="AS46" s="1309"/>
      <c r="AT46" s="1308">
        <v>0.16632243902639932</v>
      </c>
      <c r="AU46" s="1306">
        <f ca="1">AU45/AP45-1</f>
        <v>0.19151021253952361</v>
      </c>
      <c r="AV46" s="1307"/>
      <c r="AW46" s="1306">
        <f>+AW45/AR45-1</f>
        <v>0.46969274807276373</v>
      </c>
      <c r="AX46" s="1309"/>
      <c r="AY46" s="1308">
        <v>0.21946728924577408</v>
      </c>
      <c r="AZ46" s="1306">
        <f ca="1">AZ45/AU45-1</f>
        <v>0.19120182160417953</v>
      </c>
      <c r="BA46" s="1307"/>
      <c r="BB46" s="1306">
        <f>+BB45/AW45-1</f>
        <v>9.3618081075334203E-2</v>
      </c>
      <c r="BC46" s="1309"/>
      <c r="BD46" s="1308">
        <v>0.21060792088506997</v>
      </c>
      <c r="BE46" s="1306">
        <f ca="1">BE45/AZ45-1</f>
        <v>0.19499451116888289</v>
      </c>
      <c r="BF46" s="1307"/>
      <c r="BG46" s="1306">
        <f>+BG45/BB45-1</f>
        <v>0.22624906521725552</v>
      </c>
      <c r="BH46" s="1309"/>
    </row>
    <row r="47" spans="1:60" s="1304" customFormat="1" ht="30" customHeight="1">
      <c r="A47" s="1303"/>
      <c r="B47" s="1304" t="str">
        <f t="shared" ca="1" si="0"/>
        <v>'Not Found'!$5:$5</v>
      </c>
      <c r="C47" s="1304" t="str">
        <f t="shared" ca="1" si="1"/>
        <v>'Not Found'!$A:$A</v>
      </c>
      <c r="D47" s="1304" t="str">
        <f t="shared" ca="1" si="2"/>
        <v>'Not Found'!$1:$1048576</v>
      </c>
      <c r="E47" s="1305" t="str" cm="1">
        <f t="array" aca="1" ref="E47" ca="1">IFERROR(INDEX(SheetNames,MATCH(1,COUNTIF(INDIRECT("'"&amp;SheetNames&amp;"'!A:A"),$F47),0)),"Not Found")</f>
        <v>Not Found</v>
      </c>
      <c r="F47" s="1299"/>
      <c r="G47" s="1306">
        <f ca="1">+G45/G$13</f>
        <v>0.16283618581907092</v>
      </c>
      <c r="H47" s="1306">
        <f t="shared" ref="H47:P47" ca="1" si="38">+H45/H$13</f>
        <v>0.19472710453283995</v>
      </c>
      <c r="I47" s="1306">
        <f ca="1">+I45/I$13</f>
        <v>0.21728307254623044</v>
      </c>
      <c r="J47" s="1306">
        <f ca="1">+J45/J$13</f>
        <v>0.15381355932203389</v>
      </c>
      <c r="K47" s="1306">
        <f t="shared" ca="1" si="38"/>
        <v>0.15746268656716417</v>
      </c>
      <c r="L47" s="1306">
        <f t="shared" ca="1" si="38"/>
        <v>0.17827004219409281</v>
      </c>
      <c r="M47" s="1306">
        <f ca="1">+M45/M$13</f>
        <v>0.19471677559912853</v>
      </c>
      <c r="N47" s="1306">
        <f ca="1">+N45/N$13</f>
        <v>0.15015772870662461</v>
      </c>
      <c r="O47" s="1306">
        <f ca="1">+O45/O$13</f>
        <v>0.17984234234234234</v>
      </c>
      <c r="P47" s="1306">
        <f t="shared" ca="1" si="38"/>
        <v>0.17367601246105918</v>
      </c>
      <c r="Q47" s="797" t="s">
        <v>402</v>
      </c>
      <c r="R47" s="1321">
        <v>0.16669960184017138</v>
      </c>
      <c r="S47" s="1321">
        <f ca="1">+S45/S$13</f>
        <v>0.18252860731230813</v>
      </c>
      <c r="T47" s="1322">
        <f ca="1">(S47-R47)*10000</f>
        <v>158.29005472136754</v>
      </c>
      <c r="U47" s="1321">
        <f>+U45/U$13</f>
        <v>0.16737560703321241</v>
      </c>
      <c r="V47" s="1321">
        <v>0.15720123895220206</v>
      </c>
      <c r="W47" s="1322">
        <f ca="1">(S47-V47)*10000</f>
        <v>253.27368360106072</v>
      </c>
      <c r="X47" s="1577" t="s">
        <v>825</v>
      </c>
      <c r="Y47" s="1323">
        <v>0.19740504577742005</v>
      </c>
      <c r="Z47" s="1717">
        <f ca="1">+Z45/Z$13</f>
        <v>0.21071240350945492</v>
      </c>
      <c r="AA47" s="1322">
        <f ca="1">(Z47-Y47)*10000</f>
        <v>133.0735773203487</v>
      </c>
      <c r="AB47" s="1321">
        <f>+AB45/AB$13</f>
        <v>0.18202631347608514</v>
      </c>
      <c r="AC47" s="1322">
        <f ca="1">(Z47-AB47)*10000</f>
        <v>286.86090033369777</v>
      </c>
      <c r="AD47" s="1577" t="s">
        <v>833</v>
      </c>
      <c r="AE47" s="1323">
        <v>0.20778075603583981</v>
      </c>
      <c r="AF47" s="1321">
        <f ca="1">+AF45/AF$13</f>
        <v>0.21708007272485472</v>
      </c>
      <c r="AG47" s="1322">
        <f ca="1">(AF47-AE47)*10000</f>
        <v>92.993166890149027</v>
      </c>
      <c r="AH47" s="1321">
        <f>+AH45/AH$13</f>
        <v>0.20489348177887767</v>
      </c>
      <c r="AI47" s="1324">
        <f ca="1">(AF47-AH47)*10000</f>
        <v>121.86590945977044</v>
      </c>
      <c r="AJ47" s="1323">
        <v>0.18349531367285393</v>
      </c>
      <c r="AK47" s="1321">
        <f ca="1">+AK45/AK$13</f>
        <v>0.19344305176271998</v>
      </c>
      <c r="AL47" s="1322">
        <f ca="1">(AK47-AJ47)*10000</f>
        <v>99.477380898660428</v>
      </c>
      <c r="AM47" s="1321">
        <f>+AM45/AM$13</f>
        <v>0.18281856544141098</v>
      </c>
      <c r="AN47" s="1322">
        <f ca="1">(AK47-AM47)*10000</f>
        <v>106.24486321308996</v>
      </c>
      <c r="AO47" s="1323">
        <v>0.19207932309168291</v>
      </c>
      <c r="AP47" s="1321">
        <f ca="1">+AP45/AP$13</f>
        <v>0.19605241870131701</v>
      </c>
      <c r="AQ47" s="1322">
        <f ca="1">(AP47-AO47)*10000</f>
        <v>39.730956096341032</v>
      </c>
      <c r="AR47" s="1321">
        <f>+AR45/AR$13</f>
        <v>0.19317867728792906</v>
      </c>
      <c r="AS47" s="1324">
        <f ca="1">(AP47-AR47)*10000</f>
        <v>28.737414133879479</v>
      </c>
      <c r="AT47" s="1323">
        <v>0.18583828342495529</v>
      </c>
      <c r="AU47" s="1321">
        <f ca="1">+AU45/AU$13</f>
        <v>0.19351767799443115</v>
      </c>
      <c r="AV47" s="1322">
        <f ca="1">(AU47-AT47)*10000</f>
        <v>76.793945694758619</v>
      </c>
      <c r="AW47" s="1321">
        <f>+AW45/AW$13</f>
        <v>0.22581305272737417</v>
      </c>
      <c r="AX47" s="1324">
        <f t="shared" ref="AX47" ca="1" si="39">(AU47-AW47)*10000</f>
        <v>-322.95374732943026</v>
      </c>
      <c r="AY47" s="1323">
        <v>0.19116715272230514</v>
      </c>
      <c r="AZ47" s="1321">
        <f ca="1">+AZ45/AZ$13</f>
        <v>0.19446530193359157</v>
      </c>
      <c r="BA47" s="1322">
        <f ca="1">(AZ47-AY47)*10000</f>
        <v>32.981492112864331</v>
      </c>
      <c r="BB47" s="1321">
        <f>+BB45/BB$13</f>
        <v>0.20531464900106761</v>
      </c>
      <c r="BC47" s="1324">
        <f t="shared" ref="BC47" ca="1" si="40">(AZ47-BB47)*10000</f>
        <v>-108.49347067476035</v>
      </c>
      <c r="BD47" s="1323">
        <v>0.19725280733573203</v>
      </c>
      <c r="BE47" s="1321">
        <f ca="1">+BE45/BE$13</f>
        <v>0.19807665862501816</v>
      </c>
      <c r="BF47" s="1322">
        <f ca="1">(BE47-BD47)*10000</f>
        <v>8.2385128928613724</v>
      </c>
      <c r="BG47" s="1321">
        <f>+BG45/BG$13</f>
        <v>0.21297463840854813</v>
      </c>
      <c r="BH47" s="1324">
        <f t="shared" ref="BH47" ca="1" si="41">(BE47-BG47)*10000</f>
        <v>-148.97979783529968</v>
      </c>
    </row>
    <row r="48" spans="1:60">
      <c r="R48" s="1250">
        <v>46237</v>
      </c>
      <c r="S48" s="1249">
        <f ca="1">TODAY()</f>
        <v>46239</v>
      </c>
      <c r="U48" s="1249">
        <f ca="1">TODAY()</f>
        <v>46239</v>
      </c>
      <c r="V48" s="1250">
        <v>46237</v>
      </c>
      <c r="Y48" s="1250">
        <v>46237</v>
      </c>
      <c r="Z48" s="1249">
        <f ca="1">TODAY()</f>
        <v>46239</v>
      </c>
      <c r="AB48" s="1249">
        <f ca="1">TODAY()</f>
        <v>46239</v>
      </c>
      <c r="AE48" s="1250">
        <v>46237</v>
      </c>
      <c r="AF48" s="1249">
        <f ca="1">TODAY()</f>
        <v>46239</v>
      </c>
      <c r="AH48" s="1249">
        <f ca="1">TODAY()</f>
        <v>46239</v>
      </c>
      <c r="AJ48" s="1250">
        <v>46237</v>
      </c>
      <c r="AK48" s="1249">
        <f ca="1">TODAY()</f>
        <v>46239</v>
      </c>
      <c r="AM48" s="1249">
        <f ca="1">TODAY()</f>
        <v>46239</v>
      </c>
      <c r="AO48" s="1250">
        <v>46237</v>
      </c>
      <c r="AP48" s="1249">
        <f ca="1">TODAY()</f>
        <v>46239</v>
      </c>
      <c r="AR48" s="1249">
        <f ca="1">TODAY()</f>
        <v>46239</v>
      </c>
      <c r="AT48" s="1250">
        <v>46237</v>
      </c>
      <c r="AU48" s="1249">
        <f ca="1">TODAY()</f>
        <v>46239</v>
      </c>
      <c r="AW48" s="1249">
        <f ca="1">TODAY()</f>
        <v>46239</v>
      </c>
      <c r="AY48" s="1250">
        <v>46237</v>
      </c>
      <c r="AZ48" s="1249">
        <f ca="1">TODAY()</f>
        <v>46239</v>
      </c>
      <c r="BB48" s="1249">
        <f ca="1">TODAY()</f>
        <v>46239</v>
      </c>
      <c r="BD48" s="1250">
        <v>46237</v>
      </c>
      <c r="BE48" s="1249">
        <f ca="1">TODAY()</f>
        <v>46239</v>
      </c>
      <c r="BG48" s="1249">
        <f ca="1">TODAY()</f>
        <v>46239</v>
      </c>
    </row>
    <row r="49" spans="26:27">
      <c r="Z49"/>
      <c r="AA49"/>
    </row>
  </sheetData>
  <pageMargins left="0.7" right="0.7" top="0.75" bottom="0.75" header="0.3" footer="0.3"/>
  <pageSetup orientation="portrait"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AEA39-860D-4CF5-A0AD-2952A642FF44}">
  <sheetPr codeName="Sheet12">
    <tabColor theme="6" tint="-0.249977111117893"/>
  </sheetPr>
  <dimension ref="B1:AJ66"/>
  <sheetViews>
    <sheetView showGridLines="0" zoomScaleNormal="100" workbookViewId="0">
      <selection activeCell="H1" sqref="H1"/>
    </sheetView>
  </sheetViews>
  <sheetFormatPr defaultColWidth="10.33203125" defaultRowHeight="13.2" outlineLevelCol="2"/>
  <cols>
    <col min="1" max="1" width="1.6640625" style="783" customWidth="1"/>
    <col min="2" max="6" width="10.33203125" style="783" hidden="1" customWidth="1" outlineLevel="2"/>
    <col min="7" max="7" width="18" style="834" bestFit="1" customWidth="1" collapsed="1"/>
    <col min="8" max="9" width="10" style="783" customWidth="1"/>
    <col min="10" max="10" width="1.6640625" customWidth="1"/>
    <col min="11" max="11" width="22.6640625" style="786" bestFit="1" customWidth="1"/>
    <col min="12" max="13" width="8.44140625" style="783" hidden="1" customWidth="1" outlineLevel="2"/>
    <col min="14" max="14" width="9.33203125" style="783" hidden="1" customWidth="1" outlineLevel="2"/>
    <col min="15" max="15" width="8.44140625" style="783" hidden="1" customWidth="1" outlineLevel="2"/>
    <col min="16" max="16" width="8.44140625" style="783" bestFit="1" customWidth="1" collapsed="1"/>
    <col min="17" max="17" width="9.5546875" style="783" hidden="1" customWidth="1" outlineLevel="2"/>
    <col min="18" max="18" width="9.5546875" style="783" bestFit="1" customWidth="1" collapsed="1"/>
    <col min="19" max="19" width="8.44140625" style="783" customWidth="1" outlineLevel="1"/>
    <col min="20" max="20" width="7.6640625" style="783" customWidth="1" outlineLevel="1"/>
    <col min="21" max="21" width="19.88671875" style="783" bestFit="1" customWidth="1"/>
    <col min="22" max="22" width="8.33203125" style="783" hidden="1" customWidth="1" outlineLevel="2"/>
    <col min="23" max="23" width="8.109375" style="783" customWidth="1" collapsed="1"/>
    <col min="24" max="24" width="9.5546875" style="783" bestFit="1" customWidth="1"/>
    <col min="25" max="25" width="9.5546875" style="783" hidden="1" customWidth="1" outlineLevel="2"/>
    <col min="26" max="26" width="21.77734375" style="783" bestFit="1" customWidth="1" outlineLevel="1" collapsed="1"/>
    <col min="27" max="27" width="10" style="783" hidden="1" customWidth="1" outlineLevel="2"/>
    <col min="28" max="29" width="10" style="783" customWidth="1"/>
    <col min="30" max="30" width="10" style="783" hidden="1" customWidth="1" outlineLevel="2"/>
    <col min="31" max="31" width="10" hidden="1" customWidth="1" outlineLevel="2"/>
    <col min="32" max="33" width="10" style="783" customWidth="1" collapsed="1"/>
    <col min="34" max="34" width="10" style="783" hidden="1" customWidth="1" outlineLevel="2"/>
    <col min="35" max="35" width="10.33203125" style="783" collapsed="1"/>
    <col min="36" max="16384" width="10.33203125" style="783"/>
  </cols>
  <sheetData>
    <row r="1" spans="2:36" ht="14.4">
      <c r="G1" s="783" t="s">
        <v>507</v>
      </c>
      <c r="H1" s="798">
        <v>46203</v>
      </c>
      <c r="I1" s="798" t="s">
        <v>156</v>
      </c>
      <c r="K1" s="783"/>
      <c r="O1" s="835"/>
      <c r="P1" s="835"/>
      <c r="AJ1" s="783" t="s">
        <v>738</v>
      </c>
    </row>
    <row r="2" spans="2:36" ht="14.4">
      <c r="G2" s="783" t="s">
        <v>508</v>
      </c>
      <c r="H2" s="787">
        <f>EOMONTH(H1,-3)</f>
        <v>46112</v>
      </c>
      <c r="I2" s="787"/>
      <c r="K2" s="783"/>
      <c r="O2" s="835"/>
      <c r="P2" s="835"/>
    </row>
    <row r="3" spans="2:36" ht="14.4">
      <c r="G3" s="783" t="s">
        <v>509</v>
      </c>
      <c r="H3" s="787">
        <f>EOMONTH(H1,3)</f>
        <v>46295</v>
      </c>
      <c r="I3" s="787"/>
      <c r="K3" s="783"/>
      <c r="O3" s="835"/>
      <c r="P3" s="835"/>
    </row>
    <row r="4" spans="2:36" ht="14.4">
      <c r="G4" s="783" t="s">
        <v>510</v>
      </c>
      <c r="H4" s="783">
        <f>YEAR(H1)</f>
        <v>2026</v>
      </c>
      <c r="K4" s="783"/>
      <c r="O4" s="835"/>
      <c r="P4" s="835"/>
    </row>
    <row r="5" spans="2:36" ht="11.25" customHeight="1">
      <c r="G5" s="783" t="s">
        <v>511</v>
      </c>
      <c r="H5" s="783">
        <f>H4-1</f>
        <v>2025</v>
      </c>
      <c r="K5" s="783"/>
      <c r="X5" s="1357"/>
    </row>
    <row r="6" spans="2:36">
      <c r="G6" s="783" t="s">
        <v>512</v>
      </c>
      <c r="H6" s="783">
        <f>H4+1</f>
        <v>2027</v>
      </c>
      <c r="K6" s="783"/>
    </row>
    <row r="7" spans="2:36">
      <c r="G7" s="783" t="s">
        <v>513</v>
      </c>
      <c r="H7" s="783">
        <f>H4+2</f>
        <v>2028</v>
      </c>
      <c r="K7" s="783"/>
      <c r="V7" s="785">
        <f>H3</f>
        <v>46295</v>
      </c>
      <c r="X7" s="1357"/>
      <c r="AA7" s="784">
        <f>H4</f>
        <v>2026</v>
      </c>
      <c r="AE7">
        <f>+AA7+1</f>
        <v>2027</v>
      </c>
    </row>
    <row r="8" spans="2:36" ht="13.8" thickBot="1">
      <c r="G8" s="783" t="s">
        <v>514</v>
      </c>
      <c r="H8" s="787">
        <f>EOMONTH(H1,-12)</f>
        <v>45838</v>
      </c>
      <c r="I8" s="787"/>
      <c r="K8" s="783"/>
      <c r="L8" s="785">
        <f>+EOMONTH(O8,-12)</f>
        <v>45838</v>
      </c>
      <c r="M8" s="785">
        <f>+EOMONTH(L8,3)</f>
        <v>45930</v>
      </c>
      <c r="N8" s="785">
        <f>H2</f>
        <v>46112</v>
      </c>
      <c r="O8" s="785">
        <f>H1</f>
        <v>46203</v>
      </c>
      <c r="P8" s="788" t="s">
        <v>723</v>
      </c>
      <c r="Q8" s="88" t="s">
        <v>703</v>
      </c>
      <c r="R8" s="788" t="s">
        <v>723</v>
      </c>
      <c r="S8" s="784"/>
      <c r="T8" s="784"/>
      <c r="U8" s="88"/>
      <c r="V8" s="783" t="s">
        <v>722</v>
      </c>
      <c r="W8" s="788" t="s">
        <v>723</v>
      </c>
      <c r="X8" s="88" t="s">
        <v>703</v>
      </c>
      <c r="Y8" s="788" t="s">
        <v>723</v>
      </c>
      <c r="Z8" s="88"/>
      <c r="AA8" s="783" t="s">
        <v>387</v>
      </c>
      <c r="AB8" s="788" t="s">
        <v>723</v>
      </c>
      <c r="AC8" s="88" t="s">
        <v>703</v>
      </c>
      <c r="AD8" s="788" t="s">
        <v>388</v>
      </c>
      <c r="AE8" t="s">
        <v>387</v>
      </c>
      <c r="AF8" s="788" t="s">
        <v>723</v>
      </c>
      <c r="AG8" s="88" t="s">
        <v>703</v>
      </c>
      <c r="AH8" s="788" t="s">
        <v>388</v>
      </c>
    </row>
    <row r="9" spans="2:36" s="790" customFormat="1">
      <c r="J9"/>
      <c r="K9" s="1330"/>
      <c r="L9" s="1331" t="str">
        <f>HLOOKUP(L8,Income!1:5,4,0)</f>
        <v>2Q25A</v>
      </c>
      <c r="M9" s="1332" t="str">
        <f>HLOOKUP(M8,Income!1:5,4,0)</f>
        <v>3Q25A</v>
      </c>
      <c r="N9" s="1333" t="str">
        <f>HLOOKUP(N8,Income!1:5,4,0)</f>
        <v>1Q26A</v>
      </c>
      <c r="O9" s="1677" t="str">
        <f>P9</f>
        <v>2Q26A</v>
      </c>
      <c r="P9" s="1486" t="str">
        <f>HLOOKUP(O8,Income!1:5,4,0)</f>
        <v>2Q26A</v>
      </c>
      <c r="Q9" s="1334"/>
      <c r="R9" s="1334"/>
      <c r="S9" s="1335"/>
      <c r="T9" s="1335"/>
      <c r="U9" s="1336"/>
      <c r="V9" s="1677" t="str">
        <f>W9</f>
        <v>3Q26E</v>
      </c>
      <c r="W9" s="1486" t="str">
        <f>HLOOKUP(V7,Income!1:5,4,0)</f>
        <v>3Q26E</v>
      </c>
      <c r="X9" s="1336"/>
      <c r="Y9" s="1334"/>
      <c r="Z9" s="1336"/>
      <c r="AA9" t="str">
        <f>AB9</f>
        <v>2026E</v>
      </c>
      <c r="AB9" s="1486" t="str">
        <f>HLOOKUP(AA7,Income!1:5,4,0)</f>
        <v>2026E</v>
      </c>
      <c r="AC9" s="1336"/>
      <c r="AD9" s="1334"/>
      <c r="AE9" t="str">
        <f>AF9</f>
        <v>2027E</v>
      </c>
      <c r="AF9" s="1335" t="str">
        <f>HLOOKUP(AE7,Income!1:5,4,0)</f>
        <v>2027E</v>
      </c>
      <c r="AG9" s="1336"/>
      <c r="AH9" s="1257"/>
    </row>
    <row r="10" spans="2:36" s="790" customFormat="1" ht="15" thickBot="1">
      <c r="G10" s="846" t="s">
        <v>516</v>
      </c>
      <c r="H10" s="846"/>
      <c r="I10" s="846" t="s">
        <v>737</v>
      </c>
      <c r="J10"/>
      <c r="K10" s="1337" t="s">
        <v>501</v>
      </c>
      <c r="L10" s="900" t="s">
        <v>150</v>
      </c>
      <c r="M10" s="1252" t="s">
        <v>150</v>
      </c>
      <c r="N10" s="1205" t="s">
        <v>150</v>
      </c>
      <c r="O10" s="900" t="s">
        <v>502</v>
      </c>
      <c r="P10" s="1487" t="s">
        <v>682</v>
      </c>
      <c r="Q10" s="900" t="s">
        <v>124</v>
      </c>
      <c r="R10" s="900" t="s">
        <v>124</v>
      </c>
      <c r="S10" s="900" t="s">
        <v>150</v>
      </c>
      <c r="T10" s="900" t="s">
        <v>504</v>
      </c>
      <c r="U10" s="1338" t="s">
        <v>578</v>
      </c>
      <c r="V10" s="900" t="s">
        <v>503</v>
      </c>
      <c r="W10" s="1487" t="s">
        <v>721</v>
      </c>
      <c r="X10" s="900" t="s">
        <v>124</v>
      </c>
      <c r="Y10" s="900" t="s">
        <v>124</v>
      </c>
      <c r="Z10" s="1338" t="s">
        <v>578</v>
      </c>
      <c r="AA10" s="900" t="s">
        <v>503</v>
      </c>
      <c r="AB10" s="1487" t="s">
        <v>503</v>
      </c>
      <c r="AC10" s="1338" t="s">
        <v>124</v>
      </c>
      <c r="AD10" s="900" t="s">
        <v>124</v>
      </c>
      <c r="AE10" s="900" t="s">
        <v>503</v>
      </c>
      <c r="AF10" s="900" t="s">
        <v>503</v>
      </c>
      <c r="AG10" s="1338" t="s">
        <v>124</v>
      </c>
      <c r="AH10" s="900" t="s">
        <v>124</v>
      </c>
    </row>
    <row r="11" spans="2:36" s="790" customFormat="1">
      <c r="B11" s="694" t="str">
        <f ca="1">"'"&amp;E11&amp;"'"&amp;"!$5:$5"</f>
        <v>'Revenue Build'!$5:$5</v>
      </c>
      <c r="C11" s="694" t="str">
        <f ca="1">"'"&amp;E11&amp;"'"&amp;"!$A:$A"</f>
        <v>'Revenue Build'!$A:$A</v>
      </c>
      <c r="D11" s="694" t="str">
        <f ca="1">"'"&amp;$E11&amp;"'"&amp;"!$1:$1048576"</f>
        <v>'Revenue Build'!$1:$1048576</v>
      </c>
      <c r="E11" s="808" t="str" cm="1">
        <f t="array" aca="1" ref="E11" ca="1">IFERROR(INDEX(SheetNames,MATCH(1,COUNTIF(INDIRECT("'"&amp;SheetNames&amp;"'!A:A"),$F11),0)),"Not Found")</f>
        <v>Revenue Build</v>
      </c>
      <c r="F11" s="794" t="s">
        <v>337</v>
      </c>
      <c r="G11" s="841" t="s">
        <v>337</v>
      </c>
      <c r="H11" s="842">
        <v>115567</v>
      </c>
      <c r="I11" s="842">
        <v>123841</v>
      </c>
      <c r="J11"/>
      <c r="K11" s="1339" t="s">
        <v>337</v>
      </c>
      <c r="L11" s="1265">
        <f ca="1">INDEX(INDIRECT($D11),MATCH('Quarterly Flash'!$F11,INDIRECT($C11),0),MATCH('Quarterly Flash'!L$8,INDIRECT($B11),0))</f>
        <v>87837</v>
      </c>
      <c r="M11" s="1266">
        <f ca="1">INDEX(INDIRECT($D11),MATCH('Quarterly Flash'!$F11,INDIRECT($C11),0),MATCH('Quarterly Flash'!M$8,INDIRECT($B11),0))</f>
        <v>92013</v>
      </c>
      <c r="N11" s="1265">
        <f ca="1">INDEX(INDIRECT($D11),MATCH('Quarterly Flash'!$F11,INDIRECT($C11),0),MATCH('Quarterly Flash'!N$8,INDIRECT($B11),0))</f>
        <v>100743</v>
      </c>
      <c r="O11" s="1501">
        <f ca="1">INDEX(INDIRECT($D11),MATCH('Quarterly Flash'!$F11,INDIRECT($C11),0),MATCH('Quarterly Flash'!O$8,INDIRECT($B11),0))</f>
        <v>115567</v>
      </c>
      <c r="P11" s="1488">
        <v>114188.1</v>
      </c>
      <c r="Q11" s="1678">
        <f>INDEX(Consensus!$A$1:$BO$180,MATCH('Quarterly Flash'!$F11,Consensus!$A:$A,0),MATCH('Quarterly Flash'!O$8,Consensus!$4:$4,0))</f>
        <v>115567</v>
      </c>
      <c r="R11" s="1265">
        <v>112088.31</v>
      </c>
      <c r="S11" s="1679">
        <f>+H11</f>
        <v>115567</v>
      </c>
      <c r="T11" s="1680">
        <f>+S11/Q11-1</f>
        <v>0</v>
      </c>
      <c r="U11" s="1340"/>
      <c r="V11" s="1265">
        <f ca="1">INDEX(INDIRECT($D11),MATCH('Quarterly Flash'!$F11,INDIRECT($C11),0),MATCH('Quarterly Flash'!V$7,INDIRECT($B11),0))</f>
        <v>119616.90000000001</v>
      </c>
      <c r="W11" s="1488">
        <v>117776.64</v>
      </c>
      <c r="X11" s="1265">
        <f>INDEX(Consensus!$A$1:$BO$180,MATCH('Quarterly Flash'!$F11,Consensus!$A:$A,0),MATCH('Quarterly Flash'!V$7,Consensus!$4:$4,0))</f>
        <v>116926.80499999999</v>
      </c>
      <c r="Y11" s="1265">
        <v>115913.48</v>
      </c>
      <c r="Z11" s="1340"/>
      <c r="AA11" s="1265">
        <f ca="1">INDEX(INDIRECT($D11),MATCH('Quarterly Flash'!$F11,INDIRECT($C11),0),MATCH('Quarterly Flash'!AA$7,INDIRECT($B11),0))</f>
        <v>495681.79000000004</v>
      </c>
      <c r="AB11" s="1488">
        <v>489985.81</v>
      </c>
      <c r="AC11" s="1340">
        <f>INDEX(Consensus!$A$1:$BO$180,MATCH('Quarterly Flash'!$F11,Consensus!$A:$A,0),MATCH('Quarterly Flash'!AA$7,Consensus!$4:$4,0))</f>
        <v>487453.25</v>
      </c>
      <c r="AD11" s="1265">
        <v>483938.25</v>
      </c>
      <c r="AE11" s="1267">
        <f ca="1">INDEX(INDIRECT($D11),MATCH('Quarterly Flash'!$F11,INDIRECT($C11),0),MATCH('Quarterly Flash'!AE$7,INDIRECT($B11),0))</f>
        <v>623338.3186</v>
      </c>
      <c r="AF11" s="1267">
        <v>604272.09640000004</v>
      </c>
      <c r="AG11" s="1340">
        <f>INDEX(Consensus!$A$1:$BO$180,MATCH('Quarterly Flash'!$F11,Consensus!$A:$A,0),MATCH('Quarterly Flash'!AE$7,Consensus!$4:$4,0))</f>
        <v>604181.80000000005</v>
      </c>
      <c r="AH11" s="1265">
        <v>597090.43999999994</v>
      </c>
    </row>
    <row r="12" spans="2:36" s="790" customFormat="1" ht="14.4">
      <c r="B12" s="694" t="str">
        <f ca="1">"'"&amp;E12&amp;"'"&amp;"!$5:$5"</f>
        <v>'Revenue Build'!$5:$5</v>
      </c>
      <c r="C12" s="694" t="str">
        <f ca="1">"'"&amp;E12&amp;"'"&amp;"!$A:$A"</f>
        <v>'Revenue Build'!$A:$A</v>
      </c>
      <c r="D12" s="694" t="str">
        <f ca="1">"'"&amp;$E12&amp;"'"&amp;"!$1:$1048576"</f>
        <v>'Revenue Build'!$1:$1048576</v>
      </c>
      <c r="E12" s="808" t="str" cm="1">
        <f t="array" aca="1" ref="E12" ca="1">IFERROR(INDEX(SheetNames,MATCH(1,COUNTIF(INDIRECT("'"&amp;SheetNames&amp;"'!A:A"),$F12),0)),"Not Found")</f>
        <v>Revenue Build</v>
      </c>
      <c r="F12" s="792" t="s">
        <v>573</v>
      </c>
      <c r="G12" s="846"/>
      <c r="H12" s="846"/>
      <c r="I12" s="846"/>
      <c r="J12"/>
      <c r="K12" s="1341" t="s">
        <v>395</v>
      </c>
      <c r="L12" s="901">
        <f ca="1">INDEX(INDIRECT($D12),MATCH('Quarterly Flash'!$F12,INDIRECT($C12),0),MATCH('Quarterly Flash'!L$8,INDIRECT($B12),0))</f>
        <v>0.30622351104171308</v>
      </c>
      <c r="M12" s="1253">
        <f ca="1">INDEX(INDIRECT($D12),MATCH('Quarterly Flash'!$F12,INDIRECT($C12),0),MATCH('Quarterly Flash'!M$8,INDIRECT($B12),0))</f>
        <v>0.31984508355447172</v>
      </c>
      <c r="N12" s="901">
        <f ca="1">INDEX(INDIRECT($D12),MATCH('Quarterly Flash'!$F12,INDIRECT($C12),0),MATCH('Quarterly Flash'!N$8,INDIRECT($B12),0))</f>
        <v>0.3477324414715719</v>
      </c>
      <c r="O12" s="1502">
        <f ca="1">INDEX(INDIRECT($D12),MATCH('Quarterly Flash'!$F12,INDIRECT($C12),0),MATCH('Quarterly Flash'!O$8,INDIRECT($B12),0))</f>
        <v>0.31569839589239157</v>
      </c>
      <c r="P12" s="1489">
        <v>0.3</v>
      </c>
      <c r="Q12" s="1681">
        <f>INDEX(Consensus!$A$1:$BO$180,MATCH('Quarterly Flash'!$F12,Consensus!$A:$A,0),MATCH('Quarterly Flash'!O$8,Consensus!$4:$4,0))</f>
        <v>0.31569839589239157</v>
      </c>
      <c r="R12" s="901">
        <v>0.27609447043956425</v>
      </c>
      <c r="S12" s="1682">
        <f ca="1">+S11/L11-1</f>
        <v>0.31569839589239157</v>
      </c>
      <c r="T12" s="901"/>
      <c r="U12" s="1342"/>
      <c r="V12" s="901">
        <f ca="1">INDEX(INDIRECT($D12),MATCH('Quarterly Flash'!$F12,INDIRECT($C12),0),MATCH('Quarterly Flash'!V$7,INDIRECT($B12),0))</f>
        <v>0.3</v>
      </c>
      <c r="W12" s="1489">
        <v>0.28000000000000003</v>
      </c>
      <c r="X12" s="901">
        <f>INDEX(Consensus!$A$1:$BO$180,MATCH('Quarterly Flash'!$F12,Consensus!$A:$A,0),MATCH('Quarterly Flash'!V$7,Consensus!$4:$4,0))</f>
        <v>0.270795733539686</v>
      </c>
      <c r="Y12" s="901">
        <v>0.25978261223966337</v>
      </c>
      <c r="Z12" s="1342"/>
      <c r="AA12" s="901">
        <f ca="1">INDEX(INDIRECT($D12),MATCH('Quarterly Flash'!$F12,INDIRECT($C12),0),MATCH('Quarterly Flash'!AA$7,INDIRECT($B12),0))</f>
        <v>0.30979938748708524</v>
      </c>
      <c r="AB12" s="1489">
        <v>0.29474821702722487</v>
      </c>
      <c r="AC12" s="1342">
        <f>INDEX(Consensus!$A$1:$BO$180,MATCH('Quarterly Flash'!$F12,Consensus!$A:$A,0),MATCH('Quarterly Flash'!AA$7,Consensus!$4:$4,0))</f>
        <v>0.28805613028186694</v>
      </c>
      <c r="AD12" s="901">
        <v>0.27876802460621342</v>
      </c>
      <c r="AE12" s="1196">
        <f ca="1">INDEX(INDIRECT($D12),MATCH('Quarterly Flash'!$F12,INDIRECT($C12),0),MATCH('Quarterly Flash'!AE$7,INDIRECT($B12),0))</f>
        <v>0.25753725711812003</v>
      </c>
      <c r="AF12" s="1196">
        <v>0.23324407374164569</v>
      </c>
      <c r="AG12" s="1342">
        <f>INDEX(Consensus!$A$1:$BO$180,MATCH('Quarterly Flash'!$F12,Consensus!$A:$A,0),MATCH('Quarterly Flash'!AE$7,Consensus!$4:$4,0))</f>
        <v>0.23946614367634234</v>
      </c>
      <c r="AH12" s="901">
        <v>0.23381534730928988</v>
      </c>
    </row>
    <row r="13" spans="2:36">
      <c r="B13" s="694" t="str">
        <f ca="1">"'"&amp;E13&amp;"'"&amp;"!$5:$5"</f>
        <v>'Income'!$5:$5</v>
      </c>
      <c r="C13" s="694" t="str">
        <f ca="1">"'"&amp;E13&amp;"'"&amp;"!$A:$A"</f>
        <v>'Income'!$A:$A</v>
      </c>
      <c r="D13" s="694" t="str">
        <f ca="1">"'"&amp;$E13&amp;"'"&amp;"!$1:$1048576"</f>
        <v>'Income'!$1:$1048576</v>
      </c>
      <c r="E13" s="808" t="str" cm="1">
        <f t="array" aca="1" ref="E13" ca="1">IFERROR(INDEX(SheetNames,MATCH(1,COUNTIF(INDIRECT("'"&amp;SheetNames&amp;"'!A:A"),$F13),0)),"Not Found")</f>
        <v>Income</v>
      </c>
      <c r="F13" s="794" t="s">
        <v>494</v>
      </c>
      <c r="G13" s="841" t="s">
        <v>271</v>
      </c>
      <c r="H13" s="842">
        <v>802</v>
      </c>
      <c r="I13" s="842">
        <v>777</v>
      </c>
      <c r="K13" s="1339" t="s">
        <v>271</v>
      </c>
      <c r="L13" s="1265">
        <f ca="1">INDEX(INDIRECT($D13),MATCH('Quarterly Flash'!$F13,INDIRECT($C13),0),MATCH('Quarterly Flash'!L$8,INDIRECT($B13),0))</f>
        <v>656</v>
      </c>
      <c r="M13" s="1266">
        <f ca="1">INDEX(INDIRECT($D13),MATCH('Quarterly Flash'!$F13,INDIRECT($C13),0),MATCH('Quarterly Flash'!M$8,INDIRECT($B13),0))</f>
        <v>699</v>
      </c>
      <c r="N13" s="1265">
        <f ca="1">INDEX(INDIRECT($D13),MATCH('Quarterly Flash'!$F13,INDIRECT($C13),0),MATCH('Quarterly Flash'!N$8,INDIRECT($B13),0))</f>
        <v>750</v>
      </c>
      <c r="O13" s="1503">
        <f ca="1">INDEX(INDIRECT($D13),MATCH('Quarterly Flash'!$F13,INDIRECT($C13),0),MATCH('Quarterly Flash'!O$8,INDIRECT($B13),0))</f>
        <v>802</v>
      </c>
      <c r="P13" s="1488">
        <v>796.51138187499976</v>
      </c>
      <c r="Q13" s="1678">
        <f>INDEX(Consensus!$A$1:$BO$180,MATCH('Quarterly Flash'!$F13,Consensus!$A:$A,0),MATCH('Quarterly Flash'!O$8,Consensus!$4:$4,0))</f>
        <v>802</v>
      </c>
      <c r="R13" s="1265">
        <v>787.49130000000002</v>
      </c>
      <c r="S13" s="1679">
        <f>+H13</f>
        <v>802</v>
      </c>
      <c r="T13" s="1680">
        <f>+S13/Q13-1</f>
        <v>0</v>
      </c>
      <c r="U13" s="1340"/>
      <c r="V13" s="1265">
        <f ca="1">INDEX(INDIRECT($D13),MATCH('Quarterly Flash'!$F13,INDIRECT($C13),0),MATCH('Quarterly Flash'!V$7,INDIRECT($B13),0))</f>
        <v>860.61512704218728</v>
      </c>
      <c r="W13" s="1488">
        <v>841.00607949609332</v>
      </c>
      <c r="X13" s="1265">
        <f>INDEX(Consensus!$A$1:$BO$180,MATCH('Quarterly Flash'!$F13,Consensus!$A:$A,0),MATCH('Quarterly Flash'!V$7,Consensus!$4:$4,0))</f>
        <v>838.45180000000005</v>
      </c>
      <c r="Y13" s="1265">
        <v>836.59937000000002</v>
      </c>
      <c r="Z13" s="1340"/>
      <c r="AA13" s="1265">
        <f ca="1">INDEX(INDIRECT($D13),MATCH('Quarterly Flash'!$F13,INDIRECT($C13),0),MATCH('Quarterly Flash'!AA$7,INDIRECT($B13),0))</f>
        <v>3347.9496287696875</v>
      </c>
      <c r="AB13" s="1488">
        <v>3313.7930866679676</v>
      </c>
      <c r="AC13" s="1340">
        <f>INDEX(Consensus!$A$1:$BO$180,MATCH('Quarterly Flash'!$F13,Consensus!$A:$A,0),MATCH('Quarterly Flash'!AA$7,Consensus!$4:$4,0))</f>
        <v>3293.0320000000002</v>
      </c>
      <c r="AD13" s="1265">
        <v>3281.4591999999998</v>
      </c>
      <c r="AE13" s="1267">
        <f ca="1">INDEX(INDIRECT($D13),MATCH('Quarterly Flash'!$F13,INDIRECT($C13),0),MATCH('Quarterly Flash'!AE$7,INDIRECT($B13),0))</f>
        <v>4027.5325117121693</v>
      </c>
      <c r="AF13" s="1267">
        <v>3877.2759774837959</v>
      </c>
      <c r="AG13" s="1340">
        <f>INDEX(Consensus!$A$1:$BO$180,MATCH('Quarterly Flash'!$F13,Consensus!$A:$A,0),MATCH('Quarterly Flash'!AE$7,Consensus!$4:$4,0))</f>
        <v>3848.8227999999999</v>
      </c>
      <c r="AH13" s="1265">
        <v>3828.5088000000001</v>
      </c>
    </row>
    <row r="14" spans="2:36" s="836" customFormat="1">
      <c r="B14" s="694" t="str">
        <f ca="1">"'"&amp;E14&amp;"'"&amp;"!$5:$5"</f>
        <v>'Income'!$5:$5</v>
      </c>
      <c r="C14" s="694" t="str">
        <f t="shared" ref="C14:C41" ca="1" si="0">"'"&amp;E14&amp;"'"&amp;"!$A:$A"</f>
        <v>'Income'!$A:$A</v>
      </c>
      <c r="D14" s="694" t="str">
        <f t="shared" ref="D14:D41" ca="1" si="1">"'"&amp;$E14&amp;"'"&amp;"!$1:$1048576"</f>
        <v>'Income'!$1:$1048576</v>
      </c>
      <c r="E14" s="808" t="str" cm="1">
        <f t="array" aca="1" ref="E14" ca="1">IFERROR(INDEX(SheetNames,MATCH(1,COUNTIF(INDIRECT("'"&amp;SheetNames&amp;"'!A:A"),$F14),0)),"Not Found")</f>
        <v>Income</v>
      </c>
      <c r="F14" s="792" t="s">
        <v>495</v>
      </c>
      <c r="G14" s="843"/>
      <c r="H14" s="843"/>
      <c r="I14" s="843"/>
      <c r="J14"/>
      <c r="K14" s="1341" t="s">
        <v>395</v>
      </c>
      <c r="L14" s="901">
        <f ca="1">INDEX(INDIRECT($D14),MATCH('Quarterly Flash'!$F14,INDIRECT($C14),0),MATCH('Quarterly Flash'!L$8,INDIRECT($B14),0))</f>
        <v>0.1651865008880995</v>
      </c>
      <c r="M14" s="1253">
        <f ca="1">INDEX(INDIRECT($D14),MATCH('Quarterly Flash'!$F14,INDIRECT($C14),0),MATCH('Quarterly Flash'!M$8,INDIRECT($B14),0))</f>
        <v>0.14590163934426226</v>
      </c>
      <c r="N14" s="901">
        <f ca="1">INDEX(INDIRECT($D14),MATCH('Quarterly Flash'!$F14,INDIRECT($C14),0),MATCH('Quarterly Flash'!N$8,INDIRECT($B14),0))</f>
        <v>0.20967741935483875</v>
      </c>
      <c r="O14" s="1502">
        <f ca="1">INDEX(INDIRECT($D14),MATCH('Quarterly Flash'!$F14,INDIRECT($C14),0),MATCH('Quarterly Flash'!O$8,INDIRECT($B14),0))</f>
        <v>0.22256097560975618</v>
      </c>
      <c r="P14" s="1489">
        <v>0.21419417968749954</v>
      </c>
      <c r="Q14" s="1681">
        <f>INDEX(Consensus!$A$1:$BO$180,MATCH('Quarterly Flash'!$F14,Consensus!$A:$A,0),MATCH('Quarterly Flash'!O$8,Consensus!$4:$4,0))</f>
        <v>0.22256097560975618</v>
      </c>
      <c r="R14" s="901">
        <v>0.20044405487804884</v>
      </c>
      <c r="S14" s="1682">
        <f ca="1">+S13/L13-1</f>
        <v>0.22256097560975618</v>
      </c>
      <c r="T14" s="901"/>
      <c r="U14" s="1342"/>
      <c r="V14" s="901">
        <f ca="1">INDEX(INDIRECT($D14),MATCH('Quarterly Flash'!$F14,INDIRECT($C14),0),MATCH('Quarterly Flash'!V$7,INDIRECT($B14),0))</f>
        <v>0.2312090515624996</v>
      </c>
      <c r="W14" s="1489">
        <v>0.20315605078124932</v>
      </c>
      <c r="X14" s="901">
        <f>INDEX(Consensus!$A$1:$BO$180,MATCH('Quarterly Flash'!$F14,Consensus!$A:$A,0),MATCH('Quarterly Flash'!V$7,Consensus!$4:$4,0))</f>
        <v>0.19950185979971402</v>
      </c>
      <c r="Y14" s="901">
        <v>0.19685174535050076</v>
      </c>
      <c r="Z14" s="1342"/>
      <c r="AA14" s="901">
        <f ca="1">INDEX(INDIRECT($D14),MATCH('Quarterly Flash'!$F14,INDIRECT($C14),0),MATCH('Quarterly Flash'!AA$7,INDIRECT($B14),0))</f>
        <v>0.21655146394247371</v>
      </c>
      <c r="AB14" s="1489">
        <v>0.20413992974853468</v>
      </c>
      <c r="AC14" s="1342">
        <f>INDEX(Consensus!$A$1:$BO$180,MATCH('Quarterly Flash'!$F14,Consensus!$A:$A,0),MATCH('Quarterly Flash'!AA$7,Consensus!$4:$4,0))</f>
        <v>0.19659593023255817</v>
      </c>
      <c r="AD14" s="901">
        <v>0.19239069767441852</v>
      </c>
      <c r="AE14" s="1196">
        <f ca="1">INDEX(INDIRECT($D14),MATCH('Quarterly Flash'!$F14,INDIRECT($C14),0),MATCH('Quarterly Flash'!AE$7,INDIRECT($B14),0))</f>
        <v>0.202984799144728</v>
      </c>
      <c r="AF14" s="1196">
        <v>0.17004166406249954</v>
      </c>
      <c r="AG14" s="1342">
        <f>INDEX(Consensus!$A$1:$BO$180,MATCH('Quarterly Flash'!$F14,Consensus!$A:$A,0),MATCH('Quarterly Flash'!AE$7,Consensus!$4:$4,0))</f>
        <v>0.16877783149389369</v>
      </c>
      <c r="AH14" s="901">
        <v>0.16670924934858267</v>
      </c>
    </row>
    <row r="15" spans="2:36">
      <c r="B15" s="694" t="str">
        <f t="shared" ref="B15:B41" ca="1" si="2">"'"&amp;E15&amp;"'"&amp;"!$5:$5"</f>
        <v>'Income'!$5:$5</v>
      </c>
      <c r="C15" s="694" t="str">
        <f t="shared" ca="1" si="0"/>
        <v>'Income'!$A:$A</v>
      </c>
      <c r="D15" s="694" t="str">
        <f t="shared" ca="1" si="1"/>
        <v>'Income'!$1:$1048576</v>
      </c>
      <c r="E15" s="808" t="str" cm="1">
        <f t="array" aca="1" ref="E15" ca="1">IFERROR(INDEX(SheetNames,MATCH(1,COUNTIF(INDIRECT("'"&amp;SheetNames&amp;"'!A:A"),$F15),0)),"Not Found")</f>
        <v>Income</v>
      </c>
      <c r="F15" s="794" t="s">
        <v>497</v>
      </c>
      <c r="G15" s="841" t="s">
        <v>506</v>
      </c>
      <c r="H15" s="842">
        <v>2781</v>
      </c>
      <c r="I15" s="842">
        <v>2895</v>
      </c>
      <c r="K15" s="1339" t="s">
        <v>506</v>
      </c>
      <c r="L15" s="1265">
        <f ca="1">INDEX(INDIRECT($D15),MATCH('Quarterly Flash'!$F15,INDIRECT($C15),0),MATCH('Quarterly Flash'!L$8,INDIRECT($B15),0))</f>
        <v>2024</v>
      </c>
      <c r="M15" s="1266">
        <f ca="1">INDEX(INDIRECT($D15),MATCH('Quarterly Flash'!$F15,INDIRECT($C15),0),MATCH('Quarterly Flash'!M$8,INDIRECT($B15),0))</f>
        <v>2145</v>
      </c>
      <c r="N15" s="1265">
        <f ca="1">INDEX(INDIRECT($D15),MATCH('Quarterly Flash'!$F15,INDIRECT($C15),0),MATCH('Quarterly Flash'!N$8,INDIRECT($B15),0))</f>
        <v>2420</v>
      </c>
      <c r="O15" s="1503">
        <f ca="1">INDEX(INDIRECT($D15),MATCH('Quarterly Flash'!$F15,INDIRECT($C15),0),MATCH('Quarterly Flash'!O$8,INDIRECT($B15),0))</f>
        <v>2781</v>
      </c>
      <c r="P15" s="1488">
        <v>2699.7128600000001</v>
      </c>
      <c r="Q15" s="1678">
        <f>INDEX(Consensus!$A$1:$BO$180,MATCH('Quarterly Flash'!$F15,Consensus!$A:$A,0),MATCH('Quarterly Flash'!O$8,Consensus!$4:$4,0))</f>
        <v>2781</v>
      </c>
      <c r="R15" s="1265">
        <v>2657.3525</v>
      </c>
      <c r="S15" s="1679">
        <f>+H15</f>
        <v>2781</v>
      </c>
      <c r="T15" s="1680">
        <f>+S15/Q15-1</f>
        <v>0</v>
      </c>
      <c r="U15" s="1340"/>
      <c r="V15" s="1265">
        <f ca="1">INDEX(INDIRECT($D15),MATCH('Quarterly Flash'!$F15,INDIRECT($C15),0),MATCH('Quarterly Flash'!V$7,INDIRECT($B15),0))</f>
        <v>2848.3084500000004</v>
      </c>
      <c r="W15" s="1488">
        <v>2804.4883199999999</v>
      </c>
      <c r="X15" s="1265">
        <f>INDEX(Consensus!$A$1:$BO$180,MATCH('Quarterly Flash'!$F15,Consensus!$A:$A,0),MATCH('Quarterly Flash'!V$7,Consensus!$4:$4,0))</f>
        <v>2784.4268000000002</v>
      </c>
      <c r="Y15" s="1265">
        <v>2749.877</v>
      </c>
      <c r="Z15" s="1340"/>
      <c r="AA15" s="1265">
        <f ca="1">INDEX(INDIRECT($D15),MATCH('Quarterly Flash'!$F15,INDIRECT($C15),0),MATCH('Quarterly Flash'!AA$7,INDIRECT($B15),0))</f>
        <v>11863.735895000002</v>
      </c>
      <c r="AB15" s="1488">
        <v>11679.490215</v>
      </c>
      <c r="AC15" s="1340">
        <f>INDEX(Consensus!$A$1:$BO$180,MATCH('Quarterly Flash'!$F15,Consensus!$A:$A,0),MATCH('Quarterly Flash'!AA$7,Consensus!$4:$4,0))</f>
        <v>11599.311</v>
      </c>
      <c r="AD15" s="1265">
        <v>11510.099</v>
      </c>
      <c r="AE15" s="1267">
        <f ca="1">INDEX(INDIRECT($D15),MATCH('Quarterly Flash'!$F15,INDIRECT($C15),0),MATCH('Quarterly Flash'!AE$7,INDIRECT($B15),0))</f>
        <v>15106.747089880002</v>
      </c>
      <c r="AF15" s="1267">
        <v>14585.044505570002</v>
      </c>
      <c r="AG15" s="1340">
        <f>INDEX(Consensus!$A$1:$BO$180,MATCH('Quarterly Flash'!$F15,Consensus!$A:$A,0),MATCH('Quarterly Flash'!AE$7,Consensus!$4:$4,0))</f>
        <v>14477.754000000001</v>
      </c>
      <c r="AH15" s="1265">
        <v>14267.159</v>
      </c>
    </row>
    <row r="16" spans="2:36" s="836" customFormat="1">
      <c r="B16" s="694" t="str">
        <f t="shared" ca="1" si="2"/>
        <v>'Income'!$5:$5</v>
      </c>
      <c r="C16" s="694" t="str">
        <f t="shared" ca="1" si="0"/>
        <v>'Income'!$A:$A</v>
      </c>
      <c r="D16" s="694" t="str">
        <f t="shared" ca="1" si="1"/>
        <v>'Income'!$1:$1048576</v>
      </c>
      <c r="E16" s="808" t="str" cm="1">
        <f t="array" aca="1" ref="E16" ca="1">IFERROR(INDEX(SheetNames,MATCH(1,COUNTIF(INDIRECT("'"&amp;SheetNames&amp;"'!A:A"),$F16),0)),"Not Found")</f>
        <v>Income</v>
      </c>
      <c r="F16" s="792" t="s">
        <v>498</v>
      </c>
      <c r="G16" s="843"/>
      <c r="H16" s="843"/>
      <c r="I16" s="843"/>
      <c r="J16"/>
      <c r="K16" s="1341" t="s">
        <v>395</v>
      </c>
      <c r="L16" s="901">
        <f ca="1">INDEX(INDIRECT($D16),MATCH('Quarterly Flash'!$F16,INDIRECT($C16),0),MATCH('Quarterly Flash'!L$8,INDIRECT($B16),0))</f>
        <v>0.36572199730094468</v>
      </c>
      <c r="M16" s="1253">
        <f ca="1">INDEX(INDIRECT($D16),MATCH('Quarterly Flash'!$F16,INDIRECT($C16),0),MATCH('Quarterly Flash'!M$8,INDIRECT($B16),0))</f>
        <v>0.38208762886597936</v>
      </c>
      <c r="N16" s="901">
        <f ca="1">INDEX(INDIRECT($D16),MATCH('Quarterly Flash'!$F16,INDIRECT($C16),0),MATCH('Quarterly Flash'!N$8,INDIRECT($B16),0))</f>
        <v>0.39080459770114939</v>
      </c>
      <c r="O16" s="1502">
        <f ca="1">INDEX(INDIRECT($D16),MATCH('Quarterly Flash'!$F16,INDIRECT($C16),0),MATCH('Quarterly Flash'!O$8,INDIRECT($B16),0))</f>
        <v>0.37401185770750978</v>
      </c>
      <c r="P16" s="1489">
        <v>0.33385022727272728</v>
      </c>
      <c r="Q16" s="1681">
        <f>INDEX(Consensus!$A$1:$BO$180,MATCH('Quarterly Flash'!$F16,Consensus!$A:$A,0),MATCH('Quarterly Flash'!O$8,Consensus!$4:$4,0))</f>
        <v>0.37401185770750978</v>
      </c>
      <c r="R16" s="901">
        <v>0.3129211956521738</v>
      </c>
      <c r="S16" s="1682">
        <f ca="1">+S15/L15-1</f>
        <v>0.37401185770750978</v>
      </c>
      <c r="T16" s="901"/>
      <c r="U16" s="1342"/>
      <c r="V16" s="901">
        <f ca="1">INDEX(INDIRECT($D16),MATCH('Quarterly Flash'!$F16,INDIRECT($C16),0),MATCH('Quarterly Flash'!V$7,INDIRECT($B16),0))</f>
        <v>0.32788272727272738</v>
      </c>
      <c r="W16" s="1489">
        <v>0.30745376223776222</v>
      </c>
      <c r="X16" s="901">
        <f>INDEX(Consensus!$A$1:$BO$180,MATCH('Quarterly Flash'!$F16,Consensus!$A:$A,0),MATCH('Quarterly Flash'!V$7,Consensus!$4:$4,0))</f>
        <v>0.29810107226107241</v>
      </c>
      <c r="Y16" s="901">
        <v>0.28199393939393946</v>
      </c>
      <c r="Z16" s="1342"/>
      <c r="AA16" s="901">
        <f ca="1">INDEX(INDIRECT($D16),MATCH('Quarterly Flash'!$F16,INDIRECT($C16),0),MATCH('Quarterly Flash'!AA$7,INDIRECT($B16),0))</f>
        <v>0.34753928839164039</v>
      </c>
      <c r="AB16" s="1489">
        <v>0.32661179179918221</v>
      </c>
      <c r="AC16" s="1342">
        <f>INDEX(Consensus!$A$1:$BO$180,MATCH('Quarterly Flash'!$F16,Consensus!$A:$A,0),MATCH('Quarterly Flash'!AA$7,Consensus!$4:$4,0))</f>
        <v>0.31750465697410268</v>
      </c>
      <c r="AD16" s="901">
        <v>0.3073715356656066</v>
      </c>
      <c r="AE16" s="1196">
        <f ca="1">INDEX(INDIRECT($D16),MATCH('Quarterly Flash'!$F16,INDIRECT($C16),0),MATCH('Quarterly Flash'!AE$7,INDIRECT($B16),0))</f>
        <v>0.27335497212532989</v>
      </c>
      <c r="AF16" s="1196">
        <v>0.2487740677960748</v>
      </c>
      <c r="AG16" s="1342">
        <f>INDEX(Consensus!$A$1:$BO$180,MATCH('Quarterly Flash'!$F16,Consensus!$A:$A,0),MATCH('Quarterly Flash'!AE$7,Consensus!$4:$4,0))</f>
        <v>0.24815637756415021</v>
      </c>
      <c r="AH16" s="901">
        <v>0.23953399532010966</v>
      </c>
    </row>
    <row r="17" spans="2:34">
      <c r="B17" s="694" t="str">
        <f t="shared" ca="1" si="2"/>
        <v>'Income'!$5:$5</v>
      </c>
      <c r="C17" s="694" t="str">
        <f t="shared" ca="1" si="0"/>
        <v>'Income'!$A:$A</v>
      </c>
      <c r="D17" s="694" t="str">
        <f t="shared" ca="1" si="1"/>
        <v>'Income'!$1:$1048576</v>
      </c>
      <c r="E17" s="808" t="str" cm="1">
        <f t="array" aca="1" ref="E17" ca="1">IFERROR(INDEX(SheetNames,MATCH(1,COUNTIF(INDIRECT("'"&amp;SheetNames&amp;"'!A:A"),$F17),0)),"Not Found")</f>
        <v>Income</v>
      </c>
      <c r="F17" s="792" t="s">
        <v>393</v>
      </c>
      <c r="G17" s="841" t="s">
        <v>178</v>
      </c>
      <c r="H17" s="842">
        <v>3583</v>
      </c>
      <c r="I17" s="842">
        <v>3672</v>
      </c>
      <c r="K17" s="1343" t="s">
        <v>178</v>
      </c>
      <c r="L17" s="1258">
        <f ca="1">INDEX(INDIRECT($D17),MATCH('Quarterly Flash'!$F17,INDIRECT($C17),0),MATCH('Quarterly Flash'!L$8,INDIRECT($B17),0))</f>
        <v>2680</v>
      </c>
      <c r="M17" s="1259">
        <f ca="1">INDEX(INDIRECT($D17),MATCH('Quarterly Flash'!$F17,INDIRECT($C17),0),MATCH('Quarterly Flash'!M$8,INDIRECT($B17),0))</f>
        <v>2844</v>
      </c>
      <c r="N17" s="1258">
        <f ca="1">INDEX(INDIRECT($D17),MATCH('Quarterly Flash'!$F17,INDIRECT($C17),0),MATCH('Quarterly Flash'!N$8,INDIRECT($B17),0))</f>
        <v>3170</v>
      </c>
      <c r="O17" s="1504">
        <f ca="1">INDEX(INDIRECT($D17),MATCH('Quarterly Flash'!$F17,INDIRECT($C17),0),MATCH('Quarterly Flash'!O$8,INDIRECT($B17),0))</f>
        <v>3583</v>
      </c>
      <c r="P17" s="1490">
        <v>3496.2242418749997</v>
      </c>
      <c r="Q17" s="1683">
        <f>INDEX(Consensus!$A$1:$BO$180,MATCH('Quarterly Flash'!$F17,Consensus!$A:$A,0),MATCH('Quarterly Flash'!O$8,Consensus!$4:$4,0))</f>
        <v>3583</v>
      </c>
      <c r="R17" s="1258">
        <v>3441.2627000000002</v>
      </c>
      <c r="S17" s="1684">
        <f>+H17</f>
        <v>3583</v>
      </c>
      <c r="T17" s="1685">
        <f>+S17/Q17-1</f>
        <v>0</v>
      </c>
      <c r="U17" s="1344"/>
      <c r="V17" s="1258">
        <f ca="1">INDEX(INDIRECT($D17),MATCH('Quarterly Flash'!$F17,INDIRECT($C17),0),MATCH('Quarterly Flash'!V$7,INDIRECT($B17),0))</f>
        <v>3708.9235770421878</v>
      </c>
      <c r="W17" s="1490">
        <v>3645.4943994960931</v>
      </c>
      <c r="X17" s="1258">
        <f>INDEX(Consensus!$A$1:$BO$180,MATCH('Quarterly Flash'!$F17,Consensus!$A:$A,0),MATCH('Quarterly Flash'!V$7,Consensus!$4:$4,0))</f>
        <v>3651.5129999999999</v>
      </c>
      <c r="Y17" s="1258">
        <v>3590.933</v>
      </c>
      <c r="Z17" s="1344"/>
      <c r="AA17" s="1258">
        <f ca="1">AA13+AA15</f>
        <v>15211.685523769689</v>
      </c>
      <c r="AB17" s="1490">
        <v>14993.283301667967</v>
      </c>
      <c r="AC17" s="1344">
        <f>INDEX(Consensus!$A$1:$BO$180,MATCH('Quarterly Flash'!$F17,Consensus!$A:$A,0),MATCH('Quarterly Flash'!AA$7,Consensus!$4:$4,0))</f>
        <v>14977.527</v>
      </c>
      <c r="AD17" s="1258">
        <v>14803.055</v>
      </c>
      <c r="AE17" s="1261">
        <f ca="1">AE13+AE15</f>
        <v>19134.27960159217</v>
      </c>
      <c r="AF17" s="1261">
        <v>18462.320483053798</v>
      </c>
      <c r="AG17" s="1344">
        <f>INDEX(Consensus!$A$1:$BO$180,MATCH('Quarterly Flash'!$F17,Consensus!$A:$A,0),MATCH('Quarterly Flash'!AE$7,Consensus!$4:$4,0))</f>
        <v>18667.963</v>
      </c>
      <c r="AH17" s="1258">
        <v>18405.157999999999</v>
      </c>
    </row>
    <row r="18" spans="2:34" s="836" customFormat="1">
      <c r="B18" s="694" t="str">
        <f t="shared" ca="1" si="2"/>
        <v>'Income'!$5:$5</v>
      </c>
      <c r="C18" s="694" t="str">
        <f t="shared" ca="1" si="0"/>
        <v>'Income'!$A:$A</v>
      </c>
      <c r="D18" s="694" t="str">
        <f t="shared" ca="1" si="1"/>
        <v>'Income'!$1:$1048576</v>
      </c>
      <c r="E18" s="808" t="str" cm="1">
        <f t="array" aca="1" ref="E18" ca="1">IFERROR(INDEX(SheetNames,MATCH(1,COUNTIF(INDIRECT("'"&amp;SheetNames&amp;"'!A:A"),$F18),0)),"Not Found")</f>
        <v>Income</v>
      </c>
      <c r="F18" s="792" t="s">
        <v>394</v>
      </c>
      <c r="G18" s="841" t="s">
        <v>143</v>
      </c>
      <c r="H18" s="844">
        <f>H17-H19</f>
        <v>1875</v>
      </c>
      <c r="I18" s="844">
        <f>I17-I19</f>
        <v>1979</v>
      </c>
      <c r="J18"/>
      <c r="K18" s="1341" t="s">
        <v>395</v>
      </c>
      <c r="L18" s="901">
        <f ca="1">INDEX(INDIRECT($D18),MATCH('Quarterly Flash'!$F18,INDIRECT($C18),0),MATCH('Quarterly Flash'!L$8,INDIRECT($B18),0))</f>
        <v>0.31051344743276288</v>
      </c>
      <c r="M18" s="1253">
        <f ca="1">INDEX(INDIRECT($D18),MATCH('Quarterly Flash'!$F18,INDIRECT($C18),0),MATCH('Quarterly Flash'!M$8,INDIRECT($B18),0))</f>
        <v>0.31544865864939875</v>
      </c>
      <c r="N18" s="901">
        <f ca="1">INDEX(INDIRECT($D18),MATCH('Quarterly Flash'!$F18,INDIRECT($C18),0),MATCH('Quarterly Flash'!N$8,INDIRECT($B18),0))</f>
        <v>0.34322033898305082</v>
      </c>
      <c r="O18" s="1502">
        <f ca="1">INDEX(INDIRECT($D18),MATCH('Quarterly Flash'!$F18,INDIRECT($C18),0),MATCH('Quarterly Flash'!O$8,INDIRECT($B18),0))</f>
        <v>0.33694029850746277</v>
      </c>
      <c r="P18" s="1489">
        <v>0.30456128428171625</v>
      </c>
      <c r="Q18" s="1681">
        <f>INDEX(Consensus!$A$1:$BO$180,MATCH('Quarterly Flash'!$F18,Consensus!$A:$A,0),MATCH('Quarterly Flash'!O$8,Consensus!$4:$4,0))</f>
        <v>0.33694029850746277</v>
      </c>
      <c r="R18" s="901">
        <v>0.28405324626865669</v>
      </c>
      <c r="S18" s="1682">
        <f ca="1">+S17/L17-1</f>
        <v>0.33694029850746277</v>
      </c>
      <c r="T18" s="901"/>
      <c r="U18" s="1345" t="s">
        <v>822</v>
      </c>
      <c r="V18" s="901">
        <f ca="1">INDEX(INDIRECT($D18),MATCH('Quarterly Flash'!$F18,INDIRECT($C18),0),MATCH('Quarterly Flash'!V$7,INDIRECT($B18),0))</f>
        <v>0.30412221414985519</v>
      </c>
      <c r="W18" s="1489">
        <v>0.28181940910551795</v>
      </c>
      <c r="X18" s="901">
        <f>INDEX(Consensus!$A$1:$BO$180,MATCH('Quarterly Flash'!$F18,Consensus!$A:$A,0),MATCH('Quarterly Flash'!V$7,Consensus!$4:$4,0))</f>
        <v>0.28393565400843879</v>
      </c>
      <c r="Y18" s="901">
        <v>0.26263466947960623</v>
      </c>
      <c r="Z18" s="1345" t="s">
        <v>829</v>
      </c>
      <c r="AA18" s="901">
        <f ca="1">INDEX(INDIRECT($D18),MATCH('Quarterly Flash'!$F18,INDIRECT($C18),0),MATCH('Quarterly Flash'!AA$7,INDIRECT($B18),0))</f>
        <v>0.31634523397107017</v>
      </c>
      <c r="AB18" s="1489">
        <v>0.29744576857632099</v>
      </c>
      <c r="AC18" s="1342">
        <f>INDEX(Consensus!$A$1:$BO$180,MATCH('Quarterly Flash'!$F18,Consensus!$A:$A,0),MATCH('Quarterly Flash'!AA$7,Consensus!$4:$4,0))</f>
        <v>0.2960822949117341</v>
      </c>
      <c r="AD18" s="901">
        <v>0.28098433714087911</v>
      </c>
      <c r="AE18" s="1196">
        <f ca="1">INDEX(INDIRECT($D18),MATCH('Quarterly Flash'!$F18,INDIRECT($C18),0),MATCH('Quarterly Flash'!AE$7,INDIRECT($B18),0))</f>
        <v>0.25786715559515483</v>
      </c>
      <c r="AF18" s="1196">
        <v>0.23137274948976061</v>
      </c>
      <c r="AG18" s="1342">
        <f>INDEX(Consensus!$A$1:$BO$180,MATCH('Quarterly Flash'!$F18,Consensus!$A:$A,0),MATCH('Quarterly Flash'!AE$7,Consensus!$4:$4,0))</f>
        <v>0.24639822048059057</v>
      </c>
      <c r="AH18" s="901">
        <v>0.24333510886773024</v>
      </c>
    </row>
    <row r="19" spans="2:34">
      <c r="B19" s="694" t="str">
        <f t="shared" ca="1" si="2"/>
        <v>'Income'!$5:$5</v>
      </c>
      <c r="C19" s="694" t="str">
        <f t="shared" ca="1" si="0"/>
        <v>'Income'!$A:$A</v>
      </c>
      <c r="D19" s="694" t="str">
        <f t="shared" ca="1" si="1"/>
        <v>'Income'!$1:$1048576</v>
      </c>
      <c r="E19" s="808" t="str" cm="1">
        <f t="array" aca="1" ref="E19" ca="1">IFERROR(INDEX(SheetNames,MATCH(1,COUNTIF(INDIRECT("'"&amp;SheetNames&amp;"'!A:A"),$F19),0)),"Not Found")</f>
        <v>Income</v>
      </c>
      <c r="F19" s="794" t="s">
        <v>396</v>
      </c>
      <c r="G19" s="841" t="s">
        <v>396</v>
      </c>
      <c r="H19" s="842">
        <v>1708</v>
      </c>
      <c r="I19" s="842">
        <v>1693</v>
      </c>
      <c r="K19" s="1343" t="s">
        <v>330</v>
      </c>
      <c r="L19" s="1258">
        <f ca="1">INDEX(INDIRECT($D19),MATCH('Quarterly Flash'!$F19,INDIRECT($C19),0),MATCH('Quarterly Flash'!L$8,INDIRECT($B19),0))</f>
        <v>1302</v>
      </c>
      <c r="M19" s="1259">
        <f ca="1">INDEX(INDIRECT($D19),MATCH('Quarterly Flash'!$F19,INDIRECT($C19),0),MATCH('Quarterly Flash'!M$8,INDIRECT($B19),0))</f>
        <v>1391</v>
      </c>
      <c r="N19" s="1258">
        <f ca="1">INDEX(INDIRECT($D19),MATCH('Quarterly Flash'!$F19,INDIRECT($C19),0),MATCH('Quarterly Flash'!N$8,INDIRECT($B19),0))</f>
        <v>1546</v>
      </c>
      <c r="O19" s="1504">
        <f ca="1">INDEX(INDIRECT($D19),MATCH('Quarterly Flash'!$F19,INDIRECT($C19),0),MATCH('Quarterly Flash'!O$8,INDIRECT($B19),0))</f>
        <v>1708</v>
      </c>
      <c r="P19" s="1490">
        <v>1669.1607862091191</v>
      </c>
      <c r="Q19" s="1683">
        <f>INDEX(Consensus!$A$1:$BO$180,MATCH('Quarterly Flash'!$F19,Consensus!$A:$A,0),MATCH('Quarterly Flash'!O$8,Consensus!$4:$4,0))</f>
        <v>1669.4131</v>
      </c>
      <c r="R19" s="1258">
        <v>1642.5751</v>
      </c>
      <c r="S19" s="1684">
        <f>+H19</f>
        <v>1708</v>
      </c>
      <c r="T19" s="1685">
        <f>+S19/Q19-1</f>
        <v>2.3114051279458536E-2</v>
      </c>
      <c r="U19" s="1344"/>
      <c r="V19" s="1258">
        <f ca="1">INDEX(INDIRECT($D19),MATCH('Quarterly Flash'!$F19,INDIRECT($C19),0),MATCH('Quarterly Flash'!V$7,INDIRECT($B19),0))</f>
        <v>1796.2898990152607</v>
      </c>
      <c r="W19" s="1490">
        <v>1755.0481925918141</v>
      </c>
      <c r="X19" s="1258">
        <f>INDEX(Consensus!$A$1:$BO$180,MATCH('Quarterly Flash'!$F19,Consensus!$A:$A,0),MATCH('Quarterly Flash'!V$7,Consensus!$4:$4,0))</f>
        <v>1746.3556000000001</v>
      </c>
      <c r="Y19" s="1258">
        <v>1727.6447000000001</v>
      </c>
      <c r="Z19" s="1344"/>
      <c r="AA19" s="1258">
        <f ca="1">INDEX(INDIRECT($D19),MATCH('Quarterly Flash'!$F19,INDIRECT($C19),0),MATCH('Quarterly Flash'!AA$7,INDIRECT($B19),0))</f>
        <v>7215.6086764655056</v>
      </c>
      <c r="AB19" s="1490">
        <v>7095.0886713773425</v>
      </c>
      <c r="AC19" s="1344">
        <f>INDEX(Consensus!$A$1:$BO$180,MATCH('Quarterly Flash'!$F19,Consensus!$A:$A,0),MATCH('Quarterly Flash'!AA$7,Consensus!$4:$4,0))</f>
        <v>7072.5209999999997</v>
      </c>
      <c r="AD19" s="1258">
        <v>7018.5684000000001</v>
      </c>
      <c r="AE19" s="1261">
        <f ca="1">INDEX(INDIRECT($D19),MATCH('Quarterly Flash'!$F19,INDIRECT($C19),0),MATCH('Quarterly Flash'!AE$7,INDIRECT($B19),0))</f>
        <v>9002.5499504355375</v>
      </c>
      <c r="AF19" s="1261">
        <v>8653.5153391897147</v>
      </c>
      <c r="AG19" s="1344">
        <f>INDEX(Consensus!$A$1:$BO$180,MATCH('Quarterly Flash'!$F19,Consensus!$A:$A,0),MATCH('Quarterly Flash'!AE$7,Consensus!$4:$4,0))</f>
        <v>8700.6309999999994</v>
      </c>
      <c r="AH19" s="1258">
        <v>8607.9009999999998</v>
      </c>
    </row>
    <row r="20" spans="2:34" s="836" customFormat="1">
      <c r="B20" s="694" t="str">
        <f t="shared" ref="B20" ca="1" si="3">"'"&amp;E20&amp;"'"&amp;"!$5:$5"</f>
        <v>'Income'!$5:$5</v>
      </c>
      <c r="C20" s="694" t="str">
        <f t="shared" ref="C20" ca="1" si="4">"'"&amp;E20&amp;"'"&amp;"!$A:$A"</f>
        <v>'Income'!$A:$A</v>
      </c>
      <c r="D20" s="694" t="str">
        <f t="shared" ca="1" si="1"/>
        <v>'Income'!$1:$1048576</v>
      </c>
      <c r="E20" s="808" t="str" cm="1">
        <f t="array" aca="1" ref="E20" ca="1">IFERROR(INDEX(SheetNames,MATCH(1,COUNTIF(INDIRECT("'"&amp;SheetNames&amp;"'!A:A"),$F20),0)),"Not Found")</f>
        <v>Income</v>
      </c>
      <c r="F20" s="794" t="s">
        <v>451</v>
      </c>
      <c r="G20" s="843"/>
      <c r="H20" s="843"/>
      <c r="I20" s="843"/>
      <c r="J20"/>
      <c r="K20" s="1341" t="s">
        <v>395</v>
      </c>
      <c r="L20" s="901">
        <f ca="1">INDEX(INDIRECT($D20),MATCH('Quarterly Flash'!$F20,INDIRECT($C20),0),MATCH('Quarterly Flash'!L$8,INDIRECT($B20),0))</f>
        <v>0.245933014354067</v>
      </c>
      <c r="M20" s="1253">
        <f ca="1">INDEX(INDIRECT($D20),MATCH('Quarterly Flash'!$F20,INDIRECT($C20),0),MATCH('Quarterly Flash'!M$8,INDIRECT($B20),0))</f>
        <v>0.2441860465116279</v>
      </c>
      <c r="N20" s="901">
        <f ca="1">INDEX(INDIRECT($D20),MATCH('Quarterly Flash'!$F20,INDIRECT($C20),0),MATCH('Quarterly Flash'!N$8,INDIRECT($B20),0))</f>
        <v>0.32249786142001713</v>
      </c>
      <c r="O20" s="1502">
        <f ca="1">INDEX(INDIRECT($D20),MATCH('Quarterly Flash'!$F20,INDIRECT($C20),0),MATCH('Quarterly Flash'!O$8,INDIRECT($B20),0))</f>
        <v>0.31182795698924726</v>
      </c>
      <c r="P20" s="1489">
        <v>0.28199753165062913</v>
      </c>
      <c r="Q20" s="1681">
        <f>INDEX(Consensus!$A$1:$BO$180,MATCH('Quarterly Flash'!$F20,Consensus!$A:$A,0),MATCH('Quarterly Flash'!O$8,Consensus!$4:$4,0))</f>
        <v>0.28076044996120308</v>
      </c>
      <c r="R20" s="901">
        <v>0.26017054986034793</v>
      </c>
      <c r="S20" s="1682">
        <f ca="1">+S19/L19-1</f>
        <v>0.31182795698924726</v>
      </c>
      <c r="T20" s="901"/>
      <c r="U20" s="1345" t="s">
        <v>821</v>
      </c>
      <c r="V20" s="901">
        <f ca="1">INDEX(INDIRECT($D20),MATCH('Quarterly Flash'!$F20,INDIRECT($C20),0),MATCH('Quarterly Flash'!V$7,INDIRECT($B20),0))</f>
        <v>0.29136585119716796</v>
      </c>
      <c r="W20" s="1489">
        <v>0.26171688899483403</v>
      </c>
      <c r="X20" s="901">
        <f>INDEX(Consensus!$A$1:$BO$180,MATCH('Quarterly Flash'!$F20,Consensus!$A:$A,0),MATCH('Quarterly Flash'!V$7,Consensus!$4:$4,0))</f>
        <v>0.25690326543335296</v>
      </c>
      <c r="Y20" s="1693">
        <v>0.24343648277511498</v>
      </c>
      <c r="Z20" s="1345" t="s">
        <v>830</v>
      </c>
      <c r="AA20" s="901">
        <f ca="1">INDEX(INDIRECT($D20),MATCH('Quarterly Flash'!$F20,INDIRECT($C20),0),MATCH('Quarterly Flash'!AA$7,INDIRECT($B20),0))</f>
        <v>0.29893945570936187</v>
      </c>
      <c r="AB20" s="1489">
        <v>0.27724368521644327</v>
      </c>
      <c r="AC20" s="1342">
        <f>INDEX(Consensus!$A$1:$BO$180,MATCH('Quarterly Flash'!$F20,Consensus!$A:$A,0),MATCH('Quarterly Flash'!AA$7,Consensus!$4:$4,0))</f>
        <v>0.27156992402030444</v>
      </c>
      <c r="AD20" s="901">
        <v>0.26186977558911595</v>
      </c>
      <c r="AE20" s="1196">
        <f ca="1">INDEX(INDIRECT($D20),MATCH('Quarterly Flash'!$F20,INDIRECT($C20),0),MATCH('Quarterly Flash'!AE$7,INDIRECT($B20),0))</f>
        <v>0.24764941588342171</v>
      </c>
      <c r="AF20" s="1196">
        <v>0.21964865275035961</v>
      </c>
      <c r="AG20" s="1342">
        <f>INDEX(Consensus!$A$1:$BO$180,MATCH('Quarterly Flash'!$F20,Consensus!$A:$A,0),MATCH('Quarterly Flash'!AE$7,Consensus!$4:$4,0))</f>
        <v>0.23020221502346905</v>
      </c>
      <c r="AH20" s="901">
        <v>0.22644683494143902</v>
      </c>
    </row>
    <row r="21" spans="2:34" s="836" customFormat="1">
      <c r="B21" s="694" t="str">
        <f t="shared" ca="1" si="2"/>
        <v>'Income'!$5:$5</v>
      </c>
      <c r="C21" s="694" t="str">
        <f t="shared" ca="1" si="0"/>
        <v>'Income'!$A:$A</v>
      </c>
      <c r="D21" s="694" t="str">
        <f t="shared" ca="1" si="1"/>
        <v>'Income'!$1:$1048576</v>
      </c>
      <c r="E21" s="808" t="str" cm="1">
        <f t="array" aca="1" ref="E21" ca="1">IFERROR(INDEX(SheetNames,MATCH(1,COUNTIF(INDIRECT("'"&amp;SheetNames&amp;"'!A:A"),$F21),0)),"Not Found")</f>
        <v>Income</v>
      </c>
      <c r="F21" s="792" t="s">
        <v>397</v>
      </c>
      <c r="G21" s="843"/>
      <c r="H21" s="843"/>
      <c r="I21" s="843"/>
      <c r="J21"/>
      <c r="K21" s="1341" t="s">
        <v>398</v>
      </c>
      <c r="L21" s="901">
        <f ca="1">INDEX(INDIRECT($D21),MATCH('Quarterly Flash'!$F21,INDIRECT($C21),0),MATCH('Quarterly Flash'!L$8,INDIRECT($B21),0))</f>
        <v>0.48582089552238805</v>
      </c>
      <c r="M21" s="1253">
        <f ca="1">INDEX(INDIRECT($D21),MATCH('Quarterly Flash'!$F21,INDIRECT($C21),0),MATCH('Quarterly Flash'!M$8,INDIRECT($B21),0))</f>
        <v>0.48909985935302391</v>
      </c>
      <c r="N21" s="901">
        <f ca="1">INDEX(INDIRECT($D21),MATCH('Quarterly Flash'!$F21,INDIRECT($C21),0),MATCH('Quarterly Flash'!N$8,INDIRECT($B21),0))</f>
        <v>0.48769716088328074</v>
      </c>
      <c r="O21" s="1502">
        <f ca="1">INDEX(INDIRECT($D21),MATCH('Quarterly Flash'!$F21,INDIRECT($C21),0),MATCH('Quarterly Flash'!O$8,INDIRECT($B21),0))</f>
        <v>0.47669550655874965</v>
      </c>
      <c r="P21" s="1489">
        <v>0.47741811472423185</v>
      </c>
      <c r="Q21" s="1681">
        <f>INDEX(Consensus!$A$1:$BO$180,MATCH('Quarterly Flash'!$F21,Consensus!$A:$A,0),MATCH('Quarterly Flash'!O$8,Consensus!$4:$4,0))</f>
        <v>0.46592606754116661</v>
      </c>
      <c r="R21" s="901">
        <v>0.4773175555588941</v>
      </c>
      <c r="S21" s="1682">
        <f>+S19/S$17</f>
        <v>0.47669550655874965</v>
      </c>
      <c r="T21" s="1686"/>
      <c r="U21" s="1342"/>
      <c r="V21" s="901">
        <f ca="1">INDEX(INDIRECT($D21),MATCH('Quarterly Flash'!$F21,INDIRECT($C21),0),MATCH('Quarterly Flash'!V$7,INDIRECT($B21),0))</f>
        <v>0.48431569475685332</v>
      </c>
      <c r="W21" s="1489">
        <v>0.48142940305556625</v>
      </c>
      <c r="X21" s="901">
        <f>INDEX(Consensus!$A$1:$BO$180,MATCH('Quarterly Flash'!$F21,Consensus!$A:$A,0),MATCH('Quarterly Flash'!V$7,Consensus!$4:$4,0))</f>
        <v>0.47825534237451711</v>
      </c>
      <c r="Y21" s="901">
        <v>0.48111304220936457</v>
      </c>
      <c r="Z21" s="1342"/>
      <c r="AA21" s="901">
        <f ca="1">INDEX(INDIRECT($D21),MATCH('Quarterly Flash'!$F21,INDIRECT($C21),0),MATCH('Quarterly Flash'!AA$7,INDIRECT($B21),0))</f>
        <v>0.47434642697487006</v>
      </c>
      <c r="AB21" s="1489">
        <v>0.47321780884297915</v>
      </c>
      <c r="AC21" s="1342">
        <f>INDEX(Consensus!$A$1:$BO$180,MATCH('Quarterly Flash'!$F21,Consensus!$A:$A,0),MATCH('Quarterly Flash'!AA$7,Consensus!$4:$4,0))</f>
        <v>0.47220886331902456</v>
      </c>
      <c r="AD21" s="901">
        <v>0.47412972524928132</v>
      </c>
      <c r="AE21" s="1196">
        <f ca="1">INDEX(INDIRECT($D21),MATCH('Quarterly Flash'!$F21,INDIRECT($C21),0),MATCH('Quarterly Flash'!AE$7,INDIRECT($B21),0))</f>
        <v>0.47049327896757775</v>
      </c>
      <c r="AF21" s="1196">
        <v>0.46871222645780669</v>
      </c>
      <c r="AG21" s="1342">
        <f>INDEX(Consensus!$A$1:$BO$180,MATCH('Quarterly Flash'!$F21,Consensus!$A:$A,0),MATCH('Quarterly Flash'!AE$7,Consensus!$4:$4,0))</f>
        <v>0.46607286504692558</v>
      </c>
      <c r="AH21" s="901">
        <v>0.46768960092600131</v>
      </c>
    </row>
    <row r="22" spans="2:34">
      <c r="B22" s="694" t="str">
        <f ca="1">"'"&amp;E22&amp;"'"&amp;"!$5:$5"</f>
        <v>'Income'!$5:$5</v>
      </c>
      <c r="C22" s="694" t="str">
        <f ca="1">"'"&amp;E22&amp;"'"&amp;"!$A:$A"</f>
        <v>'Income'!$A:$A</v>
      </c>
      <c r="D22" s="694" t="str">
        <f t="shared" ca="1" si="1"/>
        <v>'Income'!$1:$1048576</v>
      </c>
      <c r="E22" s="808" t="str" cm="1">
        <f t="array" aca="1" ref="E22" ca="1">IFERROR(INDEX(SheetNames,MATCH(1,COUNTIF(INDIRECT("'"&amp;SheetNames&amp;"'!A:A"),$F22),0)),"Not Found")</f>
        <v>Income</v>
      </c>
      <c r="F22" s="792" t="s">
        <v>582</v>
      </c>
      <c r="G22" s="841" t="s">
        <v>698</v>
      </c>
      <c r="H22" s="844">
        <f>H19-H25</f>
        <v>1220</v>
      </c>
      <c r="I22" s="844">
        <f>I19-I25</f>
        <v>1062</v>
      </c>
      <c r="K22" s="1339" t="s">
        <v>4</v>
      </c>
      <c r="L22" s="1268">
        <f ca="1">INDEX(INDIRECT($D22),MATCH('Quarterly Flash'!$F22,INDIRECT($C22),0),MATCH('Quarterly Flash'!L$8,INDIRECT($B22),0))*-1</f>
        <v>1011</v>
      </c>
      <c r="M22" s="1269">
        <f ca="1">INDEX(INDIRECT($D22),MATCH('Quarterly Flash'!$F22,INDIRECT($C22),0),MATCH('Quarterly Flash'!M$8,INDIRECT($B22),0))*-1</f>
        <v>1048</v>
      </c>
      <c r="N22" s="1268">
        <f ca="1">INDEX(INDIRECT($D22),MATCH('Quarterly Flash'!$F22,INDIRECT($C22),0),MATCH('Quarterly Flash'!N$8,INDIRECT($B22),0))*-1</f>
        <v>1164</v>
      </c>
      <c r="O22" s="1505">
        <f ca="1">INDEX(INDIRECT($D22),MATCH('Quarterly Flash'!$F22,INDIRECT($C22),0),MATCH('Quarterly Flash'!O$8,INDIRECT($B22),0))*-1</f>
        <v>1220</v>
      </c>
      <c r="P22" s="1491">
        <v>1241.0414134363361</v>
      </c>
      <c r="Q22" s="1687">
        <f>INDEX(Consensus!$A$1:$BO$180,MATCH('Quarterly Flash'!$F22,Consensus!$A:$A,0),MATCH('Quarterly Flash'!O$8,Consensus!$4:$4,0))</f>
        <v>1234.5894000000001</v>
      </c>
      <c r="R22" s="1268">
        <v>1226.5131000000001</v>
      </c>
      <c r="S22" s="1688">
        <f>+H22</f>
        <v>1220</v>
      </c>
      <c r="T22" s="1680">
        <f>+S22/Q22-1</f>
        <v>-1.181720821513621E-2</v>
      </c>
      <c r="U22" s="1346"/>
      <c r="V22" s="1268">
        <f ca="1">INDEX(INDIRECT($D22),MATCH('Quarterly Flash'!$F22,INDIRECT($C22),0),MATCH('Quarterly Flash'!V$7,INDIRECT($B22),0))*-1</f>
        <v>1246.0190103593661</v>
      </c>
      <c r="W22" s="1491">
        <v>1214.650357584384</v>
      </c>
      <c r="X22" s="1268">
        <f>INDEX(Consensus!$A$1:$BO$180,MATCH('Quarterly Flash'!$F22,Consensus!$A:$A,0),MATCH('Quarterly Flash'!V$7,Consensus!$4:$4,0))</f>
        <v>1247.1261000000002</v>
      </c>
      <c r="Y22" s="1268">
        <v>1233.6991700000001</v>
      </c>
      <c r="Z22" s="1346"/>
      <c r="AA22" s="1268">
        <f ca="1">-INDEX(INDIRECT($D22),MATCH('Quarterly Flash'!$F22,INDIRECT($C22),0),MATCH('Quarterly Flash'!AA$7,INDIRECT($B22),0))</f>
        <v>4956.6906094658916</v>
      </c>
      <c r="AB22" s="1491">
        <v>4914.3964749337347</v>
      </c>
      <c r="AC22" s="1346">
        <f>INDEX(Consensus!$A$1:$BO$180,MATCH('Quarterly Flash'!$F22,Consensus!$A:$A,0),MATCH('Quarterly Flash'!AA$7,Consensus!$4:$4,0))</f>
        <v>4958.8913999999995</v>
      </c>
      <c r="AD22" s="1268">
        <v>4928.2427000000007</v>
      </c>
      <c r="AE22" s="1270">
        <f ca="1">-INDEX(INDIRECT($D22),MATCH('Quarterly Flash'!$F22,INDIRECT($C22),0),MATCH('Quarterly Flash'!AE$7,INDIRECT($B22),0))</f>
        <v>5868.2874218901152</v>
      </c>
      <c r="AF22" s="1270">
        <v>5689.4896285106188</v>
      </c>
      <c r="AG22" s="1346">
        <f>INDEX(Consensus!$A$1:$BO$180,MATCH('Quarterly Flash'!$F22,Consensus!$A:$A,0),MATCH('Quarterly Flash'!AE$7,Consensus!$4:$4,0))</f>
        <v>5813.9541999999992</v>
      </c>
      <c r="AH22" s="1268">
        <v>5738.018</v>
      </c>
    </row>
    <row r="23" spans="2:34" s="836" customFormat="1">
      <c r="B23" s="694"/>
      <c r="C23" s="694"/>
      <c r="D23" s="694"/>
      <c r="E23" s="808"/>
      <c r="F23" s="792"/>
      <c r="G23" s="843"/>
      <c r="H23" s="843"/>
      <c r="I23" s="843"/>
      <c r="J23"/>
      <c r="K23" s="1341" t="s">
        <v>412</v>
      </c>
      <c r="L23" s="901">
        <f ca="1">L22/L17</f>
        <v>0.37723880597014925</v>
      </c>
      <c r="M23" s="901">
        <f ca="1">M22/M17</f>
        <v>0.36849507735583686</v>
      </c>
      <c r="N23" s="901">
        <f ca="1">N22/N17</f>
        <v>0.36719242902208205</v>
      </c>
      <c r="O23" s="1502">
        <f ca="1">O22/O17</f>
        <v>0.34049679039910691</v>
      </c>
      <c r="P23" s="1489">
        <v>0.35496619426526677</v>
      </c>
      <c r="Q23" s="1681">
        <f>+Q22/Q17</f>
        <v>0.34456862963996654</v>
      </c>
      <c r="R23" s="901">
        <v>0.35641367919978911</v>
      </c>
      <c r="S23" s="1682">
        <f>+S22/S$17</f>
        <v>0.34049679039910691</v>
      </c>
      <c r="T23" s="901"/>
      <c r="U23" s="1347" t="s">
        <v>823</v>
      </c>
      <c r="V23" s="901">
        <f ca="1">+V22/V17</f>
        <v>0.33595165402492549</v>
      </c>
      <c r="W23" s="1489">
        <v>0.33319221605505189</v>
      </c>
      <c r="X23" s="901">
        <f>+X22/X17</f>
        <v>0.34153680953621146</v>
      </c>
      <c r="Y23" s="901">
        <v>0.34355950667974039</v>
      </c>
      <c r="Z23" s="1347" t="s">
        <v>831</v>
      </c>
      <c r="AA23" s="901">
        <f ca="1">+AA22/AA17</f>
        <v>0.3258475598723492</v>
      </c>
      <c r="AB23" s="1489">
        <v>0.32777320191015263</v>
      </c>
      <c r="AC23" s="1342">
        <f>+AC22/AC17</f>
        <v>0.33108879723601897</v>
      </c>
      <c r="AD23" s="901">
        <v>0.33292065050085951</v>
      </c>
      <c r="AE23" s="901">
        <f ca="1">+AE22/AE17</f>
        <v>0.30668974970982515</v>
      </c>
      <c r="AF23" s="1196">
        <v>0.30816763438446915</v>
      </c>
      <c r="AG23" s="1342">
        <f>+AG22/AG17</f>
        <v>0.3114402037329943</v>
      </c>
      <c r="AH23" s="901">
        <v>0.31176140949183923</v>
      </c>
    </row>
    <row r="24" spans="2:34" s="836" customFormat="1">
      <c r="B24" s="694" t="str">
        <f ca="1">"'"&amp;E24&amp;"'"&amp;"!$5:$5"</f>
        <v>'Income'!$5:$5</v>
      </c>
      <c r="C24" s="694" t="str">
        <f ca="1">"'"&amp;E24&amp;"'"&amp;"!$A:$A"</f>
        <v>'Income'!$A:$A</v>
      </c>
      <c r="D24" s="694" t="str">
        <f t="shared" ca="1" si="1"/>
        <v>'Income'!$1:$1048576</v>
      </c>
      <c r="E24" s="808" t="str" cm="1">
        <f t="array" aca="1" ref="E24" ca="1">IFERROR(INDEX(SheetNames,MATCH(1,COUNTIF(INDIRECT("'"&amp;SheetNames&amp;"'!A:A"),$F24),0)),"Not Found")</f>
        <v>Income</v>
      </c>
      <c r="F24" s="792" t="s">
        <v>584</v>
      </c>
      <c r="G24" s="843"/>
      <c r="H24" s="843"/>
      <c r="I24" s="843"/>
      <c r="J24"/>
      <c r="K24" s="1341" t="s">
        <v>395</v>
      </c>
      <c r="L24" s="901">
        <f ca="1">INDEX(INDIRECT($D24),MATCH('Quarterly Flash'!$F24,INDIRECT($C24),0),MATCH('Quarterly Flash'!L$8,INDIRECT($B24),0))</f>
        <v>0.25746268656716409</v>
      </c>
      <c r="M24" s="1253">
        <f ca="1">INDEX(INDIRECT($D24),MATCH('Quarterly Flash'!$F24,INDIRECT($C24),0),MATCH('Quarterly Flash'!M$8,INDIRECT($B24),0))</f>
        <v>0.25508982035928152</v>
      </c>
      <c r="N24" s="901">
        <f ca="1">INDEX(INDIRECT($D24),MATCH('Quarterly Flash'!$F24,INDIRECT($C24),0),MATCH('Quarterly Flash'!N$8,INDIRECT($B24),0))</f>
        <v>0.20496894409937894</v>
      </c>
      <c r="O24" s="1502">
        <f ca="1">INDEX(INDIRECT($D24),MATCH('Quarterly Flash'!$F24,INDIRECT($C24),0),MATCH('Quarterly Flash'!O$8,INDIRECT($B24),0))</f>
        <v>0.20672601384767564</v>
      </c>
      <c r="P24" s="1489">
        <v>0.22753849004583193</v>
      </c>
      <c r="Q24" s="1681"/>
      <c r="R24" s="901"/>
      <c r="S24" s="1682"/>
      <c r="T24" s="901"/>
      <c r="U24" s="1342"/>
      <c r="V24" s="901">
        <f ca="1">INDEX(INDIRECT($D24),MATCH('Quarterly Flash'!$F24,INDIRECT($C24),0),MATCH('Quarterly Flash'!V$7,INDIRECT($B24),0))</f>
        <v>0.18894943736580738</v>
      </c>
      <c r="W24" s="1489">
        <v>0.15901751677899245</v>
      </c>
      <c r="X24" s="901">
        <f ca="1">X22/M22-1</f>
        <v>0.19000582061068716</v>
      </c>
      <c r="Y24" s="901">
        <v>0.17719386450381691</v>
      </c>
      <c r="Z24" s="1342"/>
      <c r="AA24" s="901">
        <f ca="1">INDEX(INDIRECT($D24),MATCH('Quarterly Flash'!$F24,INDIRECT($C24),0),MATCH('Quarterly Flash'!AA$7,INDIRECT($B24),0))</f>
        <v>0.2127943747163914</v>
      </c>
      <c r="AB24" s="1489">
        <v>0.20244591997399919</v>
      </c>
      <c r="AC24" s="1342">
        <f>INDEX(Consensus!$A$1:$BO$180,MATCH('Quarterly Flash'!$F24,Consensus!$A:$A,0),MATCH('Quarterly Flash'!AA$7,Consensus!$4:$4,0))</f>
        <v>0.21124686025187933</v>
      </c>
      <c r="AD24" s="901">
        <v>0.20376068266674396</v>
      </c>
      <c r="AE24" s="901">
        <f ca="1">INDEX(INDIRECT($D24),MATCH('Quarterly Flash'!$F24,INDIRECT($C24),0),MATCH('Quarterly Flash'!AE$7,INDIRECT($B24),0))</f>
        <v>0.18391238918227604</v>
      </c>
      <c r="AF24" s="1196">
        <v>0.15771888929399736</v>
      </c>
      <c r="AG24" s="1342">
        <f>INDEX(Consensus!$A$1:$BO$180,MATCH('Quarterly Flash'!$F24,Consensus!$A:$A,0),MATCH('Quarterly Flash'!AE$7,Consensus!$4:$4,0))</f>
        <v>0.17243023309605032</v>
      </c>
      <c r="AH24" s="901">
        <v>0.16431319423452884</v>
      </c>
    </row>
    <row r="25" spans="2:34">
      <c r="B25" s="694" t="str">
        <f t="shared" ca="1" si="2"/>
        <v>'Income'!$5:$5</v>
      </c>
      <c r="C25" s="694" t="str">
        <f t="shared" ca="1" si="0"/>
        <v>'Income'!$A:$A</v>
      </c>
      <c r="D25" s="694" t="str">
        <f t="shared" ca="1" si="1"/>
        <v>'Income'!$1:$1048576</v>
      </c>
      <c r="E25" s="808" t="str" cm="1">
        <f t="array" aca="1" ref="E25" ca="1">IFERROR(INDEX(SheetNames,MATCH(1,COUNTIF(INDIRECT("'"&amp;SheetNames&amp;"'!A:A"),$F25),0)),"Not Found")</f>
        <v>Income</v>
      </c>
      <c r="F25" s="794" t="s">
        <v>126</v>
      </c>
      <c r="G25" s="841" t="s">
        <v>126</v>
      </c>
      <c r="H25" s="842">
        <v>488</v>
      </c>
      <c r="I25" s="842">
        <v>631</v>
      </c>
      <c r="K25" s="1343" t="s">
        <v>399</v>
      </c>
      <c r="L25" s="1258">
        <f ca="1">INDEX(INDIRECT($D25),MATCH('Quarterly Flash'!$F25,INDIRECT($C25),0),MATCH('Quarterly Flash'!L$8,INDIRECT($B25),0))</f>
        <v>291</v>
      </c>
      <c r="M25" s="1259">
        <f ca="1">INDEX(INDIRECT($D25),MATCH('Quarterly Flash'!$F25,INDIRECT($C25),0),MATCH('Quarterly Flash'!M$8,INDIRECT($B25),0))</f>
        <v>343</v>
      </c>
      <c r="N25" s="1258">
        <f ca="1">INDEX(INDIRECT($D25),MATCH('Quarterly Flash'!$F25,INDIRECT($C25),0),MATCH('Quarterly Flash'!N$8,INDIRECT($B25),0))</f>
        <v>382</v>
      </c>
      <c r="O25" s="1504">
        <f ca="1">INDEX(INDIRECT($D25),MATCH('Quarterly Flash'!$F25,INDIRECT($C25),0),MATCH('Quarterly Flash'!O$8,INDIRECT($B25),0))</f>
        <v>488</v>
      </c>
      <c r="P25" s="1490">
        <v>428.11937277278298</v>
      </c>
      <c r="Q25" s="1683">
        <f>INDEX(Consensus!$A$1:$BO$180,MATCH('Quarterly Flash'!$F25,Consensus!$A:$A,0),MATCH('Quarterly Flash'!O$8,Consensus!$4:$4,0))</f>
        <v>434.82369999999997</v>
      </c>
      <c r="R25" s="1258">
        <v>416.06200000000001</v>
      </c>
      <c r="S25" s="1684">
        <f>+H25</f>
        <v>488</v>
      </c>
      <c r="T25" s="1685">
        <f>+S25/Q25-1</f>
        <v>0.12229393200048677</v>
      </c>
      <c r="U25" s="1344"/>
      <c r="V25" s="1258">
        <f ca="1">INDEX(INDIRECT($D25),MATCH('Quarterly Flash'!$F25,INDIRECT($C25),0),MATCH('Quarterly Flash'!V$7,INDIRECT($B25),0))</f>
        <v>550.27088865589462</v>
      </c>
      <c r="W25" s="1490">
        <v>540.3978350074301</v>
      </c>
      <c r="X25" s="1258">
        <f>INDEX(Consensus!$A$1:$BO$180,MATCH('Quarterly Flash'!$F25,Consensus!$A:$A,0),MATCH('Quarterly Flash'!V$7,Consensus!$4:$4,0))</f>
        <v>499.22949999999997</v>
      </c>
      <c r="Y25" s="1258">
        <v>493.94553000000002</v>
      </c>
      <c r="Z25" s="1344"/>
      <c r="AA25" s="1258">
        <f ca="1">INDEX(INDIRECT($D25),MATCH('Quarterly Flash'!$F25,INDIRECT($C25),0),MATCH('Quarterly Flash'!AA$7,INDIRECT($B25),0))</f>
        <v>2258.9180669996149</v>
      </c>
      <c r="AB25" s="1490">
        <v>2180.6921964436115</v>
      </c>
      <c r="AC25" s="1344">
        <f>INDEX(Consensus!$A$1:$BO$180,MATCH('Quarterly Flash'!$F25,Consensus!$A:$A,0),MATCH('Quarterly Flash'!AA$7,Consensus!$4:$4,0))</f>
        <v>2113.6296000000002</v>
      </c>
      <c r="AD25" s="1258">
        <v>2090.3256999999999</v>
      </c>
      <c r="AE25" s="1258">
        <f ca="1">INDEX(INDIRECT($D25),MATCH('Quarterly Flash'!$F25,INDIRECT($C25),0),MATCH('Quarterly Flash'!AE$7,INDIRECT($B25),0))</f>
        <v>3134.2625285454214</v>
      </c>
      <c r="AF25" s="1261">
        <v>2964.0257106790968</v>
      </c>
      <c r="AG25" s="1344">
        <f>INDEX(Consensus!$A$1:$BO$180,MATCH('Quarterly Flash'!$F25,Consensus!$A:$A,0),MATCH('Quarterly Flash'!AE$7,Consensus!$4:$4,0))</f>
        <v>2886.6768000000002</v>
      </c>
      <c r="AH25" s="1258">
        <v>2869.8829999999998</v>
      </c>
    </row>
    <row r="26" spans="2:34" s="836" customFormat="1">
      <c r="B26" s="694" t="str">
        <f t="shared" ca="1" si="2"/>
        <v>'Income'!$5:$5</v>
      </c>
      <c r="C26" s="694" t="str">
        <f t="shared" ca="1" si="0"/>
        <v>'Income'!$A:$A</v>
      </c>
      <c r="D26" s="694" t="str">
        <f t="shared" ca="1" si="1"/>
        <v>'Income'!$1:$1048576</v>
      </c>
      <c r="E26" s="808" t="str" cm="1">
        <f t="array" aca="1" ref="E26" ca="1">IFERROR(INDEX(SheetNames,MATCH(1,COUNTIF(INDIRECT("'"&amp;SheetNames&amp;"'!A:A"),$F26),0)),"Not Found")</f>
        <v>Income</v>
      </c>
      <c r="F26" s="792" t="s">
        <v>400</v>
      </c>
      <c r="G26" s="843"/>
      <c r="H26" s="843"/>
      <c r="I26" s="843"/>
      <c r="J26"/>
      <c r="K26" s="1341" t="s">
        <v>401</v>
      </c>
      <c r="L26" s="901">
        <f ca="1">INDEX(INDIRECT($D26),MATCH('Quarterly Flash'!$F26,INDIRECT($C26),0),MATCH('Quarterly Flash'!L$8,INDIRECT($B26),0))</f>
        <v>0.1085820895522388</v>
      </c>
      <c r="M26" s="1253">
        <f ca="1">INDEX(INDIRECT($D26),MATCH('Quarterly Flash'!$F26,INDIRECT($C26),0),MATCH('Quarterly Flash'!M$8,INDIRECT($B26),0))</f>
        <v>0.12060478199718706</v>
      </c>
      <c r="N26" s="901">
        <f ca="1">INDEX(INDIRECT($D26),MATCH('Quarterly Flash'!$F26,INDIRECT($C26),0),MATCH('Quarterly Flash'!N$8,INDIRECT($B26),0))</f>
        <v>0.12050473186119874</v>
      </c>
      <c r="O26" s="1502">
        <f ca="1">INDEX(INDIRECT($D26),MATCH('Quarterly Flash'!$F26,INDIRECT($C26),0),MATCH('Quarterly Flash'!O$8,INDIRECT($B26),0))</f>
        <v>0.13619871615964277</v>
      </c>
      <c r="P26" s="1489">
        <v>0.12245192045896509</v>
      </c>
      <c r="Q26" s="1681">
        <f>INDEX(Consensus!$A$1:$BO$180,MATCH('Quarterly Flash'!$F26,Consensus!$A:$A,0),MATCH('Quarterly Flash'!O$8,Consensus!$4:$4,0))</f>
        <v>0.1213574379012001</v>
      </c>
      <c r="R26" s="901">
        <v>0.12090387635910504</v>
      </c>
      <c r="S26" s="1682">
        <f>+S25/S17</f>
        <v>0.13619871615964277</v>
      </c>
      <c r="T26" s="1686"/>
      <c r="U26" s="1342"/>
      <c r="V26" s="901">
        <f ca="1">INDEX(INDIRECT($D26),MATCH('Quarterly Flash'!$F26,INDIRECT($C26),0),MATCH('Quarterly Flash'!V$7,INDIRECT($B26),0))</f>
        <v>0.14836404073192783</v>
      </c>
      <c r="W26" s="1489">
        <v>0.14823718700051433</v>
      </c>
      <c r="X26" s="901">
        <f>INDEX(Consensus!$A$1:$BO$180,MATCH('Quarterly Flash'!$F26,Consensus!$A:$A,0),MATCH('Quarterly Flash'!V$7,Consensus!$4:$4,0))</f>
        <v>0.13671853283830565</v>
      </c>
      <c r="Y26" s="901">
        <v>0.13755353552962421</v>
      </c>
      <c r="Z26" s="1342"/>
      <c r="AA26" s="901">
        <f ca="1">INDEX(INDIRECT($D26),MATCH('Quarterly Flash'!$F26,INDIRECT($C26),0),MATCH('Quarterly Flash'!AA$7,INDIRECT($B26),0))</f>
        <v>0.14849886710252083</v>
      </c>
      <c r="AB26" s="1489">
        <v>0.14544460693282671</v>
      </c>
      <c r="AC26" s="1342">
        <f>INDEX(Consensus!$A$1:$BO$180,MATCH('Quarterly Flash'!$F26,Consensus!$A:$A,0),MATCH('Quarterly Flash'!AA$7,Consensus!$4:$4,0))</f>
        <v>0.14112006608300556</v>
      </c>
      <c r="AD26" s="901">
        <v>0.14120907474842184</v>
      </c>
      <c r="AE26" s="1196">
        <f ca="1">INDEX(INDIRECT($D26),MATCH('Quarterly Flash'!$F26,INDIRECT($C26),0),MATCH('Quarterly Flash'!AE$7,INDIRECT($B26),0))</f>
        <v>0.16380352925775257</v>
      </c>
      <c r="AF26" s="1196">
        <v>0.16054459207333757</v>
      </c>
      <c r="AG26" s="1342">
        <f>INDEX(Consensus!$A$1:$BO$180,MATCH('Quarterly Flash'!$F26,Consensus!$A:$A,0),MATCH('Quarterly Flash'!AE$7,Consensus!$4:$4,0))</f>
        <v>0.15463266131393127</v>
      </c>
      <c r="AH26" s="901">
        <v>0.15592819143416209</v>
      </c>
    </row>
    <row r="27" spans="2:34" collapsed="1">
      <c r="B27" s="694" t="str">
        <f t="shared" ca="1" si="2"/>
        <v>'Income'!$5:$5</v>
      </c>
      <c r="C27" s="694" t="str">
        <f t="shared" ca="1" si="0"/>
        <v>'Income'!$A:$A</v>
      </c>
      <c r="D27" s="694" t="str">
        <f t="shared" ca="1" si="1"/>
        <v>'Income'!$1:$1048576</v>
      </c>
      <c r="E27" s="808" t="str" cm="1">
        <f t="array" aca="1" ref="E27" ca="1">IFERROR(INDEX(SheetNames,MATCH(1,COUNTIF(INDIRECT("'"&amp;SheetNames&amp;"'!A:A"),$F27),0)),"Not Found")</f>
        <v>Income</v>
      </c>
      <c r="F27" s="794" t="s">
        <v>403</v>
      </c>
      <c r="G27" s="841" t="s">
        <v>161</v>
      </c>
      <c r="H27" s="844">
        <f>+H25+H42+H33</f>
        <v>623</v>
      </c>
      <c r="I27" s="844">
        <f>+I25+I42+I33</f>
        <v>763</v>
      </c>
      <c r="K27" s="1343" t="s">
        <v>161</v>
      </c>
      <c r="L27" s="1258">
        <f ca="1">INDEX(INDIRECT($D27),MATCH('Quarterly Flash'!$F27,INDIRECT($C27),0),MATCH('Quarterly Flash'!L$8,INDIRECT($B27),0))</f>
        <v>429</v>
      </c>
      <c r="M27" s="1259">
        <f ca="1">INDEX(INDIRECT($D27),MATCH('Quarterly Flash'!$F27,INDIRECT($C27),0),MATCH('Quarterly Flash'!M$8,INDIRECT($B27),0))</f>
        <v>470</v>
      </c>
      <c r="N27" s="1258">
        <f ca="1">INDEX(INDIRECT($D27),MATCH('Quarterly Flash'!$F27,INDIRECT($C27),0),MATCH('Quarterly Flash'!N$8,INDIRECT($B27),0))</f>
        <v>527</v>
      </c>
      <c r="O27" s="1504">
        <f ca="1">INDEX(INDIRECT($D27),MATCH('Quarterly Flash'!$F27,INDIRECT($C27),0),MATCH('Quarterly Flash'!O$8,INDIRECT($B27),0))</f>
        <v>628</v>
      </c>
      <c r="P27" s="1490">
        <v>579.57365888368963</v>
      </c>
      <c r="Q27" s="1683">
        <f>INDEX(Consensus!$A$1:$BO$180,MATCH('Quarterly Flash'!$F27,Consensus!$A:$A,0),MATCH('Quarterly Flash'!O$8,Consensus!$4:$4,0))</f>
        <v>594.84550000000002</v>
      </c>
      <c r="R27" s="1258">
        <v>571.57129999999995</v>
      </c>
      <c r="S27" s="1684">
        <f>+H27</f>
        <v>623</v>
      </c>
      <c r="T27" s="1685">
        <f>+S27/Q27-1</f>
        <v>4.7330777487599729E-2</v>
      </c>
      <c r="U27" s="1344"/>
      <c r="V27" s="1258">
        <f ca="1">INDEX(INDIRECT($D27),MATCH('Quarterly Flash'!$F27,INDIRECT($C27),0),MATCH('Quarterly Flash'!V$7,INDIRECT($B27),0))</f>
        <v>713.19016923632353</v>
      </c>
      <c r="W27" s="1490">
        <v>699.77033151648016</v>
      </c>
      <c r="X27" s="1258">
        <f>INDEX(Consensus!$A$1:$BO$180,MATCH('Quarterly Flash'!$F27,Consensus!$A:$A,0),MATCH('Quarterly Flash'!V$7,Consensus!$4:$4,0))</f>
        <v>668.07587000000001</v>
      </c>
      <c r="Y27" s="1258">
        <v>649.09119999999996</v>
      </c>
      <c r="Z27" s="1344"/>
      <c r="AA27" s="1258">
        <f ca="1">INDEX(INDIRECT($D27),MATCH('Quarterly Flash'!$F27,INDIRECT($C27),0),MATCH('Quarterly Flash'!AA$7,INDIRECT($B27),0))</f>
        <v>2912.1713812152248</v>
      </c>
      <c r="AB27" s="1490">
        <v>2838.1201884530501</v>
      </c>
      <c r="AC27" s="1344">
        <f>INDEX(Consensus!$A$1:$BO$180,MATCH('Quarterly Flash'!$F27,Consensus!$A:$A,0),MATCH('Quarterly Flash'!AA$7,Consensus!$4:$4,0))</f>
        <v>2760.9684999999999</v>
      </c>
      <c r="AD27" s="1258">
        <v>2713.252</v>
      </c>
      <c r="AE27" s="1261">
        <f ca="1">INDEX(INDIRECT($D27),MATCH('Quarterly Flash'!$F27,INDIRECT($C27),0),MATCH('Quarterly Flash'!AE$7,INDIRECT($B27),0))</f>
        <v>3866.5000240983682</v>
      </c>
      <c r="AF27" s="1261">
        <v>3691.6116692615224</v>
      </c>
      <c r="AG27" s="1344">
        <f>INDEX(Consensus!$A$1:$BO$180,MATCH('Quarterly Flash'!$F27,Consensus!$A:$A,0),MATCH('Quarterly Flash'!AE$7,Consensus!$4:$4,0))</f>
        <v>3575.3566999999998</v>
      </c>
      <c r="AH27" s="1258">
        <v>3542.5929999999998</v>
      </c>
    </row>
    <row r="28" spans="2:34" s="836" customFormat="1">
      <c r="B28" s="694" t="str">
        <f t="shared" ca="1" si="2"/>
        <v>'Income'!$5:$5</v>
      </c>
      <c r="C28" s="694" t="str">
        <f t="shared" ca="1" si="0"/>
        <v>'Income'!$A:$A</v>
      </c>
      <c r="D28" s="694" t="str">
        <f t="shared" ca="1" si="1"/>
        <v>'Income'!$1:$1048576</v>
      </c>
      <c r="E28" s="808" t="str" cm="1">
        <f t="array" aca="1" ref="E28" ca="1">IFERROR(INDEX(SheetNames,MATCH(1,COUNTIF(INDIRECT("'"&amp;SheetNames&amp;"'!A:A"),$F28),0)),"Not Found")</f>
        <v>Income</v>
      </c>
      <c r="F28" s="792" t="s">
        <v>404</v>
      </c>
      <c r="G28" s="843"/>
      <c r="H28" s="843"/>
      <c r="I28" s="843"/>
      <c r="J28"/>
      <c r="K28" s="1341" t="s">
        <v>402</v>
      </c>
      <c r="L28" s="901">
        <f ca="1">INDEX(INDIRECT($D28),MATCH('Quarterly Flash'!$F28,INDIRECT($C28),0),MATCH('Quarterly Flash'!L$8,INDIRECT($B28),0))</f>
        <v>0.16007462686567164</v>
      </c>
      <c r="M28" s="1253">
        <f ca="1">INDEX(INDIRECT($D28),MATCH('Quarterly Flash'!$F28,INDIRECT($C28),0),MATCH('Quarterly Flash'!M$8,INDIRECT($B28),0))</f>
        <v>0.16526019690576652</v>
      </c>
      <c r="N28" s="901">
        <f ca="1">INDEX(INDIRECT($D28),MATCH('Quarterly Flash'!$F28,INDIRECT($C28),0),MATCH('Quarterly Flash'!N$8,INDIRECT($B28),0))</f>
        <v>0.16624605678233439</v>
      </c>
      <c r="O28" s="1502">
        <f ca="1">INDEX(INDIRECT($D28),MATCH('Quarterly Flash'!$F28,INDIRECT($C28),0),MATCH('Quarterly Flash'!O$8,INDIRECT($B28),0))</f>
        <v>0.17527211833658946</v>
      </c>
      <c r="P28" s="1489">
        <v>0.16577130606841983</v>
      </c>
      <c r="Q28" s="1681">
        <f>INDEX(Consensus!$A$1:$BO$180,MATCH('Quarterly Flash'!$F28,Consensus!$A:$A,0),MATCH('Quarterly Flash'!O$8,Consensus!$4:$4,0))</f>
        <v>0.16601883896176389</v>
      </c>
      <c r="R28" s="901">
        <v>0.16609348074472777</v>
      </c>
      <c r="S28" s="1682">
        <f>+S27/S$17</f>
        <v>0.17387663968741279</v>
      </c>
      <c r="T28" s="1686"/>
      <c r="U28" s="1342"/>
      <c r="V28" s="901">
        <f ca="1">INDEX(INDIRECT($D28),MATCH('Quarterly Flash'!$F28,INDIRECT($C28),0),MATCH('Quarterly Flash'!V$7,INDIRECT($B28),0))</f>
        <v>0.19229033826711583</v>
      </c>
      <c r="W28" s="1489">
        <v>0.19195485024286624</v>
      </c>
      <c r="X28" s="901">
        <f>INDEX(Consensus!$A$1:$BO$180,MATCH('Quarterly Flash'!$F28,Consensus!$A:$A,0),MATCH('Quarterly Flash'!V$7,Consensus!$4:$4,0))</f>
        <v>0.18295864481380733</v>
      </c>
      <c r="Y28" s="901">
        <v>0.18075837115312371</v>
      </c>
      <c r="Z28" s="1342"/>
      <c r="AA28" s="901">
        <f ca="1">INDEX(INDIRECT($D28),MATCH('Quarterly Flash'!$F28,INDIRECT($C28),0),MATCH('Quarterly Flash'!AA$7,INDIRECT($B28),0))</f>
        <v>0.19144304401143999</v>
      </c>
      <c r="AB28" s="1489">
        <v>0.18929277406085673</v>
      </c>
      <c r="AC28" s="1342">
        <f>INDEX(Consensus!$A$1:$BO$180,MATCH('Quarterly Flash'!$F28,Consensus!$A:$A,0),MATCH('Quarterly Flash'!AA$7,Consensus!$4:$4,0))</f>
        <v>0.18434074597228234</v>
      </c>
      <c r="AD28" s="901">
        <v>0.1832900033135052</v>
      </c>
      <c r="AE28" s="1196">
        <f ca="1">INDEX(INDIRECT($D28),MATCH('Quarterly Flash'!$F28,INDIRECT($C28),0),MATCH('Quarterly Flash'!AE$7,INDIRECT($B28),0))</f>
        <v>0.20207188901831638</v>
      </c>
      <c r="AF28" s="1196">
        <v>0.19995382880770488</v>
      </c>
      <c r="AG28" s="1342">
        <f>INDEX(Consensus!$A$1:$BO$180,MATCH('Quarterly Flash'!$F28,Consensus!$A:$A,0),MATCH('Quarterly Flash'!AE$7,Consensus!$4:$4,0))</f>
        <v>0.19152366543687707</v>
      </c>
      <c r="AH28" s="901">
        <v>0.19247827158017333</v>
      </c>
    </row>
    <row r="29" spans="2:34">
      <c r="B29" s="694" t="str">
        <f t="shared" ca="1" si="2"/>
        <v>'Income'!$5:$5</v>
      </c>
      <c r="C29" s="694" t="str">
        <f t="shared" ca="1" si="0"/>
        <v>'Income'!$A:$A</v>
      </c>
      <c r="D29" s="694" t="str">
        <f t="shared" ca="1" si="1"/>
        <v>'Income'!$1:$1048576</v>
      </c>
      <c r="E29" s="808" t="str" cm="1">
        <f t="array" aca="1" ref="E29" ca="1">IFERROR(INDEX(SheetNames,MATCH(1,COUNTIF(INDIRECT("'"&amp;SheetNames&amp;"'!A:A"),$F29),0)),"Not Found")</f>
        <v>Income</v>
      </c>
      <c r="F29" s="794" t="s">
        <v>405</v>
      </c>
      <c r="G29" s="841" t="s">
        <v>481</v>
      </c>
      <c r="H29" s="842">
        <v>1502</v>
      </c>
      <c r="I29" s="842">
        <v>743</v>
      </c>
      <c r="K29" s="1343" t="s">
        <v>160</v>
      </c>
      <c r="L29" s="1258">
        <f ca="1">INDEX(INDIRECT($D29),MATCH('Quarterly Flash'!$F29,INDIRECT($C29),0),MATCH('Quarterly Flash'!L$8,INDIRECT($B29),0))</f>
        <v>906</v>
      </c>
      <c r="M29" s="1512">
        <f ca="1">INDEX(INDIRECT($D29),MATCH('Quarterly Flash'!$F29,INDIRECT($C29),0),MATCH('Quarterly Flash'!M$8,INDIRECT($B29),0))</f>
        <v>264</v>
      </c>
      <c r="N29" s="1258">
        <f ca="1">INDEX(INDIRECT($D29),MATCH('Quarterly Flash'!$F29,INDIRECT($C29),0),MATCH('Quarterly Flash'!N$8,INDIRECT($B29),0))</f>
        <v>-581</v>
      </c>
      <c r="O29" s="1504">
        <f ca="1">INDEX(INDIRECT($D29),MATCH('Quarterly Flash'!$F29,INDIRECT($C29),0),MATCH('Quarterly Flash'!O$8,INDIRECT($B29),0))</f>
        <v>1502</v>
      </c>
      <c r="P29" s="1490">
        <v>426.06923199184661</v>
      </c>
      <c r="Q29" s="1683">
        <f>INDEX(Consensus!$A$1:$BO$180,MATCH('Quarterly Flash'!$F29,Consensus!$A:$A,0),MATCH('Quarterly Flash'!O$8,Consensus!$4:$4,0))</f>
        <v>439</v>
      </c>
      <c r="R29" s="1258">
        <v>499.23059999999998</v>
      </c>
      <c r="S29" s="1684">
        <f>+H29</f>
        <v>1502</v>
      </c>
      <c r="T29" s="1685">
        <f>+S29/Q29-1</f>
        <v>2.4214123006833712</v>
      </c>
      <c r="U29" s="1344"/>
      <c r="V29" s="1258">
        <f ca="1">INDEX(INDIRECT($D29),MATCH('Quarterly Flash'!$F29,INDIRECT($C29),0),MATCH('Quarterly Flash'!V$7,INDIRECT($B29),0))</f>
        <v>503.1176933722864</v>
      </c>
      <c r="W29" s="1490">
        <v>519.11958745589448</v>
      </c>
      <c r="X29" s="1258">
        <f>INDEX(Consensus!$A$1:$BO$180,MATCH('Quarterly Flash'!$F29,Consensus!$A:$A,0),MATCH('Quarterly Flash'!V$7,Consensus!$4:$4,0))</f>
        <v>567.30179999999996</v>
      </c>
      <c r="Y29" s="1258">
        <v>548.78930000000003</v>
      </c>
      <c r="Z29" s="1344"/>
      <c r="AA29" s="1258">
        <f ca="1">INDEX(INDIRECT($D29),MATCH('Quarterly Flash'!$F29,INDIRECT($C29),0),MATCH('Quarterly Flash'!AA$7,INDIRECT($B29),0))</f>
        <v>2164.5148321330189</v>
      </c>
      <c r="AB29" s="1490">
        <v>1128.2020327427545</v>
      </c>
      <c r="AC29" s="1344">
        <f>INDEX(Consensus!$A$1:$BO$180,MATCH('Quarterly Flash'!$F29,Consensus!$A:$A,0),MATCH('Quarterly Flash'!AA$7,Consensus!$4:$4,0))</f>
        <v>2396.5302999999999</v>
      </c>
      <c r="AD29" s="1258">
        <v>2374.3262</v>
      </c>
      <c r="AE29" s="1261">
        <f ca="1">INDEX(INDIRECT($D29),MATCH('Quarterly Flash'!$F29,INDIRECT($C29),0),MATCH('Quarterly Flash'!AE$7,INDIRECT($B29),0))</f>
        <v>2810.5945443918181</v>
      </c>
      <c r="AF29" s="1261">
        <v>2795.1596021706696</v>
      </c>
      <c r="AG29" s="1344">
        <f>INDEX(Consensus!$A$1:$BO$180,MATCH('Quarterly Flash'!$F29,Consensus!$A:$A,0),MATCH('Quarterly Flash'!AE$7,Consensus!$4:$4,0))</f>
        <v>3046.1842999999999</v>
      </c>
      <c r="AH29" s="1258">
        <v>3018.4337999999998</v>
      </c>
    </row>
    <row r="30" spans="2:34" s="836" customFormat="1">
      <c r="B30" s="694" t="str">
        <f t="shared" ca="1" si="2"/>
        <v>'Income'!$5:$5</v>
      </c>
      <c r="C30" s="694" t="str">
        <f t="shared" ca="1" si="0"/>
        <v>'Income'!$A:$A</v>
      </c>
      <c r="D30" s="694" t="str">
        <f t="shared" ca="1" si="1"/>
        <v>'Income'!$1:$1048576</v>
      </c>
      <c r="E30" s="808" t="str" cm="1">
        <f t="array" aca="1" ref="E30" ca="1">IFERROR(INDEX(SheetNames,MATCH(1,COUNTIF(INDIRECT("'"&amp;SheetNames&amp;"'!A:A"),$F30),0)),"Not Found")</f>
        <v>Income</v>
      </c>
      <c r="F30" s="792" t="s">
        <v>406</v>
      </c>
      <c r="G30" s="843"/>
      <c r="H30" s="843"/>
      <c r="I30" s="843"/>
      <c r="J30"/>
      <c r="K30" s="1341" t="s">
        <v>395</v>
      </c>
      <c r="L30" s="901">
        <f ca="1">INDEX(INDIRECT($D30),MATCH('Quarterly Flash'!$F30,INDIRECT($C30),0),MATCH('Quarterly Flash'!L$8,INDIRECT($B30),0))</f>
        <v>4.2982456140350873</v>
      </c>
      <c r="M30" s="1253">
        <f ca="1">INDEX(INDIRECT($D30),MATCH('Quarterly Flash'!$F30,INDIRECT($C30),0),MATCH('Quarterly Flash'!M$8,INDIRECT($B30),0))</f>
        <v>-0.6811594202898551</v>
      </c>
      <c r="N30" s="901" t="str">
        <f ca="1">INDEX(INDIRECT($D30),MATCH('Quarterly Flash'!$F30,INDIRECT($C30),0),MATCH('Quarterly Flash'!N$8,INDIRECT($B30),0))</f>
        <v>nm</v>
      </c>
      <c r="O30" s="1502">
        <f ca="1">INDEX(INDIRECT($D30),MATCH('Quarterly Flash'!$F30,INDIRECT($C30),0),MATCH('Quarterly Flash'!O$8,INDIRECT($B30),0))</f>
        <v>0.65783664459161151</v>
      </c>
      <c r="P30" s="1489">
        <v>-0.52972490950127304</v>
      </c>
      <c r="Q30" s="1681">
        <f>INDEX(Consensus!$A$1:$BO$180,MATCH('Quarterly Flash'!$F30,Consensus!$A:$A,0),MATCH('Quarterly Flash'!O$8,Consensus!$4:$4,0))</f>
        <v>0.29881656804733736</v>
      </c>
      <c r="R30" s="901">
        <v>0.47701360946745552</v>
      </c>
      <c r="S30" s="1682">
        <f ca="1">+S29/L29-1</f>
        <v>0.65783664459161151</v>
      </c>
      <c r="T30" s="901"/>
      <c r="U30" s="1342"/>
      <c r="V30" s="901">
        <f ca="1">INDEX(INDIRECT($D30),MATCH('Quarterly Flash'!$F30,INDIRECT($C30),0),MATCH('Quarterly Flash'!V$7,INDIRECT($B30),0))</f>
        <v>0.90574883853138788</v>
      </c>
      <c r="W30" s="1489">
        <v>0.9663620736965699</v>
      </c>
      <c r="X30" s="901">
        <f>INDEX(Consensus!$A$1:$BO$180,MATCH('Quarterly Flash'!$F30,Consensus!$A:$A,0),MATCH('Quarterly Flash'!V$7,Consensus!$4:$4,0))</f>
        <v>0.54578147138964561</v>
      </c>
      <c r="Y30" s="901">
        <v>0.49533869209809267</v>
      </c>
      <c r="Z30" s="1342"/>
      <c r="AA30" s="901">
        <f ca="1">INDEX(INDIRECT($D30),MATCH('Quarterly Flash'!$F30,INDIRECT($C30),0),MATCH('Quarterly Flash'!AA$7,INDIRECT($B30),0))</f>
        <v>0.75833861261821189</v>
      </c>
      <c r="AB30" s="1489">
        <v>-8.3507690704504922E-2</v>
      </c>
      <c r="AC30" s="1342">
        <f>INDEX(Consensus!$A$1:$BO$180,MATCH('Quarterly Flash'!$F30,Consensus!$A:$A,0),MATCH('Quarterly Flash'!AA$7,Consensus!$4:$4,0))</f>
        <v>0.57149527868852457</v>
      </c>
      <c r="AD30" s="901">
        <v>0.55693521311475402</v>
      </c>
      <c r="AE30" s="1196">
        <f ca="1">INDEX(INDIRECT($D30),MATCH('Quarterly Flash'!$F30,INDIRECT($C30),0),MATCH('Quarterly Flash'!AE$7,INDIRECT($B30),0))</f>
        <v>0.29848708018420944</v>
      </c>
      <c r="AF30" s="1196">
        <v>1.4775346268215812</v>
      </c>
      <c r="AG30" s="1342">
        <f>INDEX(Consensus!$A$1:$BO$180,MATCH('Quarterly Flash'!$F30,Consensus!$A:$A,0),MATCH('Quarterly Flash'!AE$7,Consensus!$4:$4,0))</f>
        <v>0.27108107082977417</v>
      </c>
      <c r="AH30" s="901">
        <v>0.27128016361020646</v>
      </c>
    </row>
    <row r="31" spans="2:34" collapsed="1">
      <c r="B31" s="694" t="str">
        <f t="shared" ca="1" si="2"/>
        <v>'Income'!$5:$5</v>
      </c>
      <c r="C31" s="694" t="str">
        <f t="shared" ca="1" si="0"/>
        <v>'Income'!$A:$A</v>
      </c>
      <c r="D31" s="694" t="str">
        <f t="shared" ca="1" si="1"/>
        <v>'Income'!$1:$1048576</v>
      </c>
      <c r="E31" s="808" t="str" cm="1">
        <f t="array" aca="1" ref="E31" ca="1">IFERROR(INDEX(SheetNames,MATCH(1,COUNTIF(INDIRECT("'"&amp;SheetNames&amp;"'!A:A"),$F31),0)),"Not Found")</f>
        <v>Income</v>
      </c>
      <c r="F31" s="794" t="s">
        <v>80</v>
      </c>
      <c r="G31" s="841" t="s">
        <v>505</v>
      </c>
      <c r="H31" s="946">
        <v>1.1599999999999999</v>
      </c>
      <c r="I31" s="946">
        <v>0.56999999999999995</v>
      </c>
      <c r="K31" s="1343" t="s">
        <v>80</v>
      </c>
      <c r="L31" s="1262">
        <f ca="1">INDEX(INDIRECT($D31),MATCH('Quarterly Flash'!$F31,INDIRECT($C31),0),MATCH('Quarterly Flash'!L$8,INDIRECT($B31),0))</f>
        <v>0.69213465617551662</v>
      </c>
      <c r="M31" s="1263">
        <f ca="1">INDEX(INDIRECT($D31),MATCH('Quarterly Flash'!$F31,INDIRECT($C31),0),MATCH('Quarterly Flash'!M$8,INDIRECT($B31),0))</f>
        <v>0.20108575506995324</v>
      </c>
      <c r="N31" s="1262">
        <f ca="1">INDEX(INDIRECT($D31),MATCH('Quarterly Flash'!$F31,INDIRECT($C31),0),MATCH('Quarterly Flash'!N$8,INDIRECT($B31),0))</f>
        <v>-0.44577165764680837</v>
      </c>
      <c r="O31" s="1506">
        <f ca="1">INDEX(INDIRECT($D31),MATCH('Quarterly Flash'!$F31,INDIRECT($C31),0),MATCH('Quarterly Flash'!O$8,INDIRECT($B31),0))</f>
        <v>1.1572175072696951</v>
      </c>
      <c r="P31" s="1492">
        <v>0.32627534778095352</v>
      </c>
      <c r="Q31" s="1689">
        <f>INDEX(Consensus!$A$1:$BO$180,MATCH('Quarterly Flash'!$F31,Consensus!$A:$A,0),MATCH('Quarterly Flash'!O$8,Consensus!$4:$4,0))</f>
        <v>0.42264079999999998</v>
      </c>
      <c r="R31" s="1262">
        <v>0.30047327000000001</v>
      </c>
      <c r="S31" s="1690">
        <f>+H31</f>
        <v>1.1599999999999999</v>
      </c>
      <c r="T31" s="1685">
        <f>+S31/Q31-1</f>
        <v>1.7446474642296721</v>
      </c>
      <c r="U31" s="1348"/>
      <c r="V31" s="1262">
        <f ca="1">INDEX(INDIRECT($D31),MATCH('Quarterly Flash'!$F31,INDIRECT($C31),0),MATCH('Quarterly Flash'!V$7,INDIRECT($B31),0))</f>
        <v>0.38688238037815359</v>
      </c>
      <c r="W31" s="1492">
        <v>0.39677186018593447</v>
      </c>
      <c r="X31" s="1262">
        <f>INDEX(Consensus!$A$1:$BO$180,MATCH('Quarterly Flash'!$F31,Consensus!$A:$A,0),MATCH('Quarterly Flash'!V$7,Consensus!$4:$4,0))</f>
        <v>0.36635869999999998</v>
      </c>
      <c r="Y31" s="1262">
        <v>0.34815422000000001</v>
      </c>
      <c r="Z31" s="1348"/>
      <c r="AA31" s="1262">
        <f ca="1">INDEX(INDIRECT($D31),MATCH('Quarterly Flash'!$F31,INDIRECT($C31),0),MATCH('Quarterly Flash'!AA$7,INDIRECT($B31),0))</f>
        <v>1.6635140074363071</v>
      </c>
      <c r="AB31" s="1492">
        <v>0.86312848019975619</v>
      </c>
      <c r="AC31" s="1348">
        <f>INDEX(Consensus!$A$1:$BO$180,MATCH('Quarterly Flash'!$F31,Consensus!$A:$A,0),MATCH('Quarterly Flash'!AA$7,Consensus!$4:$4,0))</f>
        <v>0.89964180000000005</v>
      </c>
      <c r="AD31" s="1262">
        <v>0.78730153999999997</v>
      </c>
      <c r="AE31" s="1264">
        <f ca="1">INDEX(INDIRECT($D31),MATCH('Quarterly Flash'!$F31,INDIRECT($C31),0),MATCH('Quarterly Flash'!AE$7,INDIRECT($B31),0))</f>
        <v>2.146817870393372</v>
      </c>
      <c r="AF31" s="1264">
        <v>2.1221948918139026</v>
      </c>
      <c r="AG31" s="1348">
        <f>INDEX(Consensus!$A$1:$BO$180,MATCH('Quarterly Flash'!$F31,Consensus!$A:$A,0),MATCH('Quarterly Flash'!AE$7,Consensus!$4:$4,0))</f>
        <v>2.0756657000000001</v>
      </c>
      <c r="AH31" s="1262">
        <v>2.0521935999999998</v>
      </c>
    </row>
    <row r="32" spans="2:34" s="836" customFormat="1">
      <c r="B32" s="694" t="str">
        <f t="shared" ca="1" si="2"/>
        <v>'Income'!$5:$5</v>
      </c>
      <c r="C32" s="694" t="str">
        <f t="shared" ca="1" si="0"/>
        <v>'Income'!$A:$A</v>
      </c>
      <c r="D32" s="694" t="str">
        <f t="shared" ca="1" si="1"/>
        <v>'Income'!$1:$1048576</v>
      </c>
      <c r="E32" s="808" t="str" cm="1">
        <f t="array" aca="1" ref="E32" ca="1">IFERROR(INDEX(SheetNames,MATCH(1,COUNTIF(INDIRECT("'"&amp;SheetNames&amp;"'!A:A"),$F32),0)),"Not Found")</f>
        <v>Income</v>
      </c>
      <c r="F32" s="836" t="s">
        <v>465</v>
      </c>
      <c r="G32" s="843"/>
      <c r="H32" s="843"/>
      <c r="I32" s="843"/>
      <c r="J32"/>
      <c r="K32" s="1341" t="s">
        <v>395</v>
      </c>
      <c r="L32" s="901">
        <f ca="1">INDEX(INDIRECT($D32),MATCH('Quarterly Flash'!$F32,INDIRECT($C32),0),MATCH('Quarterly Flash'!L$8,INDIRECT($B32),0))</f>
        <v>4.2614905964428198</v>
      </c>
      <c r="M32" s="1253">
        <f ca="1">INDEX(INDIRECT($D32),MATCH('Quarterly Flash'!$F32,INDIRECT($C32),0),MATCH('Quarterly Flash'!M$8,INDIRECT($B32),0))</f>
        <v>-0.68389691943078934</v>
      </c>
      <c r="N32" s="901" t="str">
        <f ca="1">INDEX(INDIRECT($D32),MATCH('Quarterly Flash'!$F32,INDIRECT($C32),0),MATCH('Quarterly Flash'!N$8,INDIRECT($B32),0))</f>
        <v>nm</v>
      </c>
      <c r="O32" s="1502">
        <f ca="1">INDEX(INDIRECT($D32),MATCH('Quarterly Flash'!$F32,INDIRECT($C32),0),MATCH('Quarterly Flash'!O$8,INDIRECT($B32),0))</f>
        <v>0.67195428945005653</v>
      </c>
      <c r="P32" s="1489">
        <v>-0.52859556320466317</v>
      </c>
      <c r="Q32" s="1681">
        <f>INDEX(Consensus!$A$1:$BO$180,MATCH('Quarterly Flash'!$F32,Consensus!$A:$A,0),MATCH('Quarterly Flash'!O$8,Consensus!$4:$4,0))</f>
        <v>-0.38867167244064971</v>
      </c>
      <c r="R32" s="901">
        <v>-0.56538076393620984</v>
      </c>
      <c r="S32" s="1682">
        <f ca="1">+S31/L31-1</f>
        <v>0.67597445041942605</v>
      </c>
      <c r="T32" s="901"/>
      <c r="U32" s="1342"/>
      <c r="V32" s="901">
        <f ca="1">INDEX(INDIRECT($D32),MATCH('Quarterly Flash'!$F32,INDIRECT($C32),0),MATCH('Quarterly Flash'!V$7,INDIRECT($B32),0))</f>
        <v>0.92396711663422337</v>
      </c>
      <c r="W32" s="1489">
        <v>0.9731475262775644</v>
      </c>
      <c r="X32" s="901">
        <f>INDEX(Consensus!$A$1:$BO$180,MATCH('Quarterly Flash'!$F32,Consensus!$A:$A,0),MATCH('Quarterly Flash'!V$7,Consensus!$4:$4,0))</f>
        <v>0.82900591208938446</v>
      </c>
      <c r="Y32" s="901">
        <v>0.73812202821679485</v>
      </c>
      <c r="Z32" s="1342"/>
      <c r="AA32" s="901">
        <f ca="1">INDEX(INDIRECT($D32),MATCH('Quarterly Flash'!$F32,INDIRECT($C32),0),MATCH('Quarterly Flash'!AA$7,INDIRECT($B32),0))</f>
        <v>0.76542373533000174</v>
      </c>
      <c r="AB32" s="1489">
        <v>-8.3994785272462402E-2</v>
      </c>
      <c r="AC32" s="1342">
        <f>INDEX(Consensus!$A$1:$BO$180,MATCH('Quarterly Flash'!$F32,Consensus!$A:$A,0),MATCH('Quarterly Flash'!AA$7,Consensus!$4:$4,0))</f>
        <v>-4.3538799848359622E-2</v>
      </c>
      <c r="AD32" s="901">
        <v>-0.16297422393041916</v>
      </c>
      <c r="AE32" s="1196">
        <f ca="1">INDEX(INDIRECT($D32),MATCH('Quarterly Flash'!$F32,INDIRECT($C32),0),MATCH('Quarterly Flash'!AE$7,INDIRECT($B32),0))</f>
        <v>0.29053188659463069</v>
      </c>
      <c r="AF32" s="1196">
        <v>1.45872421139754</v>
      </c>
      <c r="AG32" s="1342">
        <f>INDEX(Consensus!$A$1:$BO$180,MATCH('Quarterly Flash'!$F32,Consensus!$A:$A,0),MATCH('Quarterly Flash'!AE$7,Consensus!$4:$4,0))</f>
        <v>1.3072134931925126</v>
      </c>
      <c r="AH32" s="901">
        <v>1.6066170275749747</v>
      </c>
    </row>
    <row r="33" spans="2:34" s="836" customFormat="1">
      <c r="B33" s="694" t="str">
        <f ca="1">"'"&amp;E33&amp;"'"&amp;"!$5:$5"</f>
        <v>'Income'!$5:$5</v>
      </c>
      <c r="C33" s="694" t="str">
        <f ca="1">"'"&amp;E33&amp;"'"&amp;"!$A:$A"</f>
        <v>'Income'!$A:$A</v>
      </c>
      <c r="D33" s="694" t="str">
        <f ca="1">"'"&amp;$E33&amp;"'"&amp;"!$1:$1048576"</f>
        <v>'Income'!$1:$1048576</v>
      </c>
      <c r="E33" s="808" t="str" cm="1">
        <f t="array" aca="1" ref="E33" ca="1">IFERROR(INDEX(SheetNames,MATCH(1,COUNTIF(INDIRECT("'"&amp;SheetNames&amp;"'!A:A"),$F33),0)),"Not Found")</f>
        <v>Income</v>
      </c>
      <c r="F33" s="794" t="s">
        <v>500</v>
      </c>
      <c r="G33" s="841" t="s">
        <v>500</v>
      </c>
      <c r="H33" s="842">
        <v>128</v>
      </c>
      <c r="I33" s="842">
        <v>125</v>
      </c>
      <c r="J33"/>
      <c r="K33" s="1343" t="s">
        <v>713</v>
      </c>
      <c r="L33" s="1260">
        <f ca="1">INDEX(INDIRECT($D33),MATCH('Quarterly Flash'!$F33,INDIRECT($C33),0),MATCH('Quarterly Flash'!L$8,INDIRECT($B33),0))</f>
        <v>120</v>
      </c>
      <c r="M33" s="1260">
        <f ca="1">INDEX(INDIRECT($D33),MATCH('Quarterly Flash'!$F33,INDIRECT($C33),0),MATCH('Quarterly Flash'!M$8,INDIRECT($B33),0))</f>
        <v>116</v>
      </c>
      <c r="N33" s="1258">
        <f ca="1">INDEX(INDIRECT($D33),MATCH('Quarterly Flash'!$F33,INDIRECT($C33),0),MATCH('Quarterly Flash'!N$8,INDIRECT($B33),0))</f>
        <v>138</v>
      </c>
      <c r="O33" s="1504">
        <f ca="1">INDEX(INDIRECT($D33),MATCH('Quarterly Flash'!$F33,INDIRECT($C33),0),MATCH('Quarterly Flash'!O$8,INDIRECT($B33),0))</f>
        <v>133</v>
      </c>
      <c r="P33" s="1490">
        <v>145.70617398996922</v>
      </c>
      <c r="Q33" s="1683"/>
      <c r="R33" s="1258"/>
      <c r="S33" s="1684">
        <f>H33</f>
        <v>128</v>
      </c>
      <c r="T33" s="1685"/>
      <c r="U33" s="1356" t="s">
        <v>824</v>
      </c>
      <c r="V33" s="1258">
        <f ca="1">INDEX(INDIRECT($D33),MATCH('Quarterly Flash'!$F33,INDIRECT($C33),0),MATCH('Quarterly Flash'!V$7,INDIRECT($B33),0))</f>
        <v>156.06481879190784</v>
      </c>
      <c r="W33" s="1490">
        <v>153.54974930930197</v>
      </c>
      <c r="X33" s="1258" t="s">
        <v>717</v>
      </c>
      <c r="Y33" s="1258" t="s">
        <v>717</v>
      </c>
      <c r="Z33" s="1356" t="s">
        <v>832</v>
      </c>
      <c r="AA33" s="1258">
        <f ca="1">INDEX(INDIRECT($D33),MATCH('Quarterly Flash'!$F33,INDIRECT($C33),0),MATCH('Quarterly Flash'!AA$7,INDIRECT($B33),0))</f>
        <v>625.02397145372549</v>
      </c>
      <c r="AB33" s="1490">
        <v>632.51635035860522</v>
      </c>
      <c r="AC33" s="1344" t="s">
        <v>717</v>
      </c>
      <c r="AD33" s="1258" t="s">
        <v>717</v>
      </c>
      <c r="AE33" s="1261">
        <f ca="1">INDEX(INDIRECT($D33),MATCH('Quarterly Flash'!$F33,INDIRECT($C33),0),MATCH('Quarterly Flash'!AE$7,INDIRECT($B33),0))</f>
        <v>706.67035575215107</v>
      </c>
      <c r="AF33" s="1261">
        <v>702.35479834089824</v>
      </c>
      <c r="AG33" s="1344" t="s">
        <v>717</v>
      </c>
      <c r="AH33" s="1258" t="s">
        <v>717</v>
      </c>
    </row>
    <row r="34" spans="2:34" s="836" customFormat="1">
      <c r="B34" s="694" t="str">
        <f ca="1">"'"&amp;E34&amp;"'"&amp;"!$5:$5"</f>
        <v>'Income'!$5:$5</v>
      </c>
      <c r="C34" s="694" t="str">
        <f ca="1">"'"&amp;E34&amp;"'"&amp;"!$A:$A"</f>
        <v>'Income'!$A:$A</v>
      </c>
      <c r="D34" s="694" t="str">
        <f ca="1">"'"&amp;$E34&amp;"'"&amp;"!$1:$1048576"</f>
        <v>'Income'!$1:$1048576</v>
      </c>
      <c r="E34" s="808" t="str" cm="1">
        <f t="array" aca="1" ref="E34" ca="1">IFERROR(INDEX(SheetNames,MATCH(1,COUNTIF(INDIRECT("'"&amp;SheetNames&amp;"'!A:A"),$F34),0)),"Not Found")</f>
        <v>Income</v>
      </c>
      <c r="F34" s="836" t="s">
        <v>714</v>
      </c>
      <c r="G34" s="843"/>
      <c r="H34" s="843"/>
      <c r="I34" s="843"/>
      <c r="J34"/>
      <c r="K34" s="1341" t="s">
        <v>395</v>
      </c>
      <c r="L34" s="1198">
        <f ca="1">INDEX(INDIRECT($D34),MATCH('Quarterly Flash'!$F34,INDIRECT($C34),0),MATCH('Quarterly Flash'!L$8,INDIRECT($B34),0))</f>
        <v>0.10091743119266061</v>
      </c>
      <c r="M34" s="1198">
        <f ca="1">INDEX(INDIRECT($D34),MATCH('Quarterly Flash'!$F34,INDIRECT($C34),0),MATCH('Quarterly Flash'!M$8,INDIRECT($B34),0))</f>
        <v>8.6956521739129933E-3</v>
      </c>
      <c r="N34" s="901">
        <f ca="1">INDEX(INDIRECT($D34),MATCH('Quarterly Flash'!$F34,INDIRECT($C34),0),MATCH('Quarterly Flash'!N$8,INDIRECT($B34),0))</f>
        <v>0.12195121951219523</v>
      </c>
      <c r="O34" s="1502">
        <f ca="1">INDEX(INDIRECT($D34),MATCH('Quarterly Flash'!$F34,INDIRECT($C34),0),MATCH('Quarterly Flash'!O$8,INDIRECT($B34),0))</f>
        <v>0.10833333333333339</v>
      </c>
      <c r="P34" s="1489">
        <v>0.21421811658307677</v>
      </c>
      <c r="Q34" s="1681"/>
      <c r="R34" s="901"/>
      <c r="S34" s="1682">
        <f>+S33/S$17</f>
        <v>3.5724253418922693E-2</v>
      </c>
      <c r="T34" s="1686"/>
      <c r="U34" s="1342"/>
      <c r="V34" s="901">
        <f ca="1">INDEX(INDIRECT($D34),MATCH('Quarterly Flash'!$F34,INDIRECT($C34),0),MATCH('Quarterly Flash'!V$7,INDIRECT($B34),0))</f>
        <v>0.34538636889575725</v>
      </c>
      <c r="W34" s="1489">
        <v>0.3237047354250171</v>
      </c>
      <c r="X34" s="901" t="s">
        <v>572</v>
      </c>
      <c r="Y34" s="901" t="s">
        <v>572</v>
      </c>
      <c r="Z34" s="1342"/>
      <c r="AA34" s="901">
        <f ca="1">INDEX(INDIRECT($D34),MATCH('Quarterly Flash'!$F34,INDIRECT($C34),0),MATCH('Quarterly Flash'!AA$7,INDIRECT($B34),0))</f>
        <v>0.2913718418465403</v>
      </c>
      <c r="AB34" s="1489">
        <v>0.30685196355083733</v>
      </c>
      <c r="AC34" s="1342" t="s">
        <v>572</v>
      </c>
      <c r="AD34" s="901" t="s">
        <v>572</v>
      </c>
      <c r="AE34" s="1196">
        <f ca="1">INDEX(INDIRECT($D34),MATCH('Quarterly Flash'!$F34,INDIRECT($C34),0),MATCH('Quarterly Flash'!AE$7,INDIRECT($B34),0))</f>
        <v>0.13062920468238448</v>
      </c>
      <c r="AF34" s="1196">
        <v>0.11041366431507749</v>
      </c>
      <c r="AG34" s="1342" t="s">
        <v>572</v>
      </c>
      <c r="AH34" s="901" t="s">
        <v>572</v>
      </c>
    </row>
    <row r="35" spans="2:34">
      <c r="B35" s="694" t="str">
        <f t="shared" ca="1" si="2"/>
        <v>'Cash Flow'!$5:$5</v>
      </c>
      <c r="C35" s="694" t="str">
        <f t="shared" ca="1" si="0"/>
        <v>'Cash Flow'!$A:$A</v>
      </c>
      <c r="D35" s="694" t="str">
        <f t="shared" ca="1" si="1"/>
        <v>'Cash Flow'!$1:$1048576</v>
      </c>
      <c r="E35" s="808" t="str" cm="1">
        <f t="array" aca="1" ref="E35" ca="1">IFERROR(INDEX(SheetNames,MATCH(1,COUNTIF(INDIRECT("'"&amp;SheetNames&amp;"'!A:A"),$F35),0)),"Not Found")</f>
        <v>Cash Flow</v>
      </c>
      <c r="F35" s="794" t="s">
        <v>407</v>
      </c>
      <c r="G35" s="841" t="s">
        <v>407</v>
      </c>
      <c r="H35" s="842">
        <v>658</v>
      </c>
      <c r="I35" s="842">
        <v>725</v>
      </c>
      <c r="K35" s="1339" t="s">
        <v>587</v>
      </c>
      <c r="L35" s="1265">
        <f ca="1">INDEX(INDIRECT($D35),MATCH('Quarterly Flash'!$F35,INDIRECT($C35),0),MATCH('Quarterly Flash'!L$8,INDIRECT($B35),0))</f>
        <v>428</v>
      </c>
      <c r="M35" s="1266">
        <f ca="1">INDEX(INDIRECT($D35),MATCH('Quarterly Flash'!$F35,INDIRECT($C35),0),MATCH('Quarterly Flash'!M$8,INDIRECT($B35),0))</f>
        <v>513</v>
      </c>
      <c r="N35" s="1265">
        <f ca="1">INDEX(INDIRECT($D35),MATCH('Quarterly Flash'!$F35,INDIRECT($C35),0),MATCH('Quarterly Flash'!N$8,INDIRECT($B35),0))</f>
        <v>481</v>
      </c>
      <c r="O35" s="1503">
        <f ca="1">INDEX(INDIRECT($D35),MATCH('Quarterly Flash'!$F35,INDIRECT($C35),0),MATCH('Quarterly Flash'!O$8,INDIRECT($B35),0))</f>
        <v>658</v>
      </c>
      <c r="P35" s="1488">
        <v>590.01918906451749</v>
      </c>
      <c r="Q35" s="1678">
        <f>INDEX(Consensus!$A$1:$BO$180,MATCH('Quarterly Flash'!$F35,Consensus!$A:$A,0),MATCH('Quarterly Flash'!O$8,Consensus!$4:$4,0))</f>
        <v>588.56946000000005</v>
      </c>
      <c r="R35" s="1265">
        <v>544.43349999999998</v>
      </c>
      <c r="S35" s="1679">
        <f>+H35</f>
        <v>658</v>
      </c>
      <c r="T35" s="1680">
        <f>+S35/Q35-1</f>
        <v>0.11796490426125739</v>
      </c>
      <c r="U35" s="1340"/>
      <c r="V35" s="1265">
        <f ca="1">INDEX(INDIRECT($D35),MATCH('Quarterly Flash'!$F35,INDIRECT($C35),0),MATCH('Quarterly Flash'!V$7,INDIRECT($B35),0))</f>
        <v>788.7162013514444</v>
      </c>
      <c r="W35" s="1488">
        <v>726.83898881385471</v>
      </c>
      <c r="X35" s="1265">
        <f>INDEX(Consensus!$A$1:$BO$180,MATCH('Quarterly Flash'!$F35,Consensus!$A:$A,0),MATCH('Quarterly Flash'!V$7,Consensus!$4:$4,0))</f>
        <v>660.99959999999999</v>
      </c>
      <c r="Y35" s="1265">
        <v>643.91985999999997</v>
      </c>
      <c r="Z35" s="1340"/>
      <c r="AA35" s="1265">
        <f ca="1">INDEX(INDIRECT($D35),MATCH('Quarterly Flash'!$F35,INDIRECT($C35),0),MATCH('Quarterly Flash'!AA$7,INDIRECT($B35),0))</f>
        <v>2970.7948701727973</v>
      </c>
      <c r="AB35" s="1488">
        <v>2782.5972224255265</v>
      </c>
      <c r="AC35" s="1340">
        <f>INDEX(Consensus!$A$1:$BO$180,MATCH('Quarterly Flash'!$F35,Consensus!$A:$A,0),MATCH('Quarterly Flash'!AA$7,Consensus!$4:$4,0))</f>
        <v>2684.8560000000002</v>
      </c>
      <c r="AD35" s="1265">
        <v>2629.3881999999999</v>
      </c>
      <c r="AE35" s="1267">
        <f ca="1">INDEX(INDIRECT($D35),MATCH('Quarterly Flash'!$F35,INDIRECT($C35),0),MATCH('Quarterly Flash'!AE$7,INDIRECT($B35),0))</f>
        <v>3785.1617959994178</v>
      </c>
      <c r="AF35" s="1267">
        <v>3583.9100210866854</v>
      </c>
      <c r="AG35" s="1340">
        <f>INDEX(Consensus!$A$1:$BO$180,MATCH('Quarterly Flash'!$F35,Consensus!$A:$A,0),MATCH('Quarterly Flash'!AE$7,Consensus!$4:$4,0))</f>
        <v>3439.8595999999998</v>
      </c>
      <c r="AH35" s="1265">
        <v>3411.1219999999998</v>
      </c>
    </row>
    <row r="36" spans="2:34" s="836" customFormat="1">
      <c r="B36" s="694" t="str">
        <f t="shared" ca="1" si="2"/>
        <v>'Cash Flow'!$5:$5</v>
      </c>
      <c r="C36" s="694" t="str">
        <f t="shared" ca="1" si="0"/>
        <v>'Cash Flow'!$A:$A</v>
      </c>
      <c r="D36" s="694" t="str">
        <f ca="1">"'"&amp;$E36&amp;"'"&amp;"!$1:$1048576"</f>
        <v>'Cash Flow'!$1:$1048576</v>
      </c>
      <c r="E36" s="808" t="str" cm="1">
        <f t="array" aca="1" ref="E36" ca="1">IFERROR(INDEX(SheetNames,MATCH(1,COUNTIF(INDIRECT("'"&amp;SheetNames&amp;"'!A:A"),$F36),0)),"Not Found")</f>
        <v>Cash Flow</v>
      </c>
      <c r="F36" s="836" t="s">
        <v>408</v>
      </c>
      <c r="G36" s="843"/>
      <c r="H36" s="843"/>
      <c r="I36" s="843"/>
      <c r="J36"/>
      <c r="K36" s="1341" t="s">
        <v>395</v>
      </c>
      <c r="L36" s="901">
        <f ca="1">INDEX(INDIRECT($D36),MATCH('Quarterly Flash'!$F36,INDIRECT($C36),0),MATCH('Quarterly Flash'!L$8,INDIRECT($B36),0))</f>
        <v>0.25882352941176467</v>
      </c>
      <c r="M36" s="1253">
        <f ca="1">INDEX(INDIRECT($D36),MATCH('Quarterly Flash'!$F36,INDIRECT($C36),0),MATCH('Quarterly Flash'!M$8,INDIRECT($B36),0))</f>
        <v>0.2127659574468086</v>
      </c>
      <c r="N36" s="901">
        <f ca="1">INDEX(INDIRECT($D36),MATCH('Quarterly Flash'!$F36,INDIRECT($C36),0),MATCH('Quarterly Flash'!N$8,INDIRECT($B36),0))</f>
        <v>0.31062670299727513</v>
      </c>
      <c r="O36" s="1502">
        <f ca="1">INDEX(INDIRECT($D36),MATCH('Quarterly Flash'!$F36,INDIRECT($C36),0),MATCH('Quarterly Flash'!O$8,INDIRECT($B36),0))</f>
        <v>0.53738317757009346</v>
      </c>
      <c r="P36" s="1489">
        <v>0.37854950716008751</v>
      </c>
      <c r="Q36" s="1681">
        <f>INDEX(Consensus!$A$1:$BO$180,MATCH('Quarterly Flash'!$F36,Consensus!$A:$A,0),MATCH('Quarterly Flash'!O$8,Consensus!$4:$4,0))</f>
        <v>0.37516228971962629</v>
      </c>
      <c r="R36" s="901">
        <v>0.27204088785046721</v>
      </c>
      <c r="S36" s="1682">
        <f ca="1">+S35/L35-1</f>
        <v>0.53738317757009346</v>
      </c>
      <c r="T36" s="901"/>
      <c r="U36" s="1342"/>
      <c r="V36" s="901">
        <f ca="1">INDEX(INDIRECT($D36),MATCH('Quarterly Flash'!$F36,INDIRECT($C36),0),MATCH('Quarterly Flash'!V$7,INDIRECT($B36),0))</f>
        <v>0.53745848216655823</v>
      </c>
      <c r="W36" s="1489">
        <v>0.4168401341400676</v>
      </c>
      <c r="X36" s="901">
        <f>INDEX(Consensus!$A$1:$BO$180,MATCH('Quarterly Flash'!$F36,Consensus!$A:$A,0),MATCH('Quarterly Flash'!V$7,Consensus!$4:$4,0))</f>
        <v>0.28849824561403503</v>
      </c>
      <c r="Y36" s="901">
        <v>0.25520440545808953</v>
      </c>
      <c r="Z36" s="1342"/>
      <c r="AA36" s="901">
        <f ca="1">INDEX(INDIRECT($D36),MATCH('Quarterly Flash'!$F36,INDIRECT($C36),0),MATCH('Quarterly Flash'!AA$7,INDIRECT($B36),0))</f>
        <v>0.46128621257884772</v>
      </c>
      <c r="AB36" s="1489">
        <v>0.36871481673660922</v>
      </c>
      <c r="AC36" s="1342">
        <f>INDEX(Consensus!$A$1:$BO$180,MATCH('Quarterly Flash'!$F36,Consensus!$A:$A,0),MATCH('Quarterly Flash'!AA$7,Consensus!$4:$4,0))</f>
        <v>0.31363740312688893</v>
      </c>
      <c r="AD36" s="901">
        <v>0.28649830265030407</v>
      </c>
      <c r="AE36" s="1196">
        <f ca="1">INDEX(INDIRECT($D36),MATCH('Quarterly Flash'!$F36,INDIRECT($C36),0),MATCH('Quarterly Flash'!AE$7,INDIRECT($B36),0))</f>
        <v>0.274124253412102</v>
      </c>
      <c r="AF36" s="1196">
        <v>0.28797297438638014</v>
      </c>
      <c r="AG36" s="1342">
        <f>INDEX(Consensus!$A$1:$BO$180,MATCH('Quarterly Flash'!$F36,Consensus!$A:$A,0),MATCH('Quarterly Flash'!AE$7,Consensus!$4:$4,0))</f>
        <v>0.28120822867222661</v>
      </c>
      <c r="AH36" s="901">
        <v>0.29730634677679024</v>
      </c>
    </row>
    <row r="37" spans="2:34">
      <c r="B37" s="694" t="str">
        <f t="shared" ca="1" si="2"/>
        <v>'Cash Flow'!$5:$5</v>
      </c>
      <c r="C37" s="694" t="str">
        <f t="shared" ca="1" si="0"/>
        <v>'Cash Flow'!$A:$A</v>
      </c>
      <c r="D37" s="694" t="str">
        <f t="shared" ca="1" si="1"/>
        <v>'Cash Flow'!$1:$1048576</v>
      </c>
      <c r="E37" s="808" t="str" cm="1">
        <f t="array" aca="1" ref="E37" ca="1">IFERROR(INDEX(SheetNames,MATCH(1,COUNTIF(INDIRECT("'"&amp;SheetNames&amp;"'!A:A"),$F37),0)),"Not Found")</f>
        <v>Cash Flow</v>
      </c>
      <c r="F37" s="794" t="s">
        <v>164</v>
      </c>
      <c r="G37" s="841" t="s">
        <v>409</v>
      </c>
      <c r="H37" s="842">
        <v>-4</v>
      </c>
      <c r="I37" s="842">
        <v>-10</v>
      </c>
      <c r="K37" s="1339" t="s">
        <v>409</v>
      </c>
      <c r="L37" s="1271">
        <f ca="1">INDEX(INDIRECT($D37),MATCH('Quarterly Flash'!$F37,INDIRECT($C37),0),MATCH('Quarterly Flash'!L$8,INDIRECT($B37),0))</f>
        <v>-6</v>
      </c>
      <c r="M37" s="1272">
        <f ca="1">INDEX(INDIRECT($D37),MATCH('Quarterly Flash'!$F37,INDIRECT($C37),0),MATCH('Quarterly Flash'!M$8,INDIRECT($B37),0))</f>
        <v>-6</v>
      </c>
      <c r="N37" s="1271">
        <f ca="1">INDEX(INDIRECT($D37),MATCH('Quarterly Flash'!$F37,INDIRECT($C37),0),MATCH('Quarterly Flash'!N$8,INDIRECT($B37),0))</f>
        <v>-5</v>
      </c>
      <c r="O37" s="1507">
        <f ca="1">INDEX(INDIRECT($D37),MATCH('Quarterly Flash'!$F37,INDIRECT($C37),0),MATCH('Quarterly Flash'!O$8,INDIRECT($B37),0))</f>
        <v>-4</v>
      </c>
      <c r="P37" s="1493">
        <v>-7.1999999999999993</v>
      </c>
      <c r="Q37" s="1691">
        <f>INDEX(Consensus!$A$1:$BO$180,MATCH('Quarterly Flash'!$F37,Consensus!$A:$A,0),MATCH('Quarterly Flash'!O$8,Consensus!$4:$4,0))</f>
        <v>-5.8347499999999997</v>
      </c>
      <c r="R37" s="1271">
        <v>-6.2764544000000004</v>
      </c>
      <c r="S37" s="1692">
        <f>+H37</f>
        <v>-4</v>
      </c>
      <c r="T37" s="1680">
        <f>+S37/Q37-1</f>
        <v>-0.31445220446462996</v>
      </c>
      <c r="U37" s="1349"/>
      <c r="V37" s="1271">
        <f ca="1">INDEX(INDIRECT($D37),MATCH('Quarterly Flash'!$F37,INDIRECT($C37),0),MATCH('Quarterly Flash'!V$7,INDIRECT($B37),0))</f>
        <v>-7.1999999999999993</v>
      </c>
      <c r="W37" s="1493">
        <v>-7.1999999999999993</v>
      </c>
      <c r="X37" s="1271">
        <f>INDEX(Consensus!$A$1:$BO$180,MATCH('Quarterly Flash'!$F37,Consensus!$A:$A,0),MATCH('Quarterly Flash'!V$7,Consensus!$4:$4,0))</f>
        <v>-6.3125</v>
      </c>
      <c r="Y37" s="1271">
        <v>-6.3920000000000003</v>
      </c>
      <c r="Z37" s="1349"/>
      <c r="AA37" s="1271">
        <f ca="1">INDEX(INDIRECT($D37),MATCH('Quarterly Flash'!$F37,INDIRECT($C37),0),MATCH('Quarterly Flash'!AA$7,INDIRECT($B37),0))</f>
        <v>-28.2</v>
      </c>
      <c r="AB37" s="1493">
        <v>-31.4</v>
      </c>
      <c r="AC37" s="1349">
        <f>INDEX(Consensus!$A$1:$BO$180,MATCH('Quarterly Flash'!$F37,Consensus!$A:$A,0),MATCH('Quarterly Flash'!AA$7,Consensus!$4:$4,0))</f>
        <v>-28.134440000000001</v>
      </c>
      <c r="AD37" s="1271">
        <v>-28.795843000000001</v>
      </c>
      <c r="AE37" s="1273">
        <f ca="1">INDEX(INDIRECT($D37),MATCH('Quarterly Flash'!$F37,INDIRECT($C37),0),MATCH('Quarterly Flash'!AE$7,INDIRECT($B37),0))</f>
        <v>-33.839999999999996</v>
      </c>
      <c r="AF37" s="1273">
        <v>-37.679999999999993</v>
      </c>
      <c r="AG37" s="1349">
        <f>INDEX(Consensus!$A$1:$BO$180,MATCH('Quarterly Flash'!$F37,Consensus!$A:$A,0),MATCH('Quarterly Flash'!AE$7,Consensus!$4:$4,0))</f>
        <v>-32.478830000000002</v>
      </c>
      <c r="AH37" s="1271">
        <v>-33.053275999999997</v>
      </c>
    </row>
    <row r="38" spans="2:34" s="836" customFormat="1">
      <c r="B38" s="694" t="str">
        <f t="shared" ca="1" si="2"/>
        <v>'Cash Flow'!$5:$5</v>
      </c>
      <c r="C38" s="694" t="str">
        <f t="shared" ca="1" si="0"/>
        <v>'Cash Flow'!$A:$A</v>
      </c>
      <c r="D38" s="694" t="str">
        <f t="shared" ca="1" si="1"/>
        <v>'Cash Flow'!$1:$1048576</v>
      </c>
      <c r="E38" s="808" t="str" cm="1">
        <f t="array" aca="1" ref="E38" ca="1">IFERROR(INDEX(SheetNames,MATCH(1,COUNTIF(INDIRECT("'"&amp;SheetNames&amp;"'!A:A"),$F38),0)),"Not Found")</f>
        <v>Cash Flow</v>
      </c>
      <c r="F38" s="836" t="s">
        <v>411</v>
      </c>
      <c r="G38" s="843"/>
      <c r="H38" s="843"/>
      <c r="I38" s="843"/>
      <c r="J38"/>
      <c r="K38" s="1341" t="s">
        <v>412</v>
      </c>
      <c r="L38" s="901">
        <f ca="1">+L37/L17</f>
        <v>-2.2388059701492539E-3</v>
      </c>
      <c r="M38" s="1253">
        <f ca="1">+M37/M17</f>
        <v>-2.1097046413502108E-3</v>
      </c>
      <c r="N38" s="901">
        <f ca="1">+N37/N17</f>
        <v>-1.5772870662460567E-3</v>
      </c>
      <c r="O38" s="1502">
        <f ca="1">+O37/O17</f>
        <v>-1.1163829193413341E-3</v>
      </c>
      <c r="P38" s="1489">
        <v>-2.0593644748995539E-3</v>
      </c>
      <c r="Q38" s="1681">
        <f>+Q37/Q17</f>
        <v>-1.6284538096567121E-3</v>
      </c>
      <c r="R38" s="901">
        <v>-1.8238812166243513E-3</v>
      </c>
      <c r="S38" s="901">
        <f>+S37/S17</f>
        <v>-1.1163829193413341E-3</v>
      </c>
      <c r="T38" s="1686"/>
      <c r="U38" s="1342"/>
      <c r="V38" s="901">
        <f ca="1">+V37/V17</f>
        <v>-1.9412640488380981E-3</v>
      </c>
      <c r="W38" s="1489">
        <v>-1.9750407519471807E-3</v>
      </c>
      <c r="X38" s="901">
        <f>+X37/X17</f>
        <v>-1.728735458425042E-3</v>
      </c>
      <c r="Y38" s="901">
        <v>-1.78003878100761E-3</v>
      </c>
      <c r="Z38" s="1342"/>
      <c r="AA38" s="901">
        <f ca="1">+AA37/AA17</f>
        <v>-1.8538379560854613E-3</v>
      </c>
      <c r="AB38" s="1489">
        <v>-2.0942711058162173E-3</v>
      </c>
      <c r="AC38" s="1342">
        <f>+AC37/AC17</f>
        <v>-1.8784436175611635E-3</v>
      </c>
      <c r="AD38" s="901">
        <v>-1.9452635283730285E-3</v>
      </c>
      <c r="AE38" s="1196">
        <f ca="1">+AE37/AE17</f>
        <v>-1.7685536484574082E-3</v>
      </c>
      <c r="AF38" s="1196">
        <v>-2.0409135479251229E-3</v>
      </c>
      <c r="AG38" s="1342">
        <f>+AG37/AG17</f>
        <v>-1.7398164973864583E-3</v>
      </c>
      <c r="AH38" s="901">
        <v>-1.7958702663677213E-3</v>
      </c>
    </row>
    <row r="39" spans="2:34">
      <c r="B39" s="694" t="str">
        <f t="shared" ca="1" si="2"/>
        <v>'Cash Flow'!$5:$5</v>
      </c>
      <c r="C39" s="694" t="str">
        <f t="shared" ca="1" si="0"/>
        <v>'Cash Flow'!$A:$A</v>
      </c>
      <c r="D39" s="694" t="str">
        <f t="shared" ca="1" si="1"/>
        <v>'Cash Flow'!$1:$1048576</v>
      </c>
      <c r="E39" s="808" t="str" cm="1">
        <f t="array" aca="1" ref="E39" ca="1">IFERROR(INDEX(SheetNames,MATCH(1,COUNTIF(INDIRECT("'"&amp;SheetNames&amp;"'!A:A"),$F39),0)),"Not Found")</f>
        <v>Cash Flow</v>
      </c>
      <c r="F39" s="794" t="s">
        <v>168</v>
      </c>
      <c r="G39" s="845" t="s">
        <v>168</v>
      </c>
      <c r="H39" s="844">
        <f>+H35+H37</f>
        <v>654</v>
      </c>
      <c r="I39" s="844">
        <f>+I35+I37</f>
        <v>715</v>
      </c>
      <c r="K39" s="1343" t="s">
        <v>168</v>
      </c>
      <c r="L39" s="1258">
        <f ca="1">INDEX(INDIRECT($D39),MATCH('Quarterly Flash'!$F39,INDIRECT($C39),0),MATCH('Quarterly Flash'!L$8,INDIRECT($B39),0))</f>
        <v>422</v>
      </c>
      <c r="M39" s="1259">
        <f ca="1">INDEX(INDIRECT($D39),MATCH('Quarterly Flash'!$F39,INDIRECT($C39),0),MATCH('Quarterly Flash'!M$8,INDIRECT($B39),0))</f>
        <v>507</v>
      </c>
      <c r="N39" s="1258">
        <f ca="1">INDEX(INDIRECT($D39),MATCH('Quarterly Flash'!$F39,INDIRECT($C39),0),MATCH('Quarterly Flash'!N$8,INDIRECT($B39),0))</f>
        <v>476</v>
      </c>
      <c r="O39" s="1504">
        <f ca="1">INDEX(INDIRECT($D39),MATCH('Quarterly Flash'!$F39,INDIRECT($C39),0),MATCH('Quarterly Flash'!O$8,INDIRECT($B39),0))</f>
        <v>654</v>
      </c>
      <c r="P39" s="1490">
        <v>582.81918906451745</v>
      </c>
      <c r="Q39" s="1683">
        <f>INDEX(Consensus!$A$1:$BO$180,MATCH('Quarterly Flash'!$F39,Consensus!$A:$A,0),MATCH('Quarterly Flash'!O$8,Consensus!$4:$4,0))</f>
        <v>599.70680000000004</v>
      </c>
      <c r="R39" s="1258">
        <v>540.97076000000004</v>
      </c>
      <c r="S39" s="1684">
        <f>+H39</f>
        <v>654</v>
      </c>
      <c r="T39" s="1685">
        <f>+S39/Q39-1</f>
        <v>9.0532907080593361E-2</v>
      </c>
      <c r="U39" s="1496"/>
      <c r="V39" s="1258">
        <f ca="1">INDEX(INDIRECT($D39),MATCH('Quarterly Flash'!$F39,INDIRECT($C39),0),MATCH('Quarterly Flash'!V$7,INDIRECT($B39),0))</f>
        <v>781.51620135144435</v>
      </c>
      <c r="W39" s="1490">
        <v>719.63898881385467</v>
      </c>
      <c r="X39" s="1258">
        <f>INDEX(Consensus!$A$1:$BO$180,MATCH('Quarterly Flash'!$F39,Consensus!$A:$A,0),MATCH('Quarterly Flash'!V$7,Consensus!$4:$4,0))</f>
        <v>664.67145000000005</v>
      </c>
      <c r="Y39" s="1258">
        <v>636.01775999999995</v>
      </c>
      <c r="Z39" s="1496"/>
      <c r="AA39" s="1258">
        <f ca="1">INDEX(INDIRECT($D39),MATCH('Quarterly Flash'!$F39,INDIRECT($C39),0),MATCH('Quarterly Flash'!AA$7,INDIRECT($B39),0))</f>
        <v>2942.5948701727975</v>
      </c>
      <c r="AB39" s="1490">
        <v>2751.1972224255264</v>
      </c>
      <c r="AC39" s="1344">
        <f>INDEX(Consensus!$A$1:$BO$180,MATCH('Quarterly Flash'!$F39,Consensus!$A:$A,0),MATCH('Quarterly Flash'!AA$7,Consensus!$4:$4,0))</f>
        <v>2738.17</v>
      </c>
      <c r="AD39" s="1258">
        <v>2631.41</v>
      </c>
      <c r="AE39" s="1261">
        <f ca="1">INDEX(INDIRECT($D39),MATCH('Quarterly Flash'!$F39,INDIRECT($C39),0),MATCH('Quarterly Flash'!AE$7,INDIRECT($B39),0))</f>
        <v>3751.3217959994176</v>
      </c>
      <c r="AF39" s="1261">
        <v>3546.2300210866856</v>
      </c>
      <c r="AG39" s="1344">
        <f>INDEX(Consensus!$A$1:$BO$180,MATCH('Quarterly Flash'!$F39,Consensus!$A:$A,0),MATCH('Quarterly Flash'!AE$7,Consensus!$4:$4,0))</f>
        <v>3606.2523999999999</v>
      </c>
      <c r="AH39" s="1258">
        <v>3610.8375999999998</v>
      </c>
    </row>
    <row r="40" spans="2:34" s="836" customFormat="1">
      <c r="B40" s="694" t="str">
        <f t="shared" ca="1" si="2"/>
        <v>'Cash Flow'!$5:$5</v>
      </c>
      <c r="C40" s="694" t="str">
        <f t="shared" ca="1" si="0"/>
        <v>'Cash Flow'!$A:$A</v>
      </c>
      <c r="D40" s="694" t="str">
        <f t="shared" ca="1" si="1"/>
        <v>'Cash Flow'!$1:$1048576</v>
      </c>
      <c r="E40" s="808" t="str" cm="1">
        <f t="array" aca="1" ref="E40" ca="1">IFERROR(INDEX(SheetNames,MATCH(1,COUNTIF(INDIRECT("'"&amp;SheetNames&amp;"'!A:A"),$F40),0)),"Not Found")</f>
        <v>Cash Flow</v>
      </c>
      <c r="F40" s="836" t="s">
        <v>413</v>
      </c>
      <c r="G40" s="843"/>
      <c r="H40" s="843"/>
      <c r="I40" s="843"/>
      <c r="J40"/>
      <c r="K40" s="1341" t="s">
        <v>395</v>
      </c>
      <c r="L40" s="901"/>
      <c r="M40" s="1253"/>
      <c r="N40" s="901"/>
      <c r="O40" s="1502">
        <f ca="1">+O39/L39-1</f>
        <v>0.54976303317535535</v>
      </c>
      <c r="P40" s="1489">
        <v>0.38108812574530204</v>
      </c>
      <c r="Q40" s="1681">
        <f>INDEX(Consensus!$A$1:$BO$180,MATCH('Quarterly Flash'!$F40,Consensus!$A:$A,0),MATCH('Quarterly Flash'!O$8,Consensus!$4:$4,0))</f>
        <v>0.42076948590381424</v>
      </c>
      <c r="R40" s="901">
        <v>0.2816175313906657</v>
      </c>
      <c r="S40" s="1682">
        <f ca="1">+S39/L39-1</f>
        <v>0.54976303317535535</v>
      </c>
      <c r="T40" s="901"/>
      <c r="U40" s="1342"/>
      <c r="V40" s="901">
        <f ca="1">INDEX(INDIRECT($D40),MATCH('Quarterly Flash'!$F40,INDIRECT($C40),0),MATCH('Quarterly Flash'!V$7,INDIRECT($B40),0))</f>
        <v>0.54145207367148784</v>
      </c>
      <c r="W40" s="1489">
        <v>0.41940628957367787</v>
      </c>
      <c r="X40" s="901">
        <f>INDEX(Consensus!$A$1:$BO$180,MATCH('Quarterly Flash'!$F40,Consensus!$A:$A,0),MATCH('Quarterly Flash'!V$7,Consensus!$4:$4,0))</f>
        <v>0.31098905325443793</v>
      </c>
      <c r="Y40" s="901">
        <v>0.25447289940828388</v>
      </c>
      <c r="Z40" s="1342"/>
      <c r="AA40" s="901">
        <f ca="1">INDEX(INDIRECT($D40),MATCH('Quarterly Flash'!$F40,INDIRECT($C40),0),MATCH('Quarterly Flash'!AA$7,INDIRECT($B40),0))</f>
        <v>0.46616585459531512</v>
      </c>
      <c r="AB40" s="1489">
        <v>0.37080080838342133</v>
      </c>
      <c r="AC40" s="1342">
        <f>INDEX(Consensus!$A$1:$BO$180,MATCH('Quarterly Flash'!$F40,Consensus!$A:$A,0),MATCH('Quarterly Flash'!AA$7,Consensus!$4:$4,0))</f>
        <v>0.35308671161093264</v>
      </c>
      <c r="AD40" s="901">
        <v>0.30033047758178788</v>
      </c>
      <c r="AE40" s="1196">
        <f ca="1">INDEX(INDIRECT($D40),MATCH('Quarterly Flash'!$F40,INDIRECT($C40),0),MATCH('Quarterly Flash'!AE$7,INDIRECT($B40),0))</f>
        <v>0.2748346141781759</v>
      </c>
      <c r="AF40" s="1196">
        <v>0.28897702868434783</v>
      </c>
      <c r="AG40" s="1342">
        <f>INDEX(Consensus!$A$1:$BO$180,MATCH('Quarterly Flash'!$F40,Consensus!$A:$A,0),MATCH('Quarterly Flash'!AE$7,Consensus!$4:$4,0))</f>
        <v>0.31703013326418739</v>
      </c>
      <c r="AH40" s="901">
        <v>0.37220638364983039</v>
      </c>
    </row>
    <row r="41" spans="2:34" s="836" customFormat="1" ht="13.8" thickBot="1">
      <c r="B41" s="694" t="str">
        <f t="shared" ca="1" si="2"/>
        <v>'Cash Flow'!$5:$5</v>
      </c>
      <c r="C41" s="694" t="str">
        <f t="shared" ca="1" si="0"/>
        <v>'Cash Flow'!$A:$A</v>
      </c>
      <c r="D41" s="694" t="str">
        <f t="shared" ca="1" si="1"/>
        <v>'Cash Flow'!$1:$1048576</v>
      </c>
      <c r="E41" s="808" t="str" cm="1">
        <f t="array" aca="1" ref="E41" ca="1">IFERROR(INDEX(SheetNames,MATCH(1,COUNTIF(INDIRECT("'"&amp;SheetNames&amp;"'!A:A"),$F41),0)),"Not Found")</f>
        <v>Cash Flow</v>
      </c>
      <c r="F41" s="836" t="s">
        <v>414</v>
      </c>
      <c r="G41" s="843"/>
      <c r="H41" s="843"/>
      <c r="I41" s="843"/>
      <c r="J41"/>
      <c r="K41" s="1350" t="s">
        <v>402</v>
      </c>
      <c r="L41" s="1351">
        <f ca="1">+L39/L17</f>
        <v>0.15746268656716417</v>
      </c>
      <c r="M41" s="1352">
        <f ca="1">+M39/M17</f>
        <v>0.17827004219409281</v>
      </c>
      <c r="N41" s="1351"/>
      <c r="O41" s="1508">
        <f ca="1">+O39/O17</f>
        <v>0.18252860731230813</v>
      </c>
      <c r="P41" s="1494">
        <v>0.16669960184017138</v>
      </c>
      <c r="Q41" s="1354">
        <f>+Q39/Q17</f>
        <v>0.16737560703321241</v>
      </c>
      <c r="R41" s="1351">
        <v>0.15720123895220206</v>
      </c>
      <c r="S41" s="1351">
        <f>+S39/S17</f>
        <v>0.18252860731230813</v>
      </c>
      <c r="T41" s="1355"/>
      <c r="U41" s="1511" t="s">
        <v>825</v>
      </c>
      <c r="V41" s="1351"/>
      <c r="W41" s="1351"/>
      <c r="X41" s="1351">
        <f>+X39/X17</f>
        <v>0.18202631347608514</v>
      </c>
      <c r="Y41" s="1351">
        <v>0.17711769058347787</v>
      </c>
      <c r="Z41" s="1511" t="s">
        <v>833</v>
      </c>
      <c r="AA41" s="901"/>
      <c r="AB41" s="1494"/>
      <c r="AC41" s="1495">
        <f>+AC39/AC17</f>
        <v>0.18281856544141098</v>
      </c>
      <c r="AD41" s="1351">
        <v>0.17776127968179539</v>
      </c>
      <c r="AE41" s="1353"/>
      <c r="AF41" s="1351"/>
      <c r="AG41" s="1495">
        <f>+AG39/AG17</f>
        <v>0.19317867728792906</v>
      </c>
      <c r="AH41" s="901">
        <v>0.19618617780950318</v>
      </c>
    </row>
    <row r="42" spans="2:34">
      <c r="G42" s="841" t="s">
        <v>471</v>
      </c>
      <c r="H42" s="842">
        <v>7</v>
      </c>
      <c r="I42" s="842">
        <v>7</v>
      </c>
      <c r="O42" s="785">
        <f ca="1">TODAY()</f>
        <v>46239</v>
      </c>
      <c r="P42" s="1254">
        <v>46237</v>
      </c>
      <c r="Q42" s="1329">
        <f ca="1">TODAY()</f>
        <v>46239</v>
      </c>
      <c r="R42" s="1254">
        <v>46237</v>
      </c>
      <c r="U42" s="787"/>
      <c r="V42" s="787">
        <f ca="1">TODAY()</f>
        <v>46239</v>
      </c>
      <c r="W42" s="798">
        <v>46237</v>
      </c>
      <c r="X42" s="785">
        <f ca="1">TODAY()</f>
        <v>46239</v>
      </c>
      <c r="Y42" s="798">
        <v>46237</v>
      </c>
      <c r="Z42" s="787"/>
      <c r="AA42" s="787">
        <f ca="1">TODAY()</f>
        <v>46239</v>
      </c>
      <c r="AB42" s="1254">
        <v>46237</v>
      </c>
      <c r="AC42" s="785">
        <f ca="1">TODAY()</f>
        <v>46239</v>
      </c>
      <c r="AD42" s="798">
        <v>46237</v>
      </c>
      <c r="AE42" s="787">
        <f ca="1">TODAY()</f>
        <v>46239</v>
      </c>
      <c r="AF42" s="1254">
        <v>46237</v>
      </c>
      <c r="AG42" s="785">
        <f ca="1">TODAY()</f>
        <v>46239</v>
      </c>
      <c r="AH42" s="1254">
        <v>46237</v>
      </c>
    </row>
    <row r="44" spans="2:34">
      <c r="G44" s="783"/>
      <c r="S44" s="850"/>
    </row>
    <row r="45" spans="2:34">
      <c r="G45" s="783"/>
    </row>
    <row r="46" spans="2:34">
      <c r="G46" s="783"/>
    </row>
    <row r="47" spans="2:34">
      <c r="G47" s="783"/>
    </row>
    <row r="48" spans="2:34">
      <c r="G48" s="783"/>
      <c r="Q48" s="850"/>
      <c r="R48" s="850"/>
      <c r="S48" s="850"/>
    </row>
    <row r="49" spans="7:9">
      <c r="G49" s="783"/>
    </row>
    <row r="50" spans="7:9">
      <c r="G50" s="783"/>
    </row>
    <row r="51" spans="7:9">
      <c r="G51" s="783"/>
      <c r="H51" s="790"/>
      <c r="I51" s="790"/>
    </row>
    <row r="52" spans="7:9">
      <c r="G52" s="790"/>
      <c r="H52" s="790"/>
      <c r="I52" s="790"/>
    </row>
    <row r="53" spans="7:9">
      <c r="G53" s="783"/>
    </row>
    <row r="54" spans="7:9">
      <c r="G54" s="783"/>
    </row>
    <row r="55" spans="7:9">
      <c r="G55" s="783"/>
    </row>
    <row r="56" spans="7:9">
      <c r="G56" s="783"/>
    </row>
    <row r="57" spans="7:9">
      <c r="G57" s="783"/>
    </row>
    <row r="58" spans="7:9">
      <c r="G58" s="783"/>
    </row>
    <row r="59" spans="7:9">
      <c r="G59" s="783"/>
    </row>
    <row r="60" spans="7:9">
      <c r="G60" s="783"/>
    </row>
    <row r="62" spans="7:9">
      <c r="G62" s="783"/>
    </row>
    <row r="63" spans="7:9">
      <c r="G63" s="783"/>
    </row>
    <row r="64" spans="7:9">
      <c r="G64" s="783"/>
    </row>
    <row r="65" spans="7:7">
      <c r="G65" s="783"/>
    </row>
    <row r="66" spans="7:7">
      <c r="G66" s="783"/>
    </row>
  </sheetData>
  <conditionalFormatting sqref="E11:E41">
    <cfRule type="cellIs" dxfId="0" priority="3" operator="equal">
      <formula>"Not Found"</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56BA7-C067-4D4D-A3D3-E62951A48FEE}">
  <sheetPr codeName="Sheet7">
    <tabColor theme="6" tint="-0.249977111117893"/>
  </sheetPr>
  <dimension ref="A1:FL235"/>
  <sheetViews>
    <sheetView showGridLines="0" zoomScaleNormal="100" workbookViewId="0">
      <pane xSplit="5" ySplit="4" topLeftCell="AT137" activePane="bottomRight" state="frozen"/>
      <selection activeCell="F6" sqref="F6"/>
      <selection pane="topRight" activeCell="F6" sqref="F6"/>
      <selection pane="bottomLeft" activeCell="F6" sqref="F6"/>
      <selection pane="bottomRight" activeCell="E1" sqref="E1"/>
    </sheetView>
  </sheetViews>
  <sheetFormatPr defaultColWidth="9" defaultRowHeight="10.199999999999999" outlineLevelCol="1"/>
  <cols>
    <col min="1" max="1" width="1.6640625" style="889" customWidth="1"/>
    <col min="2" max="2" width="6.6640625" style="889" hidden="1" customWidth="1" outlineLevel="1"/>
    <col min="3" max="4" width="7.33203125" style="889" hidden="1" customWidth="1" outlineLevel="1"/>
    <col min="5" max="5" width="32.5546875" style="6" customWidth="1" collapsed="1"/>
    <col min="6" max="6" width="8.44140625" style="6" bestFit="1" customWidth="1"/>
    <col min="7" max="7" width="8.5546875" style="6" bestFit="1" customWidth="1"/>
    <col min="8" max="8" width="8.44140625" style="6" bestFit="1" customWidth="1"/>
    <col min="9" max="9" width="9.33203125" style="6" bestFit="1" customWidth="1"/>
    <col min="10" max="10" width="8.44140625" style="6" bestFit="1" customWidth="1"/>
    <col min="11" max="65" width="8.44140625" style="6" customWidth="1"/>
    <col min="66" max="96" width="9" style="6"/>
    <col min="97" max="97" width="31" style="6" bestFit="1" customWidth="1"/>
    <col min="98" max="98" width="9.6640625" style="1006" bestFit="1" customWidth="1"/>
    <col min="99" max="105" width="9.33203125" style="1006" bestFit="1" customWidth="1"/>
    <col min="106" max="112" width="9.33203125" style="1006" customWidth="1"/>
    <col min="113" max="113" width="9.6640625" style="6" bestFit="1" customWidth="1"/>
    <col min="114" max="16384" width="9" style="6"/>
  </cols>
  <sheetData>
    <row r="1" spans="1:115">
      <c r="E1" s="1105" t="s">
        <v>334</v>
      </c>
      <c r="CS1" s="1121" t="s">
        <v>647</v>
      </c>
      <c r="CT1" s="1122" t="s">
        <v>634</v>
      </c>
      <c r="CU1" s="1122" t="s">
        <v>635</v>
      </c>
      <c r="CV1" s="1122" t="s">
        <v>636</v>
      </c>
      <c r="CW1" s="1122" t="s">
        <v>637</v>
      </c>
      <c r="CX1" s="1122" t="s">
        <v>638</v>
      </c>
      <c r="CY1" s="1122" t="s">
        <v>639</v>
      </c>
      <c r="CZ1" s="1122" t="s">
        <v>640</v>
      </c>
      <c r="DA1" s="1122" t="s">
        <v>641</v>
      </c>
      <c r="DB1" s="1122" t="s">
        <v>642</v>
      </c>
      <c r="DC1" s="1122" t="s">
        <v>643</v>
      </c>
      <c r="DD1" s="1122" t="s">
        <v>644</v>
      </c>
      <c r="DE1" s="1122" t="s">
        <v>645</v>
      </c>
      <c r="DF1" s="1122" t="s">
        <v>814</v>
      </c>
      <c r="DG1" s="1122" t="s">
        <v>815</v>
      </c>
      <c r="DH1" s="1122" t="s">
        <v>816</v>
      </c>
    </row>
    <row r="2" spans="1:115">
      <c r="BN2" s="889"/>
      <c r="BO2" s="889"/>
      <c r="BP2" s="889"/>
      <c r="BQ2" s="889"/>
      <c r="BR2" s="889"/>
      <c r="BS2" s="889"/>
      <c r="BT2" s="889"/>
      <c r="BU2" s="889"/>
      <c r="BV2" s="889"/>
      <c r="BW2" s="889"/>
      <c r="BX2" s="889"/>
      <c r="BY2" s="889"/>
      <c r="BZ2" s="889"/>
      <c r="CA2" s="889"/>
      <c r="CB2" s="889"/>
      <c r="CC2" s="889"/>
      <c r="CD2" s="889"/>
      <c r="CE2" s="889"/>
      <c r="CF2" s="889"/>
      <c r="CG2" s="889"/>
      <c r="CH2" s="889"/>
      <c r="CI2" s="889"/>
      <c r="CJ2" s="889"/>
      <c r="CK2" s="889"/>
      <c r="CL2" s="889"/>
      <c r="CM2" s="889"/>
      <c r="CN2" s="889"/>
      <c r="CO2" s="889"/>
      <c r="CP2" s="889"/>
      <c r="CQ2" s="889"/>
      <c r="CR2" s="889"/>
      <c r="CS2" s="889"/>
    </row>
    <row r="3" spans="1:115" s="1569" customFormat="1">
      <c r="A3" s="1566"/>
      <c r="B3" s="1566"/>
      <c r="C3" s="1566"/>
      <c r="D3" s="1566"/>
      <c r="E3" s="1567"/>
      <c r="F3" s="1565">
        <v>42460</v>
      </c>
      <c r="G3" s="1565">
        <f>EOMONTH(F3,3)</f>
        <v>42551</v>
      </c>
      <c r="H3" s="1565">
        <f>EOMONTH(G3,3)</f>
        <v>42643</v>
      </c>
      <c r="I3" s="1565">
        <f>EOMONTH(H3,3)</f>
        <v>42735</v>
      </c>
      <c r="J3" s="1565">
        <v>42825</v>
      </c>
      <c r="K3" s="1565">
        <f>EOMONTH(J3,3)</f>
        <v>42916</v>
      </c>
      <c r="L3" s="1565">
        <f>EOMONTH(K3,3)</f>
        <v>43008</v>
      </c>
      <c r="M3" s="1565">
        <f>EOMONTH(L3,3)</f>
        <v>43100</v>
      </c>
      <c r="N3" s="1565">
        <v>43190</v>
      </c>
      <c r="O3" s="1565">
        <f>EOMONTH(N3,3)</f>
        <v>43281</v>
      </c>
      <c r="P3" s="1565">
        <f>EOMONTH(O3,3)</f>
        <v>43373</v>
      </c>
      <c r="Q3" s="1565">
        <f>EOMONTH(P3,3)</f>
        <v>43465</v>
      </c>
      <c r="R3" s="1565">
        <v>43555</v>
      </c>
      <c r="S3" s="1565">
        <f t="shared" ref="S3:AK3" si="0">EOMONTH(R3,3)</f>
        <v>43646</v>
      </c>
      <c r="T3" s="1565">
        <f t="shared" si="0"/>
        <v>43738</v>
      </c>
      <c r="U3" s="1565">
        <f t="shared" si="0"/>
        <v>43830</v>
      </c>
      <c r="V3" s="1565">
        <f t="shared" si="0"/>
        <v>43921</v>
      </c>
      <c r="W3" s="1565">
        <f t="shared" si="0"/>
        <v>44012</v>
      </c>
      <c r="X3" s="1565">
        <f t="shared" si="0"/>
        <v>44104</v>
      </c>
      <c r="Y3" s="1565">
        <f t="shared" si="0"/>
        <v>44196</v>
      </c>
      <c r="Z3" s="1565">
        <f t="shared" si="0"/>
        <v>44286</v>
      </c>
      <c r="AA3" s="1565">
        <f t="shared" si="0"/>
        <v>44377</v>
      </c>
      <c r="AB3" s="1565">
        <f t="shared" si="0"/>
        <v>44469</v>
      </c>
      <c r="AC3" s="1565">
        <f t="shared" si="0"/>
        <v>44561</v>
      </c>
      <c r="AD3" s="1565">
        <f t="shared" si="0"/>
        <v>44651</v>
      </c>
      <c r="AE3" s="1565">
        <f t="shared" si="0"/>
        <v>44742</v>
      </c>
      <c r="AF3" s="1565">
        <f t="shared" si="0"/>
        <v>44834</v>
      </c>
      <c r="AG3" s="1565">
        <f t="shared" si="0"/>
        <v>44926</v>
      </c>
      <c r="AH3" s="1565">
        <f t="shared" si="0"/>
        <v>45016</v>
      </c>
      <c r="AI3" s="1565">
        <f t="shared" si="0"/>
        <v>45107</v>
      </c>
      <c r="AJ3" s="1565">
        <f t="shared" si="0"/>
        <v>45199</v>
      </c>
      <c r="AK3" s="1565">
        <f t="shared" si="0"/>
        <v>45291</v>
      </c>
      <c r="AL3" s="1565">
        <f t="shared" ref="AL3:BA3" si="1">EOMONTH(AK3,3)</f>
        <v>45382</v>
      </c>
      <c r="AM3" s="1565">
        <f t="shared" si="1"/>
        <v>45473</v>
      </c>
      <c r="AN3" s="1565">
        <f t="shared" si="1"/>
        <v>45565</v>
      </c>
      <c r="AO3" s="1565">
        <f t="shared" si="1"/>
        <v>45657</v>
      </c>
      <c r="AP3" s="1565">
        <f t="shared" si="1"/>
        <v>45747</v>
      </c>
      <c r="AQ3" s="1565">
        <f t="shared" si="1"/>
        <v>45838</v>
      </c>
      <c r="AR3" s="1565">
        <f t="shared" si="1"/>
        <v>45930</v>
      </c>
      <c r="AS3" s="1565">
        <f t="shared" si="1"/>
        <v>46022</v>
      </c>
      <c r="AT3" s="1565">
        <f t="shared" si="1"/>
        <v>46112</v>
      </c>
      <c r="AU3" s="1565">
        <f t="shared" si="1"/>
        <v>46203</v>
      </c>
      <c r="AV3" s="1565">
        <f t="shared" si="1"/>
        <v>46295</v>
      </c>
      <c r="AW3" s="1565">
        <f t="shared" si="1"/>
        <v>46387</v>
      </c>
      <c r="AX3" s="1565">
        <f t="shared" si="1"/>
        <v>46477</v>
      </c>
      <c r="AY3" s="1565">
        <f t="shared" si="1"/>
        <v>46568</v>
      </c>
      <c r="AZ3" s="1565">
        <f t="shared" si="1"/>
        <v>46660</v>
      </c>
      <c r="BA3" s="1565">
        <f t="shared" si="1"/>
        <v>46752</v>
      </c>
      <c r="BB3" s="1565">
        <f t="shared" ref="BB3" si="2">EOMONTH(BA3,3)</f>
        <v>46843</v>
      </c>
      <c r="BC3" s="1565">
        <f t="shared" ref="BC3" si="3">EOMONTH(BB3,3)</f>
        <v>46934</v>
      </c>
      <c r="BD3" s="1565">
        <f t="shared" ref="BD3" si="4">EOMONTH(BC3,3)</f>
        <v>47026</v>
      </c>
      <c r="BE3" s="1565">
        <f t="shared" ref="BE3" si="5">EOMONTH(BD3,3)</f>
        <v>47118</v>
      </c>
      <c r="BF3" s="1565">
        <f t="shared" ref="BF3" si="6">EOMONTH(BE3,3)</f>
        <v>47208</v>
      </c>
      <c r="BG3" s="1565">
        <f t="shared" ref="BG3" si="7">EOMONTH(BF3,3)</f>
        <v>47299</v>
      </c>
      <c r="BH3" s="1565">
        <f t="shared" ref="BH3" si="8">EOMONTH(BG3,3)</f>
        <v>47391</v>
      </c>
      <c r="BI3" s="1565">
        <f t="shared" ref="BI3" si="9">EOMONTH(BH3,3)</f>
        <v>47483</v>
      </c>
      <c r="BJ3" s="1565">
        <f t="shared" ref="BJ3" si="10">EOMONTH(BI3,3)</f>
        <v>47573</v>
      </c>
      <c r="BK3" s="1565">
        <f t="shared" ref="BK3" si="11">EOMONTH(BJ3,3)</f>
        <v>47664</v>
      </c>
      <c r="BL3" s="1565">
        <f t="shared" ref="BL3" si="12">EOMONTH(BK3,3)</f>
        <v>47756</v>
      </c>
      <c r="BM3" s="1565">
        <f t="shared" ref="BM3" si="13">EOMONTH(BL3,3)</f>
        <v>47848</v>
      </c>
      <c r="BN3" s="1568"/>
      <c r="BO3" s="1568"/>
      <c r="BP3" s="1568"/>
      <c r="BQ3" s="1568"/>
      <c r="BR3" s="1568"/>
      <c r="BS3" s="1568"/>
      <c r="BT3" s="1568"/>
      <c r="BU3" s="1568"/>
      <c r="BV3" s="1568"/>
      <c r="BW3" s="1568"/>
      <c r="BX3" s="1568"/>
      <c r="BY3" s="1568"/>
      <c r="BZ3" s="1568"/>
      <c r="CA3" s="1568"/>
      <c r="CB3" s="1568"/>
      <c r="CC3" s="1568"/>
      <c r="CD3" s="1568"/>
      <c r="CE3" s="1568"/>
      <c r="CF3" s="1568"/>
      <c r="CG3" s="1568"/>
      <c r="CH3" s="1568"/>
      <c r="CI3" s="1568"/>
      <c r="CJ3" s="1568"/>
      <c r="CK3" s="1568"/>
      <c r="CL3" s="1568"/>
      <c r="CM3" s="1568"/>
      <c r="CN3" s="1568"/>
      <c r="CO3" s="1568"/>
      <c r="CP3" s="1568"/>
      <c r="CQ3" s="1568"/>
      <c r="CR3" s="1568"/>
      <c r="CS3" s="1568"/>
      <c r="CT3" s="1565">
        <v>2016</v>
      </c>
      <c r="CU3" s="1565">
        <f>+CT3+1</f>
        <v>2017</v>
      </c>
      <c r="CV3" s="1565">
        <f t="shared" ref="CV3:DE3" si="14">+CU3+1</f>
        <v>2018</v>
      </c>
      <c r="CW3" s="1565">
        <f t="shared" si="14"/>
        <v>2019</v>
      </c>
      <c r="CX3" s="1565">
        <f t="shared" si="14"/>
        <v>2020</v>
      </c>
      <c r="CY3" s="1565">
        <f t="shared" si="14"/>
        <v>2021</v>
      </c>
      <c r="CZ3" s="1565">
        <f t="shared" si="14"/>
        <v>2022</v>
      </c>
      <c r="DA3" s="1565">
        <f t="shared" si="14"/>
        <v>2023</v>
      </c>
      <c r="DB3" s="1565">
        <f t="shared" si="14"/>
        <v>2024</v>
      </c>
      <c r="DC3" s="1565">
        <f t="shared" si="14"/>
        <v>2025</v>
      </c>
      <c r="DD3" s="1565">
        <f t="shared" si="14"/>
        <v>2026</v>
      </c>
      <c r="DE3" s="1565">
        <f t="shared" si="14"/>
        <v>2027</v>
      </c>
      <c r="DF3" s="1565">
        <f t="shared" ref="DF3" si="15">+DE3+1</f>
        <v>2028</v>
      </c>
      <c r="DG3" s="1565">
        <f t="shared" ref="DG3" si="16">+DF3+1</f>
        <v>2029</v>
      </c>
      <c r="DH3" s="1565">
        <f t="shared" ref="DH3" si="17">+DG3+1</f>
        <v>2030</v>
      </c>
      <c r="DI3" s="1565" t="s">
        <v>684</v>
      </c>
    </row>
    <row r="4" spans="1:115">
      <c r="B4" s="2"/>
      <c r="E4" s="1106"/>
      <c r="F4" s="3" t="s">
        <v>552</v>
      </c>
      <c r="G4" s="3" t="s">
        <v>553</v>
      </c>
      <c r="H4" s="3" t="s">
        <v>554</v>
      </c>
      <c r="I4" s="3" t="s">
        <v>555</v>
      </c>
      <c r="J4" s="3" t="s">
        <v>556</v>
      </c>
      <c r="K4" s="3" t="s">
        <v>557</v>
      </c>
      <c r="L4" s="3" t="s">
        <v>558</v>
      </c>
      <c r="M4" s="3" t="s">
        <v>559</v>
      </c>
      <c r="N4" s="3" t="s">
        <v>560</v>
      </c>
      <c r="O4" s="3" t="s">
        <v>561</v>
      </c>
      <c r="P4" s="3" t="s">
        <v>562</v>
      </c>
      <c r="Q4" s="3" t="s">
        <v>563</v>
      </c>
      <c r="R4" s="3" t="s">
        <v>532</v>
      </c>
      <c r="S4" s="3" t="s">
        <v>533</v>
      </c>
      <c r="T4" s="3" t="s">
        <v>534</v>
      </c>
      <c r="U4" s="3" t="s">
        <v>535</v>
      </c>
      <c r="V4" s="3" t="s">
        <v>536</v>
      </c>
      <c r="W4" s="3" t="s">
        <v>537</v>
      </c>
      <c r="X4" s="3" t="s">
        <v>538</v>
      </c>
      <c r="Y4" s="3" t="s">
        <v>539</v>
      </c>
      <c r="Z4" s="3" t="s">
        <v>540</v>
      </c>
      <c r="AA4" s="3" t="s">
        <v>541</v>
      </c>
      <c r="AB4" s="3" t="s">
        <v>542</v>
      </c>
      <c r="AC4" s="3" t="s">
        <v>543</v>
      </c>
      <c r="AD4" s="3" t="s">
        <v>544</v>
      </c>
      <c r="AE4" s="3" t="s">
        <v>545</v>
      </c>
      <c r="AF4" s="3" t="s">
        <v>546</v>
      </c>
      <c r="AG4" s="3" t="s">
        <v>547</v>
      </c>
      <c r="AH4" s="3" t="s">
        <v>548</v>
      </c>
      <c r="AI4" s="3" t="s">
        <v>549</v>
      </c>
      <c r="AJ4" s="3" t="s">
        <v>550</v>
      </c>
      <c r="AK4" s="3" t="s">
        <v>551</v>
      </c>
      <c r="AL4" s="3" t="s">
        <v>517</v>
      </c>
      <c r="AM4" s="3" t="s">
        <v>519</v>
      </c>
      <c r="AN4" s="3" t="s">
        <v>658</v>
      </c>
      <c r="AO4" s="3" t="s">
        <v>520</v>
      </c>
      <c r="AP4" s="3" t="s">
        <v>720</v>
      </c>
      <c r="AQ4" s="3" t="s">
        <v>522</v>
      </c>
      <c r="AR4" s="3" t="s">
        <v>790</v>
      </c>
      <c r="AS4" s="3" t="s">
        <v>524</v>
      </c>
      <c r="AT4" s="3" t="s">
        <v>525</v>
      </c>
      <c r="AU4" s="3" t="s">
        <v>526</v>
      </c>
      <c r="AV4" s="3" t="s">
        <v>527</v>
      </c>
      <c r="AW4" s="3" t="s">
        <v>528</v>
      </c>
      <c r="AX4" s="3" t="s">
        <v>529</v>
      </c>
      <c r="AY4" s="3" t="s">
        <v>530</v>
      </c>
      <c r="AZ4" s="3" t="s">
        <v>531</v>
      </c>
      <c r="BA4" s="3" t="s">
        <v>609</v>
      </c>
      <c r="BB4" s="3" t="s">
        <v>802</v>
      </c>
      <c r="BC4" s="3" t="s">
        <v>803</v>
      </c>
      <c r="BD4" s="3" t="s">
        <v>804</v>
      </c>
      <c r="BE4" s="3" t="s">
        <v>805</v>
      </c>
      <c r="BF4" s="3" t="s">
        <v>806</v>
      </c>
      <c r="BG4" s="3" t="s">
        <v>807</v>
      </c>
      <c r="BH4" s="3" t="s">
        <v>808</v>
      </c>
      <c r="BI4" s="3" t="s">
        <v>809</v>
      </c>
      <c r="BJ4" s="3" t="s">
        <v>810</v>
      </c>
      <c r="BK4" s="3" t="s">
        <v>811</v>
      </c>
      <c r="BL4" s="3" t="s">
        <v>812</v>
      </c>
      <c r="BM4" s="3" t="s">
        <v>813</v>
      </c>
      <c r="BN4" s="903"/>
      <c r="BO4" s="903"/>
      <c r="BP4" s="903"/>
      <c r="BQ4" s="903"/>
      <c r="BR4" s="903"/>
      <c r="BS4" s="903"/>
      <c r="BT4" s="903"/>
      <c r="BU4" s="903"/>
      <c r="BV4" s="903"/>
      <c r="BW4" s="903"/>
      <c r="BX4" s="903"/>
      <c r="BY4" s="903"/>
      <c r="BZ4" s="903"/>
      <c r="CA4" s="903"/>
      <c r="CB4" s="903"/>
      <c r="CC4" s="903"/>
      <c r="CD4" s="903"/>
      <c r="CE4" s="903"/>
      <c r="CF4" s="903"/>
      <c r="CG4" s="903"/>
      <c r="CH4" s="903"/>
      <c r="CI4" s="903"/>
      <c r="CJ4" s="903"/>
      <c r="CK4" s="903"/>
      <c r="CL4" s="903"/>
      <c r="CM4" s="903"/>
      <c r="CN4" s="903"/>
      <c r="CO4" s="903"/>
      <c r="CP4" s="903"/>
      <c r="CQ4" s="903"/>
      <c r="CR4" s="903"/>
      <c r="CS4" s="903"/>
      <c r="CT4" s="5" t="s">
        <v>171</v>
      </c>
      <c r="CU4" s="5" t="s">
        <v>175</v>
      </c>
      <c r="CV4" s="5" t="s">
        <v>187</v>
      </c>
      <c r="CW4" s="3" t="s">
        <v>191</v>
      </c>
      <c r="CX4" s="3" t="s">
        <v>205</v>
      </c>
      <c r="CY4" s="3" t="s">
        <v>311</v>
      </c>
      <c r="CZ4" s="3" t="s">
        <v>349</v>
      </c>
      <c r="DA4" s="3" t="s">
        <v>372</v>
      </c>
      <c r="DB4" s="3" t="s">
        <v>705</v>
      </c>
      <c r="DC4" s="3" t="s">
        <v>326</v>
      </c>
      <c r="DD4" s="3" t="s">
        <v>356</v>
      </c>
      <c r="DE4" s="3" t="s">
        <v>357</v>
      </c>
      <c r="DF4" s="3" t="s">
        <v>799</v>
      </c>
      <c r="DG4" s="3" t="s">
        <v>800</v>
      </c>
      <c r="DH4" s="4" t="s">
        <v>801</v>
      </c>
      <c r="DI4" s="4" t="s">
        <v>685</v>
      </c>
    </row>
    <row r="5" spans="1:115" s="889" customFormat="1">
      <c r="E5" s="6" t="s">
        <v>607</v>
      </c>
      <c r="F5" s="1107">
        <f>Income!BV10</f>
        <v>72.722000000000008</v>
      </c>
      <c r="G5" s="1107">
        <f>Income!BW10</f>
        <v>86.646999999999991</v>
      </c>
      <c r="H5" s="1107">
        <f>Income!BX10</f>
        <v>99.578000000000003</v>
      </c>
      <c r="I5" s="1107">
        <f>Income!BY10</f>
        <v>130.38299999999998</v>
      </c>
      <c r="J5" s="1107">
        <f>Income!CA10</f>
        <v>127.379</v>
      </c>
      <c r="K5" s="1107">
        <f>Income!CB10</f>
        <v>151.655</v>
      </c>
      <c r="L5" s="1107">
        <f>Income!CC10</f>
        <v>171.45600000000002</v>
      </c>
      <c r="M5" s="1107">
        <f>Income!CD10</f>
        <v>222.81399999999999</v>
      </c>
      <c r="N5" s="1107">
        <f>Income!CF10</f>
        <v>214.33999999999997</v>
      </c>
      <c r="O5" s="1107">
        <f>Income!CG10</f>
        <v>244.96299999999999</v>
      </c>
      <c r="P5" s="1107">
        <f>Income!CH10</f>
        <v>270.06399999999996</v>
      </c>
      <c r="Q5" s="1107">
        <f>Income!CI10</f>
        <v>343.86199999999997</v>
      </c>
      <c r="R5" s="1107">
        <f>Income!CK10</f>
        <v>320.48199999999997</v>
      </c>
      <c r="S5" s="1107">
        <f>Income!CL10</f>
        <v>361.97899999999998</v>
      </c>
      <c r="T5" s="1107">
        <f>Income!CM10</f>
        <v>390.55200000000002</v>
      </c>
      <c r="U5" s="1107">
        <f>Income!CN10</f>
        <v>505.16</v>
      </c>
      <c r="V5" s="1107">
        <f>Income!CP10</f>
        <v>470.00099999999998</v>
      </c>
      <c r="W5" s="1107">
        <f>Income!CQ10</f>
        <v>714.34100000000001</v>
      </c>
      <c r="X5" s="1107">
        <f>Income!CR10</f>
        <v>767.40499999999997</v>
      </c>
      <c r="Y5" s="1107">
        <f>Income!CS10</f>
        <v>977.74399999999991</v>
      </c>
      <c r="Z5" s="1107">
        <f>Income!CU10</f>
        <v>988.64699999999993</v>
      </c>
      <c r="AA5" s="1107">
        <f>Income!CV10</f>
        <v>1119.4449999999999</v>
      </c>
      <c r="AB5" s="1107">
        <f>Income!CW10</f>
        <v>1123.74</v>
      </c>
      <c r="AC5" s="1107">
        <f>Income!CX10</f>
        <v>1380.0240000000001</v>
      </c>
      <c r="AD5" s="1107">
        <f>Income!CZ10</f>
        <v>1203.623</v>
      </c>
      <c r="AE5" s="1107">
        <f>Income!DA10</f>
        <v>1295.0630000000001</v>
      </c>
      <c r="AF5" s="1107">
        <f>Income!DB10</f>
        <v>1366.2</v>
      </c>
      <c r="AG5" s="1107">
        <f>Income!DC10</f>
        <v>1734.9780000000001</v>
      </c>
      <c r="AH5" s="1107">
        <f>Income!DE10</f>
        <v>1508</v>
      </c>
      <c r="AI5" s="1107">
        <f>Income!DF10</f>
        <v>1694</v>
      </c>
      <c r="AJ5" s="1107">
        <f>Income!DG10</f>
        <v>1714</v>
      </c>
      <c r="AK5" s="1107">
        <f>Income!DH10</f>
        <v>2144</v>
      </c>
      <c r="AL5" s="1107">
        <f>Income!DJ10</f>
        <v>1861</v>
      </c>
      <c r="AM5" s="1107">
        <f>Income!DK10</f>
        <v>2045</v>
      </c>
      <c r="AN5" s="1107">
        <f>Income!DL10</f>
        <v>2162</v>
      </c>
      <c r="AO5" s="1107">
        <f>Income!DM10</f>
        <v>2812</v>
      </c>
      <c r="AP5" s="1107">
        <f>Income!DO10</f>
        <v>2360</v>
      </c>
      <c r="AQ5" s="1107">
        <f>Income!DP10</f>
        <v>2680</v>
      </c>
      <c r="AR5" s="1107">
        <f>Income!DQ10</f>
        <v>2844</v>
      </c>
      <c r="AS5" s="1107">
        <f>Income!DR10</f>
        <v>3672</v>
      </c>
      <c r="AT5" s="1107">
        <f>Income!DT10</f>
        <v>3170</v>
      </c>
      <c r="AU5" s="1107">
        <f>Income!DU10</f>
        <v>3583</v>
      </c>
      <c r="AV5" s="1107">
        <f>Income!DV10</f>
        <v>3708.9235770421878</v>
      </c>
      <c r="AW5" s="1107">
        <f>Income!DW10</f>
        <v>4749.7619467274999</v>
      </c>
      <c r="AX5" s="1107">
        <f>Income!DY10</f>
        <v>4035.1215649375008</v>
      </c>
      <c r="AY5" s="1107">
        <f>Income!DZ10</f>
        <v>4541.7451572134005</v>
      </c>
      <c r="AZ5" s="1107">
        <f>Income!EA10</f>
        <v>4641.6759010306196</v>
      </c>
      <c r="BA5" s="1107">
        <f>Income!EB10</f>
        <v>5915.7369784106504</v>
      </c>
      <c r="BB5" s="1107">
        <f>Income!EC10</f>
        <v>19134.27960159217</v>
      </c>
      <c r="BC5" s="1107">
        <f>Income!ED10</f>
        <v>4877.1061895107905</v>
      </c>
      <c r="BD5" s="1107">
        <f>Income!EE10</f>
        <v>5485.0483787334051</v>
      </c>
      <c r="BE5" s="1107">
        <f>Income!EF10</f>
        <v>5598.7043163702683</v>
      </c>
      <c r="BF5" s="1107">
        <f>Income!EG10</f>
        <v>7136.4533443181272</v>
      </c>
      <c r="BG5" s="1107">
        <f>Income!EH10</f>
        <v>23097.312228932591</v>
      </c>
      <c r="BH5" s="1107">
        <f>Income!EI10</f>
        <v>5779.8548168393081</v>
      </c>
      <c r="BI5" s="1107">
        <f>Income!EJ10</f>
        <v>6501.3574876201383</v>
      </c>
      <c r="BJ5" s="1107">
        <f>Income!EK10</f>
        <v>6635.6828467144514</v>
      </c>
      <c r="BK5" s="1107">
        <f>Income!EL10</f>
        <v>8462.5924451817737</v>
      </c>
      <c r="BL5" s="1107">
        <f>Income!EM10</f>
        <v>27379.487596355673</v>
      </c>
      <c r="BM5" s="1107">
        <f>Income!EN10</f>
        <v>6780.4433050578218</v>
      </c>
      <c r="BN5" s="6"/>
      <c r="CP5" s="6"/>
      <c r="CQ5" s="6"/>
      <c r="CR5" s="6"/>
      <c r="CS5" s="6" t="s">
        <v>607</v>
      </c>
      <c r="CT5" s="1100">
        <f>Income!BZ10</f>
        <v>389.33</v>
      </c>
      <c r="CU5" s="1100">
        <f>Income!CE10</f>
        <v>673.30399999999997</v>
      </c>
      <c r="CV5" s="1100">
        <f>Income!CJ10</f>
        <v>1073.2289999999998</v>
      </c>
      <c r="CW5" s="1100">
        <f>Income!CO10</f>
        <v>1578.173</v>
      </c>
      <c r="CX5" s="1100">
        <f>Income!CT10</f>
        <v>2929.491</v>
      </c>
      <c r="CY5" s="1100">
        <f>Income!CY10</f>
        <v>4611.8559999999998</v>
      </c>
      <c r="CZ5" s="1100">
        <f>Income!DD10</f>
        <v>5599.8640000000005</v>
      </c>
      <c r="DA5" s="1100">
        <f>Income!DI10</f>
        <v>7060</v>
      </c>
      <c r="DB5" s="1100">
        <f>Income!DN10</f>
        <v>8880</v>
      </c>
      <c r="DC5" s="1100">
        <f>Income!DS10</f>
        <v>11556</v>
      </c>
      <c r="DD5" s="1100">
        <f>Income!DX10</f>
        <v>15211.685523769687</v>
      </c>
      <c r="DE5" s="1100">
        <f>Income!EC10</f>
        <v>19134.27960159217</v>
      </c>
      <c r="DF5" s="1100">
        <f>Income!$EH$10</f>
        <v>23097.312228932591</v>
      </c>
      <c r="DG5" s="1100">
        <f>Income!$EM$10</f>
        <v>27379.487596355673</v>
      </c>
      <c r="DH5" s="1100">
        <f>Income!$ER$10</f>
        <v>32121.812861222668</v>
      </c>
    </row>
    <row r="6" spans="1:115" s="889" customFormat="1">
      <c r="E6" s="6"/>
      <c r="F6" s="1107"/>
      <c r="G6" s="1107"/>
      <c r="H6" s="1107"/>
      <c r="I6" s="1107"/>
      <c r="J6" s="1107"/>
      <c r="K6" s="1107"/>
      <c r="L6" s="1107"/>
      <c r="M6" s="1107"/>
      <c r="N6" s="1107"/>
      <c r="O6" s="1107"/>
      <c r="P6" s="1107"/>
      <c r="Q6" s="1107"/>
      <c r="R6" s="1107"/>
      <c r="S6" s="1107"/>
      <c r="T6" s="1107"/>
      <c r="U6" s="1107"/>
      <c r="V6" s="1107"/>
      <c r="W6" s="1107"/>
      <c r="X6" s="1107"/>
      <c r="Y6" s="1107"/>
      <c r="Z6" s="1107"/>
      <c r="AA6" s="1107"/>
      <c r="AB6" s="1107"/>
      <c r="AC6" s="1107"/>
      <c r="AD6" s="1107"/>
      <c r="AE6" s="1107"/>
      <c r="AF6" s="1107"/>
      <c r="AG6" s="1107"/>
      <c r="AH6" s="1107"/>
      <c r="AI6" s="1107"/>
      <c r="AJ6" s="1107"/>
      <c r="AK6" s="1107"/>
      <c r="AL6" s="1107"/>
      <c r="AM6" s="1107"/>
      <c r="AN6" s="1107"/>
      <c r="AO6" s="1107"/>
      <c r="AP6" s="1107"/>
      <c r="AQ6" s="1107"/>
      <c r="AR6" s="1107"/>
      <c r="AS6" s="1107"/>
      <c r="AT6" s="1107"/>
      <c r="AU6" s="1107"/>
      <c r="AV6" s="1107"/>
      <c r="AW6" s="1107"/>
      <c r="AX6" s="1107"/>
      <c r="AY6" s="1107"/>
      <c r="AZ6" s="1107"/>
      <c r="BA6" s="1107"/>
      <c r="BB6" s="1107"/>
      <c r="BC6" s="1107"/>
      <c r="BD6" s="1107"/>
      <c r="BE6" s="1107"/>
      <c r="BF6" s="1107"/>
      <c r="BG6" s="1107"/>
      <c r="BH6" s="1107"/>
      <c r="BI6" s="1107"/>
      <c r="BJ6" s="1107"/>
      <c r="BK6" s="1107"/>
      <c r="BL6" s="1107"/>
      <c r="BM6" s="1107"/>
      <c r="BN6" s="6"/>
      <c r="CP6" s="6"/>
      <c r="CQ6" s="6"/>
      <c r="CR6" s="6"/>
      <c r="CS6" s="1235" t="s">
        <v>518</v>
      </c>
      <c r="CT6" s="1236">
        <f>Income!BZ11</f>
        <v>0.89701461265975735</v>
      </c>
      <c r="CU6" s="1237">
        <f t="shared" ref="CU6:DE6" si="18">CU5/CT5-1</f>
        <v>0.72939151876300312</v>
      </c>
      <c r="CV6" s="1237">
        <f t="shared" si="18"/>
        <v>0.59397389589249405</v>
      </c>
      <c r="CW6" s="1237">
        <f t="shared" si="18"/>
        <v>0.47049045450691351</v>
      </c>
      <c r="CX6" s="1237">
        <f t="shared" si="18"/>
        <v>0.856254669164914</v>
      </c>
      <c r="CY6" s="1237">
        <f t="shared" si="18"/>
        <v>0.57428577182862139</v>
      </c>
      <c r="CZ6" s="1237">
        <f t="shared" si="18"/>
        <v>0.21423218764853047</v>
      </c>
      <c r="DA6" s="1237">
        <f t="shared" si="18"/>
        <v>0.26074490380480664</v>
      </c>
      <c r="DB6" s="1237">
        <f t="shared" si="18"/>
        <v>0.25779036827195467</v>
      </c>
      <c r="DC6" s="1237">
        <f t="shared" si="18"/>
        <v>0.30135135135135127</v>
      </c>
      <c r="DD6" s="1237">
        <f t="shared" si="18"/>
        <v>0.31634523397107017</v>
      </c>
      <c r="DE6" s="1237">
        <f t="shared" si="18"/>
        <v>0.25786715559515483</v>
      </c>
      <c r="DF6" s="1237">
        <f t="shared" ref="DF6" si="19">DF5/DE5-1</f>
        <v>0.20711689751887263</v>
      </c>
      <c r="DG6" s="1237">
        <f t="shared" ref="DG6" si="20">DG5/DF5-1</f>
        <v>0.18539712867798808</v>
      </c>
      <c r="DH6" s="1237">
        <f t="shared" ref="DH6" si="21">DH5/DG5-1</f>
        <v>0.1732072321725342</v>
      </c>
    </row>
    <row r="7" spans="1:115" s="889" customFormat="1">
      <c r="E7" s="6" t="s">
        <v>287</v>
      </c>
      <c r="F7" s="1107">
        <f>'Revenue Build'!BV63</f>
        <v>2671.8009999999999</v>
      </c>
      <c r="G7" s="1107">
        <f>'Revenue Build'!BW63</f>
        <v>3366.6990000000001</v>
      </c>
      <c r="H7" s="1107">
        <f>'Revenue Build'!BX63</f>
        <v>3810.3609999999999</v>
      </c>
      <c r="I7" s="1107">
        <f>'Revenue Build'!BY63</f>
        <v>5525.3049999999985</v>
      </c>
      <c r="J7" s="1107">
        <f>'Revenue Build'!CA63</f>
        <v>4852.4250000000002</v>
      </c>
      <c r="K7" s="1107">
        <f>'Revenue Build'!CB63</f>
        <v>5865.8459999999995</v>
      </c>
      <c r="L7" s="1107">
        <f>'Revenue Build'!CC63</f>
        <v>6430.9</v>
      </c>
      <c r="M7" s="1107">
        <f>'Revenue Build'!CD63</f>
        <v>9170.9789999999994</v>
      </c>
      <c r="N7" s="1107">
        <f>'Revenue Build'!CF63</f>
        <v>7952.4319999999998</v>
      </c>
      <c r="O7" s="1107">
        <f>'Revenue Build'!CG63</f>
        <v>9135.6389999999992</v>
      </c>
      <c r="P7" s="1107">
        <f>'Revenue Build'!CH63</f>
        <v>9994.6080000000002</v>
      </c>
      <c r="Q7" s="1107">
        <f>'Revenue Build'!CI63</f>
        <v>14020.558999999997</v>
      </c>
      <c r="R7" s="1107">
        <f>'Revenue Build'!CK63</f>
        <v>11913.825999999999</v>
      </c>
      <c r="S7" s="1107">
        <f>'Revenue Build'!CL63</f>
        <v>13772.195</v>
      </c>
      <c r="T7" s="1107">
        <f>'Revenue Build'!CM63</f>
        <v>14821.11</v>
      </c>
      <c r="U7" s="1107">
        <f>'Revenue Build'!CN63</f>
        <v>20631.326000000001</v>
      </c>
      <c r="V7" s="1107">
        <f>'Revenue Build'!CP63</f>
        <v>17415.252</v>
      </c>
      <c r="W7" s="1107">
        <f>'Revenue Build'!CQ63</f>
        <v>30105.466</v>
      </c>
      <c r="X7" s="1107">
        <f>'Revenue Build'!CR63</f>
        <v>30917.154999999999</v>
      </c>
      <c r="Y7" s="1107">
        <f>'Revenue Build'!CS63</f>
        <v>41139.273999999998</v>
      </c>
      <c r="Z7" s="1107">
        <f>'Revenue Build'!CU63</f>
        <v>37346.885999999999</v>
      </c>
      <c r="AA7" s="1107">
        <f>'Revenue Build'!CV63</f>
        <v>42193.370999999999</v>
      </c>
      <c r="AB7" s="1107">
        <f>'Revenue Build'!CW63</f>
        <v>41764.997000000003</v>
      </c>
      <c r="AC7" s="1107">
        <f>'Revenue Build'!CX63</f>
        <v>54056.560000000012</v>
      </c>
      <c r="AD7" s="1107">
        <f>'Revenue Build'!CZ63</f>
        <v>43199.951999999997</v>
      </c>
      <c r="AE7" s="1107">
        <f>'Revenue Build'!DA63</f>
        <v>46850.218999999997</v>
      </c>
      <c r="AF7" s="1107">
        <f>'Revenue Build'!DB63</f>
        <v>46200</v>
      </c>
      <c r="AG7" s="1107">
        <f>'Revenue Build'!DC63</f>
        <v>61000</v>
      </c>
      <c r="AH7" s="1107">
        <f>'Revenue Build'!DE63</f>
        <v>49600</v>
      </c>
      <c r="AI7" s="1107">
        <f>'Revenue Build'!DF63</f>
        <v>55000</v>
      </c>
      <c r="AJ7" s="1107">
        <f>'Revenue Build'!DG63</f>
        <v>56200</v>
      </c>
      <c r="AK7" s="1107">
        <f>'Revenue Build'!DH63</f>
        <v>75125</v>
      </c>
      <c r="AL7" s="1107">
        <f>'Revenue Build'!DJ63</f>
        <v>60855</v>
      </c>
      <c r="AM7" s="1107">
        <f>'Revenue Build'!DK63</f>
        <v>67245</v>
      </c>
      <c r="AN7" s="1107">
        <f>'Revenue Build'!DL63</f>
        <v>69715</v>
      </c>
      <c r="AO7" s="1107">
        <f>'Revenue Build'!DM63</f>
        <v>94460</v>
      </c>
      <c r="AP7" s="1107">
        <f>'Revenue Build'!DO63</f>
        <v>74750</v>
      </c>
      <c r="AQ7" s="1107">
        <f>'Revenue Build'!DP63</f>
        <v>87837</v>
      </c>
      <c r="AR7" s="1107">
        <f>'Revenue Build'!DQ63</f>
        <v>92013</v>
      </c>
      <c r="AS7" s="1107">
        <f>'Revenue Build'!DR63</f>
        <v>123841</v>
      </c>
      <c r="AT7" s="1107">
        <f>'Revenue Build'!DT63</f>
        <v>100743</v>
      </c>
      <c r="AU7" s="1107">
        <f>'Revenue Build'!DU63</f>
        <v>115567</v>
      </c>
      <c r="AV7" s="1107">
        <f>'Revenue Build'!DV63</f>
        <v>119616.90000000001</v>
      </c>
      <c r="AW7" s="1107">
        <f>'Revenue Build'!DW63</f>
        <v>159754.89000000001</v>
      </c>
      <c r="AX7" s="1107">
        <f>'Revenue Build'!DY63</f>
        <v>128951.04000000001</v>
      </c>
      <c r="AY7" s="1107">
        <f>'Revenue Build'!DZ63</f>
        <v>146770.09</v>
      </c>
      <c r="AZ7" s="1107">
        <f>'Revenue Build'!EA63</f>
        <v>149521.125</v>
      </c>
      <c r="BA7" s="1107">
        <f>'Revenue Build'!EB63</f>
        <v>198096.06360000002</v>
      </c>
      <c r="BB7" s="1107">
        <f>'Revenue Build'!EC63</f>
        <v>623338.3186</v>
      </c>
      <c r="BC7" s="1107">
        <f>'Revenue Build'!ED63</f>
        <v>154741.24799999999</v>
      </c>
      <c r="BD7" s="1107">
        <f>'Revenue Build'!EE63</f>
        <v>176124.10799999998</v>
      </c>
      <c r="BE7" s="1107">
        <f>'Revenue Build'!EF63</f>
        <v>179425.35</v>
      </c>
      <c r="BF7" s="1107">
        <f>'Revenue Build'!EG63</f>
        <v>237715.27632</v>
      </c>
      <c r="BG7" s="1107">
        <f>'Revenue Build'!EH63</f>
        <v>748005.98231999995</v>
      </c>
      <c r="BH7" s="1107">
        <f>'Revenue Build'!EI63</f>
        <v>181820.9664</v>
      </c>
      <c r="BI7" s="1107">
        <f>'Revenue Build'!EJ63</f>
        <v>206945.82689999999</v>
      </c>
      <c r="BJ7" s="1107">
        <f>'Revenue Build'!EK63</f>
        <v>210824.78625</v>
      </c>
      <c r="BK7" s="1107">
        <f>'Revenue Build'!EL63</f>
        <v>279315.44967599999</v>
      </c>
      <c r="BL7" s="1107">
        <f>'Revenue Build'!EM63</f>
        <v>878907.02922599996</v>
      </c>
      <c r="BM7" s="1107">
        <f>'Revenue Build'!EN63</f>
        <v>210912.321024</v>
      </c>
      <c r="CS7" s="6" t="s">
        <v>287</v>
      </c>
      <c r="CT7" s="1100">
        <f>'Revenue Build'!BZ63</f>
        <v>15374.165999999999</v>
      </c>
      <c r="CU7" s="1100">
        <f>'Revenue Build'!CE63</f>
        <v>26320.15</v>
      </c>
      <c r="CV7" s="1100">
        <f>'Revenue Build'!CJ63</f>
        <v>41103.237999999998</v>
      </c>
      <c r="CW7" s="1100">
        <f>'Revenue Build'!CO63</f>
        <v>61138.457000000002</v>
      </c>
      <c r="CX7" s="1100">
        <f>'Revenue Build'!CT63</f>
        <v>119577.147</v>
      </c>
      <c r="CY7" s="1100">
        <f>'Revenue Build'!CY63</f>
        <v>175361.81400000001</v>
      </c>
      <c r="CZ7" s="1100">
        <f>'Revenue Build'!DD63</f>
        <v>197250.171</v>
      </c>
      <c r="DA7" s="1100">
        <f>'Revenue Build'!DI63</f>
        <v>235925</v>
      </c>
      <c r="DB7" s="1100">
        <f>'Revenue Build'!DN63</f>
        <v>292275</v>
      </c>
      <c r="DC7" s="1100">
        <f>'Revenue Build'!DS63</f>
        <v>378441</v>
      </c>
      <c r="DD7" s="1100">
        <f>'Revenue Build'!DX63</f>
        <v>495681.79000000004</v>
      </c>
      <c r="DE7" s="1100">
        <f>'Revenue Build'!EC63</f>
        <v>623338.3186</v>
      </c>
      <c r="DF7" s="1100">
        <f>'Revenue Build'!$EH$63</f>
        <v>748005.98231999995</v>
      </c>
      <c r="DG7" s="1100">
        <f>'Revenue Build'!$EM$63</f>
        <v>878907.02922599996</v>
      </c>
      <c r="DH7" s="1100">
        <f>'Revenue Build'!$ER$63</f>
        <v>1019532.15390216</v>
      </c>
      <c r="DI7" s="1101">
        <f>+(DE7/DB7)^(1/3)-1</f>
        <v>0.28719413420930917</v>
      </c>
    </row>
    <row r="8" spans="1:115" s="889" customFormat="1">
      <c r="A8" s="1082"/>
      <c r="E8" s="1082" t="s">
        <v>518</v>
      </c>
      <c r="F8" s="1107"/>
      <c r="G8" s="1107"/>
      <c r="H8" s="1107"/>
      <c r="I8" s="1107"/>
      <c r="J8" s="1126">
        <f t="shared" ref="J8:BA8" si="22">J7/F7-1</f>
        <v>0.81616258097066363</v>
      </c>
      <c r="K8" s="1126">
        <f t="shared" si="22"/>
        <v>0.74231376193713761</v>
      </c>
      <c r="L8" s="1126">
        <f t="shared" si="22"/>
        <v>0.68774034796178096</v>
      </c>
      <c r="M8" s="1126">
        <f t="shared" si="22"/>
        <v>0.65981407361222622</v>
      </c>
      <c r="N8" s="1126">
        <f t="shared" si="22"/>
        <v>0.63885727239473034</v>
      </c>
      <c r="O8" s="1126">
        <f t="shared" si="22"/>
        <v>0.55742905626912131</v>
      </c>
      <c r="P8" s="1126">
        <f t="shared" si="22"/>
        <v>0.55415385093843805</v>
      </c>
      <c r="Q8" s="1126">
        <f t="shared" si="22"/>
        <v>0.52879632588843561</v>
      </c>
      <c r="R8" s="1126">
        <f t="shared" si="22"/>
        <v>0.49813616765286395</v>
      </c>
      <c r="S8" s="1126">
        <f t="shared" si="22"/>
        <v>0.50752399476380372</v>
      </c>
      <c r="T8" s="1126">
        <f t="shared" si="22"/>
        <v>0.48291058538764098</v>
      </c>
      <c r="U8" s="1126">
        <f t="shared" si="22"/>
        <v>0.47150523741599781</v>
      </c>
      <c r="V8" s="1126">
        <f t="shared" si="22"/>
        <v>0.46176820107998906</v>
      </c>
      <c r="W8" s="1126">
        <f t="shared" si="22"/>
        <v>1.1859598996383656</v>
      </c>
      <c r="X8" s="1126">
        <f t="shared" si="22"/>
        <v>1.0860215597887066</v>
      </c>
      <c r="Y8" s="1126">
        <f t="shared" si="22"/>
        <v>0.99401987055994345</v>
      </c>
      <c r="Z8" s="1126">
        <f t="shared" si="22"/>
        <v>1.1444929995845019</v>
      </c>
      <c r="AA8" s="1126">
        <f t="shared" si="22"/>
        <v>0.40151861459311067</v>
      </c>
      <c r="AB8" s="1126">
        <f t="shared" si="22"/>
        <v>0.35086805367440843</v>
      </c>
      <c r="AC8" s="1126">
        <f t="shared" si="22"/>
        <v>0.31398915790298143</v>
      </c>
      <c r="AD8" s="1126">
        <f t="shared" si="22"/>
        <v>0.15672166080995353</v>
      </c>
      <c r="AE8" s="1126">
        <f t="shared" si="22"/>
        <v>0.11036918571877075</v>
      </c>
      <c r="AF8" s="1126">
        <f t="shared" si="22"/>
        <v>0.10618947249056432</v>
      </c>
      <c r="AG8" s="1126">
        <f t="shared" si="22"/>
        <v>0.12844768516531557</v>
      </c>
      <c r="AH8" s="1126">
        <f t="shared" si="22"/>
        <v>0.14814942386973029</v>
      </c>
      <c r="AI8" s="1126">
        <f t="shared" si="22"/>
        <v>0.17395395739772312</v>
      </c>
      <c r="AJ8" s="1126">
        <f t="shared" si="22"/>
        <v>0.21645021645021645</v>
      </c>
      <c r="AK8" s="1126">
        <f t="shared" si="22"/>
        <v>0.23155737704918034</v>
      </c>
      <c r="AL8" s="1126">
        <f t="shared" si="22"/>
        <v>0.22691532258064506</v>
      </c>
      <c r="AM8" s="1126">
        <f t="shared" si="22"/>
        <v>0.22263636363636374</v>
      </c>
      <c r="AN8" s="1126">
        <f t="shared" si="22"/>
        <v>0.24048042704626327</v>
      </c>
      <c r="AO8" s="1126">
        <f t="shared" si="22"/>
        <v>0.2573710482529119</v>
      </c>
      <c r="AP8" s="1126">
        <f t="shared" si="22"/>
        <v>0.22832963602004774</v>
      </c>
      <c r="AQ8" s="1126">
        <f t="shared" si="22"/>
        <v>0.30622351104171308</v>
      </c>
      <c r="AR8" s="1126">
        <f t="shared" si="22"/>
        <v>0.31984508355447172</v>
      </c>
      <c r="AS8" s="1126">
        <f t="shared" si="22"/>
        <v>0.31104171077704845</v>
      </c>
      <c r="AT8" s="1126">
        <f t="shared" si="22"/>
        <v>0.3477324414715719</v>
      </c>
      <c r="AU8" s="1126">
        <f t="shared" si="22"/>
        <v>0.31569839589239157</v>
      </c>
      <c r="AV8" s="1126">
        <f t="shared" si="22"/>
        <v>0.30000000000000004</v>
      </c>
      <c r="AW8" s="1126">
        <f t="shared" si="22"/>
        <v>0.29000000000000004</v>
      </c>
      <c r="AX8" s="1126">
        <f t="shared" si="22"/>
        <v>0.28000000000000003</v>
      </c>
      <c r="AY8" s="1126">
        <f t="shared" si="22"/>
        <v>0.27</v>
      </c>
      <c r="AZ8" s="1126">
        <f t="shared" si="22"/>
        <v>0.25</v>
      </c>
      <c r="BA8" s="1126">
        <f t="shared" si="22"/>
        <v>0.24</v>
      </c>
      <c r="BB8" s="1126">
        <f t="shared" ref="BB8" si="23">BB7/AX7-1</f>
        <v>3.8339146283736829</v>
      </c>
      <c r="BC8" s="1126">
        <f t="shared" ref="BC8" si="24">BC7/AY7-1</f>
        <v>5.4310506997713226E-2</v>
      </c>
      <c r="BD8" s="1126">
        <f t="shared" ref="BD8" si="25">BD7/AZ7-1</f>
        <v>0.17792123353807021</v>
      </c>
      <c r="BE8" s="1126">
        <f t="shared" ref="BE8" si="26">BE7/BA7-1</f>
        <v>-9.4250805698493534E-2</v>
      </c>
      <c r="BF8" s="1126">
        <f t="shared" ref="BF8" si="27">BF7/BB7-1</f>
        <v>-0.61864164414935741</v>
      </c>
      <c r="BG8" s="1126">
        <f t="shared" ref="BG8" si="28">BG7/BC7-1</f>
        <v>3.8339146283736838</v>
      </c>
      <c r="BH8" s="1126">
        <f t="shared" ref="BH8" si="29">BH7/BD7-1</f>
        <v>3.2345704768594441E-2</v>
      </c>
      <c r="BI8" s="1126">
        <f t="shared" ref="BI8" si="30">BI7/BE7-1</f>
        <v>0.15338120783936038</v>
      </c>
      <c r="BJ8" s="1126">
        <f t="shared" ref="BJ8" si="31">BJ7/BF7-1</f>
        <v>-0.11312058057977481</v>
      </c>
      <c r="BK8" s="1126">
        <f t="shared" ref="BK8" si="32">BK7/BG7-1</f>
        <v>-0.62658660989624582</v>
      </c>
      <c r="BL8" s="1126">
        <f t="shared" ref="BL8" si="33">BL7/BH7-1</f>
        <v>3.8339146283736829</v>
      </c>
      <c r="BM8" s="1126">
        <f t="shared" ref="BM8" si="34">BM7/BI7-1</f>
        <v>1.9166823431122859E-2</v>
      </c>
      <c r="CS8" s="1235" t="s">
        <v>518</v>
      </c>
      <c r="CT8" s="1238"/>
      <c r="CU8" s="1237">
        <f>CU7/CT7-1</f>
        <v>0.71197253886812484</v>
      </c>
      <c r="CV8" s="1237">
        <f t="shared" ref="CV8:DE8" si="35">CV7/CU7-1</f>
        <v>0.56166427622942861</v>
      </c>
      <c r="CW8" s="1237">
        <f t="shared" si="35"/>
        <v>0.48743651290927503</v>
      </c>
      <c r="CX8" s="1237">
        <f t="shared" si="35"/>
        <v>0.9558417543969091</v>
      </c>
      <c r="CY8" s="1237">
        <f t="shared" si="35"/>
        <v>0.4665161228507988</v>
      </c>
      <c r="CZ8" s="1237">
        <f t="shared" si="35"/>
        <v>0.12481826288589826</v>
      </c>
      <c r="DA8" s="1237">
        <f t="shared" si="35"/>
        <v>0.19606993902175129</v>
      </c>
      <c r="DB8" s="1237">
        <f t="shared" si="35"/>
        <v>0.23884709123662184</v>
      </c>
      <c r="DC8" s="1237">
        <f t="shared" si="35"/>
        <v>0.29481139337952267</v>
      </c>
      <c r="DD8" s="1237">
        <f t="shared" si="35"/>
        <v>0.30979938748708524</v>
      </c>
      <c r="DE8" s="1237">
        <f t="shared" si="35"/>
        <v>0.25753725711812003</v>
      </c>
      <c r="DF8" s="1237">
        <f t="shared" ref="DF8" si="36">DF7/DE7-1</f>
        <v>0.19999999999999996</v>
      </c>
      <c r="DG8" s="1237">
        <f t="shared" ref="DG8" si="37">DG7/DF7-1</f>
        <v>0.17500000000000004</v>
      </c>
      <c r="DH8" s="1237">
        <f t="shared" ref="DH8" si="38">DH7/DG7-1</f>
        <v>0.16000000000000014</v>
      </c>
    </row>
    <row r="9" spans="1:115" s="889" customFormat="1">
      <c r="E9" s="889" t="s">
        <v>608</v>
      </c>
      <c r="F9" s="1101">
        <f t="shared" ref="F9:BA9" si="39">F5/F7</f>
        <v>2.7218344479996829E-2</v>
      </c>
      <c r="G9" s="1101">
        <f t="shared" si="39"/>
        <v>2.5736485501079837E-2</v>
      </c>
      <c r="H9" s="1101">
        <f t="shared" si="39"/>
        <v>2.6133481840696984E-2</v>
      </c>
      <c r="I9" s="1101">
        <f t="shared" si="39"/>
        <v>2.3597430368097329E-2</v>
      </c>
      <c r="J9" s="1101">
        <f t="shared" si="39"/>
        <v>2.6250586047182594E-2</v>
      </c>
      <c r="K9" s="1101">
        <f t="shared" si="39"/>
        <v>2.5853900699063702E-2</v>
      </c>
      <c r="L9" s="1101">
        <f t="shared" si="39"/>
        <v>2.6661276026683674E-2</v>
      </c>
      <c r="M9" s="1101">
        <f t="shared" si="39"/>
        <v>2.4295552306902023E-2</v>
      </c>
      <c r="N9" s="1101">
        <f t="shared" si="39"/>
        <v>2.6952761117605278E-2</v>
      </c>
      <c r="O9" s="1101">
        <f t="shared" si="39"/>
        <v>2.6813997356944601E-2</v>
      </c>
      <c r="P9" s="1101">
        <f t="shared" si="39"/>
        <v>2.702096970686594E-2</v>
      </c>
      <c r="Q9" s="1101">
        <f t="shared" si="39"/>
        <v>2.452555565009926E-2</v>
      </c>
      <c r="R9" s="1101">
        <f t="shared" si="39"/>
        <v>2.6900006765249049E-2</v>
      </c>
      <c r="S9" s="1101">
        <f t="shared" si="39"/>
        <v>2.6283319398251331E-2</v>
      </c>
      <c r="T9" s="1101">
        <f t="shared" si="39"/>
        <v>2.6351062774650481E-2</v>
      </c>
      <c r="U9" s="1101">
        <f t="shared" si="39"/>
        <v>2.4485096110642621E-2</v>
      </c>
      <c r="V9" s="1101">
        <f t="shared" si="39"/>
        <v>2.6987895437861016E-2</v>
      </c>
      <c r="W9" s="1101">
        <f t="shared" si="39"/>
        <v>2.3727950266572855E-2</v>
      </c>
      <c r="X9" s="1101">
        <f t="shared" si="39"/>
        <v>2.4821333010750828E-2</v>
      </c>
      <c r="Y9" s="1101">
        <f t="shared" si="39"/>
        <v>2.3766680957957594E-2</v>
      </c>
      <c r="Z9" s="1101">
        <f t="shared" si="39"/>
        <v>2.6472006260441633E-2</v>
      </c>
      <c r="AA9" s="1101">
        <f t="shared" si="39"/>
        <v>2.653130037891497E-2</v>
      </c>
      <c r="AB9" s="1101">
        <f t="shared" si="39"/>
        <v>2.6906263156202308E-2</v>
      </c>
      <c r="AC9" s="1101">
        <f t="shared" si="39"/>
        <v>2.5529260463484908E-2</v>
      </c>
      <c r="AD9" s="1101">
        <f t="shared" si="39"/>
        <v>2.7861674475934607E-2</v>
      </c>
      <c r="AE9" s="1101">
        <f t="shared" si="39"/>
        <v>2.7642624253261232E-2</v>
      </c>
      <c r="AF9" s="1101">
        <f t="shared" si="39"/>
        <v>2.9571428571428571E-2</v>
      </c>
      <c r="AG9" s="1101">
        <f t="shared" si="39"/>
        <v>2.8442262295081969E-2</v>
      </c>
      <c r="AH9" s="1101">
        <f t="shared" si="39"/>
        <v>3.0403225806451613E-2</v>
      </c>
      <c r="AI9" s="1101">
        <f t="shared" si="39"/>
        <v>3.0800000000000001E-2</v>
      </c>
      <c r="AJ9" s="1101">
        <f t="shared" si="39"/>
        <v>3.0498220640569396E-2</v>
      </c>
      <c r="AK9" s="1101">
        <f t="shared" si="39"/>
        <v>2.853910149750416E-2</v>
      </c>
      <c r="AL9" s="1101">
        <f t="shared" si="39"/>
        <v>3.0580888998438912E-2</v>
      </c>
      <c r="AM9" s="1101">
        <f t="shared" si="39"/>
        <v>3.0411182987582719E-2</v>
      </c>
      <c r="AN9" s="1101">
        <f t="shared" si="39"/>
        <v>3.1011977336297784E-2</v>
      </c>
      <c r="AO9" s="1101">
        <f t="shared" si="39"/>
        <v>2.9769214482320561E-2</v>
      </c>
      <c r="AP9" s="1101">
        <f t="shared" si="39"/>
        <v>3.1571906354515053E-2</v>
      </c>
      <c r="AQ9" s="1101">
        <f t="shared" si="39"/>
        <v>3.0511060259344011E-2</v>
      </c>
      <c r="AR9" s="1101">
        <f t="shared" si="39"/>
        <v>3.0908675947963874E-2</v>
      </c>
      <c r="AS9" s="1101">
        <f t="shared" si="39"/>
        <v>2.9650923361406966E-2</v>
      </c>
      <c r="AT9" s="1101">
        <f t="shared" si="39"/>
        <v>3.1466206088760509E-2</v>
      </c>
      <c r="AU9" s="1101">
        <f t="shared" si="39"/>
        <v>3.100366021442107E-2</v>
      </c>
      <c r="AV9" s="1101">
        <f t="shared" si="39"/>
        <v>3.1006685318230011E-2</v>
      </c>
      <c r="AW9" s="1101">
        <f t="shared" si="39"/>
        <v>2.9731559057300214E-2</v>
      </c>
      <c r="AX9" s="1101">
        <f t="shared" si="39"/>
        <v>3.1291888494559647E-2</v>
      </c>
      <c r="AY9" s="1101">
        <f t="shared" si="39"/>
        <v>3.0944623371242742E-2</v>
      </c>
      <c r="AZ9" s="1101">
        <f t="shared" si="39"/>
        <v>3.1043612740544988E-2</v>
      </c>
      <c r="BA9" s="1101">
        <f t="shared" si="39"/>
        <v>2.986297087839079E-2</v>
      </c>
      <c r="BB9" s="1101">
        <f t="shared" ref="BB9:BM9" si="40">BB5/BB7</f>
        <v>3.0696459740461993E-2</v>
      </c>
      <c r="BC9" s="1101">
        <f t="shared" si="40"/>
        <v>3.1517816048057146E-2</v>
      </c>
      <c r="BD9" s="1101">
        <f t="shared" si="40"/>
        <v>3.1143086775680964E-2</v>
      </c>
      <c r="BE9" s="1101">
        <f t="shared" si="40"/>
        <v>3.1203530138691486E-2</v>
      </c>
      <c r="BF9" s="1101">
        <f t="shared" si="40"/>
        <v>3.0021012762812108E-2</v>
      </c>
      <c r="BG9" s="1101">
        <f t="shared" si="40"/>
        <v>3.0878512705599551E-2</v>
      </c>
      <c r="BH9" s="1101">
        <f t="shared" si="40"/>
        <v>3.1788714642093707E-2</v>
      </c>
      <c r="BI9" s="1101">
        <f t="shared" si="40"/>
        <v>3.1415745777573535E-2</v>
      </c>
      <c r="BJ9" s="1101">
        <f t="shared" si="40"/>
        <v>3.1474870506192444E-2</v>
      </c>
      <c r="BK9" s="1101">
        <f t="shared" si="40"/>
        <v>3.0297616744788741E-2</v>
      </c>
      <c r="BL9" s="1101">
        <f t="shared" si="40"/>
        <v>3.1151744935374023E-2</v>
      </c>
      <c r="BM9" s="1101">
        <f t="shared" si="40"/>
        <v>3.2148161246048142E-2</v>
      </c>
      <c r="CS9" s="889" t="s">
        <v>608</v>
      </c>
      <c r="CT9" s="1101">
        <f>CT5/CT7</f>
        <v>2.532365007636837E-2</v>
      </c>
      <c r="CU9" s="1101">
        <f t="shared" ref="CU9:DE9" si="41">CU5/CU7</f>
        <v>2.5581313176406668E-2</v>
      </c>
      <c r="CV9" s="1101">
        <f t="shared" si="41"/>
        <v>2.611057065625827E-2</v>
      </c>
      <c r="CW9" s="1101">
        <f t="shared" si="41"/>
        <v>2.5813098292618016E-2</v>
      </c>
      <c r="CX9" s="1101">
        <f t="shared" si="41"/>
        <v>2.4498753093682692E-2</v>
      </c>
      <c r="CY9" s="1101">
        <f t="shared" si="41"/>
        <v>2.629908926466739E-2</v>
      </c>
      <c r="CZ9" s="1101">
        <f t="shared" si="41"/>
        <v>2.8389653461948078E-2</v>
      </c>
      <c r="DA9" s="1101">
        <f t="shared" si="41"/>
        <v>2.9924764225919255E-2</v>
      </c>
      <c r="DB9" s="1101">
        <f t="shared" si="41"/>
        <v>3.0382345393892739E-2</v>
      </c>
      <c r="DC9" s="1101">
        <f t="shared" si="41"/>
        <v>3.0535803467383292E-2</v>
      </c>
      <c r="DD9" s="1101">
        <f t="shared" si="41"/>
        <v>3.0688409037115699E-2</v>
      </c>
      <c r="DE9" s="1101">
        <f t="shared" si="41"/>
        <v>3.0696459740461993E-2</v>
      </c>
      <c r="DF9" s="1101">
        <f t="shared" ref="DF9:DH9" si="42">DF5/DF7</f>
        <v>3.0878512705599551E-2</v>
      </c>
      <c r="DG9" s="1101">
        <f t="shared" si="42"/>
        <v>3.1151744935374023E-2</v>
      </c>
      <c r="DH9" s="1101">
        <f t="shared" si="42"/>
        <v>3.1506424528426648E-2</v>
      </c>
      <c r="DK9" s="6"/>
    </row>
    <row r="10" spans="1:115">
      <c r="E10" s="1108"/>
      <c r="BN10" s="889"/>
      <c r="BO10" s="889"/>
      <c r="BP10" s="889"/>
      <c r="BQ10" s="889"/>
      <c r="BR10" s="889"/>
      <c r="BS10" s="889"/>
      <c r="BT10" s="889"/>
      <c r="BU10" s="889"/>
      <c r="BV10" s="889"/>
      <c r="BW10" s="889"/>
      <c r="BX10" s="889"/>
      <c r="BY10" s="889"/>
      <c r="BZ10" s="889"/>
      <c r="CA10" s="889"/>
      <c r="CB10" s="889"/>
      <c r="CC10" s="889"/>
      <c r="CD10" s="889"/>
      <c r="CE10" s="889"/>
      <c r="CF10" s="889"/>
      <c r="CG10" s="889"/>
      <c r="CH10" s="889"/>
      <c r="CI10" s="889"/>
      <c r="CJ10" s="889"/>
      <c r="CK10" s="889"/>
      <c r="CL10" s="889"/>
      <c r="CM10" s="889"/>
      <c r="CN10" s="889"/>
      <c r="CO10" s="889"/>
      <c r="CP10" s="889"/>
      <c r="CQ10" s="889"/>
      <c r="CR10" s="889"/>
      <c r="CS10" s="889"/>
    </row>
    <row r="11" spans="1:115">
      <c r="E11" s="1021" t="str">
        <f>Income!$C$8</f>
        <v>Merchant Solutions revenue</v>
      </c>
      <c r="F11" s="1022">
        <f>Income!BV8</f>
        <v>34.015999999999998</v>
      </c>
      <c r="G11" s="1022">
        <f>Income!BW8</f>
        <v>42.972999999999999</v>
      </c>
      <c r="H11" s="1022">
        <f>Income!BX8</f>
        <v>49.738999999999997</v>
      </c>
      <c r="I11" s="1022">
        <f>Income!BY8</f>
        <v>73.995999999999995</v>
      </c>
      <c r="J11" s="1022">
        <f>Income!CA8</f>
        <v>65.299000000000007</v>
      </c>
      <c r="K11" s="1022">
        <f>Income!CB8</f>
        <v>80.057000000000002</v>
      </c>
      <c r="L11" s="1022">
        <f>Income!CC8</f>
        <v>89.021000000000001</v>
      </c>
      <c r="M11" s="1022">
        <f>Income!CD8</f>
        <v>128.89599999999999</v>
      </c>
      <c r="N11" s="1022">
        <f>Income!CF8</f>
        <v>114.142</v>
      </c>
      <c r="O11" s="1022">
        <f>Income!CG8</f>
        <v>134.24199999999999</v>
      </c>
      <c r="P11" s="1022">
        <f>Income!CH8</f>
        <v>149.547</v>
      </c>
      <c r="Q11" s="1022">
        <f>Income!CI8</f>
        <v>210.30199999999999</v>
      </c>
      <c r="R11" s="1022">
        <f>Income!CK8</f>
        <v>180.03100000000001</v>
      </c>
      <c r="S11" s="1022">
        <f>Income!CL8</f>
        <v>208.93199999999999</v>
      </c>
      <c r="T11" s="1022">
        <f>Income!CM8</f>
        <v>224.97499999999999</v>
      </c>
      <c r="U11" s="1022">
        <f>Income!CN8</f>
        <v>321.99400000000003</v>
      </c>
      <c r="V11" s="1022">
        <f>Income!CP8</f>
        <v>282.392</v>
      </c>
      <c r="W11" s="1022">
        <f>Income!CQ8</f>
        <v>517.90700000000004</v>
      </c>
      <c r="X11" s="1022">
        <f>Income!CR8</f>
        <v>522.13099999999997</v>
      </c>
      <c r="Y11" s="1022">
        <f>Income!CS8</f>
        <v>698.30399999999997</v>
      </c>
      <c r="Z11" s="1022">
        <f>Income!CU8</f>
        <v>667.96600000000001</v>
      </c>
      <c r="AA11" s="1022">
        <f>Income!CV8</f>
        <v>785.20799999999997</v>
      </c>
      <c r="AB11" s="1022">
        <f>Income!CW8</f>
        <v>787.53200000000004</v>
      </c>
      <c r="AC11" s="1022">
        <f>Income!CX8</f>
        <v>1028.816</v>
      </c>
      <c r="AD11" s="1022">
        <f>Income!CZ8</f>
        <v>858.86199999999997</v>
      </c>
      <c r="AE11" s="1022">
        <f>Income!DA8</f>
        <v>928.62</v>
      </c>
      <c r="AF11" s="1022">
        <f>Income!DB8</f>
        <v>989.899</v>
      </c>
      <c r="AG11" s="1022">
        <f>Income!DC8</f>
        <v>1334.7239999999999</v>
      </c>
      <c r="AH11" s="1022">
        <f>Income!DE8</f>
        <v>1126</v>
      </c>
      <c r="AI11" s="1022">
        <f>Income!DF8</f>
        <v>1250</v>
      </c>
      <c r="AJ11" s="1022">
        <f>Income!DG8</f>
        <v>1228</v>
      </c>
      <c r="AK11" s="1022">
        <f>Income!DH8</f>
        <v>1619</v>
      </c>
      <c r="AL11" s="1022">
        <f>Income!DJ8</f>
        <v>1350</v>
      </c>
      <c r="AM11" s="1022">
        <f>Income!DK8</f>
        <v>1482</v>
      </c>
      <c r="AN11" s="1022">
        <f>Income!DL8</f>
        <v>1552</v>
      </c>
      <c r="AO11" s="1022">
        <f>Income!DM8</f>
        <v>2146</v>
      </c>
      <c r="AP11" s="1022">
        <f>Income!DO8</f>
        <v>1740</v>
      </c>
      <c r="AQ11" s="1022">
        <f>Income!DP8</f>
        <v>2024</v>
      </c>
      <c r="AR11" s="1022">
        <f>Income!DQ8</f>
        <v>2145</v>
      </c>
      <c r="AS11" s="1022">
        <f>Income!DR8</f>
        <v>2895</v>
      </c>
      <c r="AT11" s="1022">
        <f>Income!DT8</f>
        <v>2420</v>
      </c>
      <c r="AU11" s="1022">
        <f>Income!DU8</f>
        <v>2781</v>
      </c>
      <c r="AV11" s="1022">
        <f>Income!DV8</f>
        <v>2848.3084500000004</v>
      </c>
      <c r="AW11" s="1022">
        <f>Income!DW8</f>
        <v>3814.4274450000003</v>
      </c>
      <c r="AX11" s="1022">
        <f>Income!DY8</f>
        <v>3136.2853120000004</v>
      </c>
      <c r="AY11" s="1022">
        <f>Income!DZ8</f>
        <v>3575.9010270000003</v>
      </c>
      <c r="AZ11" s="1022">
        <f>Income!EA8</f>
        <v>3605.2419000000004</v>
      </c>
      <c r="BA11" s="1022">
        <f>Income!EB8</f>
        <v>4789.3188508800004</v>
      </c>
      <c r="BB11" s="1022">
        <f>Income!EC8</f>
        <v>15106.747089880002</v>
      </c>
      <c r="BC11" s="1022">
        <f>Income!ED8</f>
        <v>3809.9647488000001</v>
      </c>
      <c r="BD11" s="1022">
        <f>Income!EE8</f>
        <v>4343.9184648</v>
      </c>
      <c r="BE11" s="1022">
        <f>Income!EF8</f>
        <v>4380.1178850000006</v>
      </c>
      <c r="BF11" s="1022">
        <f>Income!EG8</f>
        <v>5818.4972039520007</v>
      </c>
      <c r="BG11" s="1022">
        <f>Income!EH8</f>
        <v>18352.498302552001</v>
      </c>
      <c r="BH11" s="1022">
        <f>Income!EI8</f>
        <v>4531.2548697600014</v>
      </c>
      <c r="BI11" s="1022">
        <f>Income!EJ8</f>
        <v>5166.1879442100008</v>
      </c>
      <c r="BJ11" s="1022">
        <f>Income!EK8</f>
        <v>5209.885950750001</v>
      </c>
      <c r="BK11" s="1022">
        <f>Income!EL8</f>
        <v>6920.528849546401</v>
      </c>
      <c r="BL11" s="1022">
        <f>Income!EM8</f>
        <v>21827.857614266406</v>
      </c>
      <c r="BM11" s="1022">
        <f>Income!EN8</f>
        <v>5319.5293452288015</v>
      </c>
      <c r="BN11" s="905"/>
      <c r="BO11" s="905"/>
      <c r="BP11" s="905"/>
      <c r="BQ11" s="905"/>
      <c r="BR11" s="905"/>
      <c r="BS11" s="905"/>
      <c r="BT11" s="905"/>
      <c r="BU11" s="905"/>
      <c r="BV11" s="905"/>
      <c r="BW11" s="905"/>
      <c r="BX11" s="905"/>
      <c r="BY11" s="905"/>
      <c r="BZ11" s="905"/>
      <c r="CA11" s="905"/>
      <c r="CB11" s="905"/>
      <c r="CC11" s="905"/>
      <c r="CD11" s="905"/>
      <c r="CE11" s="905"/>
      <c r="CF11" s="905"/>
      <c r="CG11" s="905"/>
      <c r="CH11" s="905"/>
      <c r="CI11" s="905"/>
      <c r="CJ11" s="905"/>
      <c r="CK11" s="905"/>
      <c r="CL11" s="905"/>
      <c r="CM11" s="905"/>
      <c r="CN11" s="905"/>
      <c r="CO11" s="905"/>
      <c r="CP11" s="905"/>
      <c r="CQ11" s="905"/>
      <c r="CR11" s="905"/>
      <c r="CS11" s="905"/>
      <c r="CT11" s="1239">
        <f>Income!BZ8</f>
        <v>200.72399999999999</v>
      </c>
      <c r="CU11" s="1239">
        <f>Income!CE8</f>
        <v>363.27300000000002</v>
      </c>
      <c r="CV11" s="1239">
        <f>Income!CJ8</f>
        <v>608.23299999999995</v>
      </c>
      <c r="CW11" s="1239">
        <f>Income!CO8</f>
        <v>935.93200000000002</v>
      </c>
      <c r="CX11" s="1239">
        <f>Income!CT8</f>
        <v>2020.7339999999999</v>
      </c>
      <c r="CY11" s="1239">
        <f>Income!CY8</f>
        <v>3269.5219999999999</v>
      </c>
      <c r="CZ11" s="1239">
        <f>Income!DD8</f>
        <v>4112.1049999999996</v>
      </c>
      <c r="DA11" s="1239">
        <f>Income!DI8</f>
        <v>5223</v>
      </c>
      <c r="DB11" s="1239">
        <f>Income!DN8</f>
        <v>6530</v>
      </c>
      <c r="DC11" s="1239">
        <f>Income!DS8</f>
        <v>8804</v>
      </c>
      <c r="DD11" s="1239">
        <f>Income!DX8</f>
        <v>11863.735895000002</v>
      </c>
      <c r="DE11" s="1239">
        <f>Income!EC8</f>
        <v>15106.747089880002</v>
      </c>
      <c r="DF11" s="1239">
        <f>Income!$EH$8</f>
        <v>18352.498302552001</v>
      </c>
      <c r="DG11" s="1239">
        <f>Income!$EM$8</f>
        <v>21827.857614266406</v>
      </c>
      <c r="DH11" s="1239">
        <f>Income!$ER$8</f>
        <v>25626.17447871968</v>
      </c>
    </row>
    <row r="12" spans="1:115">
      <c r="E12" s="1021"/>
      <c r="F12" s="1022"/>
      <c r="G12" s="1022"/>
      <c r="H12" s="1022"/>
      <c r="I12" s="1022"/>
      <c r="J12" s="1022"/>
      <c r="K12" s="1022"/>
      <c r="L12" s="1022"/>
      <c r="M12" s="1022"/>
      <c r="N12" s="1022"/>
      <c r="O12" s="1022"/>
      <c r="P12" s="1022"/>
      <c r="Q12" s="1022"/>
      <c r="R12" s="1022"/>
      <c r="S12" s="1022"/>
      <c r="T12" s="1022"/>
      <c r="U12" s="1022"/>
      <c r="V12" s="1022"/>
      <c r="W12" s="1022"/>
      <c r="X12" s="1022"/>
      <c r="Y12" s="1022"/>
      <c r="Z12" s="1022"/>
      <c r="AA12" s="1022"/>
      <c r="AB12" s="1022"/>
      <c r="AC12" s="1022"/>
      <c r="AD12" s="1022"/>
      <c r="AE12" s="1022"/>
      <c r="AF12" s="1022"/>
      <c r="AG12" s="1022"/>
      <c r="AH12" s="1022"/>
      <c r="AI12" s="1022"/>
      <c r="AJ12" s="1022"/>
      <c r="AK12" s="1022"/>
      <c r="AL12" s="1022"/>
      <c r="AM12" s="1022"/>
      <c r="AN12" s="1022"/>
      <c r="AO12" s="1022"/>
      <c r="AP12" s="1022"/>
      <c r="AQ12" s="1022"/>
      <c r="AR12" s="1022"/>
      <c r="AS12" s="1022"/>
      <c r="AT12" s="1022"/>
      <c r="AU12" s="1022"/>
      <c r="AV12" s="1022"/>
      <c r="AW12" s="1022"/>
      <c r="AX12" s="1022"/>
      <c r="AY12" s="1022"/>
      <c r="AZ12" s="1022"/>
      <c r="BA12" s="1022"/>
      <c r="BB12" s="1022"/>
      <c r="BC12" s="1022"/>
      <c r="BD12" s="1022"/>
      <c r="BE12" s="1022"/>
      <c r="BF12" s="1022"/>
      <c r="BG12" s="1022"/>
      <c r="BH12" s="1022"/>
      <c r="BI12" s="1022"/>
      <c r="BJ12" s="1022"/>
      <c r="BK12" s="1022"/>
      <c r="BL12" s="1022"/>
      <c r="BM12" s="1022"/>
      <c r="BN12" s="905"/>
      <c r="BO12" s="905"/>
      <c r="BP12" s="905"/>
      <c r="BQ12" s="905"/>
      <c r="BR12" s="905"/>
      <c r="BS12" s="905"/>
      <c r="BT12" s="905"/>
      <c r="BU12" s="905"/>
      <c r="BV12" s="905"/>
      <c r="BW12" s="905"/>
      <c r="BX12" s="905"/>
      <c r="BY12" s="905"/>
      <c r="BZ12" s="905"/>
      <c r="CA12" s="905"/>
      <c r="CB12" s="905"/>
      <c r="CC12" s="905"/>
      <c r="CD12" s="905"/>
      <c r="CE12" s="905"/>
      <c r="CF12" s="905"/>
      <c r="CG12" s="905"/>
      <c r="CH12" s="905"/>
      <c r="CI12" s="905"/>
      <c r="CJ12" s="905"/>
      <c r="CK12" s="905"/>
      <c r="CL12" s="905"/>
      <c r="CM12" s="905"/>
      <c r="CN12" s="905"/>
      <c r="CO12" s="905"/>
      <c r="CP12" s="905"/>
      <c r="CQ12" s="905"/>
      <c r="CR12" s="905"/>
      <c r="CS12" s="905"/>
      <c r="CT12" s="1020"/>
      <c r="CU12" s="1020"/>
      <c r="CV12" s="1020"/>
      <c r="CW12" s="1020"/>
      <c r="CX12" s="1020"/>
      <c r="CY12" s="1020"/>
      <c r="CZ12" s="1020"/>
      <c r="DA12" s="1020"/>
      <c r="DB12" s="1020"/>
      <c r="DC12" s="1020"/>
      <c r="DD12" s="1020"/>
      <c r="DE12" s="1020"/>
      <c r="DF12" s="1020"/>
      <c r="DG12" s="1020"/>
      <c r="DH12" s="1020"/>
    </row>
    <row r="13" spans="1:115">
      <c r="E13" s="1021"/>
      <c r="F13" s="1022"/>
      <c r="G13" s="1022"/>
      <c r="H13" s="1022"/>
      <c r="I13" s="1022"/>
      <c r="J13" s="1022"/>
      <c r="K13" s="1022"/>
      <c r="L13" s="1022"/>
      <c r="M13" s="1022"/>
      <c r="N13" s="1022"/>
      <c r="O13" s="1022"/>
      <c r="P13" s="1022"/>
      <c r="Q13" s="1022"/>
      <c r="R13" s="1022"/>
      <c r="S13" s="1022"/>
      <c r="T13" s="1022"/>
      <c r="U13" s="1022"/>
      <c r="V13" s="1022"/>
      <c r="W13" s="1022"/>
      <c r="X13" s="1022"/>
      <c r="Y13" s="1022"/>
      <c r="Z13" s="1022"/>
      <c r="AA13" s="1022"/>
      <c r="AB13" s="1022"/>
      <c r="AC13" s="1022"/>
      <c r="AD13" s="1022"/>
      <c r="AE13" s="1022"/>
      <c r="AF13" s="1022"/>
      <c r="AG13" s="1022"/>
      <c r="AH13" s="1022"/>
      <c r="AI13" s="1022"/>
      <c r="AJ13" s="1022"/>
      <c r="AK13" s="1022"/>
      <c r="AL13" s="1022"/>
      <c r="AM13" s="1022"/>
      <c r="AN13" s="1022"/>
      <c r="AO13" s="1022"/>
      <c r="AP13" s="1022"/>
      <c r="AQ13" s="1022"/>
      <c r="AR13" s="1022"/>
      <c r="AS13" s="1022"/>
      <c r="AT13" s="1022"/>
      <c r="AU13" s="1022"/>
      <c r="AV13" s="1022"/>
      <c r="AW13" s="1022"/>
      <c r="AX13" s="1022"/>
      <c r="AY13" s="1022"/>
      <c r="AZ13" s="1022"/>
      <c r="BA13" s="1022"/>
      <c r="BB13" s="1022"/>
      <c r="BC13" s="1022"/>
      <c r="BD13" s="1022"/>
      <c r="BE13" s="1022"/>
      <c r="BF13" s="1022"/>
      <c r="BG13" s="1022"/>
      <c r="BH13" s="1022"/>
      <c r="BI13" s="1022"/>
      <c r="BJ13" s="1022"/>
      <c r="BK13" s="1022"/>
      <c r="BL13" s="1022"/>
      <c r="BM13" s="1022"/>
      <c r="BN13" s="905"/>
      <c r="BO13" s="905"/>
      <c r="BP13" s="905"/>
      <c r="BQ13" s="905"/>
      <c r="BR13" s="905"/>
      <c r="BS13" s="905"/>
      <c r="BT13" s="905"/>
      <c r="BU13" s="905"/>
      <c r="BV13" s="905"/>
      <c r="BW13" s="905"/>
      <c r="BX13" s="905"/>
      <c r="BY13" s="905"/>
      <c r="BZ13" s="905"/>
      <c r="CA13" s="905"/>
      <c r="CB13" s="905"/>
      <c r="CC13" s="905"/>
      <c r="CD13" s="905"/>
      <c r="CE13" s="905"/>
      <c r="CF13" s="905"/>
      <c r="CG13" s="905"/>
      <c r="CH13" s="905"/>
      <c r="CI13" s="905"/>
      <c r="CJ13" s="905"/>
      <c r="CK13" s="905"/>
      <c r="CL13" s="905"/>
      <c r="CM13" s="905"/>
      <c r="CN13" s="905"/>
      <c r="CO13" s="905"/>
      <c r="CP13" s="905"/>
      <c r="CQ13" s="905"/>
      <c r="CR13" s="905"/>
      <c r="CS13" s="905"/>
      <c r="CT13" s="1020"/>
      <c r="CU13" s="1009"/>
      <c r="CV13" s="1009"/>
      <c r="CW13" s="1009"/>
      <c r="CX13" s="1009"/>
      <c r="CY13" s="1009"/>
      <c r="CZ13" s="1009"/>
      <c r="DA13" s="1009"/>
      <c r="DB13" s="1009"/>
      <c r="DC13" s="1009"/>
      <c r="DD13" s="1009"/>
      <c r="DE13" s="1009"/>
      <c r="DF13" s="1009"/>
      <c r="DG13" s="1009"/>
      <c r="DH13" s="1009"/>
    </row>
    <row r="14" spans="1:115">
      <c r="E14" s="1102" t="s">
        <v>588</v>
      </c>
      <c r="F14" s="1007"/>
      <c r="G14" s="1007"/>
      <c r="H14" s="1007"/>
      <c r="I14" s="1007"/>
      <c r="J14" s="1026">
        <f ca="1">OFFSET('Revenue Build'!$C$6,MATCH(Charts!$E14,'Revenue Build'!$C$6:$C$234,0)-1,MATCH(Charts!J$3,'Revenue Build'!$C$5:$ET$5,0)-1)</f>
        <v>2.1199050208931505E-2</v>
      </c>
      <c r="K14" s="1026">
        <f ca="1">OFFSET('Revenue Build'!$C$6,MATCH(Charts!$E14,'Revenue Build'!$C$6:$C$234,0)-1,MATCH(Charts!K$3,'Revenue Build'!$C$5:$ET$5,0)-1)</f>
        <v>2.0150950075725378E-2</v>
      </c>
      <c r="L14" s="1026">
        <f ca="1">OFFSET('Revenue Build'!$C$6,MATCH(Charts!$E14,'Revenue Build'!$C$6:$C$234,0)-1,MATCH(Charts!L$3,'Revenue Build'!$C$5:$ET$5,0)-1)</f>
        <v>2.1331112316480001E-2</v>
      </c>
      <c r="M14" s="1026">
        <f ca="1">OFFSET('Revenue Build'!$C$6,MATCH(Charts!$E14,'Revenue Build'!$C$6:$C$234,0)-1,MATCH(Charts!M$3,'Revenue Build'!$C$5:$ET$5,0)-1)</f>
        <v>2.0901965556729237E-2</v>
      </c>
      <c r="N14" s="1026">
        <f ca="1">OFFSET('Revenue Build'!$C$6,MATCH(Charts!$E14,'Revenue Build'!$C$6:$C$234,0)-1,MATCH(Charts!N$3,'Revenue Build'!$C$5:$ET$5,0)-1)</f>
        <v>2.2400172051369856E-2</v>
      </c>
      <c r="O14" s="1026">
        <f ca="1">OFFSET('Revenue Build'!$C$6,MATCH(Charts!$E14,'Revenue Build'!$C$6:$C$234,0)-1,MATCH(Charts!O$3,'Revenue Build'!$C$5:$ET$5,0)-1)</f>
        <v>2.0179778379104479E-2</v>
      </c>
      <c r="P14" s="1026">
        <f ca="1">OFFSET('Revenue Build'!$C$6,MATCH(Charts!$E14,'Revenue Build'!$C$6:$C$234,0)-1,MATCH(Charts!P$3,'Revenue Build'!$C$5:$ET$5,0)-1)</f>
        <v>2.0775069239999999E-2</v>
      </c>
      <c r="Q14" s="1026">
        <f ca="1">OFFSET('Revenue Build'!$C$6,MATCH(Charts!$E14,'Revenue Build'!$C$6:$C$234,0)-1,MATCH(Charts!Q$3,'Revenue Build'!$C$5:$ET$5,0)-1)</f>
        <v>2.0786205637696335E-2</v>
      </c>
      <c r="R14" s="1026">
        <f ca="1">OFFSET('Revenue Build'!$C$6,MATCH(Charts!$E14,'Revenue Build'!$C$6:$C$234,0)-1,MATCH(Charts!R$3,'Revenue Build'!$C$5:$ET$5,0)-1)</f>
        <v>2.1226394753424655E-2</v>
      </c>
      <c r="S14" s="1026">
        <f ca="1">OFFSET('Revenue Build'!$C$6,MATCH(Charts!$E14,'Revenue Build'!$C$6:$C$234,0)-1,MATCH(Charts!S$3,'Revenue Build'!$C$5:$ET$5,0)-1)</f>
        <v>2.0618781850746268E-2</v>
      </c>
      <c r="T14" s="1026">
        <f ca="1">OFFSET('Revenue Build'!$C$6,MATCH(Charts!$E14,'Revenue Build'!$C$6:$C$234,0)-1,MATCH(Charts!T$3,'Revenue Build'!$C$5:$ET$5,0)-1)</f>
        <v>2.0517720000000003E-2</v>
      </c>
      <c r="U14" s="1026">
        <f ca="1">OFFSET('Revenue Build'!$C$6,MATCH(Charts!$E14,'Revenue Build'!$C$6:$C$234,0)-1,MATCH(Charts!U$3,'Revenue Build'!$C$5:$ET$5,0)-1)</f>
        <v>2.0755969256544504E-2</v>
      </c>
      <c r="V14" s="1026">
        <f ca="1">OFFSET('Revenue Build'!$C$6,MATCH(Charts!$E14,'Revenue Build'!$C$6:$C$234,0)-1,MATCH(Charts!V$3,'Revenue Build'!$C$5:$ET$5,0)-1)</f>
        <v>2.1856367123287666E-2</v>
      </c>
      <c r="W14" s="1026">
        <f ca="1">OFFSET('Revenue Build'!$C$6,MATCH(Charts!$E14,'Revenue Build'!$C$6:$C$234,0)-1,MATCH(Charts!W$3,'Revenue Build'!$C$5:$ET$5,0)-1)</f>
        <v>2.1837123507462686E-2</v>
      </c>
      <c r="X14" s="1026">
        <f ca="1">OFFSET('Revenue Build'!$C$6,MATCH(Charts!$E14,'Revenue Build'!$C$6:$C$234,0)-1,MATCH(Charts!X$3,'Revenue Build'!$C$5:$ET$5,0)-1)</f>
        <v>2.1071715357142855E-2</v>
      </c>
      <c r="Y14" s="1026">
        <f ca="1">OFFSET('Revenue Build'!$C$6,MATCH(Charts!$E14,'Revenue Build'!$C$6:$C$234,0)-1,MATCH(Charts!Y$3,'Revenue Build'!$C$5:$ET$5,0)-1)</f>
        <v>2.0656636649214657E-2</v>
      </c>
      <c r="Z14" s="1026">
        <f ca="1">OFFSET('Revenue Build'!$C$6,MATCH(Charts!$E14,'Revenue Build'!$C$6:$C$234,0)-1,MATCH(Charts!Z$3,'Revenue Build'!$C$5:$ET$5,0)-1)</f>
        <v>2.1622020809248556E-2</v>
      </c>
      <c r="AA14" s="1026">
        <f ca="1">OFFSET('Revenue Build'!$C$6,MATCH(Charts!$E14,'Revenue Build'!$C$6:$C$234,0)-1,MATCH(Charts!AA$3,'Revenue Build'!$C$5:$ET$5,0)-1)</f>
        <v>2.1660910344827589E-2</v>
      </c>
      <c r="AB14" s="1026">
        <f ca="1">OFFSET('Revenue Build'!$C$6,MATCH(Charts!$E14,'Revenue Build'!$C$6:$C$234,0)-1,MATCH(Charts!AB$3,'Revenue Build'!$C$5:$ET$5,0)-1)</f>
        <v>2.1513069268292686E-2</v>
      </c>
      <c r="AC14" s="1026">
        <f ca="1">OFFSET('Revenue Build'!$C$6,MATCH(Charts!$E14,'Revenue Build'!$C$6:$C$234,0)-1,MATCH(Charts!AC$3,'Revenue Build'!$C$5:$ET$5,0)-1)</f>
        <v>2.0799168231046931E-2</v>
      </c>
      <c r="AD14" s="1026">
        <f ca="1">OFFSET('Revenue Build'!$C$6,MATCH(Charts!$E14,'Revenue Build'!$C$6:$C$234,0)-1,MATCH(Charts!AD$3,'Revenue Build'!$C$5:$ET$5,0)-1)</f>
        <v>2.1588667545454545E-2</v>
      </c>
      <c r="AE14" s="1026">
        <f ca="1">OFFSET('Revenue Build'!$C$6,MATCH(Charts!$E14,'Revenue Build'!$C$6:$C$234,0)-1,MATCH(Charts!AE$3,'Revenue Build'!$C$5:$ET$5,0)-1)</f>
        <v>2.0623568674698799E-2</v>
      </c>
      <c r="AF14" s="1026">
        <f ca="1">OFFSET('Revenue Build'!$C$6,MATCH(Charts!$E14,'Revenue Build'!$C$6:$C$234,0)-1,MATCH(Charts!AF$3,'Revenue Build'!$C$5:$ET$5,0)-1)</f>
        <v>2.1896565880000003E-2</v>
      </c>
      <c r="AG14" s="1026">
        <f ca="1">OFFSET('Revenue Build'!$C$6,MATCH(Charts!$E14,'Revenue Build'!$C$6:$C$234,0)-1,MATCH(Charts!AG$3,'Revenue Build'!$C$5:$ET$5,0)-1)</f>
        <v>2.1581940701754388E-2</v>
      </c>
      <c r="AH14" s="1026">
        <f ca="1">OFFSET('Revenue Build'!$C$6,MATCH(Charts!$E14,'Revenue Build'!$C$6:$C$234,0)-1,MATCH(Charts!AH$3,'Revenue Build'!$C$5:$ET$5,0)-1)</f>
        <v>2.3134181818181818E-2</v>
      </c>
      <c r="AI14" s="1026">
        <f ca="1">OFFSET('Revenue Build'!$C$6,MATCH(Charts!$E14,'Revenue Build'!$C$6:$C$234,0)-1,MATCH(Charts!AI$3,'Revenue Build'!$C$5:$ET$5,0)-1)</f>
        <v>2.2279179810725549E-2</v>
      </c>
      <c r="AJ14" s="1026">
        <f ca="1">OFFSET('Revenue Build'!$C$6,MATCH(Charts!$E14,'Revenue Build'!$C$6:$C$234,0)-1,MATCH(Charts!AJ$3,'Revenue Build'!$C$5:$ET$5,0)-1)</f>
        <v>2.1153048780487804E-2</v>
      </c>
      <c r="AK14" s="1026">
        <f ca="1">OFFSET('Revenue Build'!$C$6,MATCH(Charts!$E14,'Revenue Build'!$C$6:$C$234,0)-1,MATCH(Charts!AK$3,'Revenue Build'!$C$5:$ET$5,0)-1)</f>
        <v>2.0294071970537335E-2</v>
      </c>
      <c r="AL14" s="1026">
        <f ca="1">OFFSET('Revenue Build'!$C$6,MATCH(Charts!$E14,'Revenue Build'!$C$6:$C$234,0)-1,MATCH(Charts!AL$3,'Revenue Build'!$C$5:$ET$5,0)-1)</f>
        <v>2.1053935095755833E-2</v>
      </c>
      <c r="AM14" s="1026">
        <f ca="1">OFFSET('Revenue Build'!$C$6,MATCH(Charts!$E14,'Revenue Build'!$C$6:$C$234,0)-1,MATCH(Charts!AM$3,'Revenue Build'!$C$5:$ET$5,0)-1)</f>
        <v>2.0236101449275359E-2</v>
      </c>
      <c r="AN14" s="1026">
        <f ca="1">OFFSET('Revenue Build'!$C$6,MATCH(Charts!$E14,'Revenue Build'!$C$6:$C$234,0)-1,MATCH(Charts!AN$3,'Revenue Build'!$C$5:$ET$5,0)-1)</f>
        <v>2.0456372960372959E-2</v>
      </c>
      <c r="AO14" s="1026">
        <f ca="1">OFFSET('Revenue Build'!$C$6,MATCH(Charts!$E14,'Revenue Build'!$C$6:$C$234,0)-1,MATCH(Charts!AO$3,'Revenue Build'!$C$5:$ET$5,0)-1)</f>
        <v>2.0012821104699086E-2</v>
      </c>
      <c r="AP14" s="1026">
        <f ca="1">OFFSET('Revenue Build'!$C$6,MATCH(Charts!$E14,'Revenue Build'!$C$6:$C$234,0)-1,MATCH(Charts!AP$3,'Revenue Build'!$C$5:$ET$5,0)-1)</f>
        <v>2.0707749589801837E-2</v>
      </c>
      <c r="AQ14" s="1026">
        <f ca="1">OFFSET('Revenue Build'!$C$6,MATCH(Charts!$E14,'Revenue Build'!$C$6:$C$234,0)-1,MATCH(Charts!AQ$3,'Revenue Build'!$C$5:$ET$5,0)-1)</f>
        <v>2.0248219510489392E-2</v>
      </c>
      <c r="AR14" s="1026">
        <f ca="1">OFFSET('Revenue Build'!$C$6,MATCH(Charts!$E14,'Revenue Build'!$C$6:$C$234,0)-1,MATCH(Charts!AR$3,'Revenue Build'!$C$5:$ET$5,0)-1)</f>
        <v>2.0238825448711265E-2</v>
      </c>
      <c r="AS14" s="1026">
        <f ca="1">OFFSET('Revenue Build'!$C$6,MATCH(Charts!$E14,'Revenue Build'!$C$6:$C$234,0)-1,MATCH(Charts!AS$3,'Revenue Build'!$C$5:$ET$5,0)-1)</f>
        <v>1.9476628459347892E-2</v>
      </c>
      <c r="AT14" s="1026">
        <f ca="1">OFFSET('Revenue Build'!$C$6,MATCH(Charts!$E14,'Revenue Build'!$C$6:$C$234,0)-1,MATCH(Charts!AT$3,'Revenue Build'!$C$5:$ET$5,0)-1)</f>
        <v>2.0135754763625658E-2</v>
      </c>
      <c r="AU14" s="1026">
        <f ca="1">OFFSET('Revenue Build'!$C$6,MATCH(Charts!$E14,'Revenue Build'!$C$6:$C$234,0)-1,MATCH(Charts!AU$3,'Revenue Build'!$C$5:$ET$5,0)-1)</f>
        <v>1.9733423029899121E-2</v>
      </c>
      <c r="AV14" s="1026">
        <f ca="1">OFFSET('Revenue Build'!$C$6,MATCH(Charts!$E14,'Revenue Build'!$C$6:$C$234,0)-1,MATCH(Charts!AV$3,'Revenue Build'!$C$5:$ET$5,0)-1)</f>
        <v>1.9738825448711264E-2</v>
      </c>
      <c r="AW14" s="1026">
        <f ca="1">OFFSET('Revenue Build'!$C$6,MATCH(Charts!$E14,'Revenue Build'!$C$6:$C$234,0)-1,MATCH(Charts!AW$3,'Revenue Build'!$C$5:$ET$5,0)-1)</f>
        <v>1.8976628459347892E-2</v>
      </c>
      <c r="AX14" s="1026">
        <f ca="1">OFFSET('Revenue Build'!$C$6,MATCH(Charts!$E14,'Revenue Build'!$C$6:$C$234,0)-1,MATCH(Charts!AX$3,'Revenue Build'!$C$5:$ET$5,0)-1)</f>
        <v>1.9635754763625658E-2</v>
      </c>
      <c r="AY14" s="1026">
        <f ca="1">OFFSET('Revenue Build'!$C$6,MATCH(Charts!$E14,'Revenue Build'!$C$6:$C$234,0)-1,MATCH(Charts!AY$3,'Revenue Build'!$C$5:$ET$5,0)-1)</f>
        <v>1.9233423029899121E-2</v>
      </c>
      <c r="AZ14" s="1026">
        <f ca="1">OFFSET('Revenue Build'!$C$6,MATCH(Charts!$E14,'Revenue Build'!$C$6:$C$234,0)-1,MATCH(Charts!AZ$3,'Revenue Build'!$C$5:$ET$5,0)-1)</f>
        <v>1.9238825448711264E-2</v>
      </c>
      <c r="BA14" s="1026">
        <f ca="1">OFFSET('Revenue Build'!$C$6,MATCH(Charts!$E14,'Revenue Build'!$C$6:$C$234,0)-1,MATCH(Charts!BA$3,'Revenue Build'!$C$5:$ET$5,0)-1)</f>
        <v>1.8476628459347891E-2</v>
      </c>
      <c r="BB14" s="1026">
        <f ca="1">OFFSET('Revenue Build'!$C$6,MATCH(Charts!$E14,'Revenue Build'!$C$6:$C$234,0)-1,MATCH(Charts!BB$3,'Revenue Build'!$C$5:$ET$5,0)-1)</f>
        <v>1.9135754763625657E-2</v>
      </c>
      <c r="BC14" s="1026">
        <f ca="1">OFFSET('Revenue Build'!$C$6,MATCH(Charts!$E14,'Revenue Build'!$C$6:$C$234,0)-1,MATCH(Charts!BC$3,'Revenue Build'!$C$5:$ET$5,0)-1)</f>
        <v>1.873342302989912E-2</v>
      </c>
      <c r="BD14" s="1026">
        <f ca="1">OFFSET('Revenue Build'!$C$6,MATCH(Charts!$E14,'Revenue Build'!$C$6:$C$234,0)-1,MATCH(Charts!BD$3,'Revenue Build'!$C$5:$ET$5,0)-1)</f>
        <v>1.8738825448711263E-2</v>
      </c>
      <c r="BE14" s="1026">
        <f ca="1">OFFSET('Revenue Build'!$C$6,MATCH(Charts!$E14,'Revenue Build'!$C$6:$C$234,0)-1,MATCH(Charts!BE$3,'Revenue Build'!$C$5:$ET$5,0)-1)</f>
        <v>1.7976628459347891E-2</v>
      </c>
      <c r="BF14" s="1026">
        <f ca="1">OFFSET('Revenue Build'!$C$6,MATCH(Charts!$E14,'Revenue Build'!$C$6:$C$234,0)-1,MATCH(Charts!BF$3,'Revenue Build'!$C$5:$ET$5,0)-1)</f>
        <v>1.8635754763625657E-2</v>
      </c>
      <c r="BG14" s="1026">
        <f ca="1">OFFSET('Revenue Build'!$C$6,MATCH(Charts!$E14,'Revenue Build'!$C$6:$C$234,0)-1,MATCH(Charts!BG$3,'Revenue Build'!$C$5:$ET$5,0)-1)</f>
        <v>1.823342302989912E-2</v>
      </c>
      <c r="BH14" s="1026">
        <f ca="1">OFFSET('Revenue Build'!$C$6,MATCH(Charts!$E14,'Revenue Build'!$C$6:$C$234,0)-1,MATCH(Charts!BH$3,'Revenue Build'!$C$5:$ET$5,0)-1)</f>
        <v>1.8238825448711263E-2</v>
      </c>
      <c r="BI14" s="1026">
        <f ca="1">OFFSET('Revenue Build'!$C$6,MATCH(Charts!$E14,'Revenue Build'!$C$6:$C$234,0)-1,MATCH(Charts!BI$3,'Revenue Build'!$C$5:$ET$5,0)-1)</f>
        <v>1.7476628459347891E-2</v>
      </c>
      <c r="BJ14" s="1026">
        <f ca="1">OFFSET('Revenue Build'!$C$6,MATCH(Charts!$E14,'Revenue Build'!$C$6:$C$234,0)-1,MATCH(Charts!BJ$3,'Revenue Build'!$C$5:$ET$5,0)-1)</f>
        <v>1.8135754763625656E-2</v>
      </c>
      <c r="BK14" s="1026">
        <f ca="1">OFFSET('Revenue Build'!$C$6,MATCH(Charts!$E14,'Revenue Build'!$C$6:$C$234,0)-1,MATCH(Charts!BK$3,'Revenue Build'!$C$5:$ET$5,0)-1)</f>
        <v>1.773342302989912E-2</v>
      </c>
      <c r="BL14" s="1026">
        <f ca="1">OFFSET('Revenue Build'!$C$6,MATCH(Charts!$E14,'Revenue Build'!$C$6:$C$234,0)-1,MATCH(Charts!BL$3,'Revenue Build'!$C$5:$ET$5,0)-1)</f>
        <v>1.7738825448711262E-2</v>
      </c>
      <c r="BM14" s="1026">
        <f ca="1">OFFSET('Revenue Build'!$C$6,MATCH(Charts!$E14,'Revenue Build'!$C$6:$C$234,0)-1,MATCH(Charts!BM$3,'Revenue Build'!$C$5:$ET$5,0)-1)</f>
        <v>1.697662845934789E-2</v>
      </c>
      <c r="BN14" s="904"/>
      <c r="BO14" s="904"/>
      <c r="BP14" s="904"/>
      <c r="BQ14" s="904"/>
      <c r="BR14" s="904"/>
      <c r="BS14" s="904"/>
      <c r="BT14" s="904"/>
      <c r="BU14" s="904"/>
      <c r="BV14" s="904"/>
      <c r="BW14" s="904"/>
      <c r="BX14" s="904"/>
      <c r="BY14" s="904"/>
      <c r="BZ14" s="904"/>
      <c r="CA14" s="904"/>
      <c r="CB14" s="904"/>
      <c r="CC14" s="904"/>
      <c r="CD14" s="904"/>
      <c r="CE14" s="904"/>
      <c r="CF14" s="904"/>
      <c r="CG14" s="904"/>
      <c r="CH14" s="904"/>
      <c r="CI14" s="904"/>
      <c r="CJ14" s="904"/>
      <c r="CK14" s="904"/>
      <c r="CL14" s="904"/>
      <c r="CM14" s="904"/>
      <c r="CN14" s="904"/>
      <c r="CO14" s="904"/>
      <c r="CP14" s="904"/>
      <c r="CQ14" s="904"/>
      <c r="CR14" s="904"/>
      <c r="CS14" s="904" t="str">
        <f>E14</f>
        <v>Shopify Payments Gross Take Rate</v>
      </c>
      <c r="CT14" s="1026"/>
      <c r="CU14" s="1026">
        <f ca="1">OFFSET('Revenue Build'!$C$6,MATCH(Charts!$E14,'Revenue Build'!$C$6:$C$98,0)-1,MATCH(Charts!CU$4,'Revenue Build'!$C$4:$ES$4,0)-1)</f>
        <v>2.0886003872925128E-2</v>
      </c>
      <c r="CV14" s="1026">
        <f ca="1">OFFSET('Revenue Build'!$C$6,MATCH(Charts!$E14,'Revenue Build'!$C$6:$C$98,0)-1,MATCH(Charts!CV$4,'Revenue Build'!$C$4:$ES$4,0)-1)</f>
        <v>2.0927612555313529E-2</v>
      </c>
      <c r="CW14" s="1026">
        <f ca="1">OFFSET('Revenue Build'!$C$6,MATCH(Charts!$E14,'Revenue Build'!$C$6:$C$98,0)-1,MATCH(Charts!CW$4,'Revenue Build'!$C$4:$ES$4,0)-1)</f>
        <v>2.0755689485746628E-2</v>
      </c>
      <c r="CX14" s="1026">
        <f ca="1">OFFSET('Revenue Build'!$C$6,MATCH(Charts!$E14,'Revenue Build'!$C$6:$C$98,0)-1,MATCH(Charts!CX$4,'Revenue Build'!$C$4:$ES$4,0)-1)</f>
        <v>2.1221463011152412E-2</v>
      </c>
      <c r="CY14" s="1026">
        <f ca="1">OFFSET('Revenue Build'!$C$6,MATCH(Charts!$E14,'Revenue Build'!$C$6:$C$98,0)-1,MATCH(Charts!CY$4,'Revenue Build'!$C$4:$ES$4,0)-1)</f>
        <v>2.1339537529137531E-2</v>
      </c>
      <c r="CZ14" s="1026">
        <f ca="1">OFFSET('Revenue Build'!$C$6,MATCH(Charts!$E14,'Revenue Build'!$C$6:$C$98,0)-1,MATCH(Charts!CZ$4,'Revenue Build'!$C$4:$ES$4,0)-1)</f>
        <v>2.1432554806786051E-2</v>
      </c>
      <c r="DA14" s="1026">
        <f ca="1">OFFSET('Revenue Build'!$C$6,MATCH(Charts!$E14,'Revenue Build'!$C$6:$C$98,0)-1,MATCH(Charts!DA$4,'Revenue Build'!$C$4:$ES$4,0)-1)</f>
        <v>2.1528480966485256E-2</v>
      </c>
      <c r="DB14" s="1026">
        <f ca="1">OFFSET('Revenue Build'!$C$6,MATCH(Charts!$E14,'Revenue Build'!$C$6:$C$98,0)-1,MATCH(Charts!DB$4,'Revenue Build'!$C$4:$ES$4,0)-1)</f>
        <v>2.040746917564551E-2</v>
      </c>
      <c r="DC14" s="1026" t="e">
        <f ca="1">OFFSET('Revenue Build'!$C$6,MATCH(Charts!$E14,'Revenue Build'!$C$6:$C$98,0)-1,MATCH(Charts!DC$4,'Revenue Build'!$C$4:$ES$4,0)-1)</f>
        <v>#N/A</v>
      </c>
      <c r="DD14" s="1026">
        <f ca="1">OFFSET('Revenue Build'!$C$6,MATCH(Charts!$E14,'Revenue Build'!$C$6:$C$98,0)-1,MATCH(Charts!DD$4,'Revenue Build'!$C$4:$ES$4,0)-1)</f>
        <v>1.956408682651075E-2</v>
      </c>
      <c r="DE14" s="1026">
        <f ca="1">OFFSET('Revenue Build'!$C$6,MATCH(Charts!$E14,'Revenue Build'!$C$6:$C$98,0)-1,MATCH(Charts!DE$4,'Revenue Build'!$C$4:$ES$4,0)-1)</f>
        <v>1.9069979159167555E-2</v>
      </c>
      <c r="DF14" s="1026">
        <f ca="1">OFFSET('Revenue Build'!$C$6,MATCH(Charts!$E14,'Revenue Build'!$C$6:$C$98,0)-1,MATCH(Charts!DF$4,'Revenue Build'!$C$4:$ES$4,0)-1)</f>
        <v>1.8570084676033053E-2</v>
      </c>
      <c r="DG14" s="1026">
        <f ca="1">OFFSET('Revenue Build'!$C$6,MATCH(Charts!$E14,'Revenue Build'!$C$6:$C$98,0)-1,MATCH(Charts!DG$4,'Revenue Build'!$C$4:$ES$4,0)-1)</f>
        <v>1.8070187250573595E-2</v>
      </c>
      <c r="DH14" s="1026">
        <f ca="1">OFFSET('Revenue Build'!$C$6,MATCH(Charts!$E14,'Revenue Build'!$C$6:$C$98,0)-1,MATCH(Charts!DH$4,'Revenue Build'!$C$4:$ES$4,0)-1)</f>
        <v>1.7570287004166449E-2</v>
      </c>
    </row>
    <row r="15" spans="1:115">
      <c r="E15" s="8" t="str">
        <f>'Revenue Build'!C94</f>
        <v>3P Pay Take Rate</v>
      </c>
      <c r="F15" s="1007"/>
      <c r="G15" s="1007"/>
      <c r="H15" s="1007"/>
      <c r="I15" s="1007"/>
      <c r="J15" s="1026">
        <f ca="1">OFFSET('Revenue Build'!$C$6,MATCH(Charts!$E15,'Revenue Build'!$C$6:$C$234,0)-1,MATCH(Charts!J$3,'Revenue Build'!$C$5:$ET$5,0)-1)</f>
        <v>7.241569776780153E-3</v>
      </c>
      <c r="K15" s="1026">
        <f ca="1">OFFSET('Revenue Build'!$C$6,MATCH(Charts!$E15,'Revenue Build'!$C$6:$C$234,0)-1,MATCH(Charts!K$3,'Revenue Build'!$C$5:$ET$5,0)-1)</f>
        <v>7.6424918708643949E-3</v>
      </c>
      <c r="L15" s="1026">
        <f ca="1">OFFSET('Revenue Build'!$C$6,MATCH(Charts!$E15,'Revenue Build'!$C$6:$C$234,0)-1,MATCH(Charts!L$3,'Revenue Build'!$C$5:$ET$5,0)-1)</f>
        <v>7.5471820196882236E-3</v>
      </c>
      <c r="M15" s="1026">
        <f ca="1">OFFSET('Revenue Build'!$C$6,MATCH(Charts!$E15,'Revenue Build'!$C$6:$C$234,0)-1,MATCH(Charts!M$3,'Revenue Build'!$C$5:$ET$5,0)-1)</f>
        <v>7.8338061979149158E-3</v>
      </c>
      <c r="N15" s="1026">
        <f ca="1">OFFSET('Revenue Build'!$C$6,MATCH(Charts!$E15,'Revenue Build'!$C$6:$C$234,0)-1,MATCH(Charts!N$3,'Revenue Build'!$C$5:$ET$5,0)-1)</f>
        <v>7.2724056205810432E-3</v>
      </c>
      <c r="O15" s="1026">
        <f ca="1">OFFSET('Revenue Build'!$C$6,MATCH(Charts!$E15,'Revenue Build'!$C$6:$C$234,0)-1,MATCH(Charts!O$3,'Revenue Build'!$C$5:$ET$5,0)-1)</f>
        <v>8.0890530032613431E-3</v>
      </c>
      <c r="P15" s="1026">
        <f ca="1">OFFSET('Revenue Build'!$C$6,MATCH(Charts!$E15,'Revenue Build'!$C$6:$C$234,0)-1,MATCH(Charts!P$3,'Revenue Build'!$C$5:$ET$5,0)-1)</f>
        <v>8.1726159531391156E-3</v>
      </c>
      <c r="Q15" s="1026">
        <f ca="1">OFFSET('Revenue Build'!$C$6,MATCH(Charts!$E15,'Revenue Build'!$C$6:$C$234,0)-1,MATCH(Charts!Q$3,'Revenue Build'!$C$5:$ET$5,0)-1)</f>
        <v>8.2038420082390165E-3</v>
      </c>
      <c r="R15" s="1026">
        <f ca="1">OFFSET('Revenue Build'!$C$6,MATCH(Charts!$E15,'Revenue Build'!$C$6:$C$234,0)-1,MATCH(Charts!R$3,'Revenue Build'!$C$5:$ET$5,0)-1)</f>
        <v>7.6290906823751519E-3</v>
      </c>
      <c r="S15" s="1026">
        <f ca="1">OFFSET('Revenue Build'!$C$6,MATCH(Charts!$E15,'Revenue Build'!$C$6:$C$234,0)-1,MATCH(Charts!S$3,'Revenue Build'!$C$5:$ET$5,0)-1)</f>
        <v>7.8385430597486573E-3</v>
      </c>
      <c r="T15" s="1026">
        <f ca="1">OFFSET('Revenue Build'!$C$6,MATCH(Charts!$E15,'Revenue Build'!$C$6:$C$234,0)-1,MATCH(Charts!T$3,'Revenue Build'!$C$5:$ET$5,0)-1)</f>
        <v>7.8744176658565798E-3</v>
      </c>
      <c r="U15" s="1026">
        <f ca="1">OFFSET('Revenue Build'!$C$6,MATCH(Charts!$E15,'Revenue Build'!$C$6:$C$234,0)-1,MATCH(Charts!U$3,'Revenue Build'!$C$5:$ET$5,0)-1)</f>
        <v>8.194111840658205E-3</v>
      </c>
      <c r="V15" s="1026">
        <f ca="1">OFFSET('Revenue Build'!$C$6,MATCH(Charts!$E15,'Revenue Build'!$C$6:$C$234,0)-1,MATCH(Charts!V$3,'Revenue Build'!$C$5:$ET$5,0)-1)</f>
        <v>7.8168848388552245E-3</v>
      </c>
      <c r="W15" s="1026">
        <f ca="1">OFFSET('Revenue Build'!$C$6,MATCH(Charts!$E15,'Revenue Build'!$C$6:$C$234,0)-1,MATCH(Charts!W$3,'Revenue Build'!$C$5:$ET$5,0)-1)</f>
        <v>8.6806294418844705E-3</v>
      </c>
      <c r="X15" s="1026">
        <f ca="1">OFFSET('Revenue Build'!$C$6,MATCH(Charts!$E15,'Revenue Build'!$C$6:$C$234,0)-1,MATCH(Charts!X$3,'Revenue Build'!$C$5:$ET$5,0)-1)</f>
        <v>8.6419188096343615E-3</v>
      </c>
      <c r="Y15" s="1026">
        <f ca="1">OFFSET('Revenue Build'!$C$6,MATCH(Charts!$E15,'Revenue Build'!$C$6:$C$234,0)-1,MATCH(Charts!Y$3,'Revenue Build'!$C$5:$ET$5,0)-1)</f>
        <v>8.8716679142879194E-3</v>
      </c>
      <c r="Z15" s="1026">
        <f ca="1">OFFSET('Revenue Build'!$C$6,MATCH(Charts!$E15,'Revenue Build'!$C$6:$C$234,0)-1,MATCH(Charts!Z$3,'Revenue Build'!$C$5:$ET$5,0)-1)</f>
        <v>8.6632487459648334E-3</v>
      </c>
      <c r="AA15" s="1026">
        <f ca="1">OFFSET('Revenue Build'!$C$6,MATCH(Charts!$E15,'Revenue Build'!$C$6:$C$234,0)-1,MATCH(Charts!AA$3,'Revenue Build'!$C$5:$ET$5,0)-1)</f>
        <v>9.3249267095505753E-3</v>
      </c>
      <c r="AB15" s="1026">
        <f ca="1">OFFSET('Revenue Build'!$C$6,MATCH(Charts!$E15,'Revenue Build'!$C$6:$C$234,0)-1,MATCH(Charts!AB$3,'Revenue Build'!$C$5:$ET$5,0)-1)</f>
        <v>9.6288901428013343E-3</v>
      </c>
      <c r="AC15" s="1026">
        <f ca="1">OFFSET('Revenue Build'!$C$6,MATCH(Charts!$E15,'Revenue Build'!$C$6:$C$234,0)-1,MATCH(Charts!AC$3,'Revenue Build'!$C$5:$ET$5,0)-1)</f>
        <v>1.0148978470635008E-2</v>
      </c>
      <c r="AD15" s="1026">
        <f ca="1">OFFSET('Revenue Build'!$C$6,MATCH(Charts!$E15,'Revenue Build'!$C$6:$C$234,0)-1,MATCH(Charts!AD$3,'Revenue Build'!$C$5:$ET$5,0)-1)</f>
        <v>9.9255503031327602E-3</v>
      </c>
      <c r="AE15" s="1026">
        <f ca="1">OFFSET('Revenue Build'!$C$6,MATCH(Charts!$E15,'Revenue Build'!$C$6:$C$234,0)-1,MATCH(Charts!AE$3,'Revenue Build'!$C$5:$ET$5,0)-1)</f>
        <v>1.0364903420781358E-2</v>
      </c>
      <c r="AF15" s="1026">
        <f ca="1">OFFSET('Revenue Build'!$C$6,MATCH(Charts!$E15,'Revenue Build'!$C$6:$C$234,0)-1,MATCH(Charts!AF$3,'Revenue Build'!$C$5:$ET$5,0)-1)</f>
        <v>1.143987051886792E-2</v>
      </c>
      <c r="AG15" s="1026">
        <f ca="1">OFFSET('Revenue Build'!$C$6,MATCH(Charts!$E15,'Revenue Build'!$C$6:$C$234,0)-1,MATCH(Charts!AG$3,'Revenue Build'!$C$5:$ET$5,0)-1)</f>
        <v>1.2201767910447758E-2</v>
      </c>
      <c r="AH15" s="1026">
        <f ca="1">OFFSET('Revenue Build'!$C$6,MATCH(Charts!$E15,'Revenue Build'!$C$6:$C$234,0)-1,MATCH(Charts!AH$3,'Revenue Build'!$C$5:$ET$5,0)-1)</f>
        <v>1.1973303167420813E-2</v>
      </c>
      <c r="AI15" s="1026">
        <f ca="1">OFFSET('Revenue Build'!$C$6,MATCH(Charts!$E15,'Revenue Build'!$C$6:$C$234,0)-1,MATCH(Charts!AI$3,'Revenue Build'!$C$5:$ET$5,0)-1)</f>
        <v>1.2607296137339056E-2</v>
      </c>
      <c r="AJ15" s="1026">
        <f ca="1">OFFSET('Revenue Build'!$C$6,MATCH(Charts!$E15,'Revenue Build'!$C$6:$C$234,0)-1,MATCH(Charts!AJ$3,'Revenue Build'!$C$5:$ET$5,0)-1)</f>
        <v>1.2332478632478631E-2</v>
      </c>
      <c r="AK15" s="1026">
        <f ca="1">OFFSET('Revenue Build'!$C$6,MATCH(Charts!$E15,'Revenue Build'!$C$6:$C$234,0)-1,MATCH(Charts!AK$3,'Revenue Build'!$C$5:$ET$5,0)-1)</f>
        <v>1.2660643572593257E-2</v>
      </c>
      <c r="AL15" s="1026">
        <f ca="1">OFFSET('Revenue Build'!$C$6,MATCH(Charts!$E15,'Revenue Build'!$C$6:$C$234,0)-1,MATCH(Charts!AL$3,'Revenue Build'!$C$5:$ET$5,0)-1)</f>
        <v>1.2613234756469107E-2</v>
      </c>
      <c r="AM15" s="1026">
        <f ca="1">OFFSET('Revenue Build'!$C$6,MATCH(Charts!$E15,'Revenue Build'!$C$6:$C$234,0)-1,MATCH(Charts!AM$3,'Revenue Build'!$C$5:$ET$5,0)-1)</f>
        <v>1.3188624492164827E-2</v>
      </c>
      <c r="AN15" s="1026">
        <f ca="1">OFFSET('Revenue Build'!$C$6,MATCH(Charts!$E15,'Revenue Build'!$C$6:$C$234,0)-1,MATCH(Charts!AN$3,'Revenue Build'!$C$5:$ET$5,0)-1)</f>
        <v>1.3311952265523027E-2</v>
      </c>
      <c r="AO15" s="1026">
        <f ca="1">OFFSET('Revenue Build'!$C$6,MATCH(Charts!$E15,'Revenue Build'!$C$6:$C$234,0)-1,MATCH(Charts!AO$3,'Revenue Build'!$C$5:$ET$5,0)-1)</f>
        <v>1.4598639455782313E-2</v>
      </c>
      <c r="AP15" s="1026">
        <f ca="1">OFFSET('Revenue Build'!$C$6,MATCH(Charts!$E15,'Revenue Build'!$C$6:$C$234,0)-1,MATCH(Charts!AP$3,'Revenue Build'!$C$5:$ET$5,0)-1)</f>
        <v>1.4387035131559605E-2</v>
      </c>
      <c r="AQ15" s="1026">
        <f ca="1">OFFSET('Revenue Build'!$C$6,MATCH(Charts!$E15,'Revenue Build'!$C$6:$C$234,0)-1,MATCH(Charts!AQ$3,'Revenue Build'!$C$5:$ET$5,0)-1)</f>
        <v>1.4563492413744404E-2</v>
      </c>
      <c r="AR15" s="1026">
        <f ca="1">OFFSET('Revenue Build'!$C$6,MATCH(Charts!$E15,'Revenue Build'!$C$6:$C$234,0)-1,MATCH(Charts!AR$3,'Revenue Build'!$C$5:$ET$5,0)-1)</f>
        <v>1.507236421240327E-2</v>
      </c>
      <c r="AS15" s="1026">
        <f ca="1">OFFSET('Revenue Build'!$C$6,MATCH(Charts!$E15,'Revenue Build'!$C$6:$C$234,0)-1,MATCH(Charts!AS$3,'Revenue Build'!$C$5:$ET$5,0)-1)</f>
        <v>1.641520086787681E-2</v>
      </c>
      <c r="AT15" s="1026">
        <f ca="1">OFFSET('Revenue Build'!$C$6,MATCH(Charts!$E15,'Revenue Build'!$C$6:$C$234,0)-1,MATCH(Charts!AT$3,'Revenue Build'!$C$5:$ET$5,0)-1)</f>
        <v>1.520433867765166E-2</v>
      </c>
      <c r="AU15" s="1026">
        <f ca="1">OFFSET('Revenue Build'!$C$6,MATCH(Charts!$E15,'Revenue Build'!$C$6:$C$234,0)-1,MATCH(Charts!AU$3,'Revenue Build'!$C$5:$ET$5,0)-1)</f>
        <v>1.6543974490987916E-2</v>
      </c>
      <c r="AV15" s="1026">
        <f ca="1">OFFSET('Revenue Build'!$C$6,MATCH(Charts!$E15,'Revenue Build'!$C$6:$C$234,0)-1,MATCH(Charts!AV$3,'Revenue Build'!$C$5:$ET$5,0)-1)</f>
        <v>1.537236421240327E-2</v>
      </c>
      <c r="AW15" s="1026">
        <f ca="1">OFFSET('Revenue Build'!$C$6,MATCH(Charts!$E15,'Revenue Build'!$C$6:$C$234,0)-1,MATCH(Charts!AW$3,'Revenue Build'!$C$5:$ET$5,0)-1)</f>
        <v>1.6715200867876812E-2</v>
      </c>
      <c r="AX15" s="1026">
        <f ca="1">OFFSET('Revenue Build'!$C$6,MATCH(Charts!$E15,'Revenue Build'!$C$6:$C$234,0)-1,MATCH(Charts!AX$3,'Revenue Build'!$C$5:$ET$5,0)-1)</f>
        <v>1.550433867765166E-2</v>
      </c>
      <c r="AY15" s="1026">
        <f ca="1">OFFSET('Revenue Build'!$C$6,MATCH(Charts!$E15,'Revenue Build'!$C$6:$C$234,0)-1,MATCH(Charts!AY$3,'Revenue Build'!$C$5:$ET$5,0)-1)</f>
        <v>1.6843974490987918E-2</v>
      </c>
      <c r="AZ15" s="1026">
        <f ca="1">OFFSET('Revenue Build'!$C$6,MATCH(Charts!$E15,'Revenue Build'!$C$6:$C$234,0)-1,MATCH(Charts!AZ$3,'Revenue Build'!$C$5:$ET$5,0)-1)</f>
        <v>1.567236421240327E-2</v>
      </c>
      <c r="BA15" s="1026">
        <f ca="1">OFFSET('Revenue Build'!$C$6,MATCH(Charts!$E15,'Revenue Build'!$C$6:$C$234,0)-1,MATCH(Charts!BA$3,'Revenue Build'!$C$5:$ET$5,0)-1)</f>
        <v>1.7015200867876813E-2</v>
      </c>
      <c r="BB15" s="1026">
        <f ca="1">OFFSET('Revenue Build'!$C$6,MATCH(Charts!$E15,'Revenue Build'!$C$6:$C$234,0)-1,MATCH(Charts!BB$3,'Revenue Build'!$C$5:$ET$5,0)-1)</f>
        <v>1.5804338677651662E-2</v>
      </c>
      <c r="BC15" s="1026">
        <f ca="1">OFFSET('Revenue Build'!$C$6,MATCH(Charts!$E15,'Revenue Build'!$C$6:$C$234,0)-1,MATCH(Charts!BC$3,'Revenue Build'!$C$5:$ET$5,0)-1)</f>
        <v>1.714397449098792E-2</v>
      </c>
      <c r="BD15" s="1026">
        <f ca="1">OFFSET('Revenue Build'!$C$6,MATCH(Charts!$E15,'Revenue Build'!$C$6:$C$234,0)-1,MATCH(Charts!BD$3,'Revenue Build'!$C$5:$ET$5,0)-1)</f>
        <v>1.5972364212403271E-2</v>
      </c>
      <c r="BE15" s="1026">
        <f ca="1">OFFSET('Revenue Build'!$C$6,MATCH(Charts!$E15,'Revenue Build'!$C$6:$C$234,0)-1,MATCH(Charts!BE$3,'Revenue Build'!$C$5:$ET$5,0)-1)</f>
        <v>1.7315200867876815E-2</v>
      </c>
      <c r="BF15" s="1026">
        <f ca="1">OFFSET('Revenue Build'!$C$6,MATCH(Charts!$E15,'Revenue Build'!$C$6:$C$234,0)-1,MATCH(Charts!BF$3,'Revenue Build'!$C$5:$ET$5,0)-1)</f>
        <v>1.6104338677651663E-2</v>
      </c>
      <c r="BG15" s="1026">
        <f ca="1">OFFSET('Revenue Build'!$C$6,MATCH(Charts!$E15,'Revenue Build'!$C$6:$C$234,0)-1,MATCH(Charts!BG$3,'Revenue Build'!$C$5:$ET$5,0)-1)</f>
        <v>1.7443974490987921E-2</v>
      </c>
      <c r="BH15" s="1026">
        <f ca="1">OFFSET('Revenue Build'!$C$6,MATCH(Charts!$E15,'Revenue Build'!$C$6:$C$234,0)-1,MATCH(Charts!BH$3,'Revenue Build'!$C$5:$ET$5,0)-1)</f>
        <v>1.6272364212403273E-2</v>
      </c>
      <c r="BI15" s="1026">
        <f ca="1">OFFSET('Revenue Build'!$C$6,MATCH(Charts!$E15,'Revenue Build'!$C$6:$C$234,0)-1,MATCH(Charts!BI$3,'Revenue Build'!$C$5:$ET$5,0)-1)</f>
        <v>1.7615200867876817E-2</v>
      </c>
      <c r="BJ15" s="1026">
        <f ca="1">OFFSET('Revenue Build'!$C$6,MATCH(Charts!$E15,'Revenue Build'!$C$6:$C$234,0)-1,MATCH(Charts!BJ$3,'Revenue Build'!$C$5:$ET$5,0)-1)</f>
        <v>1.6404338677651665E-2</v>
      </c>
      <c r="BK15" s="1026">
        <f ca="1">OFFSET('Revenue Build'!$C$6,MATCH(Charts!$E15,'Revenue Build'!$C$6:$C$234,0)-1,MATCH(Charts!BK$3,'Revenue Build'!$C$5:$ET$5,0)-1)</f>
        <v>1.7743974490987923E-2</v>
      </c>
      <c r="BL15" s="1026">
        <f ca="1">OFFSET('Revenue Build'!$C$6,MATCH(Charts!$E15,'Revenue Build'!$C$6:$C$234,0)-1,MATCH(Charts!BL$3,'Revenue Build'!$C$5:$ET$5,0)-1)</f>
        <v>1.6572364212403275E-2</v>
      </c>
      <c r="BM15" s="1026">
        <f ca="1">OFFSET('Revenue Build'!$C$6,MATCH(Charts!$E15,'Revenue Build'!$C$6:$C$234,0)-1,MATCH(Charts!BM$3,'Revenue Build'!$C$5:$ET$5,0)-1)</f>
        <v>1.7915200867876818E-2</v>
      </c>
      <c r="BN15" s="904"/>
      <c r="BO15" s="904"/>
      <c r="BP15" s="904"/>
      <c r="BQ15" s="904"/>
      <c r="BR15" s="904"/>
      <c r="BS15" s="904"/>
      <c r="BT15" s="904"/>
      <c r="BU15" s="904"/>
      <c r="BV15" s="904"/>
      <c r="BW15" s="904"/>
      <c r="BX15" s="904"/>
      <c r="BY15" s="904"/>
      <c r="BZ15" s="904"/>
      <c r="CA15" s="904"/>
      <c r="CB15" s="904"/>
      <c r="CC15" s="904"/>
      <c r="CD15" s="904"/>
      <c r="CE15" s="904"/>
      <c r="CF15" s="904"/>
      <c r="CG15" s="904"/>
      <c r="CH15" s="904"/>
      <c r="CI15" s="904"/>
      <c r="CJ15" s="904"/>
      <c r="CK15" s="904"/>
      <c r="CL15" s="904"/>
      <c r="CM15" s="904"/>
      <c r="CN15" s="904"/>
      <c r="CO15" s="904"/>
      <c r="CP15" s="904"/>
      <c r="CQ15" s="904"/>
      <c r="CR15" s="904"/>
      <c r="CS15" s="904" t="str">
        <f>E15</f>
        <v>3P Pay Take Rate</v>
      </c>
      <c r="CT15" s="1026"/>
      <c r="CU15" s="1026">
        <f ca="1">OFFSET('Revenue Build'!$C$6,MATCH(Charts!$E15,'Revenue Build'!$C$6:$C$98,0)-1,MATCH(Charts!CU$4,'Revenue Build'!$C$4:$ES$4,0)-1)</f>
        <v>7.566262466311922E-3</v>
      </c>
      <c r="CV15" s="1026">
        <f ca="1">OFFSET('Revenue Build'!$C$6,MATCH(Charts!$E15,'Revenue Build'!$C$6:$C$98,0)-1,MATCH(Charts!CV$4,'Revenue Build'!$C$4:$ES$4,0)-1)</f>
        <v>7.934479146305129E-3</v>
      </c>
      <c r="CW15" s="1026">
        <f ca="1">OFFSET('Revenue Build'!$C$6,MATCH(Charts!$E15,'Revenue Build'!$C$6:$C$98,0)-1,MATCH(Charts!CW$4,'Revenue Build'!$C$4:$ES$4,0)-1)</f>
        <v>7.8840408121596487E-3</v>
      </c>
      <c r="CX15" s="1026">
        <f ca="1">OFFSET('Revenue Build'!$C$6,MATCH(Charts!$E15,'Revenue Build'!$C$6:$C$98,0)-1,MATCH(Charts!CX$4,'Revenue Build'!$C$4:$ES$4,0)-1)</f>
        <v>8.5027752511654935E-3</v>
      </c>
      <c r="CY15" s="1026">
        <f ca="1">OFFSET('Revenue Build'!$C$6,MATCH(Charts!$E15,'Revenue Build'!$C$6:$C$98,0)-1,MATCH(Charts!CY$4,'Revenue Build'!$C$4:$ES$4,0)-1)</f>
        <v>9.4415110172379382E-3</v>
      </c>
      <c r="CZ15" s="1026">
        <f ca="1">OFFSET('Revenue Build'!$C$6,MATCH(Charts!$E15,'Revenue Build'!$C$6:$C$98,0)-1,MATCH(Charts!CZ$4,'Revenue Build'!$C$4:$ES$4,0)-1)</f>
        <v>1.0983023038307449E-2</v>
      </c>
      <c r="DA15" s="1026">
        <f ca="1">OFFSET('Revenue Build'!$C$6,MATCH(Charts!$E15,'Revenue Build'!$C$6:$C$98,0)-1,MATCH(Charts!DA$4,'Revenue Build'!$C$4:$ES$4,0)-1)</f>
        <v>1.2393430377457939E-2</v>
      </c>
      <c r="DB15" s="1026">
        <f ca="1">OFFSET('Revenue Build'!$C$6,MATCH(Charts!$E15,'Revenue Build'!$C$6:$C$98,0)-1,MATCH(Charts!DB$4,'Revenue Build'!$C$4:$ES$4,0)-1)</f>
        <v>1.3428112742484819E-2</v>
      </c>
      <c r="DC15" s="1026" t="e">
        <f ca="1">OFFSET('Revenue Build'!$C$6,MATCH(Charts!$E15,'Revenue Build'!$C$6:$C$98,0)-1,MATCH(Charts!DC$4,'Revenue Build'!$C$4:$ES$4,0)-1)</f>
        <v>#N/A</v>
      </c>
      <c r="DD15" s="1026">
        <f ca="1">OFFSET('Revenue Build'!$C$6,MATCH(Charts!$E15,'Revenue Build'!$C$6:$C$98,0)-1,MATCH(Charts!DD$4,'Revenue Build'!$C$4:$ES$4,0)-1)</f>
        <v>1.5958969562229912E-2</v>
      </c>
      <c r="DE15" s="1026">
        <f ca="1">OFFSET('Revenue Build'!$C$6,MATCH(Charts!$E15,'Revenue Build'!$C$6:$C$98,0)-1,MATCH(Charts!DE$4,'Revenue Build'!$C$4:$ES$4,0)-1)</f>
        <v>1.6258969562229914E-2</v>
      </c>
      <c r="DF15" s="1026">
        <f ca="1">OFFSET('Revenue Build'!$C$6,MATCH(Charts!$E15,'Revenue Build'!$C$6:$C$98,0)-1,MATCH(Charts!DF$4,'Revenue Build'!$C$4:$ES$4,0)-1)</f>
        <v>1.6558969562229915E-2</v>
      </c>
      <c r="DG15" s="1026">
        <f ca="1">OFFSET('Revenue Build'!$C$6,MATCH(Charts!$E15,'Revenue Build'!$C$6:$C$98,0)-1,MATCH(Charts!DG$4,'Revenue Build'!$C$4:$ES$4,0)-1)</f>
        <v>1.6858969562229917E-2</v>
      </c>
      <c r="DH15" s="1026">
        <f ca="1">OFFSET('Revenue Build'!$C$6,MATCH(Charts!$E15,'Revenue Build'!$C$6:$C$98,0)-1,MATCH(Charts!DH$4,'Revenue Build'!$C$4:$ES$4,0)-1)</f>
        <v>1.7158969562229918E-2</v>
      </c>
    </row>
    <row r="16" spans="1:115">
      <c r="E16" s="669"/>
      <c r="F16" s="1008"/>
      <c r="G16" s="1008"/>
      <c r="H16" s="1008"/>
      <c r="I16" s="1008"/>
      <c r="J16" s="1008"/>
      <c r="K16" s="1008"/>
      <c r="L16" s="1008"/>
      <c r="M16" s="1008"/>
      <c r="N16" s="1008"/>
      <c r="O16" s="1008"/>
      <c r="P16" s="1008"/>
      <c r="Q16" s="1008"/>
      <c r="R16" s="1008"/>
      <c r="S16" s="1008"/>
      <c r="T16" s="1008"/>
      <c r="U16" s="1008"/>
      <c r="V16" s="1008"/>
      <c r="W16" s="1008"/>
      <c r="X16" s="1008"/>
      <c r="Y16" s="1008"/>
      <c r="Z16" s="1008"/>
      <c r="AA16" s="1008"/>
      <c r="AB16" s="1008"/>
      <c r="AC16" s="1008"/>
      <c r="AD16" s="1008"/>
      <c r="AE16" s="1008"/>
      <c r="AF16" s="1008"/>
      <c r="AG16" s="1008"/>
      <c r="AH16" s="1008"/>
      <c r="AI16" s="1008"/>
      <c r="AJ16" s="1008"/>
      <c r="AK16" s="1008"/>
      <c r="AL16" s="1008"/>
      <c r="AM16" s="1008"/>
      <c r="AN16" s="1008"/>
      <c r="AO16" s="1008"/>
      <c r="AP16" s="1008"/>
      <c r="AQ16" s="1008"/>
      <c r="AR16" s="1008"/>
      <c r="AS16" s="1008"/>
      <c r="AT16" s="1008"/>
      <c r="AU16" s="1008"/>
      <c r="AV16" s="1008"/>
      <c r="AW16" s="1008"/>
      <c r="AX16" s="1008"/>
      <c r="AY16" s="1008"/>
      <c r="AZ16" s="1008"/>
      <c r="BA16" s="1008"/>
      <c r="BB16" s="1008"/>
      <c r="BC16" s="1008"/>
      <c r="BD16" s="1008"/>
      <c r="BE16" s="1008"/>
      <c r="BF16" s="1008"/>
      <c r="BG16" s="1008"/>
      <c r="BH16" s="1008"/>
      <c r="BI16" s="1008"/>
      <c r="BJ16" s="1008"/>
      <c r="BK16" s="1008"/>
      <c r="BL16" s="1008"/>
      <c r="BM16" s="1008"/>
      <c r="BN16" s="905"/>
      <c r="BO16" s="905"/>
      <c r="BP16" s="905"/>
      <c r="BQ16" s="905"/>
      <c r="BR16" s="905"/>
      <c r="BS16" s="905"/>
      <c r="BT16" s="905"/>
      <c r="BU16" s="905"/>
      <c r="BV16" s="905"/>
      <c r="BW16" s="905"/>
      <c r="BX16" s="905"/>
      <c r="BY16" s="905"/>
      <c r="BZ16" s="905"/>
      <c r="CA16" s="905"/>
      <c r="CB16" s="905"/>
      <c r="CC16" s="905"/>
      <c r="CD16" s="905"/>
      <c r="CE16" s="905"/>
      <c r="CF16" s="905"/>
      <c r="CG16" s="905"/>
      <c r="CH16" s="905"/>
      <c r="CI16" s="905"/>
      <c r="CJ16" s="905"/>
      <c r="CK16" s="905"/>
      <c r="CL16" s="905"/>
      <c r="CM16" s="905"/>
      <c r="CN16" s="905"/>
      <c r="CO16" s="905"/>
      <c r="CP16" s="905"/>
      <c r="CQ16" s="905"/>
      <c r="CR16" s="905"/>
      <c r="CS16" s="905"/>
      <c r="CT16" s="1008"/>
      <c r="CU16" s="1008"/>
      <c r="CV16" s="1008"/>
      <c r="CW16" s="1008"/>
      <c r="CX16" s="1008"/>
      <c r="CY16" s="1008"/>
      <c r="CZ16" s="1008"/>
      <c r="DA16" s="1008"/>
      <c r="DB16" s="1008"/>
      <c r="DC16" s="1008"/>
      <c r="DD16" s="1008"/>
      <c r="DE16" s="1008"/>
      <c r="DF16" s="1008"/>
      <c r="DG16" s="1008"/>
      <c r="DH16" s="1008"/>
    </row>
    <row r="17" spans="5:113">
      <c r="E17" s="669"/>
      <c r="F17" s="670"/>
      <c r="G17" s="670"/>
      <c r="H17" s="670"/>
      <c r="I17" s="670"/>
      <c r="J17" s="670"/>
      <c r="K17" s="670"/>
      <c r="L17" s="670"/>
      <c r="M17" s="670"/>
      <c r="N17" s="670"/>
      <c r="O17" s="670"/>
      <c r="P17" s="670"/>
      <c r="Q17" s="670"/>
      <c r="R17" s="670"/>
      <c r="S17" s="670"/>
      <c r="T17" s="670"/>
      <c r="U17" s="670"/>
      <c r="V17" s="670"/>
      <c r="W17" s="670"/>
      <c r="X17" s="670"/>
      <c r="Y17" s="670"/>
      <c r="Z17" s="670"/>
      <c r="AA17" s="670"/>
      <c r="AB17" s="670"/>
      <c r="AC17" s="670"/>
      <c r="AD17" s="670"/>
      <c r="AE17" s="670"/>
      <c r="AF17" s="670"/>
      <c r="AG17" s="670"/>
      <c r="AH17" s="670"/>
      <c r="AI17" s="670"/>
      <c r="AJ17" s="670"/>
      <c r="AK17" s="670"/>
      <c r="AL17" s="670"/>
      <c r="AM17" s="670"/>
      <c r="AN17" s="670"/>
      <c r="AO17" s="670"/>
      <c r="AP17" s="670"/>
      <c r="AQ17" s="670"/>
      <c r="AR17" s="670"/>
      <c r="AS17" s="670"/>
      <c r="AT17" s="670"/>
      <c r="AU17" s="670"/>
      <c r="AV17" s="670"/>
      <c r="AW17" s="670"/>
      <c r="AX17" s="670"/>
      <c r="AY17" s="670"/>
      <c r="AZ17" s="670"/>
      <c r="BA17" s="670"/>
      <c r="BB17" s="670"/>
      <c r="BC17" s="670"/>
      <c r="BD17" s="670"/>
      <c r="BE17" s="670"/>
      <c r="BF17" s="670"/>
      <c r="BG17" s="670"/>
      <c r="BH17" s="670"/>
      <c r="BI17" s="670"/>
      <c r="BJ17" s="670"/>
      <c r="BK17" s="670"/>
      <c r="BL17" s="670"/>
      <c r="BM17" s="670"/>
      <c r="BN17" s="905"/>
      <c r="BO17" s="905"/>
      <c r="BP17" s="905"/>
      <c r="BQ17" s="905"/>
      <c r="BR17" s="905"/>
      <c r="BS17" s="905"/>
      <c r="BT17" s="905"/>
      <c r="BU17" s="905"/>
      <c r="BV17" s="905"/>
      <c r="BW17" s="905"/>
      <c r="BX17" s="905"/>
      <c r="BY17" s="905"/>
      <c r="BZ17" s="905"/>
      <c r="CA17" s="905"/>
      <c r="CB17" s="905"/>
      <c r="CC17" s="905"/>
      <c r="CD17" s="905"/>
      <c r="CE17" s="905"/>
      <c r="CF17" s="905"/>
      <c r="CG17" s="905"/>
      <c r="CH17" s="905"/>
      <c r="CI17" s="905"/>
      <c r="CJ17" s="905"/>
      <c r="CK17" s="905"/>
      <c r="CL17" s="905"/>
      <c r="CM17" s="905"/>
      <c r="CN17" s="905"/>
      <c r="CO17" s="905"/>
      <c r="CP17" s="905"/>
      <c r="CQ17" s="905"/>
      <c r="CR17" s="905"/>
      <c r="CS17" s="905"/>
      <c r="CT17" s="1008"/>
      <c r="CU17" s="1008"/>
      <c r="CV17" s="1008"/>
      <c r="CW17" s="1008"/>
      <c r="CX17" s="1008"/>
      <c r="CY17" s="1008"/>
      <c r="CZ17" s="1008"/>
      <c r="DA17" s="1008"/>
      <c r="DB17" s="1008"/>
      <c r="DC17" s="1008"/>
      <c r="DD17" s="1008"/>
      <c r="DE17" s="1008"/>
      <c r="DF17" s="1008"/>
      <c r="DG17" s="1008"/>
      <c r="DH17" s="1008"/>
    </row>
    <row r="18" spans="5:113">
      <c r="E18" s="1103" t="s">
        <v>576</v>
      </c>
      <c r="F18" s="1016">
        <f ca="1">OFFSET('Revenue Build'!$C$6,MATCH(Charts!$E18,'Revenue Build'!$C$6:$C$234,0)-1,MATCH(Charts!F$3,'Revenue Build'!$C$5:$ET$5,0)-1)</f>
        <v>0</v>
      </c>
      <c r="G18" s="1016">
        <f ca="1">OFFSET('Revenue Build'!$C$6,MATCH(Charts!$E18,'Revenue Build'!$C$6:$C$234,0)-1,MATCH(Charts!G$3,'Revenue Build'!$C$5:$ET$5,0)-1)</f>
        <v>0</v>
      </c>
      <c r="H18" s="1016">
        <f ca="1">OFFSET('Revenue Build'!$C$6,MATCH(Charts!$E18,'Revenue Build'!$C$6:$C$234,0)-1,MATCH(Charts!H$3,'Revenue Build'!$C$5:$ET$5,0)-1)</f>
        <v>0</v>
      </c>
      <c r="I18" s="1016">
        <f ca="1">OFFSET('Revenue Build'!$C$6,MATCH(Charts!$E18,'Revenue Build'!$C$6:$C$234,0)-1,MATCH(Charts!I$3,'Revenue Build'!$C$5:$ET$5,0)-1)</f>
        <v>0</v>
      </c>
      <c r="J18" s="1016">
        <f ca="1">OFFSET('Revenue Build'!$C$6,MATCH(Charts!$E18,'Revenue Build'!$C$6:$C$234,0)-1,MATCH(Charts!J$3,'Revenue Build'!$C$5:$ET$5,0)-1)</f>
        <v>37.873420000000003</v>
      </c>
      <c r="K18" s="1016">
        <f ca="1">OFFSET('Revenue Build'!$C$6,MATCH(Charts!$E18,'Revenue Build'!$C$6:$C$234,0)-1,MATCH(Charts!K$3,'Revenue Build'!$C$5:$ET$5,0)-1)</f>
        <v>46.433059999999998</v>
      </c>
      <c r="L18" s="1016">
        <f ca="1">OFFSET('Revenue Build'!$C$6,MATCH(Charts!$E18,'Revenue Build'!$C$6:$C$234,0)-1,MATCH(Charts!L$3,'Revenue Build'!$C$5:$ET$5,0)-1)</f>
        <v>51.632179999999998</v>
      </c>
      <c r="M18" s="1016">
        <f ca="1">OFFSET('Revenue Build'!$C$6,MATCH(Charts!$E18,'Revenue Build'!$C$6:$C$234,0)-1,MATCH(Charts!M$3,'Revenue Build'!$C$5:$ET$5,0)-1)</f>
        <v>74.759679999999989</v>
      </c>
      <c r="N18" s="1016">
        <f ca="1">OFFSET('Revenue Build'!$C$6,MATCH(Charts!$E18,'Revenue Build'!$C$6:$C$234,0)-1,MATCH(Charts!N$3,'Revenue Build'!$C$5:$ET$5,0)-1)</f>
        <v>65.631649999999993</v>
      </c>
      <c r="O18" s="1016">
        <f ca="1">OFFSET('Revenue Build'!$C$6,MATCH(Charts!$E18,'Revenue Build'!$C$6:$C$234,0)-1,MATCH(Charts!O$3,'Revenue Build'!$C$5:$ET$5,0)-1)</f>
        <v>77.189149999999984</v>
      </c>
      <c r="P18" s="1016">
        <f ca="1">OFFSET('Revenue Build'!$C$6,MATCH(Charts!$E18,'Revenue Build'!$C$6:$C$234,0)-1,MATCH(Charts!P$3,'Revenue Build'!$C$5:$ET$5,0)-1)</f>
        <v>85.989524999999986</v>
      </c>
      <c r="Q18" s="1016">
        <f ca="1">OFFSET('Revenue Build'!$C$6,MATCH(Charts!$E18,'Revenue Build'!$C$6:$C$234,0)-1,MATCH(Charts!Q$3,'Revenue Build'!$C$5:$ET$5,0)-1)</f>
        <v>120.92364999999998</v>
      </c>
      <c r="R18" s="1016">
        <f ca="1">OFFSET('Revenue Build'!$C$6,MATCH(Charts!$E18,'Revenue Build'!$C$6:$C$234,0)-1,MATCH(Charts!R$3,'Revenue Build'!$C$5:$ET$5,0)-1)</f>
        <v>102.61766999999999</v>
      </c>
      <c r="S18" s="1016">
        <f ca="1">OFFSET('Revenue Build'!$C$6,MATCH(Charts!$E18,'Revenue Build'!$C$6:$C$234,0)-1,MATCH(Charts!S$3,'Revenue Build'!$C$5:$ET$5,0)-1)</f>
        <v>119.09123999999998</v>
      </c>
      <c r="T18" s="1016">
        <f ca="1">OFFSET('Revenue Build'!$C$6,MATCH(Charts!$E18,'Revenue Build'!$C$6:$C$234,0)-1,MATCH(Charts!T$3,'Revenue Build'!$C$5:$ET$5,0)-1)</f>
        <v>128.23575</v>
      </c>
      <c r="U18" s="1016">
        <f ca="1">OFFSET('Revenue Build'!$C$6,MATCH(Charts!$E18,'Revenue Build'!$C$6:$C$234,0)-1,MATCH(Charts!U$3,'Revenue Build'!$C$5:$ET$5,0)-1)</f>
        <v>183.53657999999999</v>
      </c>
      <c r="V18" s="1016">
        <f ca="1">OFFSET('Revenue Build'!$C$6,MATCH(Charts!$E18,'Revenue Build'!$C$6:$C$234,0)-1,MATCH(Charts!V$3,'Revenue Build'!$C$5:$ET$5,0)-1)</f>
        <v>159.55147999999997</v>
      </c>
      <c r="W18" s="1016">
        <f ca="1">OFFSET('Revenue Build'!$C$6,MATCH(Charts!$E18,'Revenue Build'!$C$6:$C$234,0)-1,MATCH(Charts!W$3,'Revenue Build'!$C$5:$ET$5,0)-1)</f>
        <v>292.61745500000001</v>
      </c>
      <c r="X18" s="1016">
        <f ca="1">OFFSET('Revenue Build'!$C$6,MATCH(Charts!$E18,'Revenue Build'!$C$6:$C$234,0)-1,MATCH(Charts!X$3,'Revenue Build'!$C$5:$ET$5,0)-1)</f>
        <v>295.00401499999998</v>
      </c>
      <c r="Y18" s="1016">
        <f ca="1">OFFSET('Revenue Build'!$C$6,MATCH(Charts!$E18,'Revenue Build'!$C$6:$C$234,0)-1,MATCH(Charts!Y$3,'Revenue Build'!$C$5:$ET$5,0)-1)</f>
        <v>394.54175999999995</v>
      </c>
      <c r="Z18" s="1016">
        <f ca="1">OFFSET('Revenue Build'!$C$6,MATCH(Charts!$E18,'Revenue Build'!$C$6:$C$234,0)-1,MATCH(Charts!Z$3,'Revenue Build'!$C$5:$ET$5,0)-1)</f>
        <v>374.06096000000002</v>
      </c>
      <c r="AA18" s="1016">
        <f ca="1">OFFSET('Revenue Build'!$C$6,MATCH(Charts!$E18,'Revenue Build'!$C$6:$C$234,0)-1,MATCH(Charts!AA$3,'Revenue Build'!$C$5:$ET$5,0)-1)</f>
        <v>439.71648000000005</v>
      </c>
      <c r="AB18" s="1016">
        <f ca="1">OFFSET('Revenue Build'!$C$6,MATCH(Charts!$E18,'Revenue Build'!$C$6:$C$234,0)-1,MATCH(Charts!AB$3,'Revenue Build'!$C$5:$ET$5,0)-1)</f>
        <v>441.01792000000006</v>
      </c>
      <c r="AC18" s="1016">
        <f ca="1">OFFSET('Revenue Build'!$C$6,MATCH(Charts!$E18,'Revenue Build'!$C$6:$C$234,0)-1,MATCH(Charts!AC$3,'Revenue Build'!$C$5:$ET$5,0)-1)</f>
        <v>576.13696000000004</v>
      </c>
      <c r="AD18" s="1016">
        <f ca="1">OFFSET('Revenue Build'!$C$6,MATCH(Charts!$E18,'Revenue Build'!$C$6:$C$234,0)-1,MATCH(Charts!AD$3,'Revenue Build'!$C$5:$ET$5,0)-1)</f>
        <v>474.95068600000002</v>
      </c>
      <c r="AE18" s="1016">
        <f ca="1">OFFSET('Revenue Build'!$C$6,MATCH(Charts!$E18,'Revenue Build'!$C$6:$C$234,0)-1,MATCH(Charts!AE$3,'Revenue Build'!$C$5:$ET$5,0)-1)</f>
        <v>513.52686000000006</v>
      </c>
      <c r="AF18" s="1016">
        <f ca="1">OFFSET('Revenue Build'!$C$6,MATCH(Charts!$E18,'Revenue Build'!$C$6:$C$234,0)-1,MATCH(Charts!AF$3,'Revenue Build'!$C$5:$ET$5,0)-1)</f>
        <v>547.41414700000007</v>
      </c>
      <c r="AG18" s="1016">
        <f ca="1">OFFSET('Revenue Build'!$C$6,MATCH(Charts!$E18,'Revenue Build'!$C$6:$C$234,0)-1,MATCH(Charts!AG$3,'Revenue Build'!$C$5:$ET$5,0)-1)</f>
        <v>738.10237200000006</v>
      </c>
      <c r="AH18" s="1016">
        <f ca="1">OFFSET('Revenue Build'!$C$6,MATCH(Charts!$E18,'Revenue Build'!$C$6:$C$234,0)-1,MATCH(Charts!AH$3,'Revenue Build'!$C$5:$ET$5,0)-1)</f>
        <v>636.18999999999994</v>
      </c>
      <c r="AI18" s="1016">
        <f ca="1">OFFSET('Revenue Build'!$C$6,MATCH(Charts!$E18,'Revenue Build'!$C$6:$C$234,0)-1,MATCH(Charts!AI$3,'Revenue Build'!$C$5:$ET$5,0)-1)</f>
        <v>706.24999999999989</v>
      </c>
      <c r="AJ18" s="1016">
        <f ca="1">OFFSET('Revenue Build'!$C$6,MATCH(Charts!$E18,'Revenue Build'!$C$6:$C$234,0)-1,MATCH(Charts!AJ$3,'Revenue Build'!$C$5:$ET$5,0)-1)</f>
        <v>693.81999999999994</v>
      </c>
      <c r="AK18" s="1016">
        <f ca="1">OFFSET('Revenue Build'!$C$6,MATCH(Charts!$E18,'Revenue Build'!$C$6:$C$234,0)-1,MATCH(Charts!AK$3,'Revenue Build'!$C$5:$ET$5,0)-1)</f>
        <v>914.7349999999999</v>
      </c>
      <c r="AL18" s="1016">
        <f ca="1">OFFSET('Revenue Build'!$C$6,MATCH(Charts!$E18,'Revenue Build'!$C$6:$C$234,0)-1,MATCH(Charts!AL$3,'Revenue Build'!$C$5:$ET$5,0)-1)</f>
        <v>762.95249999999987</v>
      </c>
      <c r="AM18" s="1016">
        <f ca="1">OFFSET('Revenue Build'!$C$6,MATCH(Charts!$E18,'Revenue Build'!$C$6:$C$234,0)-1,MATCH(Charts!AM$3,'Revenue Build'!$C$5:$ET$5,0)-1)</f>
        <v>837.77459999999985</v>
      </c>
      <c r="AN18" s="1016">
        <f ca="1">OFFSET('Revenue Build'!$C$6,MATCH(Charts!$E18,'Revenue Build'!$C$6:$C$234,0)-1,MATCH(Charts!AN$3,'Revenue Build'!$C$5:$ET$5,0)-1)</f>
        <v>877.57839999999987</v>
      </c>
      <c r="AO18" s="1016">
        <f ca="1">OFFSET('Revenue Build'!$C$6,MATCH(Charts!$E18,'Revenue Build'!$C$6:$C$234,0)-1,MATCH(Charts!AO$3,'Revenue Build'!$C$5:$ET$5,0)-1)</f>
        <v>1213.7775999999997</v>
      </c>
      <c r="AP18" s="1016">
        <f ca="1">OFFSET('Revenue Build'!$C$6,MATCH(Charts!$E18,'Revenue Build'!$C$6:$C$234,0)-1,MATCH(Charts!AP$3,'Revenue Build'!$C$5:$ET$5,0)-1)</f>
        <v>984.40499999999975</v>
      </c>
      <c r="AQ18" s="1016">
        <f ca="1">OFFSET('Revenue Build'!$C$6,MATCH(Charts!$E18,'Revenue Build'!$C$6:$C$234,0)-1,MATCH(Charts!AQ$3,'Revenue Build'!$C$5:$ET$5,0)-1)</f>
        <v>1145.3815999999997</v>
      </c>
      <c r="AR18" s="1016">
        <f ca="1">OFFSET('Revenue Build'!$C$6,MATCH(Charts!$E18,'Revenue Build'!$C$6:$C$234,0)-1,MATCH(Charts!AR$3,'Revenue Build'!$C$5:$ET$5,0)-1)</f>
        <v>1214.1772499999997</v>
      </c>
      <c r="AS18" s="1016">
        <f ca="1">OFFSET('Revenue Build'!$C$6,MATCH(Charts!$E18,'Revenue Build'!$C$6:$C$234,0)-1,MATCH(Charts!AS$3,'Revenue Build'!$C$5:$ET$5,0)-1)</f>
        <v>1639.1489999999994</v>
      </c>
      <c r="AT18" s="1016">
        <f ca="1">OFFSET('Revenue Build'!$C$6,MATCH(Charts!$E18,'Revenue Build'!$C$6:$C$234,0)-1,MATCH(Charts!AT$3,'Revenue Build'!$C$5:$ET$5,0)-1)</f>
        <v>1349.095569162919</v>
      </c>
      <c r="AU18" s="1016">
        <f ca="1">OFFSET('Revenue Build'!$C$6,MATCH(Charts!$E18,'Revenue Build'!$C$6:$C$234,0)-1,MATCH(Charts!AU$3,'Revenue Build'!$C$5:$ET$5,0)-1)</f>
        <v>1550.7620995215195</v>
      </c>
      <c r="AV18" s="1016">
        <f ca="1">OFFSET('Revenue Build'!$C$6,MATCH(Charts!$E18,'Revenue Build'!$C$6:$C$234,0)-1,MATCH(Charts!AV$3,'Revenue Build'!$C$5:$ET$5,0)-1)</f>
        <v>1586.6572577963188</v>
      </c>
      <c r="AW18" s="1016">
        <f ca="1">OFFSET('Revenue Build'!$C$6,MATCH(Charts!$E18,'Revenue Build'!$C$6:$C$234,0)-1,MATCH(Charts!AW$3,'Revenue Build'!$C$5:$ET$5,0)-1)</f>
        <v>2120.8513280018792</v>
      </c>
      <c r="AX18" s="1016">
        <f ca="1">OFFSET('Revenue Build'!$C$6,MATCH(Charts!$E18,'Revenue Build'!$C$6:$C$234,0)-1,MATCH(Charts!AX$3,'Revenue Build'!$C$5:$ET$5,0)-1)</f>
        <v>1734.4549335988211</v>
      </c>
      <c r="AY18" s="1016">
        <f ca="1">OFFSET('Revenue Build'!$C$6,MATCH(Charts!$E18,'Revenue Build'!$C$6:$C$234,0)-1,MATCH(Charts!AY$3,'Revenue Build'!$C$5:$ET$5,0)-1)</f>
        <v>1961.909404228925</v>
      </c>
      <c r="AZ18" s="1016">
        <f ca="1">OFFSET('Revenue Build'!$C$6,MATCH(Charts!$E18,'Revenue Build'!$C$6:$C$234,0)-1,MATCH(Charts!AZ$3,'Revenue Build'!$C$5:$ET$5,0)-1)</f>
        <v>1976.2316366169478</v>
      </c>
      <c r="BA18" s="1016">
        <f ca="1">OFFSET('Revenue Build'!$C$6,MATCH(Charts!$E18,'Revenue Build'!$C$6:$C$234,0)-1,MATCH(Charts!BA$3,'Revenue Build'!$C$5:$ET$5,0)-1)</f>
        <v>2615.4658949406785</v>
      </c>
      <c r="BB18" s="1016">
        <f ca="1">OFFSET('Revenue Build'!$C$6,MATCH(Charts!$E18,'Revenue Build'!$C$6:$C$234,0)-1,MATCH(Charts!BB$3,'Revenue Build'!$C$5:$ET$5,0)-1)</f>
        <v>2057.9579486140387</v>
      </c>
      <c r="BC18" s="1016">
        <f ca="1">OFFSET('Revenue Build'!$C$6,MATCH(Charts!$E18,'Revenue Build'!$C$6:$C$234,0)-1,MATCH(Charts!BC$3,'Revenue Build'!$C$5:$ET$5,0)-1)</f>
        <v>2326.082231753986</v>
      </c>
      <c r="BD18" s="1016">
        <f ca="1">OFFSET('Revenue Build'!$C$6,MATCH(Charts!$E18,'Revenue Build'!$C$6:$C$234,0)-1,MATCH(Charts!BD$3,'Revenue Build'!$C$5:$ET$5,0)-1)</f>
        <v>2343.4675593625761</v>
      </c>
      <c r="BE18" s="1016">
        <f ca="1">OFFSET('Revenue Build'!$C$6,MATCH(Charts!$E18,'Revenue Build'!$C$6:$C$234,0)-1,MATCH(Charts!BE$3,'Revenue Build'!$C$5:$ET$5,0)-1)</f>
        <v>3096.3590466384526</v>
      </c>
      <c r="BF18" s="1016">
        <f ca="1">OFFSET('Revenue Build'!$C$6,MATCH(Charts!$E18,'Revenue Build'!$C$6:$C$234,0)-1,MATCH(Charts!BF$3,'Revenue Build'!$C$5:$ET$5,0)-1)</f>
        <v>2388.8015132046539</v>
      </c>
      <c r="BG18" s="1016">
        <f ca="1">OFFSET('Revenue Build'!$C$6,MATCH(Charts!$E18,'Revenue Build'!$C$6:$C$234,0)-1,MATCH(Charts!BG$3,'Revenue Build'!$C$5:$ET$5,0)-1)</f>
        <v>2697.9315263900835</v>
      </c>
      <c r="BH18" s="1016">
        <f ca="1">OFFSET('Revenue Build'!$C$6,MATCH(Charts!$E18,'Revenue Build'!$C$6:$C$234,0)-1,MATCH(Charts!BH$3,'Revenue Build'!$C$5:$ET$5,0)-1)</f>
        <v>2718.5539090096581</v>
      </c>
      <c r="BI18" s="1016">
        <f ca="1">OFFSET('Revenue Build'!$C$6,MATCH(Charts!$E18,'Revenue Build'!$C$6:$C$234,0)-1,MATCH(Charts!BI$3,'Revenue Build'!$C$5:$ET$5,0)-1)</f>
        <v>3585.843693237247</v>
      </c>
      <c r="BJ18" s="1016">
        <f ca="1">OFFSET('Revenue Build'!$C$6,MATCH(Charts!$E18,'Revenue Build'!$C$6:$C$234,0)-1,MATCH(Charts!BJ$3,'Revenue Build'!$C$5:$ET$5,0)-1)</f>
        <v>2734.9137034636219</v>
      </c>
      <c r="BK18" s="1016">
        <f ca="1">OFFSET('Revenue Build'!$C$6,MATCH(Charts!$E18,'Revenue Build'!$C$6:$C$234,0)-1,MATCH(Charts!BK$3,'Revenue Build'!$C$5:$ET$5,0)-1)</f>
        <v>3086.3504877522701</v>
      </c>
      <c r="BL18" s="1016">
        <f ca="1">OFFSET('Revenue Build'!$C$6,MATCH(Charts!$E18,'Revenue Build'!$C$6:$C$234,0)-1,MATCH(Charts!BL$3,'Revenue Build'!$C$5:$ET$5,0)-1)</f>
        <v>3110.4532179707153</v>
      </c>
      <c r="BM18" s="1016">
        <f ca="1">OFFSET('Revenue Build'!$C$6,MATCH(Charts!$E18,'Revenue Build'!$C$6:$C$234,0)-1,MATCH(Charts!BM$3,'Revenue Build'!$C$5:$ET$5,0)-1)</f>
        <v>4095.5799285259604</v>
      </c>
      <c r="BN18" s="906"/>
      <c r="BO18" s="906"/>
      <c r="BP18" s="906"/>
      <c r="BQ18" s="906"/>
      <c r="BR18" s="906"/>
      <c r="BS18" s="906"/>
      <c r="BT18" s="906"/>
      <c r="BU18" s="906"/>
      <c r="BV18" s="906"/>
      <c r="BW18" s="906"/>
      <c r="BX18" s="906"/>
      <c r="BY18" s="906"/>
      <c r="BZ18" s="906"/>
      <c r="CA18" s="906"/>
      <c r="CB18" s="906"/>
      <c r="CC18" s="906"/>
      <c r="CD18" s="906"/>
      <c r="CE18" s="906"/>
      <c r="CF18" s="906"/>
      <c r="CG18" s="906"/>
      <c r="CH18" s="906"/>
      <c r="CI18" s="906"/>
      <c r="CJ18" s="906"/>
      <c r="CK18" s="906"/>
      <c r="CL18" s="906"/>
      <c r="CM18" s="906"/>
      <c r="CN18" s="906"/>
      <c r="CO18" s="906"/>
      <c r="CP18" s="906"/>
      <c r="CQ18" s="906"/>
      <c r="CR18" s="906"/>
      <c r="CS18" s="906" t="str">
        <f>E18</f>
        <v>Shopify Payments Revenue</v>
      </c>
      <c r="CT18" s="1012">
        <f ca="1">OFFSET('Revenue Build'!$C$6,MATCH(Charts!$E18,'Revenue Build'!$C$6:$C$98,0)-1,MATCH(Charts!CT$4,'Revenue Build'!$C$4:$ES$4,0)-1)</f>
        <v>0</v>
      </c>
      <c r="CU18" s="1012">
        <f ca="1">OFFSET('Revenue Build'!$C$6,MATCH(Charts!$E18,'Revenue Build'!$C$6:$C$98,0)-1,MATCH(Charts!CU$4,'Revenue Build'!$C$4:$ES$4,0)-1)</f>
        <v>210.69833999999997</v>
      </c>
      <c r="CV18" s="1012">
        <f ca="1">OFFSET('Revenue Build'!$C$6,MATCH(Charts!$E18,'Revenue Build'!$C$6:$C$98,0)-1,MATCH(Charts!CV$4,'Revenue Build'!$C$4:$ES$4,0)-1)</f>
        <v>349.73397499999993</v>
      </c>
      <c r="CW18" s="1012">
        <f ca="1">OFFSET('Revenue Build'!$C$6,MATCH(Charts!$E18,'Revenue Build'!$C$6:$C$98,0)-1,MATCH(Charts!CW$4,'Revenue Build'!$C$4:$ES$4,0)-1)</f>
        <v>533.48123999999996</v>
      </c>
      <c r="CX18" s="1012">
        <f ca="1">OFFSET('Revenue Build'!$C$6,MATCH(Charts!$E18,'Revenue Build'!$C$6:$C$98,0)-1,MATCH(Charts!CX$4,'Revenue Build'!$C$4:$ES$4,0)-1)</f>
        <v>1141.7147099999997</v>
      </c>
      <c r="CY18" s="1012">
        <f ca="1">OFFSET('Revenue Build'!$C$6,MATCH(Charts!$E18,'Revenue Build'!$C$6:$C$98,0)-1,MATCH(Charts!CY$4,'Revenue Build'!$C$4:$ES$4,0)-1)</f>
        <v>1830.9323200000001</v>
      </c>
      <c r="CZ18" s="1012">
        <f ca="1">OFFSET('Revenue Build'!$C$6,MATCH(Charts!$E18,'Revenue Build'!$C$6:$C$98,0)-1,MATCH(Charts!CZ$4,'Revenue Build'!$C$4:$ES$4,0)-1)</f>
        <v>2273.9940649999999</v>
      </c>
      <c r="DA18" s="1012">
        <f ca="1">OFFSET('Revenue Build'!$C$6,MATCH(Charts!$E18,'Revenue Build'!$C$6:$C$98,0)-1,MATCH(Charts!DA$4,'Revenue Build'!$C$4:$ES$4,0)-1)</f>
        <v>2950.9949999999999</v>
      </c>
      <c r="DB18" s="1012">
        <f ca="1">OFFSET('Revenue Build'!$C$6,MATCH(Charts!$E18,'Revenue Build'!$C$6:$C$98,0)-1,MATCH(Charts!DB$4,'Revenue Build'!$C$4:$ES$4,0)-1)</f>
        <v>3692.0830999999989</v>
      </c>
      <c r="DC18" s="1012" t="e">
        <f ca="1">OFFSET('Revenue Build'!$C$6,MATCH(Charts!$E18,'Revenue Build'!$C$6:$C$98,0)-1,MATCH(Charts!DC$4,'Revenue Build'!$C$4:$ES$4,0)-1)</f>
        <v>#N/A</v>
      </c>
      <c r="DD18" s="1012">
        <f ca="1">OFFSET('Revenue Build'!$C$6,MATCH(Charts!$E18,'Revenue Build'!$C$6:$C$98,0)-1,MATCH(Charts!DD$4,'Revenue Build'!$C$4:$ES$4,0)-1)</f>
        <v>6607.3662544826366</v>
      </c>
      <c r="DE18" s="1012">
        <f ca="1">OFFSET('Revenue Build'!$C$6,MATCH(Charts!$E18,'Revenue Build'!$C$6:$C$98,0)-1,MATCH(Charts!DE$4,'Revenue Build'!$C$4:$ES$4,0)-1)</f>
        <v>8288.0618693853721</v>
      </c>
      <c r="DF18" s="1012">
        <f ca="1">OFFSET('Revenue Build'!$C$6,MATCH(Charts!$E18,'Revenue Build'!$C$6:$C$98,0)-1,MATCH(Charts!DF$4,'Revenue Build'!$C$4:$ES$4,0)-1)</f>
        <v>9823.8667863690534</v>
      </c>
      <c r="DG18" s="1012">
        <f ca="1">OFFSET('Revenue Build'!$C$6,MATCH(Charts!$E18,'Revenue Build'!$C$6:$C$98,0)-1,MATCH(Charts!DG$4,'Revenue Build'!$C$4:$ES$4,0)-1)</f>
        <v>11391.130641841643</v>
      </c>
      <c r="DH18" s="1012">
        <f ca="1">OFFSET('Revenue Build'!$C$6,MATCH(Charts!$E18,'Revenue Build'!$C$6:$C$98,0)-1,MATCH(Charts!DH$4,'Revenue Build'!$C$4:$ES$4,0)-1)</f>
        <v>13027.297337712567</v>
      </c>
    </row>
    <row r="19" spans="5:113">
      <c r="E19" s="8" t="str">
        <f>'Revenue Build'!C97</f>
        <v>3P Transaction Fee Revenue</v>
      </c>
      <c r="F19" s="1016">
        <f ca="1">OFFSET('Revenue Build'!$C$6,MATCH(Charts!$E19,'Revenue Build'!$C$6:$C$234,0)-1,MATCH(Charts!F$3,'Revenue Build'!$C$5:$ET$5,0)-1)</f>
        <v>0</v>
      </c>
      <c r="G19" s="1016">
        <f ca="1">OFFSET('Revenue Build'!$C$6,MATCH(Charts!$E19,'Revenue Build'!$C$6:$C$234,0)-1,MATCH(Charts!G$3,'Revenue Build'!$C$5:$ET$5,0)-1)</f>
        <v>0</v>
      </c>
      <c r="H19" s="1016">
        <f ca="1">OFFSET('Revenue Build'!$C$6,MATCH(Charts!$E19,'Revenue Build'!$C$6:$C$234,0)-1,MATCH(Charts!H$3,'Revenue Build'!$C$5:$ET$5,0)-1)</f>
        <v>0</v>
      </c>
      <c r="I19" s="1016">
        <f ca="1">OFFSET('Revenue Build'!$C$6,MATCH(Charts!$E19,'Revenue Build'!$C$6:$C$234,0)-1,MATCH(Charts!I$3,'Revenue Build'!$C$5:$ET$5,0)-1)</f>
        <v>0</v>
      </c>
      <c r="J19" s="1016">
        <f ca="1">OFFSET('Revenue Build'!$C$6,MATCH(Charts!$E19,'Revenue Build'!$C$6:$C$234,0)-1,MATCH(Charts!J$3,'Revenue Build'!$C$5:$ET$5,0)-1)</f>
        <v>22.201660000000004</v>
      </c>
      <c r="K19" s="1016">
        <f ca="1">OFFSET('Revenue Build'!$C$6,MATCH(Charts!$E19,'Revenue Build'!$C$6:$C$234,0)-1,MATCH(Charts!K$3,'Revenue Build'!$C$5:$ET$5,0)-1)</f>
        <v>27.219380000000001</v>
      </c>
      <c r="L19" s="1016">
        <f ca="1">OFFSET('Revenue Build'!$C$6,MATCH(Charts!$E19,'Revenue Build'!$C$6:$C$234,0)-1,MATCH(Charts!L$3,'Revenue Build'!$C$5:$ET$5,0)-1)</f>
        <v>30.267140000000001</v>
      </c>
      <c r="M19" s="1016">
        <f ca="1">OFFSET('Revenue Build'!$C$6,MATCH(Charts!$E19,'Revenue Build'!$C$6:$C$234,0)-1,MATCH(Charts!M$3,'Revenue Build'!$C$5:$ET$5,0)-1)</f>
        <v>43.824639999999995</v>
      </c>
      <c r="N19" s="1016">
        <f ca="1">OFFSET('Revenue Build'!$C$6,MATCH(Charts!$E19,'Revenue Build'!$C$6:$C$234,0)-1,MATCH(Charts!N$3,'Revenue Build'!$C$5:$ET$5,0)-1)</f>
        <v>36.525439999999996</v>
      </c>
      <c r="O19" s="1016">
        <f ca="1">OFFSET('Revenue Build'!$C$6,MATCH(Charts!$E19,'Revenue Build'!$C$6:$C$234,0)-1,MATCH(Charts!O$3,'Revenue Build'!$C$5:$ET$5,0)-1)</f>
        <v>42.957439999999998</v>
      </c>
      <c r="P19" s="1016">
        <f ca="1">OFFSET('Revenue Build'!$C$6,MATCH(Charts!$E19,'Revenue Build'!$C$6:$C$234,0)-1,MATCH(Charts!P$3,'Revenue Build'!$C$5:$ET$5,0)-1)</f>
        <v>47.855040000000002</v>
      </c>
      <c r="Q19" s="1016">
        <f ca="1">OFFSET('Revenue Build'!$C$6,MATCH(Charts!$E19,'Revenue Build'!$C$6:$C$234,0)-1,MATCH(Charts!Q$3,'Revenue Build'!$C$5:$ET$5,0)-1)</f>
        <v>67.296639999999996</v>
      </c>
      <c r="R19" s="1016">
        <f ca="1">OFFSET('Revenue Build'!$C$6,MATCH(Charts!$E19,'Revenue Build'!$C$6:$C$234,0)-1,MATCH(Charts!R$3,'Revenue Build'!$C$5:$ET$5,0)-1)</f>
        <v>54.009300000000003</v>
      </c>
      <c r="S19" s="1016">
        <f ca="1">OFFSET('Revenue Build'!$C$6,MATCH(Charts!$E19,'Revenue Build'!$C$6:$C$234,0)-1,MATCH(Charts!S$3,'Revenue Build'!$C$5:$ET$5,0)-1)</f>
        <v>62.679599999999994</v>
      </c>
      <c r="T19" s="1016">
        <f ca="1">OFFSET('Revenue Build'!$C$6,MATCH(Charts!$E19,'Revenue Build'!$C$6:$C$234,0)-1,MATCH(Charts!T$3,'Revenue Build'!$C$5:$ET$5,0)-1)</f>
        <v>67.492499999999993</v>
      </c>
      <c r="U19" s="1016">
        <f ca="1">OFFSET('Revenue Build'!$C$6,MATCH(Charts!$E19,'Revenue Build'!$C$6:$C$234,0)-1,MATCH(Charts!U$3,'Revenue Build'!$C$5:$ET$5,0)-1)</f>
        <v>96.598200000000006</v>
      </c>
      <c r="V19" s="1016">
        <f ca="1">OFFSET('Revenue Build'!$C$6,MATCH(Charts!$E19,'Revenue Build'!$C$6:$C$234,0)-1,MATCH(Charts!V$3,'Revenue Build'!$C$5:$ET$5,0)-1)</f>
        <v>79.069759999999988</v>
      </c>
      <c r="W19" s="1016">
        <f ca="1">OFFSET('Revenue Build'!$C$6,MATCH(Charts!$E19,'Revenue Build'!$C$6:$C$234,0)-1,MATCH(Charts!W$3,'Revenue Build'!$C$5:$ET$5,0)-1)</f>
        <v>145.01396</v>
      </c>
      <c r="X19" s="1016">
        <f ca="1">OFFSET('Revenue Build'!$C$6,MATCH(Charts!$E19,'Revenue Build'!$C$6:$C$234,0)-1,MATCH(Charts!X$3,'Revenue Build'!$C$5:$ET$5,0)-1)</f>
        <v>146.19667999999999</v>
      </c>
      <c r="Y19" s="1016">
        <f ca="1">OFFSET('Revenue Build'!$C$6,MATCH(Charts!$E19,'Revenue Build'!$C$6:$C$234,0)-1,MATCH(Charts!Y$3,'Revenue Build'!$C$5:$ET$5,0)-1)</f>
        <v>195.52511999999996</v>
      </c>
      <c r="Z19" s="1016">
        <f ca="1">OFFSET('Revenue Build'!$C$6,MATCH(Charts!$E19,'Revenue Build'!$C$6:$C$234,0)-1,MATCH(Charts!Z$3,'Revenue Build'!$C$5:$ET$5,0)-1)</f>
        <v>173.67115999999996</v>
      </c>
      <c r="AA19" s="1016">
        <f ca="1">OFFSET('Revenue Build'!$C$6,MATCH(Charts!$E19,'Revenue Build'!$C$6:$C$234,0)-1,MATCH(Charts!AA$3,'Revenue Build'!$C$5:$ET$5,0)-1)</f>
        <v>204.15407999999996</v>
      </c>
      <c r="AB19" s="1016">
        <f ca="1">OFFSET('Revenue Build'!$C$6,MATCH(Charts!$E19,'Revenue Build'!$C$6:$C$234,0)-1,MATCH(Charts!AB$3,'Revenue Build'!$C$5:$ET$5,0)-1)</f>
        <v>204.75831999999997</v>
      </c>
      <c r="AC19" s="1016">
        <f ca="1">OFFSET('Revenue Build'!$C$6,MATCH(Charts!$E19,'Revenue Build'!$C$6:$C$234,0)-1,MATCH(Charts!AC$3,'Revenue Build'!$C$5:$ET$5,0)-1)</f>
        <v>267.49215999999996</v>
      </c>
      <c r="AD19" s="1016">
        <f ca="1">OFFSET('Revenue Build'!$C$6,MATCH(Charts!$E19,'Revenue Build'!$C$6:$C$234,0)-1,MATCH(Charts!AD$3,'Revenue Build'!$C$5:$ET$5,0)-1)</f>
        <v>210.42118999999994</v>
      </c>
      <c r="AE19" s="1016">
        <f ca="1">OFFSET('Revenue Build'!$C$6,MATCH(Charts!$E19,'Revenue Build'!$C$6:$C$234,0)-1,MATCH(Charts!AE$3,'Revenue Build'!$C$5:$ET$5,0)-1)</f>
        <v>227.51189999999994</v>
      </c>
      <c r="AF19" s="1016">
        <f ca="1">OFFSET('Revenue Build'!$C$6,MATCH(Charts!$E19,'Revenue Build'!$C$6:$C$234,0)-1,MATCH(Charts!AF$3,'Revenue Build'!$C$5:$ET$5,0)-1)</f>
        <v>242.52525499999993</v>
      </c>
      <c r="AG19" s="1016">
        <f ca="1">OFFSET('Revenue Build'!$C$6,MATCH(Charts!$E19,'Revenue Build'!$C$6:$C$234,0)-1,MATCH(Charts!AG$3,'Revenue Build'!$C$5:$ET$5,0)-1)</f>
        <v>327.0073799999999</v>
      </c>
      <c r="AH19" s="1016">
        <f ca="1">OFFSET('Revenue Build'!$C$6,MATCH(Charts!$E19,'Revenue Build'!$C$6:$C$234,0)-1,MATCH(Charts!AH$3,'Revenue Build'!$C$5:$ET$5,0)-1)</f>
        <v>264.60999999999996</v>
      </c>
      <c r="AI19" s="1016">
        <f ca="1">OFFSET('Revenue Build'!$C$6,MATCH(Charts!$E19,'Revenue Build'!$C$6:$C$234,0)-1,MATCH(Charts!AI$3,'Revenue Build'!$C$5:$ET$5,0)-1)</f>
        <v>293.75</v>
      </c>
      <c r="AJ19" s="1016">
        <f ca="1">OFFSET('Revenue Build'!$C$6,MATCH(Charts!$E19,'Revenue Build'!$C$6:$C$234,0)-1,MATCH(Charts!AJ$3,'Revenue Build'!$C$5:$ET$5,0)-1)</f>
        <v>288.58</v>
      </c>
      <c r="AK19" s="1016">
        <f ca="1">OFFSET('Revenue Build'!$C$6,MATCH(Charts!$E19,'Revenue Build'!$C$6:$C$234,0)-1,MATCH(Charts!AK$3,'Revenue Build'!$C$5:$ET$5,0)-1)</f>
        <v>380.46499999999997</v>
      </c>
      <c r="AL19" s="1016">
        <f ca="1">OFFSET('Revenue Build'!$C$6,MATCH(Charts!$E19,'Revenue Build'!$C$6:$C$234,0)-1,MATCH(Charts!AL$3,'Revenue Build'!$C$5:$ET$5,0)-1)</f>
        <v>310.5</v>
      </c>
      <c r="AM19" s="1016">
        <f ca="1">OFFSET('Revenue Build'!$C$6,MATCH(Charts!$E19,'Revenue Build'!$C$6:$C$234,0)-1,MATCH(Charts!AM$3,'Revenue Build'!$C$5:$ET$5,0)-1)</f>
        <v>340.85999999999996</v>
      </c>
      <c r="AN19" s="1016">
        <f ca="1">OFFSET('Revenue Build'!$C$6,MATCH(Charts!$E19,'Revenue Build'!$C$6:$C$234,0)-1,MATCH(Charts!AN$3,'Revenue Build'!$C$5:$ET$5,0)-1)</f>
        <v>356.96</v>
      </c>
      <c r="AO19" s="1016">
        <f ca="1">OFFSET('Revenue Build'!$C$6,MATCH(Charts!$E19,'Revenue Build'!$C$6:$C$234,0)-1,MATCH(Charts!AO$3,'Revenue Build'!$C$5:$ET$5,0)-1)</f>
        <v>493.58</v>
      </c>
      <c r="AP19" s="1016">
        <f ca="1">OFFSET('Revenue Build'!$C$6,MATCH(Charts!$E19,'Revenue Build'!$C$6:$C$234,0)-1,MATCH(Charts!AP$3,'Revenue Build'!$C$5:$ET$5,0)-1)</f>
        <v>391.49999999999994</v>
      </c>
      <c r="AQ19" s="1016">
        <f ca="1">OFFSET('Revenue Build'!$C$6,MATCH(Charts!$E19,'Revenue Build'!$C$6:$C$234,0)-1,MATCH(Charts!AQ$3,'Revenue Build'!$C$5:$ET$5,0)-1)</f>
        <v>455.4</v>
      </c>
      <c r="AR19" s="1016">
        <f ca="1">OFFSET('Revenue Build'!$C$6,MATCH(Charts!$E19,'Revenue Build'!$C$6:$C$234,0)-1,MATCH(Charts!AR$3,'Revenue Build'!$C$5:$ET$5,0)-1)</f>
        <v>482.62499999999994</v>
      </c>
      <c r="AS19" s="1016">
        <f ca="1">OFFSET('Revenue Build'!$C$6,MATCH(Charts!$E19,'Revenue Build'!$C$6:$C$234,0)-1,MATCH(Charts!AS$3,'Revenue Build'!$C$5:$ET$5,0)-1)</f>
        <v>651.37499999999989</v>
      </c>
      <c r="AT19" s="1016">
        <f ca="1">OFFSET('Revenue Build'!$C$6,MATCH(Charts!$E19,'Revenue Build'!$C$6:$C$234,0)-1,MATCH(Charts!AT$3,'Revenue Build'!$C$5:$ET$5,0)-1)</f>
        <v>513.04</v>
      </c>
      <c r="AU19" s="1016">
        <f ca="1">OFFSET('Revenue Build'!$C$6,MATCH(Charts!$E19,'Revenue Build'!$C$6:$C$234,0)-1,MATCH(Charts!AU$3,'Revenue Build'!$C$5:$ET$5,0)-1)</f>
        <v>611.81999999999994</v>
      </c>
      <c r="AV19" s="1016">
        <f ca="1">OFFSET('Revenue Build'!$C$6,MATCH(Charts!$E19,'Revenue Build'!$C$6:$C$234,0)-1,MATCH(Charts!AV$3,'Revenue Build'!$C$5:$ET$5,0)-1)</f>
        <v>603.12461330482768</v>
      </c>
      <c r="AW19" s="1016">
        <f ca="1">OFFSET('Revenue Build'!$C$6,MATCH(Charts!$E19,'Revenue Build'!$C$6:$C$234,0)-1,MATCH(Charts!AW$3,'Revenue Build'!$C$5:$ET$5,0)-1)</f>
        <v>802.22367597648861</v>
      </c>
      <c r="AX19" s="1016">
        <f ca="1">OFFSET('Revenue Build'!$C$6,MATCH(Charts!$E19,'Revenue Build'!$C$6:$C$234,0)-1,MATCH(Charts!AX$3,'Revenue Build'!$C$5:$ET$5,0)-1)</f>
        <v>629.77968805355283</v>
      </c>
      <c r="AY19" s="1016">
        <f ca="1">OFFSET('Revenue Build'!$C$6,MATCH(Charts!$E19,'Revenue Build'!$C$6:$C$234,0)-1,MATCH(Charts!AY$3,'Revenue Build'!$C$5:$ET$5,0)-1)</f>
        <v>754.01845386000002</v>
      </c>
      <c r="AZ19" s="1016">
        <f ca="1">OFFSET('Revenue Build'!$C$6,MATCH(Charts!$E19,'Revenue Build'!$C$6:$C$234,0)-1,MATCH(Charts!AZ$3,'Revenue Build'!$C$5:$ET$5,0)-1)</f>
        <v>733.46840240431015</v>
      </c>
      <c r="BA19" s="1016">
        <f ca="1">OFFSET('Revenue Build'!$C$6,MATCH(Charts!$E19,'Revenue Build'!$C$6:$C$234,0)-1,MATCH(Charts!BA$3,'Revenue Build'!$C$5:$ET$5,0)-1)</f>
        <v>962.05133522494054</v>
      </c>
      <c r="BB19" s="1016">
        <f ca="1">OFFSET('Revenue Build'!$C$6,MATCH(Charts!$E19,'Revenue Build'!$C$6:$C$234,0)-1,MATCH(Charts!BB$3,'Revenue Build'!$C$5:$ET$5,0)-1)</f>
        <v>745.90284269231859</v>
      </c>
      <c r="BC19" s="1016">
        <f ca="1">OFFSET('Revenue Build'!$C$6,MATCH(Charts!$E19,'Revenue Build'!$C$6:$C$234,0)-1,MATCH(Charts!BC$3,'Revenue Build'!$C$5:$ET$5,0)-1)</f>
        <v>890.74282836600003</v>
      </c>
      <c r="BD19" s="1016">
        <f ca="1">OFFSET('Revenue Build'!$C$6,MATCH(Charts!$E19,'Revenue Build'!$C$6:$C$234,0)-1,MATCH(Charts!BD$3,'Revenue Build'!$C$5:$ET$5,0)-1)</f>
        <v>868.35165285879316</v>
      </c>
      <c r="BE19" s="1016">
        <f ca="1">OFFSET('Revenue Build'!$C$6,MATCH(Charts!$E19,'Revenue Build'!$C$6:$C$234,0)-1,MATCH(Charts!BE$3,'Revenue Build'!$C$5:$ET$5,0)-1)</f>
        <v>1133.6553759941801</v>
      </c>
      <c r="BF19" s="1016">
        <f ca="1">OFFSET('Revenue Build'!$C$6,MATCH(Charts!$E19,'Revenue Build'!$C$6:$C$234,0)-1,MATCH(Charts!BF$3,'Revenue Build'!$C$5:$ET$5,0)-1)</f>
        <v>863.79139437303922</v>
      </c>
      <c r="BG19" s="1016">
        <f ca="1">OFFSET('Revenue Build'!$C$6,MATCH(Charts!$E19,'Revenue Build'!$C$6:$C$234,0)-1,MATCH(Charts!BG$3,'Revenue Build'!$C$5:$ET$5,0)-1)</f>
        <v>1028.8379517561002</v>
      </c>
      <c r="BH19" s="1016">
        <f ca="1">OFFSET('Revenue Build'!$C$6,MATCH(Charts!$E19,'Revenue Build'!$C$6:$C$234,0)-1,MATCH(Charts!BH$3,'Revenue Build'!$C$5:$ET$5,0)-1)</f>
        <v>1005.1709881105862</v>
      </c>
      <c r="BI19" s="1016">
        <f ca="1">OFFSET('Revenue Build'!$C$6,MATCH(Charts!$E19,'Revenue Build'!$C$6:$C$234,0)-1,MATCH(Charts!BI$3,'Revenue Build'!$C$5:$ET$5,0)-1)</f>
        <v>1305.9218582211013</v>
      </c>
      <c r="BJ19" s="1016">
        <f ca="1">OFFSET('Revenue Build'!$C$6,MATCH(Charts!$E19,'Revenue Build'!$C$6:$C$234,0)-1,MATCH(Charts!BJ$3,'Revenue Build'!$C$5:$ET$5,0)-1)</f>
        <v>986.06498642967665</v>
      </c>
      <c r="BK19" s="1016">
        <f ca="1">OFFSET('Revenue Build'!$C$6,MATCH(Charts!$E19,'Revenue Build'!$C$6:$C$234,0)-1,MATCH(Charts!BK$3,'Revenue Build'!$C$5:$ET$5,0)-1)</f>
        <v>1171.3812300560703</v>
      </c>
      <c r="BL19" s="1016">
        <f ca="1">OFFSET('Revenue Build'!$C$6,MATCH(Charts!$E19,'Revenue Build'!$C$6:$C$234,0)-1,MATCH(Charts!BL$3,'Revenue Build'!$C$5:$ET$5,0)-1)</f>
        <v>1146.9660490577248</v>
      </c>
      <c r="BM19" s="1016">
        <f ca="1">OFFSET('Revenue Build'!$C$6,MATCH(Charts!$E19,'Revenue Build'!$C$6:$C$234,0)-1,MATCH(Charts!BM$3,'Revenue Build'!$C$5:$ET$5,0)-1)</f>
        <v>1482.6223980631423</v>
      </c>
      <c r="BN19" s="906"/>
      <c r="BO19" s="906"/>
      <c r="BP19" s="906"/>
      <c r="BQ19" s="906"/>
      <c r="BR19" s="906"/>
      <c r="BS19" s="906"/>
      <c r="BT19" s="906"/>
      <c r="BU19" s="906"/>
      <c r="BV19" s="906"/>
      <c r="BW19" s="906"/>
      <c r="BX19" s="906"/>
      <c r="BY19" s="906"/>
      <c r="BZ19" s="906"/>
      <c r="CA19" s="906"/>
      <c r="CB19" s="906"/>
      <c r="CC19" s="906"/>
      <c r="CD19" s="906"/>
      <c r="CE19" s="906"/>
      <c r="CF19" s="906"/>
      <c r="CG19" s="906"/>
      <c r="CH19" s="906"/>
      <c r="CI19" s="906"/>
      <c r="CJ19" s="906"/>
      <c r="CK19" s="906"/>
      <c r="CL19" s="906"/>
      <c r="CM19" s="906"/>
      <c r="CN19" s="906"/>
      <c r="CO19" s="906"/>
      <c r="CP19" s="906"/>
      <c r="CQ19" s="906"/>
      <c r="CR19" s="906"/>
      <c r="CS19" s="906" t="str">
        <f>E19</f>
        <v>3P Transaction Fee Revenue</v>
      </c>
      <c r="CT19" s="1012">
        <f ca="1">OFFSET('Revenue Build'!$C$6,MATCH(Charts!$E19,'Revenue Build'!$C$6:$C$98,0)-1,MATCH(Charts!CT$4,'Revenue Build'!$C$4:$ES$4,0)-1)</f>
        <v>0</v>
      </c>
      <c r="CU19" s="1012">
        <f ca="1">OFFSET('Revenue Build'!$C$6,MATCH(Charts!$E19,'Revenue Build'!$C$6:$C$98,0)-1,MATCH(Charts!CU$4,'Revenue Build'!$C$4:$ES$4,0)-1)</f>
        <v>123.51282</v>
      </c>
      <c r="CV19" s="1012">
        <f ca="1">OFFSET('Revenue Build'!$C$6,MATCH(Charts!$E19,'Revenue Build'!$C$6:$C$98,0)-1,MATCH(Charts!CV$4,'Revenue Build'!$C$4:$ES$4,0)-1)</f>
        <v>194.63455999999999</v>
      </c>
      <c r="CW19" s="1012">
        <f ca="1">OFFSET('Revenue Build'!$C$6,MATCH(Charts!$E19,'Revenue Build'!$C$6:$C$98,0)-1,MATCH(Charts!CW$4,'Revenue Build'!$C$4:$ES$4,0)-1)</f>
        <v>280.77960000000002</v>
      </c>
      <c r="CX19" s="1012">
        <f ca="1">OFFSET('Revenue Build'!$C$6,MATCH(Charts!$E19,'Revenue Build'!$C$6:$C$98,0)-1,MATCH(Charts!CX$4,'Revenue Build'!$C$4:$ES$4,0)-1)</f>
        <v>565.80551999999989</v>
      </c>
      <c r="CY19" s="1012">
        <f ca="1">OFFSET('Revenue Build'!$C$6,MATCH(Charts!$E19,'Revenue Build'!$C$6:$C$98,0)-1,MATCH(Charts!CY$4,'Revenue Build'!$C$4:$ES$4,0)-1)</f>
        <v>850.07571999999982</v>
      </c>
      <c r="CZ19" s="1012">
        <f ca="1">OFFSET('Revenue Build'!$C$6,MATCH(Charts!$E19,'Revenue Build'!$C$6:$C$98,0)-1,MATCH(Charts!CZ$4,'Revenue Build'!$C$4:$ES$4,0)-1)</f>
        <v>1007.4657249999997</v>
      </c>
      <c r="DA19" s="1012">
        <f ca="1">OFFSET('Revenue Build'!$C$6,MATCH(Charts!$E19,'Revenue Build'!$C$6:$C$98,0)-1,MATCH(Charts!DA$4,'Revenue Build'!$C$4:$ES$4,0)-1)</f>
        <v>1227.4049999999997</v>
      </c>
      <c r="DB19" s="1012">
        <f ca="1">OFFSET('Revenue Build'!$C$6,MATCH(Charts!$E19,'Revenue Build'!$C$6:$C$98,0)-1,MATCH(Charts!DB$4,'Revenue Build'!$C$4:$ES$4,0)-1)</f>
        <v>1501.8999999999999</v>
      </c>
      <c r="DC19" s="1012" t="e">
        <f ca="1">OFFSET('Revenue Build'!$C$6,MATCH(Charts!$E19,'Revenue Build'!$C$6:$C$98,0)-1,MATCH(Charts!DC$4,'Revenue Build'!$C$4:$ES$4,0)-1)</f>
        <v>#N/A</v>
      </c>
      <c r="DD19" s="1012">
        <f ca="1">OFFSET('Revenue Build'!$C$6,MATCH(Charts!$E19,'Revenue Build'!$C$6:$C$98,0)-1,MATCH(Charts!DD$4,'Revenue Build'!$C$4:$ES$4,0)-1)</f>
        <v>2530.2082892813164</v>
      </c>
      <c r="DE19" s="1012">
        <f ca="1">OFFSET('Revenue Build'!$C$6,MATCH(Charts!$E19,'Revenue Build'!$C$6:$C$98,0)-1,MATCH(Charts!DE$4,'Revenue Build'!$C$4:$ES$4,0)-1)</f>
        <v>3079.3178795428034</v>
      </c>
      <c r="DF19" s="1012">
        <f ca="1">OFFSET('Revenue Build'!$C$6,MATCH(Charts!$E19,'Revenue Build'!$C$6:$C$98,0)-1,MATCH(Charts!DF$4,'Revenue Build'!$C$4:$ES$4,0)-1)</f>
        <v>3638.6526999112921</v>
      </c>
      <c r="DG19" s="1012">
        <f ca="1">OFFSET('Revenue Build'!$C$6,MATCH(Charts!$E19,'Revenue Build'!$C$6:$C$98,0)-1,MATCH(Charts!DG$4,'Revenue Build'!$C$4:$ES$4,0)-1)</f>
        <v>4203.7221924608266</v>
      </c>
      <c r="DH19" s="1012">
        <f ca="1">OFFSET('Revenue Build'!$C$6,MATCH(Charts!$E19,'Revenue Build'!$C$6:$C$98,0)-1,MATCH(Charts!DH$4,'Revenue Build'!$C$4:$ES$4,0)-1)</f>
        <v>4787.0346636066142</v>
      </c>
    </row>
    <row r="20" spans="5:113">
      <c r="E20" s="1025" t="str">
        <f>'Revenue Build'!C101</f>
        <v>Total Payments Revenue</v>
      </c>
      <c r="F20" s="1017">
        <f ca="1">OFFSET('Revenue Build'!$C$6,MATCH(Charts!$E20,'Revenue Build'!$C$6:$C$234,0)-1,MATCH(Charts!F$3,'Revenue Build'!$C$5:$ET$5,0)-1)</f>
        <v>0</v>
      </c>
      <c r="G20" s="1017">
        <f ca="1">OFFSET('Revenue Build'!$C$6,MATCH(Charts!$E20,'Revenue Build'!$C$6:$C$234,0)-1,MATCH(Charts!G$3,'Revenue Build'!$C$5:$ET$5,0)-1)</f>
        <v>0</v>
      </c>
      <c r="H20" s="1017">
        <f ca="1">OFFSET('Revenue Build'!$C$6,MATCH(Charts!$E20,'Revenue Build'!$C$6:$C$234,0)-1,MATCH(Charts!H$3,'Revenue Build'!$C$5:$ET$5,0)-1)</f>
        <v>0</v>
      </c>
      <c r="I20" s="1017">
        <f ca="1">OFFSET('Revenue Build'!$C$6,MATCH(Charts!$E20,'Revenue Build'!$C$6:$C$234,0)-1,MATCH(Charts!I$3,'Revenue Build'!$C$5:$ET$5,0)-1)</f>
        <v>0</v>
      </c>
      <c r="J20" s="1017">
        <f ca="1">OFFSET('Revenue Build'!$C$6,MATCH(Charts!$E20,'Revenue Build'!$C$6:$C$234,0)-1,MATCH(Charts!J$3,'Revenue Build'!$C$5:$ET$5,0)-1)</f>
        <v>60.075080000000007</v>
      </c>
      <c r="K20" s="1017">
        <f ca="1">OFFSET('Revenue Build'!$C$6,MATCH(Charts!$E20,'Revenue Build'!$C$6:$C$234,0)-1,MATCH(Charts!K$3,'Revenue Build'!$C$5:$ET$5,0)-1)</f>
        <v>73.652439999999999</v>
      </c>
      <c r="L20" s="1017">
        <f ca="1">OFFSET('Revenue Build'!$C$6,MATCH(Charts!$E20,'Revenue Build'!$C$6:$C$234,0)-1,MATCH(Charts!L$3,'Revenue Build'!$C$5:$ET$5,0)-1)</f>
        <v>81.899320000000003</v>
      </c>
      <c r="M20" s="1017">
        <f ca="1">OFFSET('Revenue Build'!$C$6,MATCH(Charts!$E20,'Revenue Build'!$C$6:$C$234,0)-1,MATCH(Charts!M$3,'Revenue Build'!$C$5:$ET$5,0)-1)</f>
        <v>118.58431999999999</v>
      </c>
      <c r="N20" s="1017">
        <f ca="1">OFFSET('Revenue Build'!$C$6,MATCH(Charts!$E20,'Revenue Build'!$C$6:$C$234,0)-1,MATCH(Charts!N$3,'Revenue Build'!$C$5:$ET$5,0)-1)</f>
        <v>102.15708999999998</v>
      </c>
      <c r="O20" s="1017">
        <f ca="1">OFFSET('Revenue Build'!$C$6,MATCH(Charts!$E20,'Revenue Build'!$C$6:$C$234,0)-1,MATCH(Charts!O$3,'Revenue Build'!$C$5:$ET$5,0)-1)</f>
        <v>120.14658999999997</v>
      </c>
      <c r="P20" s="1017">
        <f ca="1">OFFSET('Revenue Build'!$C$6,MATCH(Charts!$E20,'Revenue Build'!$C$6:$C$234,0)-1,MATCH(Charts!P$3,'Revenue Build'!$C$5:$ET$5,0)-1)</f>
        <v>133.84456499999999</v>
      </c>
      <c r="Q20" s="1017">
        <f ca="1">OFFSET('Revenue Build'!$C$6,MATCH(Charts!$E20,'Revenue Build'!$C$6:$C$234,0)-1,MATCH(Charts!Q$3,'Revenue Build'!$C$5:$ET$5,0)-1)</f>
        <v>188.22028999999998</v>
      </c>
      <c r="R20" s="1017">
        <f ca="1">OFFSET('Revenue Build'!$C$6,MATCH(Charts!$E20,'Revenue Build'!$C$6:$C$234,0)-1,MATCH(Charts!R$3,'Revenue Build'!$C$5:$ET$5,0)-1)</f>
        <v>156.62697</v>
      </c>
      <c r="S20" s="1017">
        <f ca="1">OFFSET('Revenue Build'!$C$6,MATCH(Charts!$E20,'Revenue Build'!$C$6:$C$234,0)-1,MATCH(Charts!S$3,'Revenue Build'!$C$5:$ET$5,0)-1)</f>
        <v>181.77083999999996</v>
      </c>
      <c r="T20" s="1017">
        <f ca="1">OFFSET('Revenue Build'!$C$6,MATCH(Charts!$E20,'Revenue Build'!$C$6:$C$234,0)-1,MATCH(Charts!T$3,'Revenue Build'!$C$5:$ET$5,0)-1)</f>
        <v>195.72825</v>
      </c>
      <c r="U20" s="1017">
        <f ca="1">OFFSET('Revenue Build'!$C$6,MATCH(Charts!$E20,'Revenue Build'!$C$6:$C$234,0)-1,MATCH(Charts!U$3,'Revenue Build'!$C$5:$ET$5,0)-1)</f>
        <v>280.13477999999998</v>
      </c>
      <c r="V20" s="1017">
        <f ca="1">OFFSET('Revenue Build'!$C$6,MATCH(Charts!$E20,'Revenue Build'!$C$6:$C$234,0)-1,MATCH(Charts!V$3,'Revenue Build'!$C$5:$ET$5,0)-1)</f>
        <v>238.62123999999994</v>
      </c>
      <c r="W20" s="1017">
        <f ca="1">OFFSET('Revenue Build'!$C$6,MATCH(Charts!$E20,'Revenue Build'!$C$6:$C$234,0)-1,MATCH(Charts!W$3,'Revenue Build'!$C$5:$ET$5,0)-1)</f>
        <v>437.631415</v>
      </c>
      <c r="X20" s="1017">
        <f ca="1">OFFSET('Revenue Build'!$C$6,MATCH(Charts!$E20,'Revenue Build'!$C$6:$C$234,0)-1,MATCH(Charts!X$3,'Revenue Build'!$C$5:$ET$5,0)-1)</f>
        <v>441.200695</v>
      </c>
      <c r="Y20" s="1017">
        <f ca="1">OFFSET('Revenue Build'!$C$6,MATCH(Charts!$E20,'Revenue Build'!$C$6:$C$234,0)-1,MATCH(Charts!Y$3,'Revenue Build'!$C$5:$ET$5,0)-1)</f>
        <v>590.06687999999986</v>
      </c>
      <c r="Z20" s="1017">
        <f ca="1">OFFSET('Revenue Build'!$C$6,MATCH(Charts!$E20,'Revenue Build'!$C$6:$C$234,0)-1,MATCH(Charts!Z$3,'Revenue Build'!$C$5:$ET$5,0)-1)</f>
        <v>547.73212000000001</v>
      </c>
      <c r="AA20" s="1017">
        <f ca="1">OFFSET('Revenue Build'!$C$6,MATCH(Charts!$E20,'Revenue Build'!$C$6:$C$234,0)-1,MATCH(Charts!AA$3,'Revenue Build'!$C$5:$ET$5,0)-1)</f>
        <v>643.87056000000007</v>
      </c>
      <c r="AB20" s="1017">
        <f ca="1">OFFSET('Revenue Build'!$C$6,MATCH(Charts!$E20,'Revenue Build'!$C$6:$C$234,0)-1,MATCH(Charts!AB$3,'Revenue Build'!$C$5:$ET$5,0)-1)</f>
        <v>645.77624000000003</v>
      </c>
      <c r="AC20" s="1017">
        <f ca="1">OFFSET('Revenue Build'!$C$6,MATCH(Charts!$E20,'Revenue Build'!$C$6:$C$234,0)-1,MATCH(Charts!AC$3,'Revenue Build'!$C$5:$ET$5,0)-1)</f>
        <v>843.62912000000006</v>
      </c>
      <c r="AD20" s="1017">
        <f ca="1">OFFSET('Revenue Build'!$C$6,MATCH(Charts!$E20,'Revenue Build'!$C$6:$C$234,0)-1,MATCH(Charts!AD$3,'Revenue Build'!$C$5:$ET$5,0)-1)</f>
        <v>685.37187599999993</v>
      </c>
      <c r="AE20" s="1017">
        <f ca="1">OFFSET('Revenue Build'!$C$6,MATCH(Charts!$E20,'Revenue Build'!$C$6:$C$234,0)-1,MATCH(Charts!AE$3,'Revenue Build'!$C$5:$ET$5,0)-1)</f>
        <v>741.03876000000002</v>
      </c>
      <c r="AF20" s="1017">
        <f ca="1">OFFSET('Revenue Build'!$C$6,MATCH(Charts!$E20,'Revenue Build'!$C$6:$C$234,0)-1,MATCH(Charts!AF$3,'Revenue Build'!$C$5:$ET$5,0)-1)</f>
        <v>789.93940199999997</v>
      </c>
      <c r="AG20" s="1017">
        <f ca="1">OFFSET('Revenue Build'!$C$6,MATCH(Charts!$E20,'Revenue Build'!$C$6:$C$234,0)-1,MATCH(Charts!AG$3,'Revenue Build'!$C$5:$ET$5,0)-1)</f>
        <v>1065.1097519999998</v>
      </c>
      <c r="AH20" s="1017">
        <f ca="1">OFFSET('Revenue Build'!$C$6,MATCH(Charts!$E20,'Revenue Build'!$C$6:$C$234,0)-1,MATCH(Charts!AH$3,'Revenue Build'!$C$5:$ET$5,0)-1)</f>
        <v>900.8</v>
      </c>
      <c r="AI20" s="1017">
        <f ca="1">OFFSET('Revenue Build'!$C$6,MATCH(Charts!$E20,'Revenue Build'!$C$6:$C$234,0)-1,MATCH(Charts!AI$3,'Revenue Build'!$C$5:$ET$5,0)-1)</f>
        <v>999.99999999999989</v>
      </c>
      <c r="AJ20" s="1017">
        <f ca="1">OFFSET('Revenue Build'!$C$6,MATCH(Charts!$E20,'Revenue Build'!$C$6:$C$234,0)-1,MATCH(Charts!AJ$3,'Revenue Build'!$C$5:$ET$5,0)-1)</f>
        <v>982.39999999999986</v>
      </c>
      <c r="AK20" s="1017">
        <f ca="1">OFFSET('Revenue Build'!$C$6,MATCH(Charts!$E20,'Revenue Build'!$C$6:$C$234,0)-1,MATCH(Charts!AK$3,'Revenue Build'!$C$5:$ET$5,0)-1)</f>
        <v>1295.1999999999998</v>
      </c>
      <c r="AL20" s="1017">
        <f ca="1">OFFSET('Revenue Build'!$C$6,MATCH(Charts!$E20,'Revenue Build'!$C$6:$C$234,0)-1,MATCH(Charts!AL$3,'Revenue Build'!$C$5:$ET$5,0)-1)</f>
        <v>1073.4524999999999</v>
      </c>
      <c r="AM20" s="1017">
        <f ca="1">OFFSET('Revenue Build'!$C$6,MATCH(Charts!$E20,'Revenue Build'!$C$6:$C$234,0)-1,MATCH(Charts!AM$3,'Revenue Build'!$C$5:$ET$5,0)-1)</f>
        <v>1178.6345999999999</v>
      </c>
      <c r="AN20" s="1017">
        <f ca="1">OFFSET('Revenue Build'!$C$6,MATCH(Charts!$E20,'Revenue Build'!$C$6:$C$234,0)-1,MATCH(Charts!AN$3,'Revenue Build'!$C$5:$ET$5,0)-1)</f>
        <v>1234.5383999999999</v>
      </c>
      <c r="AO20" s="1017">
        <f ca="1">OFFSET('Revenue Build'!$C$6,MATCH(Charts!$E20,'Revenue Build'!$C$6:$C$234,0)-1,MATCH(Charts!AO$3,'Revenue Build'!$C$5:$ET$5,0)-1)</f>
        <v>1707.3575999999996</v>
      </c>
      <c r="AP20" s="1017">
        <f ca="1">OFFSET('Revenue Build'!$C$6,MATCH(Charts!$E20,'Revenue Build'!$C$6:$C$234,0)-1,MATCH(Charts!AP$3,'Revenue Build'!$C$5:$ET$5,0)-1)</f>
        <v>1375.9049999999997</v>
      </c>
      <c r="AQ20" s="1017">
        <f ca="1">OFFSET('Revenue Build'!$C$6,MATCH(Charts!$E20,'Revenue Build'!$C$6:$C$234,0)-1,MATCH(Charts!AQ$3,'Revenue Build'!$C$5:$ET$5,0)-1)</f>
        <v>1600.7815999999998</v>
      </c>
      <c r="AR20" s="1017">
        <f ca="1">OFFSET('Revenue Build'!$C$6,MATCH(Charts!$E20,'Revenue Build'!$C$6:$C$234,0)-1,MATCH(Charts!AR$3,'Revenue Build'!$C$5:$ET$5,0)-1)</f>
        <v>1696.8022499999997</v>
      </c>
      <c r="AS20" s="1017">
        <f ca="1">OFFSET('Revenue Build'!$C$6,MATCH(Charts!$E20,'Revenue Build'!$C$6:$C$234,0)-1,MATCH(Charts!AS$3,'Revenue Build'!$C$5:$ET$5,0)-1)</f>
        <v>2290.5239999999994</v>
      </c>
      <c r="AT20" s="1017">
        <f ca="1">OFFSET('Revenue Build'!$C$6,MATCH(Charts!$E20,'Revenue Build'!$C$6:$C$234,0)-1,MATCH(Charts!AT$3,'Revenue Build'!$C$5:$ET$5,0)-1)</f>
        <v>1862.135569162919</v>
      </c>
      <c r="AU20" s="1017">
        <f ca="1">OFFSET('Revenue Build'!$C$6,MATCH(Charts!$E20,'Revenue Build'!$C$6:$C$234,0)-1,MATCH(Charts!AU$3,'Revenue Build'!$C$5:$ET$5,0)-1)</f>
        <v>2162.5820995215195</v>
      </c>
      <c r="AV20" s="1017">
        <f ca="1">OFFSET('Revenue Build'!$C$6,MATCH(Charts!$E20,'Revenue Build'!$C$6:$C$234,0)-1,MATCH(Charts!AV$3,'Revenue Build'!$C$5:$ET$5,0)-1)</f>
        <v>2189.7818711011464</v>
      </c>
      <c r="AW20" s="1017">
        <f ca="1">OFFSET('Revenue Build'!$C$6,MATCH(Charts!$E20,'Revenue Build'!$C$6:$C$234,0)-1,MATCH(Charts!AW$3,'Revenue Build'!$C$5:$ET$5,0)-1)</f>
        <v>2923.0750039783679</v>
      </c>
      <c r="AX20" s="1017">
        <f ca="1">OFFSET('Revenue Build'!$C$6,MATCH(Charts!$E20,'Revenue Build'!$C$6:$C$234,0)-1,MATCH(Charts!AX$3,'Revenue Build'!$C$5:$ET$5,0)-1)</f>
        <v>2364.2346216523738</v>
      </c>
      <c r="AY20" s="1017">
        <f ca="1">OFFSET('Revenue Build'!$C$6,MATCH(Charts!$E20,'Revenue Build'!$C$6:$C$234,0)-1,MATCH(Charts!AY$3,'Revenue Build'!$C$5:$ET$5,0)-1)</f>
        <v>2715.9278580889249</v>
      </c>
      <c r="AZ20" s="1017">
        <f ca="1">OFFSET('Revenue Build'!$C$6,MATCH(Charts!$E20,'Revenue Build'!$C$6:$C$234,0)-1,MATCH(Charts!AZ$3,'Revenue Build'!$C$5:$ET$5,0)-1)</f>
        <v>2709.7000390212579</v>
      </c>
      <c r="BA20" s="1017">
        <f ca="1">OFFSET('Revenue Build'!$C$6,MATCH(Charts!$E20,'Revenue Build'!$C$6:$C$234,0)-1,MATCH(Charts!BA$3,'Revenue Build'!$C$5:$ET$5,0)-1)</f>
        <v>3577.5172301656189</v>
      </c>
      <c r="BB20" s="1017">
        <f ca="1">OFFSET('Revenue Build'!$C$6,MATCH(Charts!$E20,'Revenue Build'!$C$6:$C$234,0)-1,MATCH(Charts!BB$3,'Revenue Build'!$C$5:$ET$5,0)-1)</f>
        <v>2803.8607913063574</v>
      </c>
      <c r="BC20" s="1017">
        <f ca="1">OFFSET('Revenue Build'!$C$6,MATCH(Charts!$E20,'Revenue Build'!$C$6:$C$234,0)-1,MATCH(Charts!BC$3,'Revenue Build'!$C$5:$ET$5,0)-1)</f>
        <v>3216.8250601199861</v>
      </c>
      <c r="BD20" s="1017">
        <f ca="1">OFFSET('Revenue Build'!$C$6,MATCH(Charts!$E20,'Revenue Build'!$C$6:$C$234,0)-1,MATCH(Charts!BD$3,'Revenue Build'!$C$5:$ET$5,0)-1)</f>
        <v>3211.8192122213695</v>
      </c>
      <c r="BE20" s="1017">
        <f ca="1">OFFSET('Revenue Build'!$C$6,MATCH(Charts!$E20,'Revenue Build'!$C$6:$C$234,0)-1,MATCH(Charts!BE$3,'Revenue Build'!$C$5:$ET$5,0)-1)</f>
        <v>4230.0144226326329</v>
      </c>
      <c r="BF20" s="1017">
        <f ca="1">OFFSET('Revenue Build'!$C$6,MATCH(Charts!$E20,'Revenue Build'!$C$6:$C$234,0)-1,MATCH(Charts!BF$3,'Revenue Build'!$C$5:$ET$5,0)-1)</f>
        <v>3252.592907577693</v>
      </c>
      <c r="BG20" s="1017">
        <f ca="1">OFFSET('Revenue Build'!$C$6,MATCH(Charts!$E20,'Revenue Build'!$C$6:$C$234,0)-1,MATCH(Charts!BG$3,'Revenue Build'!$C$5:$ET$5,0)-1)</f>
        <v>3726.7694781461837</v>
      </c>
      <c r="BH20" s="1017">
        <f ca="1">OFFSET('Revenue Build'!$C$6,MATCH(Charts!$E20,'Revenue Build'!$C$6:$C$234,0)-1,MATCH(Charts!BH$3,'Revenue Build'!$C$5:$ET$5,0)-1)</f>
        <v>3723.7248971202443</v>
      </c>
      <c r="BI20" s="1017">
        <f ca="1">OFFSET('Revenue Build'!$C$6,MATCH(Charts!$E20,'Revenue Build'!$C$6:$C$234,0)-1,MATCH(Charts!BI$3,'Revenue Build'!$C$5:$ET$5,0)-1)</f>
        <v>4891.7655514583485</v>
      </c>
      <c r="BJ20" s="1017">
        <f ca="1">OFFSET('Revenue Build'!$C$6,MATCH(Charts!$E20,'Revenue Build'!$C$6:$C$234,0)-1,MATCH(Charts!BJ$3,'Revenue Build'!$C$5:$ET$5,0)-1)</f>
        <v>3720.9786898932985</v>
      </c>
      <c r="BK20" s="1017">
        <f ca="1">OFFSET('Revenue Build'!$C$6,MATCH(Charts!$E20,'Revenue Build'!$C$6:$C$234,0)-1,MATCH(Charts!BK$3,'Revenue Build'!$C$5:$ET$5,0)-1)</f>
        <v>4257.7317178083404</v>
      </c>
      <c r="BL20" s="1017">
        <f ca="1">OFFSET('Revenue Build'!$C$6,MATCH(Charts!$E20,'Revenue Build'!$C$6:$C$234,0)-1,MATCH(Charts!BL$3,'Revenue Build'!$C$5:$ET$5,0)-1)</f>
        <v>4257.4192670284401</v>
      </c>
      <c r="BM20" s="1017">
        <f ca="1">OFFSET('Revenue Build'!$C$6,MATCH(Charts!$E20,'Revenue Build'!$C$6:$C$234,0)-1,MATCH(Charts!BM$3,'Revenue Build'!$C$5:$ET$5,0)-1)</f>
        <v>5578.202326589103</v>
      </c>
      <c r="BN20" s="906"/>
      <c r="BO20" s="906"/>
      <c r="BP20" s="906"/>
      <c r="BQ20" s="906"/>
      <c r="BR20" s="906"/>
      <c r="BS20" s="906"/>
      <c r="BT20" s="906"/>
      <c r="BU20" s="906"/>
      <c r="BV20" s="906"/>
      <c r="BW20" s="906"/>
      <c r="BX20" s="906"/>
      <c r="BY20" s="906"/>
      <c r="BZ20" s="906"/>
      <c r="CA20" s="906"/>
      <c r="CB20" s="906"/>
      <c r="CC20" s="906"/>
      <c r="CD20" s="906"/>
      <c r="CE20" s="906"/>
      <c r="CF20" s="906"/>
      <c r="CG20" s="906"/>
      <c r="CH20" s="906"/>
      <c r="CI20" s="906"/>
      <c r="CJ20" s="906"/>
      <c r="CK20" s="906"/>
      <c r="CL20" s="906"/>
      <c r="CM20" s="906"/>
      <c r="CN20" s="906"/>
      <c r="CO20" s="906"/>
      <c r="CP20" s="906"/>
      <c r="CQ20" s="906"/>
      <c r="CR20" s="906"/>
      <c r="CS20" s="1168" t="str">
        <f>E20</f>
        <v>Total Payments Revenue</v>
      </c>
      <c r="CT20" s="1013">
        <f ca="1">OFFSET('Revenue Build'!$C$6,MATCH(Charts!$E20,'Revenue Build'!$C$6:$C$234,0)-1,MATCH(Charts!CT$4,'Revenue Build'!$C$4:$ES$4,0)-1)</f>
        <v>0</v>
      </c>
      <c r="CU20" s="1013">
        <f ca="1">OFFSET('Revenue Build'!$C$6,MATCH(Charts!$E20,'Revenue Build'!$C$6:$C$234,0)-1,MATCH(Charts!CU$4,'Revenue Build'!$C$4:$ES$4,0)-1)</f>
        <v>334.21115999999995</v>
      </c>
      <c r="CV20" s="1013">
        <f ca="1">OFFSET('Revenue Build'!$C$6,MATCH(Charts!$E20,'Revenue Build'!$C$6:$C$234,0)-1,MATCH(Charts!CV$4,'Revenue Build'!$C$4:$ES$4,0)-1)</f>
        <v>544.36853499999995</v>
      </c>
      <c r="CW20" s="1013">
        <f ca="1">OFFSET('Revenue Build'!$C$6,MATCH(Charts!$E20,'Revenue Build'!$C$6:$C$234,0)-1,MATCH(Charts!CW$4,'Revenue Build'!$C$4:$ES$4,0)-1)</f>
        <v>814.26083999999992</v>
      </c>
      <c r="CX20" s="1013">
        <f ca="1">OFFSET('Revenue Build'!$C$6,MATCH(Charts!$E20,'Revenue Build'!$C$6:$C$234,0)-1,MATCH(Charts!CX$4,'Revenue Build'!$C$4:$ES$4,0)-1)</f>
        <v>1707.5202299999996</v>
      </c>
      <c r="CY20" s="1013">
        <f ca="1">OFFSET('Revenue Build'!$C$6,MATCH(Charts!$E20,'Revenue Build'!$C$6:$C$234,0)-1,MATCH(Charts!CY$4,'Revenue Build'!$C$4:$ES$4,0)-1)</f>
        <v>2681.0080399999997</v>
      </c>
      <c r="CZ20" s="1013">
        <f ca="1">OFFSET('Revenue Build'!$C$6,MATCH(Charts!$E20,'Revenue Build'!$C$6:$C$234,0)-1,MATCH(Charts!CZ$4,'Revenue Build'!$C$4:$ES$4,0)-1)</f>
        <v>3281.4597899999994</v>
      </c>
      <c r="DA20" s="1013">
        <f ca="1">OFFSET('Revenue Build'!$C$6,MATCH(Charts!$E20,'Revenue Build'!$C$6:$C$234,0)-1,MATCH(Charts!DA$4,'Revenue Build'!$C$4:$ES$4,0)-1)</f>
        <v>4178.3999999999996</v>
      </c>
      <c r="DB20" s="1013">
        <f ca="1">OFFSET('Revenue Build'!$C$6,MATCH(Charts!$E20,'Revenue Build'!$C$6:$C$234,0)-1,MATCH(Charts!DB$4,'Revenue Build'!$C$4:$ES$4,0)-1)</f>
        <v>5193.9830999999986</v>
      </c>
      <c r="DC20" s="1013" t="e">
        <f ca="1">OFFSET('Revenue Build'!$C$6,MATCH(Charts!$E20,'Revenue Build'!$C$6:$C$234,0)-1,MATCH(Charts!DC$4,'Revenue Build'!$C$4:$ES$4,0)-1)</f>
        <v>#N/A</v>
      </c>
      <c r="DD20" s="1013">
        <f ca="1">OFFSET('Revenue Build'!$C$6,MATCH(Charts!$E20,'Revenue Build'!$C$6:$C$234,0)-1,MATCH(Charts!DD$4,'Revenue Build'!$C$4:$ES$4,0)-1)</f>
        <v>9137.5745437639525</v>
      </c>
      <c r="DE20" s="1013">
        <f ca="1">OFFSET('Revenue Build'!$C$6,MATCH(Charts!$E20,'Revenue Build'!$C$6:$C$234,0)-1,MATCH(Charts!DE$4,'Revenue Build'!$C$4:$ES$4,0)-1)</f>
        <v>11367.379748928175</v>
      </c>
      <c r="DF20" s="1013">
        <f ca="1">OFFSET('Revenue Build'!$C$6,MATCH(Charts!$E20,'Revenue Build'!$C$6:$C$234,0)-1,MATCH(Charts!DF$4,'Revenue Build'!$C$4:$ES$4,0)-1)</f>
        <v>13462.519486280346</v>
      </c>
      <c r="DG20" s="1013">
        <f ca="1">OFFSET('Revenue Build'!$C$6,MATCH(Charts!$E20,'Revenue Build'!$C$6:$C$234,0)-1,MATCH(Charts!DG$4,'Revenue Build'!$C$4:$ES$4,0)-1)</f>
        <v>15594.85283430247</v>
      </c>
      <c r="DH20" s="1013">
        <f ca="1">OFFSET('Revenue Build'!$C$6,MATCH(Charts!$E20,'Revenue Build'!$C$6:$C$234,0)-1,MATCH(Charts!DH$4,'Revenue Build'!$C$4:$ES$4,0)-1)</f>
        <v>17814.332001319181</v>
      </c>
      <c r="DI20" s="7"/>
    </row>
    <row r="21" spans="5:113">
      <c r="E21" s="9" t="s">
        <v>322</v>
      </c>
      <c r="F21" s="1010"/>
      <c r="G21" s="1010"/>
      <c r="H21" s="1010"/>
      <c r="I21" s="1010"/>
      <c r="J21" s="1010">
        <f t="shared" ref="J21:BA21" ca="1" si="43">J22-J20</f>
        <v>5.2239199999999997</v>
      </c>
      <c r="K21" s="1010">
        <f t="shared" ca="1" si="43"/>
        <v>6.4045600000000036</v>
      </c>
      <c r="L21" s="1010">
        <f t="shared" ca="1" si="43"/>
        <v>7.1216799999999978</v>
      </c>
      <c r="M21" s="1010">
        <f t="shared" ca="1" si="43"/>
        <v>10.311679999999996</v>
      </c>
      <c r="N21" s="1010">
        <f t="shared" ca="1" si="43"/>
        <v>11.984910000000013</v>
      </c>
      <c r="O21" s="1010">
        <f t="shared" ca="1" si="43"/>
        <v>14.095410000000015</v>
      </c>
      <c r="P21" s="1010">
        <f t="shared" ca="1" si="43"/>
        <v>15.702435000000008</v>
      </c>
      <c r="Q21" s="1010">
        <f t="shared" ca="1" si="43"/>
        <v>22.081710000000015</v>
      </c>
      <c r="R21" s="1010">
        <f t="shared" ca="1" si="43"/>
        <v>23.404030000000006</v>
      </c>
      <c r="S21" s="1010">
        <f t="shared" ca="1" si="43"/>
        <v>27.161160000000024</v>
      </c>
      <c r="T21" s="1010">
        <f t="shared" ca="1" si="43"/>
        <v>29.246749999999992</v>
      </c>
      <c r="U21" s="1010">
        <f t="shared" ca="1" si="43"/>
        <v>41.85922000000005</v>
      </c>
      <c r="V21" s="1010">
        <f t="shared" ca="1" si="43"/>
        <v>43.770760000000053</v>
      </c>
      <c r="W21" s="1010">
        <f t="shared" ca="1" si="43"/>
        <v>80.275585000000035</v>
      </c>
      <c r="X21" s="1010">
        <f t="shared" ca="1" si="43"/>
        <v>80.930304999999976</v>
      </c>
      <c r="Y21" s="1010">
        <f t="shared" ca="1" si="43"/>
        <v>108.23712000000012</v>
      </c>
      <c r="Z21" s="1010">
        <f t="shared" ca="1" si="43"/>
        <v>120.23388</v>
      </c>
      <c r="AA21" s="1010">
        <f t="shared" ca="1" si="43"/>
        <v>141.3374399999999</v>
      </c>
      <c r="AB21" s="1010">
        <f t="shared" ca="1" si="43"/>
        <v>141.75576000000001</v>
      </c>
      <c r="AC21" s="1010">
        <f t="shared" ca="1" si="43"/>
        <v>185.18687999999997</v>
      </c>
      <c r="AD21" s="1010">
        <f t="shared" ca="1" si="43"/>
        <v>173.49012400000004</v>
      </c>
      <c r="AE21" s="1010">
        <f t="shared" ca="1" si="43"/>
        <v>187.58123999999998</v>
      </c>
      <c r="AF21" s="1010">
        <f t="shared" ca="1" si="43"/>
        <v>199.95959800000003</v>
      </c>
      <c r="AG21" s="1010">
        <f t="shared" ca="1" si="43"/>
        <v>269.61424800000009</v>
      </c>
      <c r="AH21" s="1010">
        <f t="shared" ca="1" si="43"/>
        <v>225.20000000000005</v>
      </c>
      <c r="AI21" s="1010">
        <f t="shared" ca="1" si="43"/>
        <v>250.00000000000011</v>
      </c>
      <c r="AJ21" s="1010">
        <f t="shared" ca="1" si="43"/>
        <v>245.60000000000014</v>
      </c>
      <c r="AK21" s="1010">
        <f t="shared" ca="1" si="43"/>
        <v>323.80000000000018</v>
      </c>
      <c r="AL21" s="1010">
        <f t="shared" ca="1" si="43"/>
        <v>276.54750000000013</v>
      </c>
      <c r="AM21" s="1010">
        <f t="shared" ca="1" si="43"/>
        <v>303.36540000000014</v>
      </c>
      <c r="AN21" s="1010">
        <f t="shared" ca="1" si="43"/>
        <v>317.46160000000009</v>
      </c>
      <c r="AO21" s="1010">
        <f t="shared" ca="1" si="43"/>
        <v>438.64240000000041</v>
      </c>
      <c r="AP21" s="1010">
        <f t="shared" ca="1" si="43"/>
        <v>364.09500000000025</v>
      </c>
      <c r="AQ21" s="1010">
        <f t="shared" ca="1" si="43"/>
        <v>423.2184000000002</v>
      </c>
      <c r="AR21" s="1010">
        <f t="shared" ca="1" si="43"/>
        <v>448.19775000000027</v>
      </c>
      <c r="AS21" s="1010">
        <f t="shared" ca="1" si="43"/>
        <v>604.47600000000057</v>
      </c>
      <c r="AT21" s="1010">
        <f t="shared" ca="1" si="43"/>
        <v>557.86443083708104</v>
      </c>
      <c r="AU21" s="1010">
        <f t="shared" ca="1" si="43"/>
        <v>618.41790047848053</v>
      </c>
      <c r="AV21" s="1010">
        <f t="shared" ca="1" si="43"/>
        <v>658.52657889885404</v>
      </c>
      <c r="AW21" s="1010">
        <f t="shared" ca="1" si="43"/>
        <v>891.35244102163233</v>
      </c>
      <c r="AX21" s="1010">
        <f t="shared" ca="1" si="43"/>
        <v>772.05069034762664</v>
      </c>
      <c r="AY21" s="1010">
        <f t="shared" ca="1" si="43"/>
        <v>859.97316891107539</v>
      </c>
      <c r="AZ21" s="1010">
        <f t="shared" ca="1" si="43"/>
        <v>895.54186097874253</v>
      </c>
      <c r="BA21" s="1010">
        <f t="shared" ca="1" si="43"/>
        <v>1211.8016207143814</v>
      </c>
      <c r="BB21" s="1010">
        <f t="shared" ref="BB21:BM21" ca="1" si="44">BB22-BB20</f>
        <v>1006.1039574936426</v>
      </c>
      <c r="BC21" s="1010">
        <f t="shared" ca="1" si="44"/>
        <v>1127.0934046800139</v>
      </c>
      <c r="BD21" s="1010">
        <f t="shared" ca="1" si="44"/>
        <v>1168.298672778631</v>
      </c>
      <c r="BE21" s="1010">
        <f t="shared" ca="1" si="44"/>
        <v>1588.4827813193679</v>
      </c>
      <c r="BF21" s="1010">
        <f t="shared" ca="1" si="44"/>
        <v>1278.6619621823083</v>
      </c>
      <c r="BG21" s="1010">
        <f t="shared" ca="1" si="44"/>
        <v>1439.418466063817</v>
      </c>
      <c r="BH21" s="1010">
        <f t="shared" ca="1" si="44"/>
        <v>1486.1610536297567</v>
      </c>
      <c r="BI21" s="1010">
        <f t="shared" ca="1" si="44"/>
        <v>2028.7632980880526</v>
      </c>
      <c r="BJ21" s="1010">
        <f t="shared" ca="1" si="44"/>
        <v>1598.5506553355031</v>
      </c>
      <c r="BK21" s="1010">
        <f t="shared" ca="1" si="44"/>
        <v>1807.0634452364602</v>
      </c>
      <c r="BL21" s="1010">
        <f t="shared" ca="1" si="44"/>
        <v>1859.4154614565614</v>
      </c>
      <c r="BM21" s="1010">
        <f t="shared" ca="1" si="44"/>
        <v>2546.8129153719701</v>
      </c>
      <c r="BN21" s="907"/>
      <c r="BO21" s="907"/>
      <c r="BP21" s="907"/>
      <c r="BQ21" s="907"/>
      <c r="BR21" s="907"/>
      <c r="BS21" s="907"/>
      <c r="BT21" s="907"/>
      <c r="BU21" s="907"/>
      <c r="BV21" s="907"/>
      <c r="BW21" s="907"/>
      <c r="BX21" s="907"/>
      <c r="BY21" s="907"/>
      <c r="BZ21" s="907"/>
      <c r="CA21" s="907"/>
      <c r="CB21" s="907"/>
      <c r="CC21" s="907"/>
      <c r="CD21" s="907"/>
      <c r="CE21" s="907"/>
      <c r="CF21" s="907"/>
      <c r="CG21" s="907"/>
      <c r="CH21" s="907"/>
      <c r="CI21" s="907"/>
      <c r="CJ21" s="907"/>
      <c r="CK21" s="907"/>
      <c r="CL21" s="907"/>
      <c r="CM21" s="907"/>
      <c r="CN21" s="907"/>
      <c r="CO21" s="907"/>
      <c r="CP21" s="907"/>
      <c r="CQ21" s="907"/>
      <c r="CR21" s="907"/>
      <c r="CS21" s="906" t="str">
        <f>E21</f>
        <v>Non-Payments Merchant Solution Revenue</v>
      </c>
      <c r="CT21" s="1012">
        <f t="shared" ref="CT21:DE21" ca="1" si="45">CT22-CT20</f>
        <v>200.72399999999999</v>
      </c>
      <c r="CU21" s="1012">
        <f t="shared" ca="1" si="45"/>
        <v>29.061840000000075</v>
      </c>
      <c r="CV21" s="1012">
        <f t="shared" ca="1" si="45"/>
        <v>63.864464999999996</v>
      </c>
      <c r="CW21" s="1012">
        <f t="shared" ca="1" si="45"/>
        <v>121.6711600000001</v>
      </c>
      <c r="CX21" s="1012">
        <f t="shared" ca="1" si="45"/>
        <v>313.2137700000003</v>
      </c>
      <c r="CY21" s="1012">
        <f t="shared" ca="1" si="45"/>
        <v>588.51396000000022</v>
      </c>
      <c r="CZ21" s="1012">
        <f t="shared" ca="1" si="45"/>
        <v>830.64521000000013</v>
      </c>
      <c r="DA21" s="1012">
        <f t="shared" ca="1" si="45"/>
        <v>1044.6000000000004</v>
      </c>
      <c r="DB21" s="1012">
        <f t="shared" ca="1" si="45"/>
        <v>1336.0169000000014</v>
      </c>
      <c r="DC21" s="1012" t="e">
        <f t="shared" ca="1" si="45"/>
        <v>#N/A</v>
      </c>
      <c r="DD21" s="1012">
        <f t="shared" ca="1" si="45"/>
        <v>2726.1613512360491</v>
      </c>
      <c r="DE21" s="1012">
        <f t="shared" ca="1" si="45"/>
        <v>3739.3673409518269</v>
      </c>
      <c r="DF21" s="1012">
        <f t="shared" ref="DF21:DH21" ca="1" si="46">DF22-DF20</f>
        <v>4889.9788162716559</v>
      </c>
      <c r="DG21" s="1012">
        <f t="shared" ca="1" si="46"/>
        <v>6233.004779963936</v>
      </c>
      <c r="DH21" s="1012">
        <f t="shared" ca="1" si="46"/>
        <v>7811.8424774004998</v>
      </c>
    </row>
    <row r="22" spans="5:113">
      <c r="E22" s="1023" t="str">
        <f>'Revenue Build'!C73</f>
        <v>Total Merchant Solution Revenues</v>
      </c>
      <c r="F22" s="1024">
        <f ca="1">OFFSET('Revenue Build'!$C$6,MATCH(Charts!$E22,'Revenue Build'!$C$6:$C$234,0)-1,MATCH(Charts!F$3,'Revenue Build'!$C$5:$ET$5,0)-1)</f>
        <v>34.015999999999998</v>
      </c>
      <c r="G22" s="1024">
        <f ca="1">OFFSET('Revenue Build'!$C$6,MATCH(Charts!$E22,'Revenue Build'!$C$6:$C$234,0)-1,MATCH(Charts!G$3,'Revenue Build'!$C$5:$ET$5,0)-1)</f>
        <v>42.972999999999999</v>
      </c>
      <c r="H22" s="1024">
        <f ca="1">OFFSET('Revenue Build'!$C$6,MATCH(Charts!$E22,'Revenue Build'!$C$6:$C$234,0)-1,MATCH(Charts!H$3,'Revenue Build'!$C$5:$ET$5,0)-1)</f>
        <v>49.738999999999997</v>
      </c>
      <c r="I22" s="1024">
        <f ca="1">OFFSET('Revenue Build'!$C$6,MATCH(Charts!$E22,'Revenue Build'!$C$6:$C$234,0)-1,MATCH(Charts!I$3,'Revenue Build'!$C$5:$ET$5,0)-1)</f>
        <v>73.995999999999995</v>
      </c>
      <c r="J22" s="1024">
        <f ca="1">OFFSET('Revenue Build'!$C$6,MATCH(Charts!$E22,'Revenue Build'!$C$6:$C$234,0)-1,MATCH(Charts!J$3,'Revenue Build'!$C$5:$ET$5,0)-1)</f>
        <v>65.299000000000007</v>
      </c>
      <c r="K22" s="1024">
        <f ca="1">OFFSET('Revenue Build'!$C$6,MATCH(Charts!$E22,'Revenue Build'!$C$6:$C$234,0)-1,MATCH(Charts!K$3,'Revenue Build'!$C$5:$ET$5,0)-1)</f>
        <v>80.057000000000002</v>
      </c>
      <c r="L22" s="1024">
        <f ca="1">OFFSET('Revenue Build'!$C$6,MATCH(Charts!$E22,'Revenue Build'!$C$6:$C$234,0)-1,MATCH(Charts!L$3,'Revenue Build'!$C$5:$ET$5,0)-1)</f>
        <v>89.021000000000001</v>
      </c>
      <c r="M22" s="1024">
        <f ca="1">OFFSET('Revenue Build'!$C$6,MATCH(Charts!$E22,'Revenue Build'!$C$6:$C$234,0)-1,MATCH(Charts!M$3,'Revenue Build'!$C$5:$ET$5,0)-1)</f>
        <v>128.89599999999999</v>
      </c>
      <c r="N22" s="1024">
        <f ca="1">OFFSET('Revenue Build'!$C$6,MATCH(Charts!$E22,'Revenue Build'!$C$6:$C$234,0)-1,MATCH(Charts!N$3,'Revenue Build'!$C$5:$ET$5,0)-1)</f>
        <v>114.142</v>
      </c>
      <c r="O22" s="1024">
        <f ca="1">OFFSET('Revenue Build'!$C$6,MATCH(Charts!$E22,'Revenue Build'!$C$6:$C$234,0)-1,MATCH(Charts!O$3,'Revenue Build'!$C$5:$ET$5,0)-1)</f>
        <v>134.24199999999999</v>
      </c>
      <c r="P22" s="1024">
        <f ca="1">OFFSET('Revenue Build'!$C$6,MATCH(Charts!$E22,'Revenue Build'!$C$6:$C$234,0)-1,MATCH(Charts!P$3,'Revenue Build'!$C$5:$ET$5,0)-1)</f>
        <v>149.547</v>
      </c>
      <c r="Q22" s="1024">
        <f ca="1">OFFSET('Revenue Build'!$C$6,MATCH(Charts!$E22,'Revenue Build'!$C$6:$C$234,0)-1,MATCH(Charts!Q$3,'Revenue Build'!$C$5:$ET$5,0)-1)</f>
        <v>210.30199999999999</v>
      </c>
      <c r="R22" s="1024">
        <f ca="1">OFFSET('Revenue Build'!$C$6,MATCH(Charts!$E22,'Revenue Build'!$C$6:$C$234,0)-1,MATCH(Charts!R$3,'Revenue Build'!$C$5:$ET$5,0)-1)</f>
        <v>180.03100000000001</v>
      </c>
      <c r="S22" s="1024">
        <f ca="1">OFFSET('Revenue Build'!$C$6,MATCH(Charts!$E22,'Revenue Build'!$C$6:$C$234,0)-1,MATCH(Charts!S$3,'Revenue Build'!$C$5:$ET$5,0)-1)</f>
        <v>208.93199999999999</v>
      </c>
      <c r="T22" s="1024">
        <f ca="1">OFFSET('Revenue Build'!$C$6,MATCH(Charts!$E22,'Revenue Build'!$C$6:$C$234,0)-1,MATCH(Charts!T$3,'Revenue Build'!$C$5:$ET$5,0)-1)</f>
        <v>224.97499999999999</v>
      </c>
      <c r="U22" s="1024">
        <f ca="1">OFFSET('Revenue Build'!$C$6,MATCH(Charts!$E22,'Revenue Build'!$C$6:$C$234,0)-1,MATCH(Charts!U$3,'Revenue Build'!$C$5:$ET$5,0)-1)</f>
        <v>321.99400000000003</v>
      </c>
      <c r="V22" s="1024">
        <f ca="1">OFFSET('Revenue Build'!$C$6,MATCH(Charts!$E22,'Revenue Build'!$C$6:$C$234,0)-1,MATCH(Charts!V$3,'Revenue Build'!$C$5:$ET$5,0)-1)</f>
        <v>282.392</v>
      </c>
      <c r="W22" s="1024">
        <f ca="1">OFFSET('Revenue Build'!$C$6,MATCH(Charts!$E22,'Revenue Build'!$C$6:$C$234,0)-1,MATCH(Charts!W$3,'Revenue Build'!$C$5:$ET$5,0)-1)</f>
        <v>517.90700000000004</v>
      </c>
      <c r="X22" s="1024">
        <f ca="1">OFFSET('Revenue Build'!$C$6,MATCH(Charts!$E22,'Revenue Build'!$C$6:$C$234,0)-1,MATCH(Charts!X$3,'Revenue Build'!$C$5:$ET$5,0)-1)</f>
        <v>522.13099999999997</v>
      </c>
      <c r="Y22" s="1024">
        <f ca="1">OFFSET('Revenue Build'!$C$6,MATCH(Charts!$E22,'Revenue Build'!$C$6:$C$234,0)-1,MATCH(Charts!Y$3,'Revenue Build'!$C$5:$ET$5,0)-1)</f>
        <v>698.30399999999997</v>
      </c>
      <c r="Z22" s="1024">
        <f ca="1">OFFSET('Revenue Build'!$C$6,MATCH(Charts!$E22,'Revenue Build'!$C$6:$C$234,0)-1,MATCH(Charts!Z$3,'Revenue Build'!$C$5:$ET$5,0)-1)</f>
        <v>667.96600000000001</v>
      </c>
      <c r="AA22" s="1024">
        <f ca="1">OFFSET('Revenue Build'!$C$6,MATCH(Charts!$E22,'Revenue Build'!$C$6:$C$234,0)-1,MATCH(Charts!AA$3,'Revenue Build'!$C$5:$ET$5,0)-1)</f>
        <v>785.20799999999997</v>
      </c>
      <c r="AB22" s="1024">
        <f ca="1">OFFSET('Revenue Build'!$C$6,MATCH(Charts!$E22,'Revenue Build'!$C$6:$C$234,0)-1,MATCH(Charts!AB$3,'Revenue Build'!$C$5:$ET$5,0)-1)</f>
        <v>787.53200000000004</v>
      </c>
      <c r="AC22" s="1024">
        <f ca="1">OFFSET('Revenue Build'!$C$6,MATCH(Charts!$E22,'Revenue Build'!$C$6:$C$234,0)-1,MATCH(Charts!AC$3,'Revenue Build'!$C$5:$ET$5,0)-1)</f>
        <v>1028.816</v>
      </c>
      <c r="AD22" s="1024">
        <f ca="1">OFFSET('Revenue Build'!$C$6,MATCH(Charts!$E22,'Revenue Build'!$C$6:$C$234,0)-1,MATCH(Charts!AD$3,'Revenue Build'!$C$5:$ET$5,0)-1)</f>
        <v>858.86199999999997</v>
      </c>
      <c r="AE22" s="1024">
        <f ca="1">OFFSET('Revenue Build'!$C$6,MATCH(Charts!$E22,'Revenue Build'!$C$6:$C$234,0)-1,MATCH(Charts!AE$3,'Revenue Build'!$C$5:$ET$5,0)-1)</f>
        <v>928.62</v>
      </c>
      <c r="AF22" s="1024">
        <f ca="1">OFFSET('Revenue Build'!$C$6,MATCH(Charts!$E22,'Revenue Build'!$C$6:$C$234,0)-1,MATCH(Charts!AF$3,'Revenue Build'!$C$5:$ET$5,0)-1)</f>
        <v>989.899</v>
      </c>
      <c r="AG22" s="1024">
        <f ca="1">OFFSET('Revenue Build'!$C$6,MATCH(Charts!$E22,'Revenue Build'!$C$6:$C$234,0)-1,MATCH(Charts!AG$3,'Revenue Build'!$C$5:$ET$5,0)-1)</f>
        <v>1334.7239999999999</v>
      </c>
      <c r="AH22" s="1024">
        <f ca="1">OFFSET('Revenue Build'!$C$6,MATCH(Charts!$E22,'Revenue Build'!$C$6:$C$234,0)-1,MATCH(Charts!AH$3,'Revenue Build'!$C$5:$ET$5,0)-1)</f>
        <v>1126</v>
      </c>
      <c r="AI22" s="1024">
        <f ca="1">OFFSET('Revenue Build'!$C$6,MATCH(Charts!$E22,'Revenue Build'!$C$6:$C$234,0)-1,MATCH(Charts!AI$3,'Revenue Build'!$C$5:$ET$5,0)-1)</f>
        <v>1250</v>
      </c>
      <c r="AJ22" s="1024">
        <f ca="1">OFFSET('Revenue Build'!$C$6,MATCH(Charts!$E22,'Revenue Build'!$C$6:$C$234,0)-1,MATCH(Charts!AJ$3,'Revenue Build'!$C$5:$ET$5,0)-1)</f>
        <v>1228</v>
      </c>
      <c r="AK22" s="1024">
        <f ca="1">OFFSET('Revenue Build'!$C$6,MATCH(Charts!$E22,'Revenue Build'!$C$6:$C$234,0)-1,MATCH(Charts!AK$3,'Revenue Build'!$C$5:$ET$5,0)-1)</f>
        <v>1619</v>
      </c>
      <c r="AL22" s="1024">
        <f ca="1">OFFSET('Revenue Build'!$C$6,MATCH(Charts!$E22,'Revenue Build'!$C$6:$C$234,0)-1,MATCH(Charts!AL$3,'Revenue Build'!$C$5:$ET$5,0)-1)</f>
        <v>1350</v>
      </c>
      <c r="AM22" s="1024">
        <f ca="1">OFFSET('Revenue Build'!$C$6,MATCH(Charts!$E22,'Revenue Build'!$C$6:$C$234,0)-1,MATCH(Charts!AM$3,'Revenue Build'!$C$5:$ET$5,0)-1)</f>
        <v>1482</v>
      </c>
      <c r="AN22" s="1024">
        <f ca="1">OFFSET('Revenue Build'!$C$6,MATCH(Charts!$E22,'Revenue Build'!$C$6:$C$234,0)-1,MATCH(Charts!AN$3,'Revenue Build'!$C$5:$ET$5,0)-1)</f>
        <v>1552</v>
      </c>
      <c r="AO22" s="1024">
        <f ca="1">OFFSET('Revenue Build'!$C$6,MATCH(Charts!$E22,'Revenue Build'!$C$6:$C$234,0)-1,MATCH(Charts!AO$3,'Revenue Build'!$C$5:$ET$5,0)-1)</f>
        <v>2146</v>
      </c>
      <c r="AP22" s="1024">
        <f ca="1">OFFSET('Revenue Build'!$C$6,MATCH(Charts!$E22,'Revenue Build'!$C$6:$C$234,0)-1,MATCH(Charts!AP$3,'Revenue Build'!$C$5:$ET$5,0)-1)</f>
        <v>1740</v>
      </c>
      <c r="AQ22" s="1024">
        <f ca="1">OFFSET('Revenue Build'!$C$6,MATCH(Charts!$E22,'Revenue Build'!$C$6:$C$234,0)-1,MATCH(Charts!AQ$3,'Revenue Build'!$C$5:$ET$5,0)-1)</f>
        <v>2024</v>
      </c>
      <c r="AR22" s="1024">
        <f ca="1">OFFSET('Revenue Build'!$C$6,MATCH(Charts!$E22,'Revenue Build'!$C$6:$C$234,0)-1,MATCH(Charts!AR$3,'Revenue Build'!$C$5:$ET$5,0)-1)</f>
        <v>2145</v>
      </c>
      <c r="AS22" s="1024">
        <f ca="1">OFFSET('Revenue Build'!$C$6,MATCH(Charts!$E22,'Revenue Build'!$C$6:$C$234,0)-1,MATCH(Charts!AS$3,'Revenue Build'!$C$5:$ET$5,0)-1)</f>
        <v>2895</v>
      </c>
      <c r="AT22" s="1024">
        <f ca="1">OFFSET('Revenue Build'!$C$6,MATCH(Charts!$E22,'Revenue Build'!$C$6:$C$234,0)-1,MATCH(Charts!AT$3,'Revenue Build'!$C$5:$ET$5,0)-1)</f>
        <v>2420</v>
      </c>
      <c r="AU22" s="1024">
        <f ca="1">OFFSET('Revenue Build'!$C$6,MATCH(Charts!$E22,'Revenue Build'!$C$6:$C$234,0)-1,MATCH(Charts!AU$3,'Revenue Build'!$C$5:$ET$5,0)-1)</f>
        <v>2781</v>
      </c>
      <c r="AV22" s="1024">
        <f ca="1">OFFSET('Revenue Build'!$C$6,MATCH(Charts!$E22,'Revenue Build'!$C$6:$C$234,0)-1,MATCH(Charts!AV$3,'Revenue Build'!$C$5:$ET$5,0)-1)</f>
        <v>2848.3084500000004</v>
      </c>
      <c r="AW22" s="1024">
        <f ca="1">OFFSET('Revenue Build'!$C$6,MATCH(Charts!$E22,'Revenue Build'!$C$6:$C$234,0)-1,MATCH(Charts!AW$3,'Revenue Build'!$C$5:$ET$5,0)-1)</f>
        <v>3814.4274450000003</v>
      </c>
      <c r="AX22" s="1024">
        <f ca="1">OFFSET('Revenue Build'!$C$6,MATCH(Charts!$E22,'Revenue Build'!$C$6:$C$234,0)-1,MATCH(Charts!AX$3,'Revenue Build'!$C$5:$ET$5,0)-1)</f>
        <v>3136.2853120000004</v>
      </c>
      <c r="AY22" s="1024">
        <f ca="1">OFFSET('Revenue Build'!$C$6,MATCH(Charts!$E22,'Revenue Build'!$C$6:$C$234,0)-1,MATCH(Charts!AY$3,'Revenue Build'!$C$5:$ET$5,0)-1)</f>
        <v>3575.9010270000003</v>
      </c>
      <c r="AZ22" s="1024">
        <f ca="1">OFFSET('Revenue Build'!$C$6,MATCH(Charts!$E22,'Revenue Build'!$C$6:$C$234,0)-1,MATCH(Charts!AZ$3,'Revenue Build'!$C$5:$ET$5,0)-1)</f>
        <v>3605.2419000000004</v>
      </c>
      <c r="BA22" s="1024">
        <f ca="1">OFFSET('Revenue Build'!$C$6,MATCH(Charts!$E22,'Revenue Build'!$C$6:$C$234,0)-1,MATCH(Charts!BA$3,'Revenue Build'!$C$5:$ET$5,0)-1)</f>
        <v>4789.3188508800004</v>
      </c>
      <c r="BB22" s="1024">
        <f ca="1">OFFSET('Revenue Build'!$C$6,MATCH(Charts!$E22,'Revenue Build'!$C$6:$C$234,0)-1,MATCH(Charts!BB$3,'Revenue Build'!$C$5:$ET$5,0)-1)</f>
        <v>3809.9647488000001</v>
      </c>
      <c r="BC22" s="1024">
        <f ca="1">OFFSET('Revenue Build'!$C$6,MATCH(Charts!$E22,'Revenue Build'!$C$6:$C$234,0)-1,MATCH(Charts!BC$3,'Revenue Build'!$C$5:$ET$5,0)-1)</f>
        <v>4343.9184648</v>
      </c>
      <c r="BD22" s="1024">
        <f ca="1">OFFSET('Revenue Build'!$C$6,MATCH(Charts!$E22,'Revenue Build'!$C$6:$C$234,0)-1,MATCH(Charts!BD$3,'Revenue Build'!$C$5:$ET$5,0)-1)</f>
        <v>4380.1178850000006</v>
      </c>
      <c r="BE22" s="1024">
        <f ca="1">OFFSET('Revenue Build'!$C$6,MATCH(Charts!$E22,'Revenue Build'!$C$6:$C$234,0)-1,MATCH(Charts!BE$3,'Revenue Build'!$C$5:$ET$5,0)-1)</f>
        <v>5818.4972039520007</v>
      </c>
      <c r="BF22" s="1024">
        <f ca="1">OFFSET('Revenue Build'!$C$6,MATCH(Charts!$E22,'Revenue Build'!$C$6:$C$234,0)-1,MATCH(Charts!BF$3,'Revenue Build'!$C$5:$ET$5,0)-1)</f>
        <v>4531.2548697600014</v>
      </c>
      <c r="BG22" s="1024">
        <f ca="1">OFFSET('Revenue Build'!$C$6,MATCH(Charts!$E22,'Revenue Build'!$C$6:$C$234,0)-1,MATCH(Charts!BG$3,'Revenue Build'!$C$5:$ET$5,0)-1)</f>
        <v>5166.1879442100008</v>
      </c>
      <c r="BH22" s="1024">
        <f ca="1">OFFSET('Revenue Build'!$C$6,MATCH(Charts!$E22,'Revenue Build'!$C$6:$C$234,0)-1,MATCH(Charts!BH$3,'Revenue Build'!$C$5:$ET$5,0)-1)</f>
        <v>5209.885950750001</v>
      </c>
      <c r="BI22" s="1024">
        <f ca="1">OFFSET('Revenue Build'!$C$6,MATCH(Charts!$E22,'Revenue Build'!$C$6:$C$234,0)-1,MATCH(Charts!BI$3,'Revenue Build'!$C$5:$ET$5,0)-1)</f>
        <v>6920.528849546401</v>
      </c>
      <c r="BJ22" s="1024">
        <f ca="1">OFFSET('Revenue Build'!$C$6,MATCH(Charts!$E22,'Revenue Build'!$C$6:$C$234,0)-1,MATCH(Charts!BJ$3,'Revenue Build'!$C$5:$ET$5,0)-1)</f>
        <v>5319.5293452288015</v>
      </c>
      <c r="BK22" s="1024">
        <f ca="1">OFFSET('Revenue Build'!$C$6,MATCH(Charts!$E22,'Revenue Build'!$C$6:$C$234,0)-1,MATCH(Charts!BK$3,'Revenue Build'!$C$5:$ET$5,0)-1)</f>
        <v>6064.7951630448006</v>
      </c>
      <c r="BL22" s="1024">
        <f ca="1">OFFSET('Revenue Build'!$C$6,MATCH(Charts!$E22,'Revenue Build'!$C$6:$C$234,0)-1,MATCH(Charts!BL$3,'Revenue Build'!$C$5:$ET$5,0)-1)</f>
        <v>6116.8347284850015</v>
      </c>
      <c r="BM22" s="1024">
        <f ca="1">OFFSET('Revenue Build'!$C$6,MATCH(Charts!$E22,'Revenue Build'!$C$6:$C$234,0)-1,MATCH(Charts!BM$3,'Revenue Build'!$C$5:$ET$5,0)-1)</f>
        <v>8125.0152419610731</v>
      </c>
      <c r="BN22" s="907"/>
      <c r="BO22" s="907"/>
      <c r="BP22" s="907"/>
      <c r="BQ22" s="907"/>
      <c r="BR22" s="907"/>
      <c r="BS22" s="907"/>
      <c r="BT22" s="907"/>
      <c r="BU22" s="907"/>
      <c r="BV22" s="907"/>
      <c r="BW22" s="907"/>
      <c r="BX22" s="907"/>
      <c r="BY22" s="907"/>
      <c r="BZ22" s="907"/>
      <c r="CA22" s="907"/>
      <c r="CB22" s="907"/>
      <c r="CC22" s="907"/>
      <c r="CD22" s="907"/>
      <c r="CE22" s="907"/>
      <c r="CF22" s="907"/>
      <c r="CG22" s="907"/>
      <c r="CH22" s="907"/>
      <c r="CI22" s="907"/>
      <c r="CJ22" s="907"/>
      <c r="CK22" s="907"/>
      <c r="CL22" s="907"/>
      <c r="CM22" s="907"/>
      <c r="CN22" s="907"/>
      <c r="CO22" s="907"/>
      <c r="CP22" s="907"/>
      <c r="CQ22" s="907"/>
      <c r="CR22" s="907"/>
      <c r="CS22" s="1168" t="str">
        <f>E22</f>
        <v>Total Merchant Solution Revenues</v>
      </c>
      <c r="CT22" s="1013">
        <f ca="1">OFFSET('Revenue Build'!$C$6,MATCH(Charts!$E22,'Revenue Build'!$C$6:$C$234,0)-1,MATCH(Charts!CT$4,'Revenue Build'!$C$4:$ES$4,0)-1)</f>
        <v>200.72399999999999</v>
      </c>
      <c r="CU22" s="1013">
        <f ca="1">OFFSET('Revenue Build'!$C$6,MATCH(Charts!$E22,'Revenue Build'!$C$6:$C$234,0)-1,MATCH(Charts!CU$4,'Revenue Build'!$C$4:$ES$4,0)-1)</f>
        <v>363.27300000000002</v>
      </c>
      <c r="CV22" s="1013">
        <f ca="1">OFFSET('Revenue Build'!$C$6,MATCH(Charts!$E22,'Revenue Build'!$C$6:$C$234,0)-1,MATCH(Charts!CV$4,'Revenue Build'!$C$4:$ES$4,0)-1)</f>
        <v>608.23299999999995</v>
      </c>
      <c r="CW22" s="1013">
        <f ca="1">OFFSET('Revenue Build'!$C$6,MATCH(Charts!$E22,'Revenue Build'!$C$6:$C$234,0)-1,MATCH(Charts!CW$4,'Revenue Build'!$C$4:$ES$4,0)-1)</f>
        <v>935.93200000000002</v>
      </c>
      <c r="CX22" s="1013">
        <f ca="1">OFFSET('Revenue Build'!$C$6,MATCH(Charts!$E22,'Revenue Build'!$C$6:$C$234,0)-1,MATCH(Charts!CX$4,'Revenue Build'!$C$4:$ES$4,0)-1)</f>
        <v>2020.7339999999999</v>
      </c>
      <c r="CY22" s="1013">
        <f ca="1">OFFSET('Revenue Build'!$C$6,MATCH(Charts!$E22,'Revenue Build'!$C$6:$C$234,0)-1,MATCH(Charts!CY$4,'Revenue Build'!$C$4:$ES$4,0)-1)</f>
        <v>3269.5219999999999</v>
      </c>
      <c r="CZ22" s="1013">
        <f ca="1">OFFSET('Revenue Build'!$C$6,MATCH(Charts!$E22,'Revenue Build'!$C$6:$C$234,0)-1,MATCH(Charts!CZ$4,'Revenue Build'!$C$4:$ES$4,0)-1)</f>
        <v>4112.1049999999996</v>
      </c>
      <c r="DA22" s="1013">
        <f ca="1">OFFSET('Revenue Build'!$C$6,MATCH(Charts!$E22,'Revenue Build'!$C$6:$C$234,0)-1,MATCH(Charts!DA$4,'Revenue Build'!$C$4:$ES$4,0)-1)</f>
        <v>5223</v>
      </c>
      <c r="DB22" s="1013">
        <f ca="1">OFFSET('Revenue Build'!$C$6,MATCH(Charts!$E22,'Revenue Build'!$C$6:$C$234,0)-1,MATCH(Charts!DB$4,'Revenue Build'!$C$4:$ES$4,0)-1)</f>
        <v>6530</v>
      </c>
      <c r="DC22" s="1013" t="e">
        <f ca="1">OFFSET('Revenue Build'!$C$6,MATCH(Charts!$E22,'Revenue Build'!$C$6:$C$234,0)-1,MATCH(Charts!DC$4,'Revenue Build'!$C$4:$ES$4,0)-1)</f>
        <v>#N/A</v>
      </c>
      <c r="DD22" s="1013">
        <f ca="1">OFFSET('Revenue Build'!$C$6,MATCH(Charts!$E22,'Revenue Build'!$C$6:$C$234,0)-1,MATCH(Charts!DD$4,'Revenue Build'!$C$4:$ES$4,0)-1)</f>
        <v>11863.735895000002</v>
      </c>
      <c r="DE22" s="1013">
        <f ca="1">OFFSET('Revenue Build'!$C$6,MATCH(Charts!$E22,'Revenue Build'!$C$6:$C$234,0)-1,MATCH(Charts!DE$4,'Revenue Build'!$C$4:$ES$4,0)-1)</f>
        <v>15106.747089880002</v>
      </c>
      <c r="DF22" s="1013">
        <f ca="1">OFFSET('Revenue Build'!$C$6,MATCH(Charts!$E22,'Revenue Build'!$C$6:$C$234,0)-1,MATCH(Charts!DF$4,'Revenue Build'!$C$4:$ES$4,0)-1)</f>
        <v>18352.498302552001</v>
      </c>
      <c r="DG22" s="1013">
        <f ca="1">OFFSET('Revenue Build'!$C$6,MATCH(Charts!$E22,'Revenue Build'!$C$6:$C$234,0)-1,MATCH(Charts!DG$4,'Revenue Build'!$C$4:$ES$4,0)-1)</f>
        <v>21827.857614266406</v>
      </c>
      <c r="DH22" s="1013">
        <f ca="1">OFFSET('Revenue Build'!$C$6,MATCH(Charts!$E22,'Revenue Build'!$C$6:$C$234,0)-1,MATCH(Charts!DH$4,'Revenue Build'!$C$4:$ES$4,0)-1)</f>
        <v>25626.17447871968</v>
      </c>
    </row>
    <row r="23" spans="5:113">
      <c r="E23" s="9"/>
      <c r="F23" s="1010"/>
      <c r="G23" s="1010"/>
      <c r="H23" s="1010"/>
      <c r="I23" s="1010"/>
      <c r="J23" s="1010"/>
      <c r="K23" s="1010"/>
      <c r="L23" s="1010"/>
      <c r="M23" s="1010"/>
      <c r="N23" s="1010"/>
      <c r="O23" s="1010"/>
      <c r="P23" s="1010"/>
      <c r="Q23" s="1010"/>
      <c r="R23" s="1010"/>
      <c r="S23" s="1010"/>
      <c r="T23" s="1010"/>
      <c r="U23" s="1010"/>
      <c r="V23" s="1010"/>
      <c r="W23" s="1010"/>
      <c r="X23" s="1010"/>
      <c r="Y23" s="1010"/>
      <c r="Z23" s="1010"/>
      <c r="AA23" s="1010"/>
      <c r="AB23" s="1010"/>
      <c r="AC23" s="1010"/>
      <c r="AD23" s="1010"/>
      <c r="AE23" s="1010"/>
      <c r="AF23" s="1010"/>
      <c r="AG23" s="1010"/>
      <c r="AH23" s="1010"/>
      <c r="AI23" s="1010"/>
      <c r="AJ23" s="1010"/>
      <c r="AK23" s="1010"/>
      <c r="AL23" s="1010"/>
      <c r="AM23" s="1010"/>
      <c r="AN23" s="1010"/>
      <c r="AO23" s="1010"/>
      <c r="AP23" s="1010"/>
      <c r="AQ23" s="1010"/>
      <c r="AR23" s="1010"/>
      <c r="AS23" s="1010"/>
      <c r="AT23" s="1010"/>
      <c r="AU23" s="1010"/>
      <c r="AV23" s="1010"/>
      <c r="AW23" s="1010"/>
      <c r="AX23" s="1010"/>
      <c r="AY23" s="1010"/>
      <c r="AZ23" s="1010"/>
      <c r="BA23" s="1010"/>
      <c r="BB23" s="1010"/>
      <c r="BC23" s="1010"/>
      <c r="BD23" s="1010"/>
      <c r="BE23" s="1010"/>
      <c r="BF23" s="1010"/>
      <c r="BG23" s="1010"/>
      <c r="BH23" s="1010"/>
      <c r="BI23" s="1010"/>
      <c r="BJ23" s="1010"/>
      <c r="BK23" s="1010"/>
      <c r="BL23" s="1010"/>
      <c r="BM23" s="1010"/>
      <c r="BN23" s="907"/>
      <c r="BO23" s="907"/>
      <c r="BP23" s="907"/>
      <c r="BQ23" s="907"/>
      <c r="BR23" s="907"/>
      <c r="BS23" s="907"/>
      <c r="BT23" s="907"/>
      <c r="BU23" s="907"/>
      <c r="BV23" s="907"/>
      <c r="BW23" s="907"/>
      <c r="BX23" s="907"/>
      <c r="BY23" s="907"/>
      <c r="BZ23" s="907"/>
      <c r="CA23" s="907"/>
      <c r="CB23" s="907"/>
      <c r="CC23" s="907"/>
      <c r="CD23" s="907"/>
      <c r="CE23" s="907"/>
      <c r="CF23" s="907"/>
      <c r="CG23" s="907"/>
      <c r="CH23" s="907"/>
      <c r="CI23" s="907"/>
      <c r="CJ23" s="907"/>
      <c r="CK23" s="907"/>
      <c r="CL23" s="907"/>
      <c r="CM23" s="907"/>
      <c r="CN23" s="907"/>
      <c r="CO23" s="907"/>
      <c r="CP23" s="907"/>
      <c r="CQ23" s="907"/>
      <c r="CR23" s="907"/>
      <c r="CS23" s="907"/>
      <c r="CT23" s="1010"/>
      <c r="CU23" s="1010"/>
      <c r="CV23" s="1010"/>
      <c r="CW23" s="1010"/>
      <c r="CX23" s="1010"/>
      <c r="CY23" s="1010"/>
      <c r="CZ23" s="1010"/>
      <c r="DA23" s="1010"/>
      <c r="DB23" s="1010"/>
      <c r="DC23" s="1010"/>
      <c r="DD23" s="1010"/>
      <c r="DE23" s="1010"/>
      <c r="DF23" s="1010"/>
      <c r="DG23" s="1010"/>
      <c r="DH23" s="1010"/>
    </row>
    <row r="24" spans="5:113">
      <c r="E24" s="9"/>
      <c r="F24" s="1010"/>
      <c r="G24" s="1010"/>
      <c r="H24" s="1010"/>
      <c r="I24" s="1010"/>
      <c r="J24" s="1010"/>
      <c r="K24" s="1010"/>
      <c r="L24" s="1010"/>
      <c r="M24" s="1010"/>
      <c r="N24" s="1010"/>
      <c r="O24" s="1010"/>
      <c r="P24" s="1010"/>
      <c r="Q24" s="1010"/>
      <c r="R24" s="1010"/>
      <c r="S24" s="1010"/>
      <c r="T24" s="1010"/>
      <c r="U24" s="1010"/>
      <c r="V24" s="1010"/>
      <c r="W24" s="1010"/>
      <c r="X24" s="1010"/>
      <c r="Y24" s="1010"/>
      <c r="Z24" s="1010"/>
      <c r="AA24" s="1010"/>
      <c r="AB24" s="1010"/>
      <c r="AC24" s="1010"/>
      <c r="AD24" s="1010"/>
      <c r="AE24" s="1010"/>
      <c r="AF24" s="1010"/>
      <c r="AG24" s="1010"/>
      <c r="AH24" s="1010"/>
      <c r="AI24" s="1010"/>
      <c r="AJ24" s="1010"/>
      <c r="AK24" s="1010"/>
      <c r="AL24" s="1010"/>
      <c r="AM24" s="1010"/>
      <c r="AN24" s="1010"/>
      <c r="AO24" s="1010"/>
      <c r="AP24" s="1010"/>
      <c r="AQ24" s="1010"/>
      <c r="AR24" s="1010"/>
      <c r="AS24" s="1010"/>
      <c r="AT24" s="1010"/>
      <c r="AU24" s="1010"/>
      <c r="AV24" s="1010"/>
      <c r="AW24" s="1010"/>
      <c r="AX24" s="1010"/>
      <c r="AY24" s="1010"/>
      <c r="AZ24" s="1010"/>
      <c r="BA24" s="1010"/>
      <c r="BB24" s="1010"/>
      <c r="BC24" s="1010"/>
      <c r="BD24" s="1010"/>
      <c r="BE24" s="1010"/>
      <c r="BF24" s="1010"/>
      <c r="BG24" s="1010"/>
      <c r="BH24" s="1010"/>
      <c r="BI24" s="1010"/>
      <c r="BJ24" s="1010"/>
      <c r="BK24" s="1010"/>
      <c r="BL24" s="1010"/>
      <c r="BM24" s="1010"/>
      <c r="BN24" s="907"/>
      <c r="BO24" s="907"/>
      <c r="BP24" s="907"/>
      <c r="BQ24" s="907"/>
      <c r="BR24" s="907"/>
      <c r="BS24" s="907"/>
      <c r="BT24" s="907"/>
      <c r="BU24" s="907"/>
      <c r="BV24" s="907"/>
      <c r="BW24" s="907"/>
      <c r="BX24" s="907"/>
      <c r="BY24" s="907"/>
      <c r="BZ24" s="907"/>
      <c r="CA24" s="907"/>
      <c r="CB24" s="907"/>
      <c r="CC24" s="907"/>
      <c r="CD24" s="907"/>
      <c r="CE24" s="907"/>
      <c r="CF24" s="907"/>
      <c r="CG24" s="907"/>
      <c r="CH24" s="907"/>
      <c r="CI24" s="907"/>
      <c r="CJ24" s="907"/>
      <c r="CK24" s="907"/>
      <c r="CL24" s="907"/>
      <c r="CM24" s="907"/>
      <c r="CN24" s="907"/>
      <c r="CO24" s="907"/>
      <c r="CP24" s="907"/>
      <c r="CQ24" s="907"/>
      <c r="CR24" s="907"/>
      <c r="CS24" s="907"/>
      <c r="CT24" s="1010"/>
      <c r="CU24" s="1010" t="str">
        <f>CU4</f>
        <v>2017A</v>
      </c>
      <c r="CV24" s="1010" t="str">
        <f t="shared" ref="CV24:DE24" si="47">CV4</f>
        <v>2018A</v>
      </c>
      <c r="CW24" s="1010" t="str">
        <f t="shared" si="47"/>
        <v>2019A</v>
      </c>
      <c r="CX24" s="1010" t="str">
        <f t="shared" si="47"/>
        <v>2020A</v>
      </c>
      <c r="CY24" s="1010" t="str">
        <f t="shared" si="47"/>
        <v>2021A</v>
      </c>
      <c r="CZ24" s="1010" t="str">
        <f t="shared" si="47"/>
        <v>2022A</v>
      </c>
      <c r="DA24" s="1010" t="str">
        <f t="shared" si="47"/>
        <v>2023A</v>
      </c>
      <c r="DB24" s="1010" t="str">
        <f t="shared" si="47"/>
        <v>2024A</v>
      </c>
      <c r="DC24" s="1010" t="str">
        <f t="shared" si="47"/>
        <v>2025E</v>
      </c>
      <c r="DD24" s="1010" t="str">
        <f t="shared" si="47"/>
        <v>2026E</v>
      </c>
      <c r="DE24" s="1010" t="str">
        <f t="shared" si="47"/>
        <v>2027E</v>
      </c>
      <c r="DF24" s="1010" t="str">
        <f t="shared" ref="DF24:DH24" si="48">DF4</f>
        <v>2028E</v>
      </c>
      <c r="DG24" s="1010" t="str">
        <f t="shared" si="48"/>
        <v>2029E</v>
      </c>
      <c r="DH24" s="1010" t="str">
        <f t="shared" si="48"/>
        <v>2030E</v>
      </c>
    </row>
    <row r="25" spans="5:113">
      <c r="E25" s="669" t="s">
        <v>603</v>
      </c>
      <c r="F25" s="1008"/>
      <c r="G25" s="1008"/>
      <c r="H25" s="1008"/>
      <c r="I25" s="1008"/>
      <c r="J25" s="1008"/>
      <c r="K25" s="1008"/>
      <c r="L25" s="1008"/>
      <c r="M25" s="1008"/>
      <c r="N25" s="1008"/>
      <c r="O25" s="1008"/>
      <c r="P25" s="1008"/>
      <c r="Q25" s="1008"/>
      <c r="R25" s="1008"/>
      <c r="S25" s="1008"/>
      <c r="T25" s="1008"/>
      <c r="U25" s="1008"/>
      <c r="V25" s="1008"/>
      <c r="W25" s="1008"/>
      <c r="X25" s="1008"/>
      <c r="Y25" s="1008"/>
      <c r="Z25" s="1008"/>
      <c r="AA25" s="1008"/>
      <c r="AB25" s="1008"/>
      <c r="AC25" s="1008"/>
      <c r="AD25" s="1008"/>
      <c r="AE25" s="1008"/>
      <c r="AF25" s="1008"/>
      <c r="AG25" s="1008"/>
      <c r="AH25" s="1008"/>
      <c r="AI25" s="1008"/>
      <c r="AJ25" s="1008"/>
      <c r="AK25" s="1008"/>
      <c r="AL25" s="1008"/>
      <c r="AM25" s="1008"/>
      <c r="AN25" s="1008"/>
      <c r="AO25" s="1008"/>
      <c r="AP25" s="1008"/>
      <c r="AQ25" s="1008"/>
      <c r="AR25" s="1008"/>
      <c r="AS25" s="1008"/>
      <c r="AT25" s="1008"/>
      <c r="AU25" s="1008"/>
      <c r="AV25" s="1008"/>
      <c r="AW25" s="1008"/>
      <c r="AX25" s="1008"/>
      <c r="AY25" s="1008"/>
      <c r="AZ25" s="1008"/>
      <c r="BA25" s="1008"/>
      <c r="BB25" s="1008"/>
      <c r="BC25" s="1008"/>
      <c r="BD25" s="1008"/>
      <c r="BE25" s="1008"/>
      <c r="BF25" s="1008"/>
      <c r="BG25" s="1008"/>
      <c r="BH25" s="1008"/>
      <c r="BI25" s="1008"/>
      <c r="BJ25" s="1008"/>
      <c r="BK25" s="1008"/>
      <c r="BL25" s="1008"/>
      <c r="BM25" s="1008"/>
      <c r="BN25" s="905"/>
      <c r="BO25" s="905"/>
      <c r="BP25" s="905"/>
      <c r="BQ25" s="905"/>
      <c r="BR25" s="905"/>
      <c r="BS25" s="905"/>
      <c r="BT25" s="905"/>
      <c r="BU25" s="905"/>
      <c r="BV25" s="905"/>
      <c r="BW25" s="905"/>
      <c r="BX25" s="905"/>
      <c r="BY25" s="905"/>
      <c r="BZ25" s="905"/>
      <c r="CA25" s="905"/>
      <c r="CB25" s="905"/>
      <c r="CC25" s="905"/>
      <c r="CD25" s="905"/>
      <c r="CE25" s="905"/>
      <c r="CF25" s="905"/>
      <c r="CG25" s="905"/>
      <c r="CH25" s="905"/>
      <c r="CI25" s="905"/>
      <c r="CJ25" s="905"/>
      <c r="CK25" s="905"/>
      <c r="CL25" s="905"/>
      <c r="CM25" s="905"/>
      <c r="CN25" s="905"/>
      <c r="CO25" s="905"/>
      <c r="CP25" s="905"/>
      <c r="CQ25" s="905"/>
      <c r="CR25" s="905"/>
      <c r="CS25" s="905" t="s">
        <v>576</v>
      </c>
      <c r="CT25" s="1008"/>
      <c r="CU25" s="1008">
        <f t="shared" ref="CU25:DE25" ca="1" si="49">CU18/CU$11</f>
        <v>0.57999999999999985</v>
      </c>
      <c r="CV25" s="1008">
        <f t="shared" ca="1" si="49"/>
        <v>0.57499999999999996</v>
      </c>
      <c r="CW25" s="1008">
        <f t="shared" ca="1" si="49"/>
        <v>0.56999999999999995</v>
      </c>
      <c r="CX25" s="1008">
        <f t="shared" ca="1" si="49"/>
        <v>0.56499999999999995</v>
      </c>
      <c r="CY25" s="1008">
        <f t="shared" ca="1" si="49"/>
        <v>0.56000000000000005</v>
      </c>
      <c r="CZ25" s="1008">
        <f t="shared" ca="1" si="49"/>
        <v>0.55300000000000005</v>
      </c>
      <c r="DA25" s="1008">
        <f t="shared" ca="1" si="49"/>
        <v>0.56499999999999995</v>
      </c>
      <c r="DB25" s="1008">
        <f t="shared" ca="1" si="49"/>
        <v>0.56540323124042857</v>
      </c>
      <c r="DC25" s="1008" t="e">
        <f t="shared" ca="1" si="49"/>
        <v>#N/A</v>
      </c>
      <c r="DD25" s="1008">
        <f t="shared" ca="1" si="49"/>
        <v>0.55693807692291308</v>
      </c>
      <c r="DE25" s="1008">
        <f t="shared" ca="1" si="49"/>
        <v>0.54863312532302455</v>
      </c>
      <c r="DF25" s="1008">
        <f t="shared" ref="DF25:DH25" ca="1" si="50">DF18/DF$11</f>
        <v>0.53528770984836427</v>
      </c>
      <c r="DG25" s="1008">
        <f t="shared" ca="1" si="50"/>
        <v>0.5218620555045469</v>
      </c>
      <c r="DH25" s="1008">
        <f t="shared" ca="1" si="50"/>
        <v>0.50835903534999383</v>
      </c>
    </row>
    <row r="26" spans="5:113">
      <c r="E26" s="669" t="s">
        <v>604</v>
      </c>
      <c r="F26" s="1008">
        <f ca="1">OFFSET('Revenue Build'!$C$6,MATCH(Charts!$E19,'Revenue Build'!$C$6:$C$234,0)+0,MATCH(Charts!F$3,'Revenue Build'!$C$5:$ET$5,0)-1)</f>
        <v>0</v>
      </c>
      <c r="G26" s="1008">
        <f ca="1">OFFSET('Revenue Build'!$C$6,MATCH(Charts!$E19,'Revenue Build'!$C$6:$C$234,0)+0,MATCH(Charts!G$3,'Revenue Build'!$C$5:$ET$5,0)-1)</f>
        <v>0</v>
      </c>
      <c r="H26" s="1008">
        <f ca="1">OFFSET('Revenue Build'!$C$6,MATCH(Charts!$E19,'Revenue Build'!$C$6:$C$234,0)+0,MATCH(Charts!H$3,'Revenue Build'!$C$5:$ET$5,0)-1)</f>
        <v>0</v>
      </c>
      <c r="I26" s="1008">
        <f ca="1">OFFSET('Revenue Build'!$C$6,MATCH(Charts!$E19,'Revenue Build'!$C$6:$C$234,0)+0,MATCH(Charts!I$3,'Revenue Build'!$C$5:$ET$5,0)-1)</f>
        <v>0</v>
      </c>
      <c r="J26" s="1008">
        <f ca="1">OFFSET('Revenue Build'!$C$6,MATCH(Charts!$E19,'Revenue Build'!$C$6:$C$234,0)+0,MATCH(Charts!J$3,'Revenue Build'!$C$5:$ET$5,0)-1)</f>
        <v>0.34</v>
      </c>
      <c r="K26" s="1008">
        <f ca="1">OFFSET('Revenue Build'!$C$6,MATCH(Charts!$E19,'Revenue Build'!$C$6:$C$234,0)+0,MATCH(Charts!K$3,'Revenue Build'!$C$5:$ET$5,0)-1)</f>
        <v>0.34</v>
      </c>
      <c r="L26" s="1008">
        <f ca="1">OFFSET('Revenue Build'!$C$6,MATCH(Charts!$E19,'Revenue Build'!$C$6:$C$234,0)+0,MATCH(Charts!L$3,'Revenue Build'!$C$5:$ET$5,0)-1)</f>
        <v>0.34</v>
      </c>
      <c r="M26" s="1008">
        <f ca="1">OFFSET('Revenue Build'!$C$6,MATCH(Charts!$E19,'Revenue Build'!$C$6:$C$234,0)+0,MATCH(Charts!M$3,'Revenue Build'!$C$5:$ET$5,0)-1)</f>
        <v>0.34</v>
      </c>
      <c r="N26" s="1008">
        <f ca="1">OFFSET('Revenue Build'!$C$6,MATCH(Charts!$E19,'Revenue Build'!$C$6:$C$234,0)+0,MATCH(Charts!N$3,'Revenue Build'!$C$5:$ET$5,0)-1)</f>
        <v>0.32</v>
      </c>
      <c r="O26" s="1008">
        <f ca="1">OFFSET('Revenue Build'!$C$6,MATCH(Charts!$E19,'Revenue Build'!$C$6:$C$234,0)+0,MATCH(Charts!O$3,'Revenue Build'!$C$5:$ET$5,0)-1)</f>
        <v>0.32</v>
      </c>
      <c r="P26" s="1008">
        <f ca="1">OFFSET('Revenue Build'!$C$6,MATCH(Charts!$E19,'Revenue Build'!$C$6:$C$234,0)+0,MATCH(Charts!P$3,'Revenue Build'!$C$5:$ET$5,0)-1)</f>
        <v>0.32</v>
      </c>
      <c r="Q26" s="1008">
        <f ca="1">OFFSET('Revenue Build'!$C$6,MATCH(Charts!$E19,'Revenue Build'!$C$6:$C$234,0)+0,MATCH(Charts!Q$3,'Revenue Build'!$C$5:$ET$5,0)-1)</f>
        <v>0.32</v>
      </c>
      <c r="R26" s="1008">
        <f ca="1">OFFSET('Revenue Build'!$C$6,MATCH(Charts!$E19,'Revenue Build'!$C$6:$C$234,0)+0,MATCH(Charts!R$3,'Revenue Build'!$C$5:$ET$5,0)-1)</f>
        <v>0.3</v>
      </c>
      <c r="S26" s="1008">
        <f ca="1">OFFSET('Revenue Build'!$C$6,MATCH(Charts!$E19,'Revenue Build'!$C$6:$C$234,0)+0,MATCH(Charts!S$3,'Revenue Build'!$C$5:$ET$5,0)-1)</f>
        <v>0.3</v>
      </c>
      <c r="T26" s="1008">
        <f ca="1">OFFSET('Revenue Build'!$C$6,MATCH(Charts!$E19,'Revenue Build'!$C$6:$C$234,0)+0,MATCH(Charts!T$3,'Revenue Build'!$C$5:$ET$5,0)-1)</f>
        <v>0.3</v>
      </c>
      <c r="U26" s="1008">
        <f ca="1">OFFSET('Revenue Build'!$C$6,MATCH(Charts!$E19,'Revenue Build'!$C$6:$C$234,0)+0,MATCH(Charts!U$3,'Revenue Build'!$C$5:$ET$5,0)-1)</f>
        <v>0.3</v>
      </c>
      <c r="V26" s="1008">
        <f ca="1">OFFSET('Revenue Build'!$C$6,MATCH(Charts!$E19,'Revenue Build'!$C$6:$C$234,0)+0,MATCH(Charts!V$3,'Revenue Build'!$C$5:$ET$5,0)-1)</f>
        <v>0.27999999999999997</v>
      </c>
      <c r="W26" s="1008">
        <f ca="1">OFFSET('Revenue Build'!$C$6,MATCH(Charts!$E19,'Revenue Build'!$C$6:$C$234,0)+0,MATCH(Charts!W$3,'Revenue Build'!$C$5:$ET$5,0)-1)</f>
        <v>0.27999999999999997</v>
      </c>
      <c r="X26" s="1008">
        <f ca="1">OFFSET('Revenue Build'!$C$6,MATCH(Charts!$E19,'Revenue Build'!$C$6:$C$234,0)+0,MATCH(Charts!X$3,'Revenue Build'!$C$5:$ET$5,0)-1)</f>
        <v>0.27999999999999997</v>
      </c>
      <c r="Y26" s="1008">
        <f ca="1">OFFSET('Revenue Build'!$C$6,MATCH(Charts!$E19,'Revenue Build'!$C$6:$C$234,0)+0,MATCH(Charts!Y$3,'Revenue Build'!$C$5:$ET$5,0)-1)</f>
        <v>0.27999999999999997</v>
      </c>
      <c r="Z26" s="1008">
        <f ca="1">OFFSET('Revenue Build'!$C$6,MATCH(Charts!$E19,'Revenue Build'!$C$6:$C$234,0)+0,MATCH(Charts!Z$3,'Revenue Build'!$C$5:$ET$5,0)-1)</f>
        <v>0.25999999999999995</v>
      </c>
      <c r="AA26" s="1008">
        <f ca="1">OFFSET('Revenue Build'!$C$6,MATCH(Charts!$E19,'Revenue Build'!$C$6:$C$234,0)+0,MATCH(Charts!AA$3,'Revenue Build'!$C$5:$ET$5,0)-1)</f>
        <v>0.25999999999999995</v>
      </c>
      <c r="AB26" s="1008">
        <f ca="1">OFFSET('Revenue Build'!$C$6,MATCH(Charts!$E19,'Revenue Build'!$C$6:$C$234,0)+0,MATCH(Charts!AB$3,'Revenue Build'!$C$5:$ET$5,0)-1)</f>
        <v>0.25999999999999995</v>
      </c>
      <c r="AC26" s="1008">
        <f ca="1">OFFSET('Revenue Build'!$C$6,MATCH(Charts!$E19,'Revenue Build'!$C$6:$C$234,0)+0,MATCH(Charts!AC$3,'Revenue Build'!$C$5:$ET$5,0)-1)</f>
        <v>0.25999999999999995</v>
      </c>
      <c r="AD26" s="1008">
        <f ca="1">OFFSET('Revenue Build'!$C$6,MATCH(Charts!$E19,'Revenue Build'!$C$6:$C$234,0)+0,MATCH(Charts!AD$3,'Revenue Build'!$C$5:$ET$5,0)-1)</f>
        <v>0.24499999999999994</v>
      </c>
      <c r="AE26" s="1008">
        <f ca="1">OFFSET('Revenue Build'!$C$6,MATCH(Charts!$E19,'Revenue Build'!$C$6:$C$234,0)+0,MATCH(Charts!AE$3,'Revenue Build'!$C$5:$ET$5,0)-1)</f>
        <v>0.24499999999999994</v>
      </c>
      <c r="AF26" s="1008">
        <f ca="1">OFFSET('Revenue Build'!$C$6,MATCH(Charts!$E19,'Revenue Build'!$C$6:$C$234,0)+0,MATCH(Charts!AF$3,'Revenue Build'!$C$5:$ET$5,0)-1)</f>
        <v>0.24499999999999994</v>
      </c>
      <c r="AG26" s="1008">
        <f ca="1">OFFSET('Revenue Build'!$C$6,MATCH(Charts!$E19,'Revenue Build'!$C$6:$C$234,0)+0,MATCH(Charts!AG$3,'Revenue Build'!$C$5:$ET$5,0)-1)</f>
        <v>0.24499999999999994</v>
      </c>
      <c r="AH26" s="1008">
        <f ca="1">OFFSET('Revenue Build'!$C$6,MATCH(Charts!$E19,'Revenue Build'!$C$6:$C$234,0)+0,MATCH(Charts!AH$3,'Revenue Build'!$C$5:$ET$5,0)-1)</f>
        <v>0.23499999999999999</v>
      </c>
      <c r="AI26" s="1008">
        <f ca="1">OFFSET('Revenue Build'!$C$6,MATCH(Charts!$E19,'Revenue Build'!$C$6:$C$234,0)+0,MATCH(Charts!AI$3,'Revenue Build'!$C$5:$ET$5,0)-1)</f>
        <v>0.23499999999999999</v>
      </c>
      <c r="AJ26" s="1008">
        <f ca="1">OFFSET('Revenue Build'!$C$6,MATCH(Charts!$E19,'Revenue Build'!$C$6:$C$234,0)+0,MATCH(Charts!AJ$3,'Revenue Build'!$C$5:$ET$5,0)-1)</f>
        <v>0.23499999999999999</v>
      </c>
      <c r="AK26" s="1008">
        <f ca="1">OFFSET('Revenue Build'!$C$6,MATCH(Charts!$E19,'Revenue Build'!$C$6:$C$234,0)+0,MATCH(Charts!AK$3,'Revenue Build'!$C$5:$ET$5,0)-1)</f>
        <v>0.23499999999999999</v>
      </c>
      <c r="AL26" s="1008">
        <f ca="1">OFFSET('Revenue Build'!$C$6,MATCH(Charts!$E19,'Revenue Build'!$C$6:$C$234,0)+0,MATCH(Charts!AL$3,'Revenue Build'!$C$5:$ET$5,0)-1)</f>
        <v>0.22999999999999998</v>
      </c>
      <c r="AM26" s="1008">
        <f ca="1">OFFSET('Revenue Build'!$C$6,MATCH(Charts!$E19,'Revenue Build'!$C$6:$C$234,0)+0,MATCH(Charts!AM$3,'Revenue Build'!$C$5:$ET$5,0)-1)</f>
        <v>0.22999999999999998</v>
      </c>
      <c r="AN26" s="1008">
        <f ca="1">OFFSET('Revenue Build'!$C$6,MATCH(Charts!$E19,'Revenue Build'!$C$6:$C$234,0)+0,MATCH(Charts!AN$3,'Revenue Build'!$C$5:$ET$5,0)-1)</f>
        <v>0.22999999999999998</v>
      </c>
      <c r="AO26" s="1008">
        <f ca="1">OFFSET('Revenue Build'!$C$6,MATCH(Charts!$E19,'Revenue Build'!$C$6:$C$234,0)+0,MATCH(Charts!AO$3,'Revenue Build'!$C$5:$ET$5,0)-1)</f>
        <v>0.22999999999999998</v>
      </c>
      <c r="AP26" s="1008">
        <f ca="1">OFFSET('Revenue Build'!$C$6,MATCH(Charts!$E19,'Revenue Build'!$C$6:$C$234,0)+0,MATCH(Charts!AP$3,'Revenue Build'!$C$5:$ET$5,0)-1)</f>
        <v>0.22499999999999998</v>
      </c>
      <c r="AQ26" s="1008">
        <f ca="1">OFFSET('Revenue Build'!$C$6,MATCH(Charts!$E19,'Revenue Build'!$C$6:$C$234,0)+0,MATCH(Charts!AQ$3,'Revenue Build'!$C$5:$ET$5,0)-1)</f>
        <v>0.22499999999999998</v>
      </c>
      <c r="AR26" s="1008">
        <f ca="1">OFFSET('Revenue Build'!$C$6,MATCH(Charts!$E19,'Revenue Build'!$C$6:$C$234,0)+0,MATCH(Charts!AR$3,'Revenue Build'!$C$5:$ET$5,0)-1)</f>
        <v>0.22499999999999998</v>
      </c>
      <c r="AS26" s="1008">
        <f ca="1">OFFSET('Revenue Build'!$C$6,MATCH(Charts!$E19,'Revenue Build'!$C$6:$C$234,0)+0,MATCH(Charts!AS$3,'Revenue Build'!$C$5:$ET$5,0)-1)</f>
        <v>0.22499999999999998</v>
      </c>
      <c r="AT26" s="1008">
        <f ca="1">OFFSET('Revenue Build'!$C$6,MATCH(Charts!$E19,'Revenue Build'!$C$6:$C$234,0)+0,MATCH(Charts!AT$3,'Revenue Build'!$C$5:$ET$5,0)-1)</f>
        <v>0.21199999999999999</v>
      </c>
      <c r="AU26" s="1008">
        <f ca="1">OFFSET('Revenue Build'!$C$6,MATCH(Charts!$E19,'Revenue Build'!$C$6:$C$234,0)+0,MATCH(Charts!AU$3,'Revenue Build'!$C$5:$ET$5,0)-1)</f>
        <v>0.21999999999999997</v>
      </c>
      <c r="AV26" s="1008">
        <f ca="1">OFFSET('Revenue Build'!$C$6,MATCH(Charts!$E19,'Revenue Build'!$C$6:$C$234,0)+0,MATCH(Charts!AV$3,'Revenue Build'!$C$5:$ET$5,0)-1)</f>
        <v>0.2117483495528118</v>
      </c>
      <c r="AW26" s="1008">
        <f ca="1">OFFSET('Revenue Build'!$C$6,MATCH(Charts!$E19,'Revenue Build'!$C$6:$C$234,0)+0,MATCH(Charts!AW$3,'Revenue Build'!$C$5:$ET$5,0)-1)</f>
        <v>0.21031299914435483</v>
      </c>
      <c r="AX26" s="1008">
        <f ca="1">OFFSET('Revenue Build'!$C$6,MATCH(Charts!$E19,'Revenue Build'!$C$6:$C$234,0)+0,MATCH(Charts!AX$3,'Revenue Build'!$C$5:$ET$5,0)-1)</f>
        <v>0.20080433551242954</v>
      </c>
      <c r="AY26" s="1008">
        <f ca="1">OFFSET('Revenue Build'!$C$6,MATCH(Charts!$E19,'Revenue Build'!$C$6:$C$234,0)+0,MATCH(Charts!AY$3,'Revenue Build'!$C$5:$ET$5,0)-1)</f>
        <v>0.21086110833794058</v>
      </c>
      <c r="AZ26" s="1008">
        <f ca="1">OFFSET('Revenue Build'!$C$6,MATCH(Charts!$E19,'Revenue Build'!$C$6:$C$234,0)+0,MATCH(Charts!AZ$3,'Revenue Build'!$C$5:$ET$5,0)-1)</f>
        <v>0.20344499003085204</v>
      </c>
      <c r="BA26" s="1008">
        <f ca="1">OFFSET('Revenue Build'!$C$6,MATCH(Charts!$E19,'Revenue Build'!$C$6:$C$234,0)+0,MATCH(Charts!BA$3,'Revenue Build'!$C$5:$ET$5,0)-1)</f>
        <v>0.20087435503446821</v>
      </c>
      <c r="BB26" s="1008">
        <f ca="1">OFFSET('Revenue Build'!$C$6,MATCH(Charts!$E19,'Revenue Build'!$C$6:$C$234,0)+0,MATCH(Charts!BB$3,'Revenue Build'!$C$5:$ET$5,0)-1)</f>
        <v>0.19577683571147234</v>
      </c>
      <c r="BC26" s="1008">
        <f ca="1">OFFSET('Revenue Build'!$C$6,MATCH(Charts!$E19,'Revenue Build'!$C$6:$C$234,0)+0,MATCH(Charts!BC$3,'Revenue Build'!$C$5:$ET$5,0)-1)</f>
        <v>0.20505514447012327</v>
      </c>
      <c r="BD26" s="1008">
        <f ca="1">OFFSET('Revenue Build'!$C$6,MATCH(Charts!$E19,'Revenue Build'!$C$6:$C$234,0)+0,MATCH(Charts!BD$3,'Revenue Build'!$C$5:$ET$5,0)-1)</f>
        <v>0.19824846628729331</v>
      </c>
      <c r="BE26" s="1008">
        <f ca="1">OFFSET('Revenue Build'!$C$6,MATCH(Charts!$E19,'Revenue Build'!$C$6:$C$234,0)+0,MATCH(Charts!BE$3,'Revenue Build'!$C$5:$ET$5,0)-1)</f>
        <v>0.1948364562629997</v>
      </c>
      <c r="BF26" s="1008">
        <f ca="1">OFFSET('Revenue Build'!$C$6,MATCH(Charts!$E19,'Revenue Build'!$C$6:$C$234,0)+0,MATCH(Charts!BF$3,'Revenue Build'!$C$5:$ET$5,0)-1)</f>
        <v>0.19062962009435369</v>
      </c>
      <c r="BG26" s="1008">
        <f ca="1">OFFSET('Revenue Build'!$C$6,MATCH(Charts!$E19,'Revenue Build'!$C$6:$C$234,0)+0,MATCH(Charts!BG$3,'Revenue Build'!$C$5:$ET$5,0)-1)</f>
        <v>0.19914837843039937</v>
      </c>
      <c r="BH26" s="1008">
        <f ca="1">OFFSET('Revenue Build'!$C$6,MATCH(Charts!$E19,'Revenue Build'!$C$6:$C$234,0)+0,MATCH(Charts!BH$3,'Revenue Build'!$C$5:$ET$5,0)-1)</f>
        <v>0.19293531520894128</v>
      </c>
      <c r="BI26" s="1008">
        <f ca="1">OFFSET('Revenue Build'!$C$6,MATCH(Charts!$E19,'Revenue Build'!$C$6:$C$234,0)+0,MATCH(Charts!BI$3,'Revenue Build'!$C$5:$ET$5,0)-1)</f>
        <v>0.18870261025018292</v>
      </c>
      <c r="BJ26" s="1008">
        <f ca="1">OFFSET('Revenue Build'!$C$6,MATCH(Charts!$E19,'Revenue Build'!$C$6:$C$234,0)+0,MATCH(Charts!BJ$3,'Revenue Build'!$C$5:$ET$5,0)-1)</f>
        <v>0.18536696057783744</v>
      </c>
      <c r="BK26" s="1008">
        <f ca="1">OFFSET('Revenue Build'!$C$6,MATCH(Charts!$E19,'Revenue Build'!$C$6:$C$234,0)+0,MATCH(Charts!BK$3,'Revenue Build'!$C$5:$ET$5,0)-1)</f>
        <v>0.19314440118171841</v>
      </c>
      <c r="BL26" s="1008">
        <f ca="1">OFFSET('Revenue Build'!$C$6,MATCH(Charts!$E19,'Revenue Build'!$C$6:$C$234,0)+0,MATCH(Charts!BL$3,'Revenue Build'!$C$5:$ET$5,0)-1)</f>
        <v>0.18750973337836149</v>
      </c>
      <c r="BM26" s="1008">
        <f ca="1">OFFSET('Revenue Build'!$C$6,MATCH(Charts!$E19,'Revenue Build'!$C$6:$C$234,0)+0,MATCH(Charts!BM$3,'Revenue Build'!$C$5:$ET$5,0)-1)</f>
        <v>0.1824762605251794</v>
      </c>
      <c r="BN26" s="905"/>
      <c r="BO26" s="905"/>
      <c r="BP26" s="905"/>
      <c r="BQ26" s="905"/>
      <c r="BR26" s="905"/>
      <c r="BS26" s="905"/>
      <c r="BT26" s="905"/>
      <c r="BU26" s="905"/>
      <c r="BV26" s="905"/>
      <c r="BW26" s="905"/>
      <c r="BX26" s="905"/>
      <c r="BY26" s="905"/>
      <c r="BZ26" s="905"/>
      <c r="CA26" s="905"/>
      <c r="CB26" s="905"/>
      <c r="CC26" s="905"/>
      <c r="CD26" s="905"/>
      <c r="CE26" s="905"/>
      <c r="CF26" s="905"/>
      <c r="CG26" s="905"/>
      <c r="CH26" s="905"/>
      <c r="CI26" s="905"/>
      <c r="CJ26" s="905"/>
      <c r="CK26" s="905"/>
      <c r="CL26" s="905"/>
      <c r="CM26" s="905"/>
      <c r="CN26" s="905"/>
      <c r="CO26" s="905"/>
      <c r="CP26" s="905"/>
      <c r="CQ26" s="905"/>
      <c r="CR26" s="905"/>
      <c r="CS26" s="905" t="s">
        <v>590</v>
      </c>
      <c r="CT26" s="1008"/>
      <c r="CU26" s="1008">
        <f t="shared" ref="CU26:DE26" ca="1" si="51">CU19/CU$11</f>
        <v>0.33999999999999997</v>
      </c>
      <c r="CV26" s="1008">
        <f t="shared" ca="1" si="51"/>
        <v>0.32</v>
      </c>
      <c r="CW26" s="1008">
        <f t="shared" ca="1" si="51"/>
        <v>0.3</v>
      </c>
      <c r="CX26" s="1008">
        <f t="shared" ca="1" si="51"/>
        <v>0.27999999999999997</v>
      </c>
      <c r="CY26" s="1008">
        <f t="shared" ca="1" si="51"/>
        <v>0.25999999999999995</v>
      </c>
      <c r="CZ26" s="1008">
        <f t="shared" ca="1" si="51"/>
        <v>0.24499999999999994</v>
      </c>
      <c r="DA26" s="1008">
        <f t="shared" ca="1" si="51"/>
        <v>0.23499999999999996</v>
      </c>
      <c r="DB26" s="1008">
        <f t="shared" ca="1" si="51"/>
        <v>0.22999999999999998</v>
      </c>
      <c r="DC26" s="1008" t="e">
        <f t="shared" ca="1" si="51"/>
        <v>#N/A</v>
      </c>
      <c r="DD26" s="1008">
        <f t="shared" ca="1" si="51"/>
        <v>0.21327247265742644</v>
      </c>
      <c r="DE26" s="1008">
        <f t="shared" ca="1" si="51"/>
        <v>0.20383725637438097</v>
      </c>
      <c r="DF26" s="1008">
        <f t="shared" ref="DF26:DH26" ca="1" si="52">DF19/DF$11</f>
        <v>0.19826470706744706</v>
      </c>
      <c r="DG26" s="1008">
        <f t="shared" ca="1" si="52"/>
        <v>0.19258519396394302</v>
      </c>
      <c r="DH26" s="1008">
        <f t="shared" ca="1" si="52"/>
        <v>0.18680254704352506</v>
      </c>
    </row>
    <row r="27" spans="5:113">
      <c r="E27" s="669" t="s">
        <v>605</v>
      </c>
      <c r="F27" s="1008">
        <f ca="1">OFFSET('Revenue Build'!$C$6,MATCH(Charts!$E20,'Revenue Build'!$C$6:$C$234,0)+0,MATCH(Charts!F$3,'Revenue Build'!$C$5:$ET$5,0)-1)</f>
        <v>0</v>
      </c>
      <c r="G27" s="1008">
        <f ca="1">OFFSET('Revenue Build'!$C$6,MATCH(Charts!$E20,'Revenue Build'!$C$6:$C$234,0)+0,MATCH(Charts!G$3,'Revenue Build'!$C$5:$ET$5,0)-1)</f>
        <v>0</v>
      </c>
      <c r="H27" s="1008">
        <f ca="1">OFFSET('Revenue Build'!$C$6,MATCH(Charts!$E20,'Revenue Build'!$C$6:$C$234,0)+0,MATCH(Charts!H$3,'Revenue Build'!$C$5:$ET$5,0)-1)</f>
        <v>0</v>
      </c>
      <c r="I27" s="1008">
        <f ca="1">OFFSET('Revenue Build'!$C$6,MATCH(Charts!$E20,'Revenue Build'!$C$6:$C$234,0)+0,MATCH(Charts!I$3,'Revenue Build'!$C$5:$ET$5,0)-1)</f>
        <v>0</v>
      </c>
      <c r="J27" s="1008">
        <f ca="1">OFFSET('Revenue Build'!$C$6,MATCH(Charts!$E20,'Revenue Build'!$C$6:$C$234,0)+0,MATCH(Charts!J$3,'Revenue Build'!$C$5:$ET$5,0)-1)</f>
        <v>0.92</v>
      </c>
      <c r="K27" s="1008">
        <f ca="1">OFFSET('Revenue Build'!$C$6,MATCH(Charts!$E20,'Revenue Build'!$C$6:$C$234,0)+0,MATCH(Charts!K$3,'Revenue Build'!$C$5:$ET$5,0)-1)</f>
        <v>0.91999999999999993</v>
      </c>
      <c r="L27" s="1008">
        <f ca="1">OFFSET('Revenue Build'!$C$6,MATCH(Charts!$E20,'Revenue Build'!$C$6:$C$234,0)+0,MATCH(Charts!L$3,'Revenue Build'!$C$5:$ET$5,0)-1)</f>
        <v>0.92</v>
      </c>
      <c r="M27" s="1008">
        <f ca="1">OFFSET('Revenue Build'!$C$6,MATCH(Charts!$E20,'Revenue Build'!$C$6:$C$234,0)+0,MATCH(Charts!M$3,'Revenue Build'!$C$5:$ET$5,0)-1)</f>
        <v>0.92</v>
      </c>
      <c r="N27" s="1008">
        <f ca="1">OFFSET('Revenue Build'!$C$6,MATCH(Charts!$E20,'Revenue Build'!$C$6:$C$234,0)+0,MATCH(Charts!N$3,'Revenue Build'!$C$5:$ET$5,0)-1)</f>
        <v>0.89499999999999991</v>
      </c>
      <c r="O27" s="1008">
        <f ca="1">OFFSET('Revenue Build'!$C$6,MATCH(Charts!$E20,'Revenue Build'!$C$6:$C$234,0)+0,MATCH(Charts!O$3,'Revenue Build'!$C$5:$ET$5,0)-1)</f>
        <v>0.89499999999999991</v>
      </c>
      <c r="P27" s="1008">
        <f ca="1">OFFSET('Revenue Build'!$C$6,MATCH(Charts!$E20,'Revenue Build'!$C$6:$C$234,0)+0,MATCH(Charts!P$3,'Revenue Build'!$C$5:$ET$5,0)-1)</f>
        <v>0.89499999999999991</v>
      </c>
      <c r="Q27" s="1008">
        <f ca="1">OFFSET('Revenue Build'!$C$6,MATCH(Charts!$E20,'Revenue Build'!$C$6:$C$234,0)+0,MATCH(Charts!Q$3,'Revenue Build'!$C$5:$ET$5,0)-1)</f>
        <v>0.89499999999999991</v>
      </c>
      <c r="R27" s="1008">
        <f ca="1">OFFSET('Revenue Build'!$C$6,MATCH(Charts!$E20,'Revenue Build'!$C$6:$C$234,0)+0,MATCH(Charts!R$3,'Revenue Build'!$C$5:$ET$5,0)-1)</f>
        <v>0.87</v>
      </c>
      <c r="S27" s="1008">
        <f ca="1">OFFSET('Revenue Build'!$C$6,MATCH(Charts!$E20,'Revenue Build'!$C$6:$C$234,0)+0,MATCH(Charts!S$3,'Revenue Build'!$C$5:$ET$5,0)-1)</f>
        <v>0.86999999999999988</v>
      </c>
      <c r="T27" s="1008">
        <f ca="1">OFFSET('Revenue Build'!$C$6,MATCH(Charts!$E20,'Revenue Build'!$C$6:$C$234,0)+0,MATCH(Charts!T$3,'Revenue Build'!$C$5:$ET$5,0)-1)</f>
        <v>0.87</v>
      </c>
      <c r="U27" s="1008">
        <f ca="1">OFFSET('Revenue Build'!$C$6,MATCH(Charts!$E20,'Revenue Build'!$C$6:$C$234,0)+0,MATCH(Charts!U$3,'Revenue Build'!$C$5:$ET$5,0)-1)</f>
        <v>0.86999999999999988</v>
      </c>
      <c r="V27" s="1008">
        <f ca="1">OFFSET('Revenue Build'!$C$6,MATCH(Charts!$E20,'Revenue Build'!$C$6:$C$234,0)+0,MATCH(Charts!V$3,'Revenue Build'!$C$5:$ET$5,0)-1)</f>
        <v>0.84499999999999986</v>
      </c>
      <c r="W27" s="1008">
        <f ca="1">OFFSET('Revenue Build'!$C$6,MATCH(Charts!$E20,'Revenue Build'!$C$6:$C$234,0)+0,MATCH(Charts!W$3,'Revenue Build'!$C$5:$ET$5,0)-1)</f>
        <v>0.84499999999999997</v>
      </c>
      <c r="X27" s="1008">
        <f ca="1">OFFSET('Revenue Build'!$C$6,MATCH(Charts!$E20,'Revenue Build'!$C$6:$C$234,0)+0,MATCH(Charts!X$3,'Revenue Build'!$C$5:$ET$5,0)-1)</f>
        <v>0.84500000000000008</v>
      </c>
      <c r="Y27" s="1008">
        <f ca="1">OFFSET('Revenue Build'!$C$6,MATCH(Charts!$E20,'Revenue Build'!$C$6:$C$234,0)+0,MATCH(Charts!Y$3,'Revenue Build'!$C$5:$ET$5,0)-1)</f>
        <v>0.84499999999999986</v>
      </c>
      <c r="Z27" s="1008">
        <f ca="1">OFFSET('Revenue Build'!$C$6,MATCH(Charts!$E20,'Revenue Build'!$C$6:$C$234,0)+0,MATCH(Charts!Z$3,'Revenue Build'!$C$5:$ET$5,0)-1)</f>
        <v>0.82</v>
      </c>
      <c r="AA27" s="1008">
        <f ca="1">OFFSET('Revenue Build'!$C$6,MATCH(Charts!$E20,'Revenue Build'!$C$6:$C$234,0)+0,MATCH(Charts!AA$3,'Revenue Build'!$C$5:$ET$5,0)-1)</f>
        <v>0.82000000000000017</v>
      </c>
      <c r="AB27" s="1008">
        <f ca="1">OFFSET('Revenue Build'!$C$6,MATCH(Charts!$E20,'Revenue Build'!$C$6:$C$234,0)+0,MATCH(Charts!AB$3,'Revenue Build'!$C$5:$ET$5,0)-1)</f>
        <v>0.82</v>
      </c>
      <c r="AC27" s="1008">
        <f ca="1">OFFSET('Revenue Build'!$C$6,MATCH(Charts!$E20,'Revenue Build'!$C$6:$C$234,0)+0,MATCH(Charts!AC$3,'Revenue Build'!$C$5:$ET$5,0)-1)</f>
        <v>0.82000000000000006</v>
      </c>
      <c r="AD27" s="1008">
        <f ca="1">OFFSET('Revenue Build'!$C$6,MATCH(Charts!$E20,'Revenue Build'!$C$6:$C$234,0)+0,MATCH(Charts!AD$3,'Revenue Build'!$C$5:$ET$5,0)-1)</f>
        <v>0.79799999999999993</v>
      </c>
      <c r="AE27" s="1008">
        <f ca="1">OFFSET('Revenue Build'!$C$6,MATCH(Charts!$E20,'Revenue Build'!$C$6:$C$234,0)+0,MATCH(Charts!AE$3,'Revenue Build'!$C$5:$ET$5,0)-1)</f>
        <v>0.79800000000000004</v>
      </c>
      <c r="AF27" s="1008">
        <f ca="1">OFFSET('Revenue Build'!$C$6,MATCH(Charts!$E20,'Revenue Build'!$C$6:$C$234,0)+0,MATCH(Charts!AF$3,'Revenue Build'!$C$5:$ET$5,0)-1)</f>
        <v>0.79799999999999993</v>
      </c>
      <c r="AG27" s="1008">
        <f ca="1">OFFSET('Revenue Build'!$C$6,MATCH(Charts!$E20,'Revenue Build'!$C$6:$C$234,0)+0,MATCH(Charts!AG$3,'Revenue Build'!$C$5:$ET$5,0)-1)</f>
        <v>0.79799999999999993</v>
      </c>
      <c r="AH27" s="1008">
        <f ca="1">OFFSET('Revenue Build'!$C$6,MATCH(Charts!$E20,'Revenue Build'!$C$6:$C$234,0)+0,MATCH(Charts!AH$3,'Revenue Build'!$C$5:$ET$5,0)-1)</f>
        <v>0.79999999999999993</v>
      </c>
      <c r="AI27" s="1008">
        <f ca="1">OFFSET('Revenue Build'!$C$6,MATCH(Charts!$E20,'Revenue Build'!$C$6:$C$234,0)+0,MATCH(Charts!AI$3,'Revenue Build'!$C$5:$ET$5,0)-1)</f>
        <v>0.79999999999999993</v>
      </c>
      <c r="AJ27" s="1008">
        <f ca="1">OFFSET('Revenue Build'!$C$6,MATCH(Charts!$E20,'Revenue Build'!$C$6:$C$234,0)+0,MATCH(Charts!AJ$3,'Revenue Build'!$C$5:$ET$5,0)-1)</f>
        <v>0.79999999999999993</v>
      </c>
      <c r="AK27" s="1008">
        <f ca="1">OFFSET('Revenue Build'!$C$6,MATCH(Charts!$E20,'Revenue Build'!$C$6:$C$234,0)+0,MATCH(Charts!AK$3,'Revenue Build'!$C$5:$ET$5,0)-1)</f>
        <v>0.79999999999999993</v>
      </c>
      <c r="AL27" s="1008">
        <f ca="1">OFFSET('Revenue Build'!$C$6,MATCH(Charts!$E20,'Revenue Build'!$C$6:$C$234,0)+0,MATCH(Charts!AL$3,'Revenue Build'!$C$5:$ET$5,0)-1)</f>
        <v>0.79514999999999991</v>
      </c>
      <c r="AM27" s="1008">
        <f ca="1">OFFSET('Revenue Build'!$C$6,MATCH(Charts!$E20,'Revenue Build'!$C$6:$C$234,0)+0,MATCH(Charts!AM$3,'Revenue Build'!$C$5:$ET$5,0)-1)</f>
        <v>0.7952999999999999</v>
      </c>
      <c r="AN27" s="1008">
        <f ca="1">OFFSET('Revenue Build'!$C$6,MATCH(Charts!$E20,'Revenue Build'!$C$6:$C$234,0)+0,MATCH(Charts!AN$3,'Revenue Build'!$C$5:$ET$5,0)-1)</f>
        <v>0.79544999999999999</v>
      </c>
      <c r="AO27" s="1008">
        <f ca="1">OFFSET('Revenue Build'!$C$6,MATCH(Charts!$E20,'Revenue Build'!$C$6:$C$234,0)+0,MATCH(Charts!AO$3,'Revenue Build'!$C$5:$ET$5,0)-1)</f>
        <v>0.79559999999999986</v>
      </c>
      <c r="AP27" s="1008">
        <f ca="1">OFFSET('Revenue Build'!$C$6,MATCH(Charts!$E20,'Revenue Build'!$C$6:$C$234,0)+0,MATCH(Charts!AP$3,'Revenue Build'!$C$5:$ET$5,0)-1)</f>
        <v>0.79074999999999984</v>
      </c>
      <c r="AQ27" s="1008">
        <f ca="1">OFFSET('Revenue Build'!$C$6,MATCH(Charts!$E20,'Revenue Build'!$C$6:$C$234,0)+0,MATCH(Charts!AQ$3,'Revenue Build'!$C$5:$ET$5,0)-1)</f>
        <v>0.79089999999999994</v>
      </c>
      <c r="AR27" s="1008">
        <f ca="1">OFFSET('Revenue Build'!$C$6,MATCH(Charts!$E20,'Revenue Build'!$C$6:$C$234,0)+0,MATCH(Charts!AR$3,'Revenue Build'!$C$5:$ET$5,0)-1)</f>
        <v>0.79104999999999992</v>
      </c>
      <c r="AS27" s="1008">
        <f ca="1">OFFSET('Revenue Build'!$C$6,MATCH(Charts!$E20,'Revenue Build'!$C$6:$C$234,0)+0,MATCH(Charts!AS$3,'Revenue Build'!$C$5:$ET$5,0)-1)</f>
        <v>0.79119999999999979</v>
      </c>
      <c r="AT27" s="1008">
        <f ca="1">OFFSET('Revenue Build'!$C$6,MATCH(Charts!$E20,'Revenue Build'!$C$6:$C$234,0)+0,MATCH(Charts!AT$3,'Revenue Build'!$C$5:$ET$5,0)-1)</f>
        <v>0.76947750791856151</v>
      </c>
      <c r="AU27" s="1008">
        <f ca="1">OFFSET('Revenue Build'!$C$6,MATCH(Charts!$E20,'Revenue Build'!$C$6:$C$234,0)+0,MATCH(Charts!AU$3,'Revenue Build'!$C$5:$ET$5,0)-1)</f>
        <v>0.7776275079185615</v>
      </c>
      <c r="AV27" s="1008">
        <f ca="1">OFFSET('Revenue Build'!$C$6,MATCH(Charts!$E20,'Revenue Build'!$C$6:$C$234,0)+0,MATCH(Charts!AV$3,'Revenue Build'!$C$5:$ET$5,0)-1)</f>
        <v>0.76880081969392955</v>
      </c>
      <c r="AW27" s="1008">
        <f ca="1">OFFSET('Revenue Build'!$C$6,MATCH(Charts!$E20,'Revenue Build'!$C$6:$C$234,0)+0,MATCH(Charts!AW$3,'Revenue Build'!$C$5:$ET$5,0)-1)</f>
        <v>0.76632077713523472</v>
      </c>
      <c r="AX27" s="1008">
        <f ca="1">OFFSET('Revenue Build'!$C$6,MATCH(Charts!$E20,'Revenue Build'!$C$6:$C$234,0)+0,MATCH(Charts!AX$3,'Revenue Build'!$C$5:$ET$5,0)-1)</f>
        <v>0.75383276279309808</v>
      </c>
      <c r="AY27" s="1008">
        <f ca="1">OFFSET('Revenue Build'!$C$6,MATCH(Charts!$E20,'Revenue Build'!$C$6:$C$234,0)+0,MATCH(Charts!AY$3,'Revenue Build'!$C$5:$ET$5,0)-1)</f>
        <v>0.75950867699698354</v>
      </c>
      <c r="AZ27" s="1008">
        <f ca="1">OFFSET('Revenue Build'!$C$6,MATCH(Charts!$E20,'Revenue Build'!$C$6:$C$234,0)+0,MATCH(Charts!AZ$3,'Revenue Build'!$C$5:$ET$5,0)-1)</f>
        <v>0.75160006295867621</v>
      </c>
      <c r="BA27" s="1008">
        <f ca="1">OFFSET('Revenue Build'!$C$6,MATCH(Charts!$E20,'Revenue Build'!$C$6:$C$234,0)+0,MATCH(Charts!BA$3,'Revenue Build'!$C$5:$ET$5,0)-1)</f>
        <v>0.74697829515115244</v>
      </c>
      <c r="BB27" s="1008">
        <f ca="1">OFFSET('Revenue Build'!$C$6,MATCH(Charts!$E20,'Revenue Build'!$C$6:$C$234,0)+0,MATCH(Charts!BB$3,'Revenue Build'!$C$5:$ET$5,0)-1)</f>
        <v>0.73592827655150128</v>
      </c>
      <c r="BC27" s="1008">
        <f ca="1">OFFSET('Revenue Build'!$C$6,MATCH(Charts!$E20,'Revenue Build'!$C$6:$C$234,0)+0,MATCH(Charts!BC$3,'Revenue Build'!$C$5:$ET$5,0)-1)</f>
        <v>0.74053532224115837</v>
      </c>
      <c r="BD27" s="1008">
        <f ca="1">OFFSET('Revenue Build'!$C$6,MATCH(Charts!$E20,'Revenue Build'!$C$6:$C$234,0)+0,MATCH(Charts!BD$3,'Revenue Build'!$C$5:$ET$5,0)-1)</f>
        <v>0.73327232201225767</v>
      </c>
      <c r="BE27" s="1008">
        <f ca="1">OFFSET('Revenue Build'!$C$6,MATCH(Charts!$E20,'Revenue Build'!$C$6:$C$234,0)+0,MATCH(Charts!BE$3,'Revenue Build'!$C$5:$ET$5,0)-1)</f>
        <v>0.72699432076027304</v>
      </c>
      <c r="BF27" s="1008">
        <f ca="1">OFFSET('Revenue Build'!$C$6,MATCH(Charts!$E20,'Revenue Build'!$C$6:$C$234,0)+0,MATCH(Charts!BF$3,'Revenue Build'!$C$5:$ET$5,0)-1)</f>
        <v>0.71781283575204569</v>
      </c>
      <c r="BG27" s="1008">
        <f ca="1">OFFSET('Revenue Build'!$C$6,MATCH(Charts!$E20,'Revenue Build'!$C$6:$C$234,0)+0,MATCH(Charts!BG$3,'Revenue Build'!$C$5:$ET$5,0)-1)</f>
        <v>0.72137706146036684</v>
      </c>
      <c r="BH27" s="1008">
        <f ca="1">OFFSET('Revenue Build'!$C$6,MATCH(Charts!$E20,'Revenue Build'!$C$6:$C$234,0)+0,MATCH(Charts!BH$3,'Revenue Build'!$C$5:$ET$5,0)-1)</f>
        <v>0.71474211380465769</v>
      </c>
      <c r="BI27" s="1008">
        <f ca="1">OFFSET('Revenue Build'!$C$6,MATCH(Charts!$E20,'Revenue Build'!$C$6:$C$234,0)+0,MATCH(Charts!BI$3,'Revenue Build'!$C$5:$ET$5,0)-1)</f>
        <v>0.70684851660996606</v>
      </c>
      <c r="BJ27" s="1008">
        <f ca="1">OFFSET('Revenue Build'!$C$6,MATCH(Charts!$E20,'Revenue Build'!$C$6:$C$234,0)+0,MATCH(Charts!BJ$3,'Revenue Build'!$C$5:$ET$5,0)-1)</f>
        <v>0.69949396805766717</v>
      </c>
      <c r="BK27" s="1008">
        <f ca="1">OFFSET('Revenue Build'!$C$6,MATCH(Charts!$E20,'Revenue Build'!$C$6:$C$234,0)+0,MATCH(Charts!BK$3,'Revenue Build'!$C$5:$ET$5,0)-1)</f>
        <v>0.70204048172185374</v>
      </c>
      <c r="BL27" s="1008">
        <f ca="1">OFFSET('Revenue Build'!$C$6,MATCH(Charts!$E20,'Revenue Build'!$C$6:$C$234,0)+0,MATCH(Charts!BL$3,'Revenue Build'!$C$5:$ET$5,0)-1)</f>
        <v>0.69601672368265943</v>
      </c>
      <c r="BM27" s="1008">
        <f ca="1">OFFSET('Revenue Build'!$C$6,MATCH(Charts!$E20,'Revenue Build'!$C$6:$C$234,0)+0,MATCH(Charts!BM$3,'Revenue Build'!$C$5:$ET$5,0)-1)</f>
        <v>0.68654669074106678</v>
      </c>
      <c r="BN27" s="905"/>
      <c r="BO27" s="905"/>
      <c r="BP27" s="905"/>
      <c r="BQ27" s="905"/>
      <c r="BR27" s="905"/>
      <c r="BS27" s="905"/>
      <c r="BT27" s="905"/>
      <c r="BU27" s="905"/>
      <c r="BV27" s="905"/>
      <c r="BW27" s="905"/>
      <c r="BX27" s="905"/>
      <c r="BY27" s="905"/>
      <c r="BZ27" s="905"/>
      <c r="CA27" s="905"/>
      <c r="CB27" s="905"/>
      <c r="CC27" s="905"/>
      <c r="CD27" s="905"/>
      <c r="CE27" s="905"/>
      <c r="CF27" s="905"/>
      <c r="CG27" s="905"/>
      <c r="CH27" s="905"/>
      <c r="CI27" s="905"/>
      <c r="CJ27" s="905"/>
      <c r="CK27" s="905"/>
      <c r="CL27" s="905"/>
      <c r="CM27" s="905"/>
      <c r="CN27" s="905"/>
      <c r="CO27" s="905"/>
      <c r="CP27" s="905"/>
      <c r="CQ27" s="905"/>
      <c r="CR27" s="905"/>
      <c r="CS27" s="905" t="s">
        <v>316</v>
      </c>
      <c r="CT27" s="1008"/>
      <c r="CU27" s="1008">
        <f t="shared" ref="CU27:DE27" ca="1" si="53">CU20/CU$11</f>
        <v>0.91999999999999982</v>
      </c>
      <c r="CV27" s="1008">
        <f t="shared" ca="1" si="53"/>
        <v>0.89500000000000002</v>
      </c>
      <c r="CW27" s="1008">
        <f t="shared" ca="1" si="53"/>
        <v>0.86999999999999988</v>
      </c>
      <c r="CX27" s="1008">
        <f t="shared" ca="1" si="53"/>
        <v>0.84499999999999986</v>
      </c>
      <c r="CY27" s="1008">
        <f t="shared" ca="1" si="53"/>
        <v>0.82</v>
      </c>
      <c r="CZ27" s="1008">
        <f t="shared" ca="1" si="53"/>
        <v>0.79799999999999993</v>
      </c>
      <c r="DA27" s="1008">
        <f t="shared" ca="1" si="53"/>
        <v>0.79999999999999993</v>
      </c>
      <c r="DB27" s="1008">
        <f t="shared" ca="1" si="53"/>
        <v>0.79540323124042855</v>
      </c>
      <c r="DC27" s="1008" t="e">
        <f t="shared" ca="1" si="53"/>
        <v>#N/A</v>
      </c>
      <c r="DD27" s="1008">
        <f t="shared" ca="1" si="53"/>
        <v>0.77021054958033952</v>
      </c>
      <c r="DE27" s="1008">
        <f t="shared" ca="1" si="53"/>
        <v>0.75247038169740554</v>
      </c>
      <c r="DF27" s="1008">
        <f t="shared" ref="DF27:DH27" ca="1" si="54">DF20/DF$11</f>
        <v>0.7335524169158113</v>
      </c>
      <c r="DG27" s="1008">
        <f t="shared" ca="1" si="54"/>
        <v>0.71444724946849003</v>
      </c>
      <c r="DH27" s="1008">
        <f t="shared" ca="1" si="54"/>
        <v>0.69516158239351888</v>
      </c>
      <c r="DI27" s="670"/>
    </row>
    <row r="28" spans="5:113">
      <c r="E28" s="671" t="s">
        <v>606</v>
      </c>
      <c r="F28" s="670"/>
      <c r="G28" s="670"/>
      <c r="H28" s="670"/>
      <c r="I28" s="670"/>
      <c r="J28" s="670"/>
      <c r="K28" s="670"/>
      <c r="L28" s="670"/>
      <c r="M28" s="670"/>
      <c r="N28" s="670"/>
      <c r="O28" s="670"/>
      <c r="P28" s="670"/>
      <c r="Q28" s="670"/>
      <c r="R28" s="670"/>
      <c r="S28" s="670"/>
      <c r="T28" s="670"/>
      <c r="U28" s="670"/>
      <c r="V28" s="670"/>
      <c r="W28" s="670"/>
      <c r="X28" s="670"/>
      <c r="Y28" s="670"/>
      <c r="Z28" s="670"/>
      <c r="AA28" s="670"/>
      <c r="AB28" s="670"/>
      <c r="AC28" s="670"/>
      <c r="AD28" s="670"/>
      <c r="AE28" s="670"/>
      <c r="AF28" s="670"/>
      <c r="AG28" s="670"/>
      <c r="AH28" s="670"/>
      <c r="AI28" s="670"/>
      <c r="AJ28" s="670"/>
      <c r="AK28" s="670"/>
      <c r="AL28" s="670"/>
      <c r="AM28" s="670"/>
      <c r="AN28" s="670"/>
      <c r="AO28" s="670"/>
      <c r="AP28" s="670"/>
      <c r="AQ28" s="670"/>
      <c r="AR28" s="670"/>
      <c r="AS28" s="670"/>
      <c r="AT28" s="670"/>
      <c r="AU28" s="670"/>
      <c r="AV28" s="670"/>
      <c r="AW28" s="670"/>
      <c r="AX28" s="670"/>
      <c r="AY28" s="670"/>
      <c r="AZ28" s="670"/>
      <c r="BA28" s="670"/>
      <c r="BB28" s="670"/>
      <c r="BC28" s="670"/>
      <c r="BD28" s="670"/>
      <c r="BE28" s="670"/>
      <c r="BF28" s="670"/>
      <c r="BG28" s="670"/>
      <c r="BH28" s="670"/>
      <c r="BI28" s="670"/>
      <c r="BJ28" s="670"/>
      <c r="BK28" s="670"/>
      <c r="BL28" s="670"/>
      <c r="BM28" s="670"/>
      <c r="BN28" s="905"/>
      <c r="BO28" s="905"/>
      <c r="BP28" s="905"/>
      <c r="BQ28" s="905"/>
      <c r="BR28" s="905"/>
      <c r="BS28" s="905"/>
      <c r="BT28" s="905"/>
      <c r="BU28" s="905"/>
      <c r="BV28" s="905"/>
      <c r="BW28" s="905"/>
      <c r="BX28" s="905"/>
      <c r="BY28" s="905"/>
      <c r="BZ28" s="905"/>
      <c r="CA28" s="905"/>
      <c r="CB28" s="905"/>
      <c r="CC28" s="905"/>
      <c r="CD28" s="905"/>
      <c r="CE28" s="905"/>
      <c r="CF28" s="905"/>
      <c r="CG28" s="905"/>
      <c r="CH28" s="905"/>
      <c r="CI28" s="905"/>
      <c r="CJ28" s="905"/>
      <c r="CK28" s="905"/>
      <c r="CL28" s="905"/>
      <c r="CM28" s="905"/>
      <c r="CN28" s="905"/>
      <c r="CO28" s="905"/>
      <c r="CP28" s="905"/>
      <c r="CQ28" s="905"/>
      <c r="CR28" s="905"/>
      <c r="CS28" s="905" t="s">
        <v>322</v>
      </c>
      <c r="CT28" s="1008"/>
      <c r="CU28" s="1008">
        <f t="shared" ref="CU28:DE28" ca="1" si="55">CU21/CU$11</f>
        <v>8.0000000000000196E-2</v>
      </c>
      <c r="CV28" s="1008">
        <f t="shared" ca="1" si="55"/>
        <v>0.105</v>
      </c>
      <c r="CW28" s="1008">
        <f t="shared" ca="1" si="55"/>
        <v>0.13000000000000012</v>
      </c>
      <c r="CX28" s="1008">
        <f t="shared" ca="1" si="55"/>
        <v>0.15500000000000017</v>
      </c>
      <c r="CY28" s="1008">
        <f t="shared" ca="1" si="55"/>
        <v>0.18000000000000008</v>
      </c>
      <c r="CZ28" s="1008">
        <f t="shared" ca="1" si="55"/>
        <v>0.20200000000000004</v>
      </c>
      <c r="DA28" s="1008">
        <f t="shared" ca="1" si="55"/>
        <v>0.20000000000000007</v>
      </c>
      <c r="DB28" s="1008">
        <f t="shared" ca="1" si="55"/>
        <v>0.20459676875957142</v>
      </c>
      <c r="DC28" s="1008" t="e">
        <f t="shared" ca="1" si="55"/>
        <v>#N/A</v>
      </c>
      <c r="DD28" s="1008">
        <f t="shared" ca="1" si="55"/>
        <v>0.22978945041966048</v>
      </c>
      <c r="DE28" s="1008">
        <f t="shared" ca="1" si="55"/>
        <v>0.24752961830259448</v>
      </c>
      <c r="DF28" s="1008">
        <f t="shared" ref="DF28:DH28" ca="1" si="56">DF21/DF$11</f>
        <v>0.26644758308418864</v>
      </c>
      <c r="DG28" s="1008">
        <f t="shared" ca="1" si="56"/>
        <v>0.28555275053151002</v>
      </c>
      <c r="DH28" s="1008">
        <f t="shared" ca="1" si="56"/>
        <v>0.30483841760648117</v>
      </c>
      <c r="DI28" s="670"/>
    </row>
    <row r="29" spans="5:113">
      <c r="E29" s="671"/>
      <c r="F29" s="670"/>
      <c r="G29" s="670"/>
      <c r="H29" s="670"/>
      <c r="I29" s="670"/>
      <c r="J29" s="670"/>
      <c r="K29" s="670"/>
      <c r="L29" s="670"/>
      <c r="M29" s="670"/>
      <c r="N29" s="670"/>
      <c r="O29" s="670"/>
      <c r="P29" s="670"/>
      <c r="Q29" s="670"/>
      <c r="R29" s="670"/>
      <c r="S29" s="670"/>
      <c r="T29" s="670"/>
      <c r="U29" s="670"/>
      <c r="V29" s="670"/>
      <c r="W29" s="670"/>
      <c r="X29" s="670"/>
      <c r="Y29" s="670"/>
      <c r="Z29" s="670"/>
      <c r="AA29" s="670"/>
      <c r="AB29" s="670"/>
      <c r="AC29" s="670"/>
      <c r="AD29" s="670"/>
      <c r="AE29" s="670"/>
      <c r="AF29" s="670"/>
      <c r="AG29" s="670"/>
      <c r="AH29" s="670"/>
      <c r="AI29" s="670"/>
      <c r="AJ29" s="670"/>
      <c r="AK29" s="670"/>
      <c r="AL29" s="670"/>
      <c r="AM29" s="670"/>
      <c r="AN29" s="670"/>
      <c r="AO29" s="670"/>
      <c r="AP29" s="670"/>
      <c r="AQ29" s="670"/>
      <c r="AR29" s="670"/>
      <c r="AS29" s="670"/>
      <c r="AT29" s="670"/>
      <c r="AU29" s="670"/>
      <c r="AV29" s="670"/>
      <c r="AW29" s="670"/>
      <c r="AX29" s="670"/>
      <c r="AY29" s="670"/>
      <c r="AZ29" s="670"/>
      <c r="BA29" s="670"/>
      <c r="BB29" s="670"/>
      <c r="BC29" s="670"/>
      <c r="BD29" s="670"/>
      <c r="BE29" s="670"/>
      <c r="BF29" s="670"/>
      <c r="BG29" s="670"/>
      <c r="BH29" s="670"/>
      <c r="BI29" s="670"/>
      <c r="BJ29" s="670"/>
      <c r="BK29" s="670"/>
      <c r="BL29" s="670"/>
      <c r="BM29" s="670"/>
      <c r="BN29" s="905"/>
      <c r="BO29" s="905"/>
      <c r="BP29" s="905"/>
      <c r="BQ29" s="905"/>
      <c r="BR29" s="905"/>
      <c r="BS29" s="905"/>
      <c r="BT29" s="905"/>
      <c r="BU29" s="905"/>
      <c r="BV29" s="905"/>
      <c r="BW29" s="905"/>
      <c r="BX29" s="905"/>
      <c r="BY29" s="905"/>
      <c r="BZ29" s="905"/>
      <c r="CA29" s="905"/>
      <c r="CB29" s="905"/>
      <c r="CC29" s="905"/>
      <c r="CD29" s="905"/>
      <c r="CE29" s="905"/>
      <c r="CF29" s="905"/>
      <c r="CG29" s="905"/>
      <c r="CH29" s="905"/>
      <c r="CI29" s="905"/>
      <c r="CJ29" s="905"/>
      <c r="CK29" s="905"/>
      <c r="CL29" s="905"/>
      <c r="CM29" s="905"/>
      <c r="CN29" s="905"/>
      <c r="CO29" s="905"/>
      <c r="CP29" s="905"/>
      <c r="CQ29" s="905"/>
      <c r="CR29" s="905"/>
      <c r="CS29" s="905"/>
      <c r="DI29" s="670"/>
    </row>
    <row r="30" spans="5:113">
      <c r="BN30" s="889"/>
      <c r="BO30" s="889"/>
      <c r="BP30" s="889"/>
      <c r="BQ30" s="889"/>
      <c r="BR30" s="889"/>
      <c r="BS30" s="889"/>
      <c r="BT30" s="889"/>
      <c r="BU30" s="889"/>
      <c r="BV30" s="889"/>
      <c r="BW30" s="889"/>
      <c r="BX30" s="889"/>
      <c r="BY30" s="889"/>
      <c r="BZ30" s="889"/>
      <c r="CA30" s="889"/>
      <c r="CB30" s="889"/>
      <c r="CC30" s="889"/>
      <c r="CD30" s="889"/>
      <c r="CE30" s="889"/>
      <c r="CF30" s="889"/>
      <c r="CG30" s="889"/>
      <c r="CH30" s="889"/>
      <c r="CI30" s="889"/>
      <c r="CJ30" s="889"/>
      <c r="CK30" s="889"/>
      <c r="CL30" s="889"/>
      <c r="CM30" s="889"/>
      <c r="CN30" s="889"/>
      <c r="CO30" s="889"/>
      <c r="CP30" s="889"/>
      <c r="CQ30" s="889"/>
      <c r="CR30" s="889"/>
      <c r="CS30" s="889"/>
    </row>
    <row r="31" spans="5:113">
      <c r="E31" s="6" t="str">
        <f>Income!$C$10</f>
        <v>Total revenue</v>
      </c>
      <c r="F31" s="1011">
        <f ca="1">OFFSET('Revenue Build'!$C$6,MATCH(Charts!$E31,'Revenue Build'!$C$6:$C$234,0)-1,MATCH(Charts!F$3,'Revenue Build'!$C$5:$ET$5,0)-1)</f>
        <v>72.722000000000008</v>
      </c>
      <c r="G31" s="1011">
        <f ca="1">OFFSET('Revenue Build'!$C$6,MATCH(Charts!$E31,'Revenue Build'!$C$6:$C$234,0)-1,MATCH(Charts!G$3,'Revenue Build'!$C$5:$ET$5,0)-1)</f>
        <v>86.646999999999991</v>
      </c>
      <c r="H31" s="1011">
        <f ca="1">OFFSET('Revenue Build'!$C$6,MATCH(Charts!$E31,'Revenue Build'!$C$6:$C$234,0)-1,MATCH(Charts!H$3,'Revenue Build'!$C$5:$ET$5,0)-1)</f>
        <v>99.578000000000003</v>
      </c>
      <c r="I31" s="1011">
        <f ca="1">OFFSET('Revenue Build'!$C$6,MATCH(Charts!$E31,'Revenue Build'!$C$6:$C$234,0)-1,MATCH(Charts!I$3,'Revenue Build'!$C$5:$ET$5,0)-1)</f>
        <v>130.38299999999998</v>
      </c>
      <c r="J31" s="1011">
        <f ca="1">OFFSET('Revenue Build'!$C$6,MATCH(Charts!$E31,'Revenue Build'!$C$6:$C$234,0)-1,MATCH(Charts!J$3,'Revenue Build'!$C$5:$ET$5,0)-1)</f>
        <v>127.379</v>
      </c>
      <c r="K31" s="1011">
        <f ca="1">OFFSET('Revenue Build'!$C$6,MATCH(Charts!$E31,'Revenue Build'!$C$6:$C$234,0)-1,MATCH(Charts!K$3,'Revenue Build'!$C$5:$ET$5,0)-1)</f>
        <v>151.655</v>
      </c>
      <c r="L31" s="1011">
        <f ca="1">OFFSET('Revenue Build'!$C$6,MATCH(Charts!$E31,'Revenue Build'!$C$6:$C$234,0)-1,MATCH(Charts!L$3,'Revenue Build'!$C$5:$ET$5,0)-1)</f>
        <v>171.45600000000002</v>
      </c>
      <c r="M31" s="1011">
        <f ca="1">OFFSET('Revenue Build'!$C$6,MATCH(Charts!$E31,'Revenue Build'!$C$6:$C$234,0)-1,MATCH(Charts!M$3,'Revenue Build'!$C$5:$ET$5,0)-1)</f>
        <v>222.81399999999999</v>
      </c>
      <c r="N31" s="1011">
        <f ca="1">OFFSET('Revenue Build'!$C$6,MATCH(Charts!$E31,'Revenue Build'!$C$6:$C$234,0)-1,MATCH(Charts!N$3,'Revenue Build'!$C$5:$ET$5,0)-1)</f>
        <v>214.33999999999997</v>
      </c>
      <c r="O31" s="1011">
        <f ca="1">OFFSET('Revenue Build'!$C$6,MATCH(Charts!$E31,'Revenue Build'!$C$6:$C$234,0)-1,MATCH(Charts!O$3,'Revenue Build'!$C$5:$ET$5,0)-1)</f>
        <v>244.96299999999999</v>
      </c>
      <c r="P31" s="1011">
        <f ca="1">OFFSET('Revenue Build'!$C$6,MATCH(Charts!$E31,'Revenue Build'!$C$6:$C$234,0)-1,MATCH(Charts!P$3,'Revenue Build'!$C$5:$ET$5,0)-1)</f>
        <v>270.06399999999996</v>
      </c>
      <c r="Q31" s="1011">
        <f ca="1">OFFSET('Revenue Build'!$C$6,MATCH(Charts!$E31,'Revenue Build'!$C$6:$C$234,0)-1,MATCH(Charts!Q$3,'Revenue Build'!$C$5:$ET$5,0)-1)</f>
        <v>343.86199999999997</v>
      </c>
      <c r="R31" s="1011">
        <f ca="1">OFFSET('Revenue Build'!$C$6,MATCH(Charts!$E31,'Revenue Build'!$C$6:$C$234,0)-1,MATCH(Charts!R$3,'Revenue Build'!$C$5:$ET$5,0)-1)</f>
        <v>320.48199999999997</v>
      </c>
      <c r="S31" s="1011">
        <f ca="1">OFFSET('Revenue Build'!$C$6,MATCH(Charts!$E31,'Revenue Build'!$C$6:$C$234,0)-1,MATCH(Charts!S$3,'Revenue Build'!$C$5:$ET$5,0)-1)</f>
        <v>361.97899999999998</v>
      </c>
      <c r="T31" s="1011">
        <f ca="1">OFFSET('Revenue Build'!$C$6,MATCH(Charts!$E31,'Revenue Build'!$C$6:$C$234,0)-1,MATCH(Charts!T$3,'Revenue Build'!$C$5:$ET$5,0)-1)</f>
        <v>390.55200000000002</v>
      </c>
      <c r="U31" s="1011">
        <f ca="1">OFFSET('Revenue Build'!$C$6,MATCH(Charts!$E31,'Revenue Build'!$C$6:$C$234,0)-1,MATCH(Charts!U$3,'Revenue Build'!$C$5:$ET$5,0)-1)</f>
        <v>505.16</v>
      </c>
      <c r="V31" s="1011">
        <f ca="1">OFFSET('Revenue Build'!$C$6,MATCH(Charts!$E31,'Revenue Build'!$C$6:$C$234,0)-1,MATCH(Charts!V$3,'Revenue Build'!$C$5:$ET$5,0)-1)</f>
        <v>470.00099999999998</v>
      </c>
      <c r="W31" s="1011">
        <f ca="1">OFFSET('Revenue Build'!$C$6,MATCH(Charts!$E31,'Revenue Build'!$C$6:$C$234,0)-1,MATCH(Charts!W$3,'Revenue Build'!$C$5:$ET$5,0)-1)</f>
        <v>714.34100000000001</v>
      </c>
      <c r="X31" s="1011">
        <f ca="1">OFFSET('Revenue Build'!$C$6,MATCH(Charts!$E31,'Revenue Build'!$C$6:$C$234,0)-1,MATCH(Charts!X$3,'Revenue Build'!$C$5:$ET$5,0)-1)</f>
        <v>767.40499999999997</v>
      </c>
      <c r="Y31" s="1011">
        <f ca="1">OFFSET('Revenue Build'!$C$6,MATCH(Charts!$E31,'Revenue Build'!$C$6:$C$234,0)-1,MATCH(Charts!Y$3,'Revenue Build'!$C$5:$ET$5,0)-1)</f>
        <v>977.74399999999991</v>
      </c>
      <c r="Z31" s="1011">
        <f ca="1">OFFSET('Revenue Build'!$C$6,MATCH(Charts!$E31,'Revenue Build'!$C$6:$C$234,0)-1,MATCH(Charts!Z$3,'Revenue Build'!$C$5:$ET$5,0)-1)</f>
        <v>988.64699999999993</v>
      </c>
      <c r="AA31" s="1011">
        <f ca="1">OFFSET('Revenue Build'!$C$6,MATCH(Charts!$E31,'Revenue Build'!$C$6:$C$234,0)-1,MATCH(Charts!AA$3,'Revenue Build'!$C$5:$ET$5,0)-1)</f>
        <v>1119.4449999999999</v>
      </c>
      <c r="AB31" s="1011">
        <f ca="1">OFFSET('Revenue Build'!$C$6,MATCH(Charts!$E31,'Revenue Build'!$C$6:$C$234,0)-1,MATCH(Charts!AB$3,'Revenue Build'!$C$5:$ET$5,0)-1)</f>
        <v>1123.74</v>
      </c>
      <c r="AC31" s="1011">
        <f ca="1">OFFSET('Revenue Build'!$C$6,MATCH(Charts!$E31,'Revenue Build'!$C$6:$C$234,0)-1,MATCH(Charts!AC$3,'Revenue Build'!$C$5:$ET$5,0)-1)</f>
        <v>1380.0240000000001</v>
      </c>
      <c r="AD31" s="1011">
        <f ca="1">OFFSET('Revenue Build'!$C$6,MATCH(Charts!$E31,'Revenue Build'!$C$6:$C$234,0)-1,MATCH(Charts!AD$3,'Revenue Build'!$C$5:$ET$5,0)-1)</f>
        <v>1203.623</v>
      </c>
      <c r="AE31" s="1011">
        <f ca="1">OFFSET('Revenue Build'!$C$6,MATCH(Charts!$E31,'Revenue Build'!$C$6:$C$234,0)-1,MATCH(Charts!AE$3,'Revenue Build'!$C$5:$ET$5,0)-1)</f>
        <v>1295.0630000000001</v>
      </c>
      <c r="AF31" s="1011">
        <f ca="1">OFFSET('Revenue Build'!$C$6,MATCH(Charts!$E31,'Revenue Build'!$C$6:$C$234,0)-1,MATCH(Charts!AF$3,'Revenue Build'!$C$5:$ET$5,0)-1)</f>
        <v>1366.2</v>
      </c>
      <c r="AG31" s="1011">
        <f ca="1">OFFSET('Revenue Build'!$C$6,MATCH(Charts!$E31,'Revenue Build'!$C$6:$C$234,0)-1,MATCH(Charts!AG$3,'Revenue Build'!$C$5:$ET$5,0)-1)</f>
        <v>1734.9780000000001</v>
      </c>
      <c r="AH31" s="1011">
        <f ca="1">OFFSET('Revenue Build'!$C$6,MATCH(Charts!$E31,'Revenue Build'!$C$6:$C$234,0)-1,MATCH(Charts!AH$3,'Revenue Build'!$C$5:$ET$5,0)-1)</f>
        <v>1508</v>
      </c>
      <c r="AI31" s="1011">
        <f ca="1">OFFSET('Revenue Build'!$C$6,MATCH(Charts!$E31,'Revenue Build'!$C$6:$C$234,0)-1,MATCH(Charts!AI$3,'Revenue Build'!$C$5:$ET$5,0)-1)</f>
        <v>1694</v>
      </c>
      <c r="AJ31" s="1011">
        <f ca="1">OFFSET('Revenue Build'!$C$6,MATCH(Charts!$E31,'Revenue Build'!$C$6:$C$234,0)-1,MATCH(Charts!AJ$3,'Revenue Build'!$C$5:$ET$5,0)-1)</f>
        <v>1714</v>
      </c>
      <c r="AK31" s="1011">
        <f ca="1">OFFSET('Revenue Build'!$C$6,MATCH(Charts!$E31,'Revenue Build'!$C$6:$C$234,0)-1,MATCH(Charts!AK$3,'Revenue Build'!$C$5:$ET$5,0)-1)</f>
        <v>2144</v>
      </c>
      <c r="AL31" s="1011">
        <f ca="1">OFFSET('Revenue Build'!$C$6,MATCH(Charts!$E31,'Revenue Build'!$C$6:$C$234,0)-1,MATCH(Charts!AL$3,'Revenue Build'!$C$5:$ET$5,0)-1)</f>
        <v>1861</v>
      </c>
      <c r="AM31" s="1011">
        <f ca="1">OFFSET('Revenue Build'!$C$6,MATCH(Charts!$E31,'Revenue Build'!$C$6:$C$234,0)-1,MATCH(Charts!AM$3,'Revenue Build'!$C$5:$ET$5,0)-1)</f>
        <v>2045</v>
      </c>
      <c r="AN31" s="1011">
        <f ca="1">OFFSET('Revenue Build'!$C$6,MATCH(Charts!$E31,'Revenue Build'!$C$6:$C$234,0)-1,MATCH(Charts!AN$3,'Revenue Build'!$C$5:$ET$5,0)-1)</f>
        <v>2162</v>
      </c>
      <c r="AO31" s="1011">
        <f ca="1">OFFSET('Revenue Build'!$C$6,MATCH(Charts!$E31,'Revenue Build'!$C$6:$C$234,0)-1,MATCH(Charts!AO$3,'Revenue Build'!$C$5:$ET$5,0)-1)</f>
        <v>2812</v>
      </c>
      <c r="AP31" s="1011">
        <f ca="1">OFFSET('Revenue Build'!$C$6,MATCH(Charts!$E31,'Revenue Build'!$C$6:$C$234,0)-1,MATCH(Charts!AP$3,'Revenue Build'!$C$5:$ET$5,0)-1)</f>
        <v>2360</v>
      </c>
      <c r="AQ31" s="1011">
        <f ca="1">OFFSET('Revenue Build'!$C$6,MATCH(Charts!$E31,'Revenue Build'!$C$6:$C$234,0)-1,MATCH(Charts!AQ$3,'Revenue Build'!$C$5:$ET$5,0)-1)</f>
        <v>2680</v>
      </c>
      <c r="AR31" s="1011">
        <f ca="1">OFFSET('Revenue Build'!$C$6,MATCH(Charts!$E31,'Revenue Build'!$C$6:$C$234,0)-1,MATCH(Charts!AR$3,'Revenue Build'!$C$5:$ET$5,0)-1)</f>
        <v>2844</v>
      </c>
      <c r="AS31" s="1011">
        <f ca="1">OFFSET('Revenue Build'!$C$6,MATCH(Charts!$E31,'Revenue Build'!$C$6:$C$234,0)-1,MATCH(Charts!AS$3,'Revenue Build'!$C$5:$ET$5,0)-1)</f>
        <v>3672</v>
      </c>
      <c r="AT31" s="1011">
        <f ca="1">OFFSET('Revenue Build'!$C$6,MATCH(Charts!$E31,'Revenue Build'!$C$6:$C$234,0)-1,MATCH(Charts!AT$3,'Revenue Build'!$C$5:$ET$5,0)-1)</f>
        <v>3170</v>
      </c>
      <c r="AU31" s="1011">
        <f ca="1">OFFSET('Revenue Build'!$C$6,MATCH(Charts!$E31,'Revenue Build'!$C$6:$C$234,0)-1,MATCH(Charts!AU$3,'Revenue Build'!$C$5:$ET$5,0)-1)</f>
        <v>3583</v>
      </c>
      <c r="AV31" s="1011">
        <f ca="1">OFFSET('Revenue Build'!$C$6,MATCH(Charts!$E31,'Revenue Build'!$C$6:$C$234,0)-1,MATCH(Charts!AV$3,'Revenue Build'!$C$5:$ET$5,0)-1)</f>
        <v>3708.9235770421878</v>
      </c>
      <c r="AW31" s="1011">
        <f ca="1">OFFSET('Revenue Build'!$C$6,MATCH(Charts!$E31,'Revenue Build'!$C$6:$C$234,0)-1,MATCH(Charts!AW$3,'Revenue Build'!$C$5:$ET$5,0)-1)</f>
        <v>4749.7619467274999</v>
      </c>
      <c r="AX31" s="1011">
        <f ca="1">OFFSET('Revenue Build'!$C$6,MATCH(Charts!$E31,'Revenue Build'!$C$6:$C$234,0)-1,MATCH(Charts!AX$3,'Revenue Build'!$C$5:$ET$5,0)-1)</f>
        <v>4035.1215649375008</v>
      </c>
      <c r="AY31" s="1011">
        <f ca="1">OFFSET('Revenue Build'!$C$6,MATCH(Charts!$E31,'Revenue Build'!$C$6:$C$234,0)-1,MATCH(Charts!AY$3,'Revenue Build'!$C$5:$ET$5,0)-1)</f>
        <v>4541.7451572134005</v>
      </c>
      <c r="AZ31" s="1011">
        <f ca="1">OFFSET('Revenue Build'!$C$6,MATCH(Charts!$E31,'Revenue Build'!$C$6:$C$234,0)-1,MATCH(Charts!AZ$3,'Revenue Build'!$C$5:$ET$5,0)-1)</f>
        <v>4641.6759010306196</v>
      </c>
      <c r="BA31" s="1011">
        <f ca="1">OFFSET('Revenue Build'!$C$6,MATCH(Charts!$E31,'Revenue Build'!$C$6:$C$234,0)-1,MATCH(Charts!BA$3,'Revenue Build'!$C$5:$ET$5,0)-1)</f>
        <v>5915.7369784106504</v>
      </c>
      <c r="BB31" s="1011">
        <f ca="1">OFFSET('Revenue Build'!$C$6,MATCH(Charts!$E31,'Revenue Build'!$C$6:$C$234,0)-1,MATCH(Charts!BB$3,'Revenue Build'!$C$5:$ET$5,0)-1)</f>
        <v>4877.1061895107905</v>
      </c>
      <c r="BC31" s="1011">
        <f ca="1">OFFSET('Revenue Build'!$C$6,MATCH(Charts!$E31,'Revenue Build'!$C$6:$C$234,0)-1,MATCH(Charts!BC$3,'Revenue Build'!$C$5:$ET$5,0)-1)</f>
        <v>5485.0483787334051</v>
      </c>
      <c r="BD31" s="1011">
        <f ca="1">OFFSET('Revenue Build'!$C$6,MATCH(Charts!$E31,'Revenue Build'!$C$6:$C$234,0)-1,MATCH(Charts!BD$3,'Revenue Build'!$C$5:$ET$5,0)-1)</f>
        <v>5598.7043163702683</v>
      </c>
      <c r="BE31" s="1011">
        <f ca="1">OFFSET('Revenue Build'!$C$6,MATCH(Charts!$E31,'Revenue Build'!$C$6:$C$234,0)-1,MATCH(Charts!BE$3,'Revenue Build'!$C$5:$ET$5,0)-1)</f>
        <v>7136.4533443181272</v>
      </c>
      <c r="BF31" s="1011">
        <f ca="1">OFFSET('Revenue Build'!$C$6,MATCH(Charts!$E31,'Revenue Build'!$C$6:$C$234,0)-1,MATCH(Charts!BF$3,'Revenue Build'!$C$5:$ET$5,0)-1)</f>
        <v>5779.8548168393081</v>
      </c>
      <c r="BG31" s="1011">
        <f ca="1">OFFSET('Revenue Build'!$C$6,MATCH(Charts!$E31,'Revenue Build'!$C$6:$C$234,0)-1,MATCH(Charts!BG$3,'Revenue Build'!$C$5:$ET$5,0)-1)</f>
        <v>6501.3574876201383</v>
      </c>
      <c r="BH31" s="1011">
        <f ca="1">OFFSET('Revenue Build'!$C$6,MATCH(Charts!$E31,'Revenue Build'!$C$6:$C$234,0)-1,MATCH(Charts!BH$3,'Revenue Build'!$C$5:$ET$5,0)-1)</f>
        <v>6635.6828467144514</v>
      </c>
      <c r="BI31" s="1011">
        <f ca="1">OFFSET('Revenue Build'!$C$6,MATCH(Charts!$E31,'Revenue Build'!$C$6:$C$234,0)-1,MATCH(Charts!BI$3,'Revenue Build'!$C$5:$ET$5,0)-1)</f>
        <v>8462.5924451817737</v>
      </c>
      <c r="BJ31" s="1011">
        <f ca="1">OFFSET('Revenue Build'!$C$6,MATCH(Charts!$E31,'Revenue Build'!$C$6:$C$234,0)-1,MATCH(Charts!BJ$3,'Revenue Build'!$C$5:$ET$5,0)-1)</f>
        <v>6780.4433050578218</v>
      </c>
      <c r="BK31" s="1011">
        <f ca="1">OFFSET('Revenue Build'!$C$6,MATCH(Charts!$E31,'Revenue Build'!$C$6:$C$234,0)-1,MATCH(Charts!BK$3,'Revenue Build'!$C$5:$ET$5,0)-1)</f>
        <v>7626.9991574219666</v>
      </c>
      <c r="BL31" s="1011">
        <f ca="1">OFFSET('Revenue Build'!$C$6,MATCH(Charts!$E31,'Revenue Build'!$C$6:$C$234,0)-1,MATCH(Charts!BL$3,'Revenue Build'!$C$5:$ET$5,0)-1)</f>
        <v>7785.0765012543943</v>
      </c>
      <c r="BM31" s="1011">
        <f ca="1">OFFSET('Revenue Build'!$C$6,MATCH(Charts!$E31,'Revenue Build'!$C$6:$C$234,0)-1,MATCH(Charts!BM$3,'Revenue Build'!$C$5:$ET$5,0)-1)</f>
        <v>9929.2938974884855</v>
      </c>
      <c r="BN31" s="889"/>
      <c r="BO31" s="889"/>
      <c r="BP31" s="889"/>
      <c r="BQ31" s="889"/>
      <c r="BR31" s="889"/>
      <c r="BS31" s="889"/>
      <c r="BT31" s="889"/>
      <c r="BU31" s="889"/>
      <c r="BV31" s="889"/>
      <c r="BW31" s="889"/>
      <c r="BX31" s="889"/>
      <c r="BY31" s="889"/>
      <c r="BZ31" s="889"/>
      <c r="CA31" s="889"/>
      <c r="CB31" s="889"/>
      <c r="CC31" s="889"/>
      <c r="CD31" s="889"/>
      <c r="CE31" s="889"/>
      <c r="CF31" s="889"/>
      <c r="CG31" s="889"/>
      <c r="CH31" s="889"/>
      <c r="CI31" s="889"/>
      <c r="CJ31" s="889"/>
      <c r="CK31" s="889"/>
      <c r="CL31" s="889"/>
      <c r="CM31" s="889"/>
      <c r="CN31" s="889"/>
      <c r="CO31" s="889"/>
      <c r="CP31" s="889"/>
      <c r="CQ31" s="889"/>
      <c r="CR31" s="889"/>
      <c r="CS31" s="889" t="str">
        <f>E31</f>
        <v>Total revenue</v>
      </c>
      <c r="CT31" s="1011">
        <f ca="1">OFFSET('Revenue Build'!$C$6,MATCH(Charts!$E31,'Revenue Build'!$C$6:$C$234,0)-1,MATCH(Charts!CT$3,'Revenue Build'!$C$5:$ET$5,0)-1)</f>
        <v>389.33</v>
      </c>
      <c r="CU31" s="1011">
        <f ca="1">OFFSET('Revenue Build'!$C$6,MATCH(Charts!$E31,'Revenue Build'!$C$6:$C$234,0)-1,MATCH(Charts!CU$3,'Revenue Build'!$C$5:$ET$5,0)-1)</f>
        <v>673.30399999999997</v>
      </c>
      <c r="CV31" s="1011">
        <f ca="1">OFFSET('Revenue Build'!$C$6,MATCH(Charts!$E31,'Revenue Build'!$C$6:$C$234,0)-1,MATCH(Charts!CV$3,'Revenue Build'!$C$5:$ET$5,0)-1)</f>
        <v>1073.2289999999998</v>
      </c>
      <c r="CW31" s="1011">
        <f ca="1">OFFSET('Revenue Build'!$C$6,MATCH(Charts!$E31,'Revenue Build'!$C$6:$C$234,0)-1,MATCH(Charts!CW$3,'Revenue Build'!$C$5:$ET$5,0)-1)</f>
        <v>1578.173</v>
      </c>
      <c r="CX31" s="1011">
        <f ca="1">OFFSET('Revenue Build'!$C$6,MATCH(Charts!$E31,'Revenue Build'!$C$6:$C$234,0)-1,MATCH(Charts!CX$3,'Revenue Build'!$C$5:$ET$5,0)-1)</f>
        <v>2929.491</v>
      </c>
      <c r="CY31" s="1011">
        <f ca="1">OFFSET('Revenue Build'!$C$6,MATCH(Charts!$E31,'Revenue Build'!$C$6:$C$234,0)-1,MATCH(Charts!CY$3,'Revenue Build'!$C$5:$ET$5,0)-1)</f>
        <v>4611.8559999999998</v>
      </c>
      <c r="CZ31" s="1011">
        <f ca="1">OFFSET('Revenue Build'!$C$6,MATCH(Charts!$E31,'Revenue Build'!$C$6:$C$234,0)-1,MATCH(Charts!CZ$3,'Revenue Build'!$C$5:$ET$5,0)-1)</f>
        <v>5599.8640000000005</v>
      </c>
      <c r="DA31" s="1011">
        <f ca="1">OFFSET('Revenue Build'!$C$6,MATCH(Charts!$E31,'Revenue Build'!$C$6:$C$234,0)-1,MATCH(Charts!DA$3,'Revenue Build'!$C$5:$ET$5,0)-1)</f>
        <v>7060</v>
      </c>
      <c r="DB31" s="1011">
        <f ca="1">OFFSET('Revenue Build'!$C$6,MATCH(Charts!$E31,'Revenue Build'!$C$6:$C$234,0)-1,MATCH(Charts!DB$3,'Revenue Build'!$C$5:$ET$5,0)-1)</f>
        <v>8880</v>
      </c>
      <c r="DC31" s="1011">
        <f ca="1">OFFSET('Revenue Build'!$C$6,MATCH(Charts!$E31,'Revenue Build'!$C$6:$C$234,0)-1,MATCH(Charts!DC$3,'Revenue Build'!$C$5:$ET$5,0)-1)</f>
        <v>11556</v>
      </c>
      <c r="DD31" s="1011">
        <f ca="1">OFFSET('Revenue Build'!$C$6,MATCH(Charts!$E31,'Revenue Build'!$C$6:$C$234,0)-1,MATCH(Charts!DD$3,'Revenue Build'!$C$5:$ET$5,0)-1)</f>
        <v>15211.685523769687</v>
      </c>
      <c r="DE31" s="1011">
        <f ca="1">OFFSET('Revenue Build'!$C$6,MATCH(Charts!$E31,'Revenue Build'!$C$6:$C$234,0)-1,MATCH(Charts!DE$3,'Revenue Build'!$C$5:$ET$5,0)-1)</f>
        <v>19134.27960159217</v>
      </c>
      <c r="DF31" s="1011">
        <f ca="1">OFFSET('Revenue Build'!$C$6,MATCH(Charts!$E31,'Revenue Build'!$C$6:$C$234,0)-1,MATCH(Charts!DF$3,'Revenue Build'!$C$5:$ET$5,0)-1)</f>
        <v>23097.312228932591</v>
      </c>
      <c r="DG31" s="1011">
        <f ca="1">OFFSET('Revenue Build'!$C$6,MATCH(Charts!$E31,'Revenue Build'!$C$6:$C$234,0)-1,MATCH(Charts!DG$3,'Revenue Build'!$C$5:$ET$5,0)-1)</f>
        <v>27379.487596355673</v>
      </c>
      <c r="DH31" s="1011">
        <f ca="1">OFFSET('Revenue Build'!$C$6,MATCH(Charts!$E31,'Revenue Build'!$C$6:$C$234,0)-1,MATCH(Charts!DH$3,'Revenue Build'!$C$5:$ET$5,0)-1)</f>
        <v>32121.812861222668</v>
      </c>
    </row>
    <row r="32" spans="5:113">
      <c r="BN32" s="889"/>
      <c r="BO32" s="889"/>
      <c r="BP32" s="889"/>
      <c r="BQ32" s="889"/>
      <c r="BR32" s="889"/>
      <c r="BS32" s="889"/>
      <c r="BT32" s="889"/>
      <c r="BU32" s="889"/>
      <c r="BV32" s="889"/>
      <c r="BW32" s="889"/>
      <c r="BX32" s="889"/>
      <c r="BY32" s="889"/>
      <c r="BZ32" s="889"/>
      <c r="CA32" s="889"/>
      <c r="CB32" s="889"/>
      <c r="CC32" s="889"/>
      <c r="CD32" s="889"/>
      <c r="CE32" s="889"/>
      <c r="CF32" s="889"/>
      <c r="CG32" s="889"/>
      <c r="CH32" s="889"/>
      <c r="CI32" s="889"/>
      <c r="CJ32" s="889"/>
      <c r="CK32" s="889"/>
      <c r="CL32" s="889"/>
      <c r="CM32" s="889"/>
      <c r="CN32" s="889"/>
      <c r="CO32" s="889"/>
      <c r="CP32" s="889"/>
      <c r="CQ32" s="889"/>
      <c r="CR32" s="889"/>
      <c r="CS32" s="889"/>
    </row>
    <row r="33" spans="1:145">
      <c r="E33" s="6" t="s">
        <v>486</v>
      </c>
      <c r="F33" s="1016">
        <f>Income!BV6</f>
        <v>38.706000000000003</v>
      </c>
      <c r="G33" s="1016">
        <f>Income!BW6</f>
        <v>43.673999999999999</v>
      </c>
      <c r="H33" s="1016">
        <f>Income!BX6</f>
        <v>49.838999999999999</v>
      </c>
      <c r="I33" s="1016">
        <f>Income!BY6</f>
        <v>56.387</v>
      </c>
      <c r="J33" s="1016">
        <f>Income!CA6</f>
        <v>62.08</v>
      </c>
      <c r="K33" s="1016">
        <f>Income!CB6</f>
        <v>71.597999999999999</v>
      </c>
      <c r="L33" s="1016">
        <f>Income!CC6</f>
        <v>82.435000000000002</v>
      </c>
      <c r="M33" s="1016">
        <f>Income!CD6</f>
        <v>93.918000000000006</v>
      </c>
      <c r="N33" s="1016">
        <f>Income!CF6</f>
        <v>100.19799999999999</v>
      </c>
      <c r="O33" s="1016">
        <f>Income!CG6</f>
        <v>110.721</v>
      </c>
      <c r="P33" s="1016">
        <f>Income!CH6</f>
        <v>120.517</v>
      </c>
      <c r="Q33" s="1016">
        <f>Income!CI6</f>
        <v>133.56</v>
      </c>
      <c r="R33" s="1016">
        <f>Income!CK6</f>
        <v>140.45099999999999</v>
      </c>
      <c r="S33" s="1016">
        <f>Income!CL6</f>
        <v>153.047</v>
      </c>
      <c r="T33" s="1016">
        <f>Income!CM6</f>
        <v>165.577</v>
      </c>
      <c r="U33" s="1016">
        <f>Income!CN6</f>
        <v>183.166</v>
      </c>
      <c r="V33" s="1016">
        <f>Income!CP6</f>
        <v>187.60900000000001</v>
      </c>
      <c r="W33" s="1016">
        <f>Income!CQ6</f>
        <v>196.434</v>
      </c>
      <c r="X33" s="1016">
        <f>Income!CR6</f>
        <v>245.274</v>
      </c>
      <c r="Y33" s="1016">
        <f>Income!CS6</f>
        <v>279.44</v>
      </c>
      <c r="Z33" s="1016">
        <f>Income!CU6</f>
        <v>320.68099999999998</v>
      </c>
      <c r="AA33" s="1016">
        <f>Income!CV6</f>
        <v>334.23700000000002</v>
      </c>
      <c r="AB33" s="1016">
        <f>Income!CW6</f>
        <v>336.20800000000003</v>
      </c>
      <c r="AC33" s="1016">
        <f>Income!CX6</f>
        <v>351.20800000000003</v>
      </c>
      <c r="AD33" s="1016">
        <f>Income!CZ6</f>
        <v>344.76100000000002</v>
      </c>
      <c r="AE33" s="1016">
        <f>Income!DA6</f>
        <v>366.44299999999998</v>
      </c>
      <c r="AF33" s="1016">
        <f>Income!DB6</f>
        <v>376.30099999999999</v>
      </c>
      <c r="AG33" s="1016">
        <f>Income!DC6</f>
        <v>400.25400000000002</v>
      </c>
      <c r="AH33" s="1016">
        <f>Income!DE6</f>
        <v>382</v>
      </c>
      <c r="AI33" s="1016">
        <f>Income!DF6</f>
        <v>444</v>
      </c>
      <c r="AJ33" s="1016">
        <f>Income!DG6</f>
        <v>486</v>
      </c>
      <c r="AK33" s="1016">
        <f>Income!DH6</f>
        <v>525</v>
      </c>
      <c r="AL33" s="1016">
        <f>Income!DJ6</f>
        <v>511</v>
      </c>
      <c r="AM33" s="1016">
        <f>Income!DK6</f>
        <v>563</v>
      </c>
      <c r="AN33" s="1016">
        <f>Income!DL6</f>
        <v>610</v>
      </c>
      <c r="AO33" s="1016">
        <f>Income!DM6</f>
        <v>666</v>
      </c>
      <c r="AP33" s="1016">
        <f>Income!DO6</f>
        <v>620</v>
      </c>
      <c r="AQ33" s="1016">
        <f>Income!DP6</f>
        <v>656</v>
      </c>
      <c r="AR33" s="1016">
        <f>Income!DQ6</f>
        <v>699</v>
      </c>
      <c r="AS33" s="1016">
        <f>Income!DR6</f>
        <v>777</v>
      </c>
      <c r="AT33" s="1016">
        <f>Income!DT6</f>
        <v>750</v>
      </c>
      <c r="AU33" s="1016">
        <f>Income!DU6</f>
        <v>802</v>
      </c>
      <c r="AV33" s="1016">
        <f>Income!DV6</f>
        <v>860.61512704218728</v>
      </c>
      <c r="AW33" s="1016">
        <f>Income!DW6</f>
        <v>935.33450172749986</v>
      </c>
      <c r="AX33" s="1016">
        <f>Income!DY6</f>
        <v>898.83625293750015</v>
      </c>
      <c r="AY33" s="1016">
        <f>Income!DZ6</f>
        <v>965.84413021340015</v>
      </c>
      <c r="AZ33" s="1016">
        <f>Income!EA6</f>
        <v>1036.4340010306189</v>
      </c>
      <c r="BA33" s="1016">
        <f>Income!EB6</f>
        <v>1126.4181275306501</v>
      </c>
      <c r="BB33" s="1016">
        <f>Income!EC6</f>
        <v>4027.5325117121693</v>
      </c>
      <c r="BC33" s="1016">
        <f>Income!ED6</f>
        <v>1067.1414407107902</v>
      </c>
      <c r="BD33" s="1016">
        <f>Income!EE6</f>
        <v>1141.1299139334049</v>
      </c>
      <c r="BE33" s="1016">
        <f>Income!EF6</f>
        <v>1218.5864313702677</v>
      </c>
      <c r="BF33" s="1016">
        <f>Income!EG6</f>
        <v>1317.9561403661266</v>
      </c>
      <c r="BG33" s="1016">
        <f>Income!EH6</f>
        <v>4744.8139263805897</v>
      </c>
      <c r="BH33" s="1016">
        <f>Income!EI6</f>
        <v>1248.5999470793063</v>
      </c>
      <c r="BI33" s="1016">
        <f>Income!EJ6</f>
        <v>1335.1695434101377</v>
      </c>
      <c r="BJ33" s="1016">
        <f>Income!EK6</f>
        <v>1425.7968959644509</v>
      </c>
      <c r="BK33" s="1016">
        <f>Income!EL6</f>
        <v>1542.0635956353719</v>
      </c>
      <c r="BL33" s="1016">
        <f>Income!EM6</f>
        <v>5551.6299820892673</v>
      </c>
      <c r="BM33" s="1016">
        <f>Income!EN6</f>
        <v>1460.9139598290203</v>
      </c>
      <c r="BN33" s="889"/>
      <c r="BO33" s="889"/>
      <c r="BP33" s="889"/>
      <c r="BQ33" s="889"/>
      <c r="BR33" s="889"/>
      <c r="BS33" s="889"/>
      <c r="BT33" s="889"/>
      <c r="BU33" s="889"/>
      <c r="BV33" s="889"/>
      <c r="BW33" s="889"/>
      <c r="BX33" s="889"/>
      <c r="BY33" s="889"/>
      <c r="BZ33" s="889"/>
      <c r="CA33" s="889"/>
      <c r="CB33" s="889"/>
      <c r="CC33" s="889"/>
      <c r="CD33" s="889"/>
      <c r="CE33" s="889"/>
      <c r="CF33" s="889"/>
      <c r="CG33" s="889"/>
      <c r="CH33" s="889"/>
      <c r="CI33" s="889"/>
      <c r="CJ33" s="889"/>
      <c r="CK33" s="889"/>
      <c r="CL33" s="889"/>
      <c r="CM33" s="889"/>
      <c r="CN33" s="889"/>
      <c r="CO33" s="889"/>
      <c r="CP33" s="889"/>
      <c r="CQ33" s="889"/>
      <c r="CR33" s="889"/>
      <c r="CS33" s="889" t="s">
        <v>486</v>
      </c>
      <c r="CT33" s="1012">
        <f>Income!BZ6</f>
        <v>188.60599999999999</v>
      </c>
      <c r="CU33" s="1012">
        <f>Income!CE6</f>
        <v>310.03100000000001</v>
      </c>
      <c r="CV33" s="1012">
        <f>Income!CJ6</f>
        <v>464.99599999999998</v>
      </c>
      <c r="CW33" s="1012">
        <f>Income!CO6</f>
        <v>642.24099999999999</v>
      </c>
      <c r="CX33" s="1012">
        <f>Income!CT6</f>
        <v>908.75700000000006</v>
      </c>
      <c r="CY33" s="1012">
        <f>Income!CY6</f>
        <v>1342.3340000000001</v>
      </c>
      <c r="CZ33" s="1012">
        <f>Income!DD6</f>
        <v>1487.759</v>
      </c>
      <c r="DA33" s="1012">
        <f>Income!DI6</f>
        <v>1837</v>
      </c>
      <c r="DB33" s="1012">
        <f>Income!DN6</f>
        <v>2350</v>
      </c>
      <c r="DC33" s="1012">
        <f>Income!DS6</f>
        <v>2752</v>
      </c>
      <c r="DD33" s="1012">
        <f>Income!DX6</f>
        <v>3347.9496287696875</v>
      </c>
      <c r="DE33" s="1012">
        <f>Income!EC6</f>
        <v>4027.5325117121693</v>
      </c>
      <c r="DF33" s="1012">
        <f>Income!EH6</f>
        <v>4744.8139263805897</v>
      </c>
      <c r="DG33" s="1012">
        <f>Income!EM6</f>
        <v>5551.6299820892673</v>
      </c>
      <c r="DH33" s="1012">
        <f>Income!ER6</f>
        <v>6495.6383825029916</v>
      </c>
    </row>
    <row r="34" spans="1:145">
      <c r="E34" s="6" t="s">
        <v>485</v>
      </c>
      <c r="F34" s="1016">
        <f>Income!BV8</f>
        <v>34.015999999999998</v>
      </c>
      <c r="G34" s="1016">
        <f>Income!BW8</f>
        <v>42.972999999999999</v>
      </c>
      <c r="H34" s="1016">
        <f>Income!BX8</f>
        <v>49.738999999999997</v>
      </c>
      <c r="I34" s="1016">
        <f>Income!BY8</f>
        <v>73.995999999999995</v>
      </c>
      <c r="J34" s="1016">
        <f>Income!CA8</f>
        <v>65.299000000000007</v>
      </c>
      <c r="K34" s="1016">
        <f>Income!CB8</f>
        <v>80.057000000000002</v>
      </c>
      <c r="L34" s="1016">
        <f>Income!CC8</f>
        <v>89.021000000000001</v>
      </c>
      <c r="M34" s="1016">
        <f>Income!CD8</f>
        <v>128.89599999999999</v>
      </c>
      <c r="N34" s="1016">
        <f>Income!CF8</f>
        <v>114.142</v>
      </c>
      <c r="O34" s="1016">
        <f>Income!CG8</f>
        <v>134.24199999999999</v>
      </c>
      <c r="P34" s="1016">
        <f>Income!CH8</f>
        <v>149.547</v>
      </c>
      <c r="Q34" s="1016">
        <f>Income!CI8</f>
        <v>210.30199999999999</v>
      </c>
      <c r="R34" s="1016">
        <f>Income!CK8</f>
        <v>180.03100000000001</v>
      </c>
      <c r="S34" s="1016">
        <f>Income!CL8</f>
        <v>208.93199999999999</v>
      </c>
      <c r="T34" s="1016">
        <f>Income!CM8</f>
        <v>224.97499999999999</v>
      </c>
      <c r="U34" s="1016">
        <f>Income!CN8</f>
        <v>321.99400000000003</v>
      </c>
      <c r="V34" s="1016">
        <f>Income!CP8</f>
        <v>282.392</v>
      </c>
      <c r="W34" s="1016">
        <f>Income!CQ8</f>
        <v>517.90700000000004</v>
      </c>
      <c r="X34" s="1016">
        <f>Income!CR8</f>
        <v>522.13099999999997</v>
      </c>
      <c r="Y34" s="1016">
        <f>Income!CS8</f>
        <v>698.30399999999997</v>
      </c>
      <c r="Z34" s="1016">
        <f>Income!CU8</f>
        <v>667.96600000000001</v>
      </c>
      <c r="AA34" s="1016">
        <f>Income!CV8</f>
        <v>785.20799999999997</v>
      </c>
      <c r="AB34" s="1016">
        <f>Income!CW8</f>
        <v>787.53200000000004</v>
      </c>
      <c r="AC34" s="1016">
        <f>Income!CX8</f>
        <v>1028.816</v>
      </c>
      <c r="AD34" s="1016">
        <f>Income!CZ8</f>
        <v>858.86199999999997</v>
      </c>
      <c r="AE34" s="1016">
        <f>Income!DA8</f>
        <v>928.62</v>
      </c>
      <c r="AF34" s="1016">
        <f>Income!DB8</f>
        <v>989.899</v>
      </c>
      <c r="AG34" s="1016">
        <f>Income!DC8</f>
        <v>1334.7239999999999</v>
      </c>
      <c r="AH34" s="1016">
        <f>Income!DE8</f>
        <v>1126</v>
      </c>
      <c r="AI34" s="1016">
        <f>Income!DF8</f>
        <v>1250</v>
      </c>
      <c r="AJ34" s="1016">
        <f>Income!DG8</f>
        <v>1228</v>
      </c>
      <c r="AK34" s="1016">
        <f>Income!DH8</f>
        <v>1619</v>
      </c>
      <c r="AL34" s="1016">
        <f>Income!DJ8</f>
        <v>1350</v>
      </c>
      <c r="AM34" s="1016">
        <f>Income!DK8</f>
        <v>1482</v>
      </c>
      <c r="AN34" s="1016">
        <f>Income!DL8</f>
        <v>1552</v>
      </c>
      <c r="AO34" s="1016">
        <f>Income!DM8</f>
        <v>2146</v>
      </c>
      <c r="AP34" s="1016">
        <f>Income!DO8</f>
        <v>1740</v>
      </c>
      <c r="AQ34" s="1016">
        <f>Income!DP8</f>
        <v>2024</v>
      </c>
      <c r="AR34" s="1016">
        <f>Income!DQ8</f>
        <v>2145</v>
      </c>
      <c r="AS34" s="1016">
        <f>Income!DR8</f>
        <v>2895</v>
      </c>
      <c r="AT34" s="1016">
        <f>Income!DT8</f>
        <v>2420</v>
      </c>
      <c r="AU34" s="1016">
        <f>Income!DU8</f>
        <v>2781</v>
      </c>
      <c r="AV34" s="1016">
        <f>Income!DV8</f>
        <v>2848.3084500000004</v>
      </c>
      <c r="AW34" s="1016">
        <f>Income!DW8</f>
        <v>3814.4274450000003</v>
      </c>
      <c r="AX34" s="1016">
        <f>Income!DY8</f>
        <v>3136.2853120000004</v>
      </c>
      <c r="AY34" s="1016">
        <f>Income!DZ8</f>
        <v>3575.9010270000003</v>
      </c>
      <c r="AZ34" s="1016">
        <f>Income!EA8</f>
        <v>3605.2419000000004</v>
      </c>
      <c r="BA34" s="1016">
        <f>Income!EB8</f>
        <v>4789.3188508800004</v>
      </c>
      <c r="BB34" s="1016">
        <f>Income!EC8</f>
        <v>15106.747089880002</v>
      </c>
      <c r="BC34" s="1016">
        <f>Income!ED8</f>
        <v>3809.9647488000001</v>
      </c>
      <c r="BD34" s="1016">
        <f>Income!EE8</f>
        <v>4343.9184648</v>
      </c>
      <c r="BE34" s="1016">
        <f>Income!EF8</f>
        <v>4380.1178850000006</v>
      </c>
      <c r="BF34" s="1016">
        <f>Income!EG8</f>
        <v>5818.4972039520007</v>
      </c>
      <c r="BG34" s="1016">
        <f>Income!EH8</f>
        <v>18352.498302552001</v>
      </c>
      <c r="BH34" s="1016">
        <f>Income!EI8</f>
        <v>4531.2548697600014</v>
      </c>
      <c r="BI34" s="1016">
        <f>Income!EJ8</f>
        <v>5166.1879442100008</v>
      </c>
      <c r="BJ34" s="1016">
        <f>Income!EK8</f>
        <v>5209.885950750001</v>
      </c>
      <c r="BK34" s="1016">
        <f>Income!EL8</f>
        <v>6920.528849546401</v>
      </c>
      <c r="BL34" s="1016">
        <f>Income!EM8</f>
        <v>21827.857614266406</v>
      </c>
      <c r="BM34" s="1016">
        <f>Income!EN8</f>
        <v>5319.5293452288015</v>
      </c>
      <c r="BN34" s="889"/>
      <c r="BO34" s="889"/>
      <c r="BP34" s="889"/>
      <c r="BQ34" s="889"/>
      <c r="BR34" s="889"/>
      <c r="BS34" s="889"/>
      <c r="BT34" s="889"/>
      <c r="BU34" s="889"/>
      <c r="BV34" s="889"/>
      <c r="BW34" s="889"/>
      <c r="BX34" s="889"/>
      <c r="BY34" s="889"/>
      <c r="BZ34" s="889"/>
      <c r="CA34" s="889"/>
      <c r="CB34" s="889"/>
      <c r="CC34" s="889"/>
      <c r="CD34" s="889"/>
      <c r="CE34" s="889"/>
      <c r="CF34" s="889"/>
      <c r="CG34" s="889"/>
      <c r="CH34" s="889"/>
      <c r="CI34" s="889"/>
      <c r="CJ34" s="889"/>
      <c r="CK34" s="889"/>
      <c r="CL34" s="889"/>
      <c r="CM34" s="889"/>
      <c r="CN34" s="889"/>
      <c r="CO34" s="889"/>
      <c r="CP34" s="889"/>
      <c r="CQ34" s="889"/>
      <c r="CR34" s="889"/>
      <c r="CS34" s="889" t="s">
        <v>485</v>
      </c>
      <c r="CT34" s="1012">
        <f>Income!BZ8</f>
        <v>200.72399999999999</v>
      </c>
      <c r="CU34" s="1012">
        <f>Income!CE8</f>
        <v>363.27300000000002</v>
      </c>
      <c r="CV34" s="1012">
        <f>Income!CJ8</f>
        <v>608.23299999999995</v>
      </c>
      <c r="CW34" s="1012">
        <f>Income!CO8</f>
        <v>935.93200000000002</v>
      </c>
      <c r="CX34" s="1012">
        <f>Income!CT8</f>
        <v>2020.7339999999999</v>
      </c>
      <c r="CY34" s="1012">
        <f>Income!CY8</f>
        <v>3269.5219999999999</v>
      </c>
      <c r="CZ34" s="1012">
        <f>Income!DD8</f>
        <v>4112.1049999999996</v>
      </c>
      <c r="DA34" s="1012">
        <f>Income!DI8</f>
        <v>5223</v>
      </c>
      <c r="DB34" s="1012">
        <f>Income!DN8</f>
        <v>6530</v>
      </c>
      <c r="DC34" s="1012">
        <f>Income!DS8</f>
        <v>8804</v>
      </c>
      <c r="DD34" s="1012">
        <f>Income!DX8</f>
        <v>11863.735895000002</v>
      </c>
      <c r="DE34" s="1012">
        <f>Income!EC8</f>
        <v>15106.747089880002</v>
      </c>
      <c r="DF34" s="1012">
        <f>Income!EH8</f>
        <v>18352.498302552001</v>
      </c>
      <c r="DG34" s="1012">
        <f>Income!EM8</f>
        <v>21827.857614266406</v>
      </c>
      <c r="DH34" s="1012">
        <f>Income!ER8</f>
        <v>25626.17447871968</v>
      </c>
      <c r="EG34" s="889"/>
      <c r="EH34" s="889"/>
      <c r="EI34" s="889"/>
      <c r="EJ34" s="889"/>
      <c r="EK34" s="889"/>
      <c r="EL34" s="889"/>
      <c r="EM34" s="889"/>
      <c r="EN34" s="889"/>
      <c r="EO34" s="889"/>
    </row>
    <row r="35" spans="1:145">
      <c r="E35" s="1005" t="s">
        <v>178</v>
      </c>
      <c r="F35" s="1017">
        <f>Income!BV10</f>
        <v>72.722000000000008</v>
      </c>
      <c r="G35" s="1017">
        <f>Income!BW10</f>
        <v>86.646999999999991</v>
      </c>
      <c r="H35" s="1017">
        <f>Income!BX10</f>
        <v>99.578000000000003</v>
      </c>
      <c r="I35" s="1017">
        <f>Income!BY10</f>
        <v>130.38299999999998</v>
      </c>
      <c r="J35" s="1017">
        <f>Income!CA10</f>
        <v>127.379</v>
      </c>
      <c r="K35" s="1017">
        <f>Income!CB10</f>
        <v>151.655</v>
      </c>
      <c r="L35" s="1017">
        <f>Income!CC10</f>
        <v>171.45600000000002</v>
      </c>
      <c r="M35" s="1017">
        <f>Income!CD10</f>
        <v>222.81399999999999</v>
      </c>
      <c r="N35" s="1017">
        <f>Income!CF10</f>
        <v>214.33999999999997</v>
      </c>
      <c r="O35" s="1017">
        <f>Income!CG10</f>
        <v>244.96299999999999</v>
      </c>
      <c r="P35" s="1017">
        <f>Income!CH10</f>
        <v>270.06399999999996</v>
      </c>
      <c r="Q35" s="1017">
        <f>Income!CI10</f>
        <v>343.86199999999997</v>
      </c>
      <c r="R35" s="1017">
        <f>Income!CK10</f>
        <v>320.48199999999997</v>
      </c>
      <c r="S35" s="1017">
        <f>Income!CL10</f>
        <v>361.97899999999998</v>
      </c>
      <c r="T35" s="1017">
        <f>Income!CM10</f>
        <v>390.55200000000002</v>
      </c>
      <c r="U35" s="1017">
        <f>Income!CN10</f>
        <v>505.16</v>
      </c>
      <c r="V35" s="1017">
        <f>Income!CP10</f>
        <v>470.00099999999998</v>
      </c>
      <c r="W35" s="1017">
        <f>Income!CQ10</f>
        <v>714.34100000000001</v>
      </c>
      <c r="X35" s="1017">
        <f>Income!CR10</f>
        <v>767.40499999999997</v>
      </c>
      <c r="Y35" s="1017">
        <f>Income!CS10</f>
        <v>977.74399999999991</v>
      </c>
      <c r="Z35" s="1017">
        <f>Income!CU10</f>
        <v>988.64699999999993</v>
      </c>
      <c r="AA35" s="1017">
        <f>Income!CV10</f>
        <v>1119.4449999999999</v>
      </c>
      <c r="AB35" s="1017">
        <f>Income!CW10</f>
        <v>1123.74</v>
      </c>
      <c r="AC35" s="1017">
        <f>Income!CX10</f>
        <v>1380.0240000000001</v>
      </c>
      <c r="AD35" s="1017">
        <f>Income!CZ10</f>
        <v>1203.623</v>
      </c>
      <c r="AE35" s="1017">
        <f>Income!DA10</f>
        <v>1295.0630000000001</v>
      </c>
      <c r="AF35" s="1017">
        <f>Income!DB10</f>
        <v>1366.2</v>
      </c>
      <c r="AG35" s="1017">
        <f>Income!DC10</f>
        <v>1734.9780000000001</v>
      </c>
      <c r="AH35" s="1017">
        <f>Income!DE10</f>
        <v>1508</v>
      </c>
      <c r="AI35" s="1017">
        <f>Income!DF10</f>
        <v>1694</v>
      </c>
      <c r="AJ35" s="1017">
        <f>Income!DG10</f>
        <v>1714</v>
      </c>
      <c r="AK35" s="1017">
        <f>Income!DH10</f>
        <v>2144</v>
      </c>
      <c r="AL35" s="1017">
        <f>Income!DJ10</f>
        <v>1861</v>
      </c>
      <c r="AM35" s="1017">
        <f>Income!DK10</f>
        <v>2045</v>
      </c>
      <c r="AN35" s="1017">
        <f>Income!DL10</f>
        <v>2162</v>
      </c>
      <c r="AO35" s="1017">
        <f>Income!DM10</f>
        <v>2812</v>
      </c>
      <c r="AP35" s="1017">
        <f>Income!DO10</f>
        <v>2360</v>
      </c>
      <c r="AQ35" s="1017">
        <f>Income!DP10</f>
        <v>2680</v>
      </c>
      <c r="AR35" s="1017">
        <f>Income!DQ10</f>
        <v>2844</v>
      </c>
      <c r="AS35" s="1017">
        <f>Income!DR10</f>
        <v>3672</v>
      </c>
      <c r="AT35" s="1017">
        <f>Income!DT10</f>
        <v>3170</v>
      </c>
      <c r="AU35" s="1017">
        <f>Income!DU10</f>
        <v>3583</v>
      </c>
      <c r="AV35" s="1017">
        <f>Income!DV10</f>
        <v>3708.9235770421878</v>
      </c>
      <c r="AW35" s="1017">
        <f>Income!DW10</f>
        <v>4749.7619467274999</v>
      </c>
      <c r="AX35" s="1017">
        <f>Income!DY10</f>
        <v>4035.1215649375008</v>
      </c>
      <c r="AY35" s="1017">
        <f>Income!DZ10</f>
        <v>4541.7451572134005</v>
      </c>
      <c r="AZ35" s="1017">
        <f>Income!EA10</f>
        <v>4641.6759010306196</v>
      </c>
      <c r="BA35" s="1017">
        <f>Income!EB10</f>
        <v>5915.7369784106504</v>
      </c>
      <c r="BB35" s="1017">
        <f>Income!EC10</f>
        <v>19134.27960159217</v>
      </c>
      <c r="BC35" s="1017">
        <f>Income!ED10</f>
        <v>4877.1061895107905</v>
      </c>
      <c r="BD35" s="1017">
        <f>Income!EE10</f>
        <v>5485.0483787334051</v>
      </c>
      <c r="BE35" s="1017">
        <f>Income!EF10</f>
        <v>5598.7043163702683</v>
      </c>
      <c r="BF35" s="1017">
        <f>Income!EG10</f>
        <v>7136.4533443181272</v>
      </c>
      <c r="BG35" s="1017">
        <f>Income!EH10</f>
        <v>23097.312228932591</v>
      </c>
      <c r="BH35" s="1017">
        <f>Income!EI10</f>
        <v>5779.8548168393081</v>
      </c>
      <c r="BI35" s="1017">
        <f>Income!EJ10</f>
        <v>6501.3574876201383</v>
      </c>
      <c r="BJ35" s="1017">
        <f>Income!EK10</f>
        <v>6635.6828467144514</v>
      </c>
      <c r="BK35" s="1017">
        <f>Income!EL10</f>
        <v>8462.5924451817737</v>
      </c>
      <c r="BL35" s="1017">
        <f>Income!EM10</f>
        <v>27379.487596355673</v>
      </c>
      <c r="BM35" s="1017">
        <f>Income!EN10</f>
        <v>6780.4433050578218</v>
      </c>
      <c r="BN35" s="889"/>
      <c r="BO35" s="889"/>
      <c r="BP35" s="889"/>
      <c r="BQ35" s="889"/>
      <c r="BR35" s="889"/>
      <c r="BS35" s="889"/>
      <c r="BT35" s="889"/>
      <c r="BU35" s="889"/>
      <c r="BV35" s="889"/>
      <c r="BW35" s="889"/>
      <c r="BX35" s="889"/>
      <c r="BY35" s="889"/>
      <c r="BZ35" s="889"/>
      <c r="CA35" s="889"/>
      <c r="CB35" s="889"/>
      <c r="CC35" s="889"/>
      <c r="CD35" s="889"/>
      <c r="CE35" s="889"/>
      <c r="CF35" s="889"/>
      <c r="CG35" s="889"/>
      <c r="CH35" s="889"/>
      <c r="CI35" s="889"/>
      <c r="CJ35" s="889"/>
      <c r="CK35" s="889"/>
      <c r="CL35" s="889"/>
      <c r="CM35" s="889"/>
      <c r="CN35" s="889"/>
      <c r="CO35" s="889"/>
      <c r="CP35" s="889"/>
      <c r="CQ35" s="889"/>
      <c r="CR35" s="889"/>
      <c r="CS35" s="889" t="s">
        <v>178</v>
      </c>
      <c r="CT35" s="1013">
        <f>Income!BZ10</f>
        <v>389.33</v>
      </c>
      <c r="CU35" s="1013">
        <f>Income!CE10</f>
        <v>673.30399999999997</v>
      </c>
      <c r="CV35" s="1013">
        <f>Income!CJ10</f>
        <v>1073.2289999999998</v>
      </c>
      <c r="CW35" s="1013">
        <f>Income!CO10</f>
        <v>1578.173</v>
      </c>
      <c r="CX35" s="1013">
        <f>Income!CT10</f>
        <v>2929.491</v>
      </c>
      <c r="CY35" s="1013">
        <f>Income!CY10</f>
        <v>4611.8559999999998</v>
      </c>
      <c r="CZ35" s="1013">
        <f>Income!DD10</f>
        <v>5599.8640000000005</v>
      </c>
      <c r="DA35" s="1013">
        <f>Income!DI10</f>
        <v>7060</v>
      </c>
      <c r="DB35" s="1013">
        <f>Income!DN10</f>
        <v>8880</v>
      </c>
      <c r="DC35" s="1013">
        <f>Income!DS10</f>
        <v>11556</v>
      </c>
      <c r="DD35" s="1013">
        <f>Income!DX10</f>
        <v>15211.685523769687</v>
      </c>
      <c r="DE35" s="1013">
        <f>Income!EC10</f>
        <v>19134.27960159217</v>
      </c>
      <c r="DF35" s="1013">
        <f>Income!EH10</f>
        <v>23097.312228932591</v>
      </c>
      <c r="DG35" s="1013">
        <f>Income!EM10</f>
        <v>27379.487596355673</v>
      </c>
      <c r="DH35" s="1013">
        <f>Income!ER10</f>
        <v>32121.812861222668</v>
      </c>
      <c r="EG35" s="889"/>
      <c r="EH35" s="889"/>
      <c r="EI35" s="889"/>
      <c r="EJ35" s="889"/>
      <c r="EK35" s="889"/>
      <c r="EL35" s="889"/>
      <c r="EM35" s="889"/>
      <c r="EN35" s="889"/>
      <c r="EO35" s="889"/>
    </row>
    <row r="36" spans="1:145">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889"/>
      <c r="BO36" s="889"/>
      <c r="BP36" s="889"/>
      <c r="BQ36" s="889"/>
      <c r="BR36" s="889"/>
      <c r="BS36" s="889"/>
      <c r="BT36" s="889"/>
      <c r="BU36" s="889"/>
      <c r="BV36" s="889"/>
      <c r="BW36" s="889"/>
      <c r="BX36" s="889"/>
      <c r="BY36" s="889"/>
      <c r="BZ36" s="889"/>
      <c r="CA36" s="889"/>
      <c r="CB36" s="889"/>
      <c r="CC36" s="889"/>
      <c r="CD36" s="889"/>
      <c r="CE36" s="889"/>
      <c r="CF36" s="889"/>
      <c r="CG36" s="889"/>
      <c r="CH36" s="889"/>
      <c r="CI36" s="889"/>
      <c r="CJ36" s="889"/>
      <c r="CK36" s="889"/>
      <c r="CL36" s="889"/>
      <c r="CM36" s="889"/>
      <c r="CN36" s="889"/>
      <c r="CO36" s="889"/>
      <c r="CP36" s="889"/>
      <c r="CQ36" s="889"/>
      <c r="CR36" s="889"/>
      <c r="CS36" s="889"/>
      <c r="EG36" s="889"/>
      <c r="EH36" s="889"/>
      <c r="EI36" s="889"/>
      <c r="EJ36" s="889"/>
      <c r="EK36" s="889"/>
      <c r="EL36" s="889"/>
      <c r="EM36" s="889"/>
      <c r="EN36" s="889"/>
      <c r="EO36" s="889"/>
    </row>
    <row r="37" spans="1:145">
      <c r="E37" s="1438"/>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902"/>
      <c r="BO37" s="902"/>
      <c r="BP37" s="902"/>
      <c r="BQ37" s="902"/>
      <c r="BR37" s="902"/>
      <c r="BS37" s="902"/>
      <c r="BT37" s="902"/>
      <c r="BU37" s="902"/>
      <c r="BV37" s="902"/>
      <c r="BW37" s="902"/>
      <c r="BX37" s="902"/>
      <c r="BY37" s="902"/>
      <c r="BZ37" s="902"/>
      <c r="CA37" s="902"/>
      <c r="CB37" s="902"/>
      <c r="CC37" s="902"/>
      <c r="CD37" s="902"/>
      <c r="CE37" s="902"/>
      <c r="CF37" s="902"/>
      <c r="CG37" s="902"/>
      <c r="CH37" s="902"/>
      <c r="CI37" s="902"/>
      <c r="CJ37" s="902"/>
      <c r="CK37" s="902"/>
      <c r="CL37" s="902"/>
      <c r="CM37" s="902"/>
      <c r="CN37" s="902"/>
      <c r="CO37" s="902"/>
      <c r="CP37" s="902"/>
      <c r="CQ37" s="902"/>
      <c r="CR37" s="902"/>
      <c r="CS37" s="902"/>
      <c r="CT37" s="1014"/>
      <c r="CU37" s="1014"/>
      <c r="CV37" s="1109"/>
      <c r="CW37" s="1109"/>
      <c r="CX37" s="1109"/>
      <c r="CY37" s="1109"/>
      <c r="CZ37" s="1109"/>
      <c r="DA37" s="1109"/>
      <c r="EG37" s="889"/>
      <c r="EH37" s="889"/>
      <c r="EI37" s="889"/>
      <c r="EJ37" s="889"/>
      <c r="EK37" s="889"/>
      <c r="EL37" s="889"/>
      <c r="EM37" s="889"/>
      <c r="EN37" s="889"/>
      <c r="EO37" s="889"/>
    </row>
    <row r="38" spans="1:145">
      <c r="B38" s="2"/>
      <c r="E38" s="1439"/>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903"/>
      <c r="BO38" s="903"/>
      <c r="BP38" s="903"/>
      <c r="BQ38" s="903"/>
      <c r="BR38" s="903"/>
      <c r="BS38" s="903"/>
      <c r="BT38" s="903"/>
      <c r="BU38" s="903"/>
      <c r="BV38" s="903"/>
      <c r="BW38" s="903"/>
      <c r="BX38" s="903"/>
      <c r="BY38" s="903"/>
      <c r="BZ38" s="903"/>
      <c r="CA38" s="903"/>
      <c r="CB38" s="903"/>
      <c r="CC38" s="903"/>
      <c r="CD38" s="903"/>
      <c r="CE38" s="903"/>
      <c r="CF38" s="903"/>
      <c r="CG38" s="903"/>
      <c r="CH38" s="903"/>
      <c r="CI38" s="903"/>
      <c r="CJ38" s="903"/>
      <c r="CK38" s="903"/>
      <c r="CL38" s="903"/>
      <c r="CM38" s="903"/>
      <c r="CN38" s="903"/>
      <c r="CO38" s="903"/>
      <c r="CP38" s="903"/>
      <c r="CQ38" s="903"/>
      <c r="CR38" s="903"/>
      <c r="CS38" s="903"/>
      <c r="CT38" s="5"/>
      <c r="CU38" s="5"/>
      <c r="CV38" s="5"/>
      <c r="CW38" s="3"/>
      <c r="CX38" s="3"/>
      <c r="CY38" s="3"/>
      <c r="CZ38" s="3"/>
      <c r="DA38" s="3"/>
      <c r="DB38" s="3"/>
      <c r="DC38" s="3"/>
      <c r="DD38" s="3"/>
      <c r="DE38" s="4"/>
      <c r="DF38" s="4"/>
      <c r="DG38" s="4"/>
      <c r="DH38" s="4"/>
    </row>
    <row r="39" spans="1:145">
      <c r="E39" s="1108"/>
      <c r="BN39" s="889"/>
      <c r="BO39" s="889"/>
      <c r="BP39" s="889"/>
      <c r="BQ39" s="889"/>
      <c r="BR39" s="889"/>
      <c r="BS39" s="889"/>
      <c r="BT39" s="889"/>
      <c r="BU39" s="889"/>
      <c r="BV39" s="889"/>
      <c r="BW39" s="889"/>
      <c r="BX39" s="889"/>
      <c r="BY39" s="889"/>
      <c r="BZ39" s="889"/>
      <c r="CA39" s="889"/>
      <c r="CB39" s="889"/>
      <c r="CC39" s="889"/>
      <c r="CD39" s="889"/>
      <c r="CE39" s="889"/>
      <c r="CF39" s="889"/>
      <c r="CG39" s="889"/>
      <c r="CH39" s="889"/>
      <c r="CI39" s="889"/>
      <c r="CJ39" s="889"/>
      <c r="CK39" s="889"/>
      <c r="CL39" s="889"/>
      <c r="CM39" s="889"/>
      <c r="CN39" s="889"/>
      <c r="CO39" s="889"/>
      <c r="CP39" s="889"/>
      <c r="CQ39" s="889"/>
      <c r="CR39" s="889"/>
      <c r="CS39" s="889"/>
    </row>
    <row r="40" spans="1:145">
      <c r="E40" s="847" t="str">
        <f>Income!C12</f>
        <v>Subscription Solutions CoR</v>
      </c>
      <c r="F40" s="1010">
        <f ca="1">-OFFSET(Income!$C$6,MATCH(Charts!$E40,Income!$C$6:$C$122,0)-1,MATCH(Charts!F$3,Income!$C$5:$ET$5,0)-1)</f>
        <v>8.2319999999999993</v>
      </c>
      <c r="G40" s="1010">
        <f ca="1">-OFFSET(Income!$C$6,MATCH(Charts!$E40,Income!$C$6:$C$122,0)-1,MATCH(Charts!G$3,Income!$C$5:$ET$5,0)-1)</f>
        <v>9.0980000000000008</v>
      </c>
      <c r="H40" s="1010">
        <f ca="1">-OFFSET(Income!$C$6,MATCH(Charts!$E40,Income!$C$6:$C$122,0)-1,MATCH(Charts!H$3,Income!$C$5:$ET$5,0)-1)</f>
        <v>10.555</v>
      </c>
      <c r="I40" s="1010">
        <f ca="1">-OFFSET(Income!$C$6,MATCH(Charts!$E40,Income!$C$6:$C$122,0)-1,MATCH(Charts!I$3,Income!$C$5:$ET$5,0)-1)</f>
        <v>11.593</v>
      </c>
      <c r="J40" s="1010">
        <f ca="1">-OFFSET(Income!$C$6,MATCH(Charts!$E40,Income!$C$6:$C$122,0)-1,MATCH(Charts!J$3,Income!$C$5:$ET$5,0)-1)</f>
        <v>12.254</v>
      </c>
      <c r="K40" s="1010">
        <f ca="1">-OFFSET(Income!$C$6,MATCH(Charts!$E40,Income!$C$6:$C$122,0)-1,MATCH(Charts!K$3,Income!$C$5:$ET$5,0)-1)</f>
        <v>13.688000000000001</v>
      </c>
      <c r="L40" s="1010">
        <f ca="1">-OFFSET(Income!$C$6,MATCH(Charts!$E40,Income!$C$6:$C$122,0)-1,MATCH(Charts!L$3,Income!$C$5:$ET$5,0)-1)</f>
        <v>15.458</v>
      </c>
      <c r="M40" s="1010">
        <f ca="1">-OFFSET(Income!$C$6,MATCH(Charts!$E40,Income!$C$6:$C$122,0)-1,MATCH(Charts!M$3,Income!$C$5:$ET$5,0)-1)</f>
        <v>19.867000000000001</v>
      </c>
      <c r="N40" s="1010">
        <f ca="1">-OFFSET(Income!$C$6,MATCH(Charts!$E40,Income!$C$6:$C$122,0)-1,MATCH(Charts!N$3,Income!$C$5:$ET$5,0)-1)</f>
        <v>23.16</v>
      </c>
      <c r="O40" s="1010">
        <f ca="1">-OFFSET(Income!$C$6,MATCH(Charts!$E40,Income!$C$6:$C$122,0)-1,MATCH(Charts!O$3,Income!$C$5:$ET$5,0)-1)</f>
        <v>24.524000000000001</v>
      </c>
      <c r="P40" s="1010">
        <f ca="1">-OFFSET(Income!$C$6,MATCH(Charts!$E40,Income!$C$6:$C$122,0)-1,MATCH(Charts!P$3,Income!$C$5:$ET$5,0)-1)</f>
        <v>26.6</v>
      </c>
      <c r="Q40" s="1010">
        <f ca="1">-OFFSET(Income!$C$6,MATCH(Charts!$E40,Income!$C$6:$C$122,0)-1,MATCH(Charts!Q$3,Income!$C$5:$ET$5,0)-1)</f>
        <v>26.706</v>
      </c>
      <c r="R40" s="1010">
        <f ca="1">-OFFSET(Income!$C$6,MATCH(Charts!$E40,Income!$C$6:$C$122,0)-1,MATCH(Charts!R$3,Income!$C$5:$ET$5,0)-1)</f>
        <v>27.984999999999999</v>
      </c>
      <c r="S40" s="1010">
        <f ca="1">-OFFSET(Income!$C$6,MATCH(Charts!$E40,Income!$C$6:$C$122,0)-1,MATCH(Charts!S$3,Income!$C$5:$ET$5,0)-1)</f>
        <v>29.538</v>
      </c>
      <c r="T40" s="1010">
        <f ca="1">-OFFSET(Income!$C$6,MATCH(Charts!$E40,Income!$C$6:$C$122,0)-1,MATCH(Charts!T$3,Income!$C$5:$ET$5,0)-1)</f>
        <v>33.262999999999998</v>
      </c>
      <c r="U40" s="1010">
        <f ca="1">-OFFSET(Income!$C$6,MATCH(Charts!$E40,Income!$C$6:$C$122,0)-1,MATCH(Charts!U$3,Income!$C$5:$ET$5,0)-1)</f>
        <v>37.369</v>
      </c>
      <c r="V40" s="1010">
        <f ca="1">-OFFSET(Income!$C$6,MATCH(Charts!$E40,Income!$C$6:$C$122,0)-1,MATCH(Charts!V$3,Income!$C$5:$ET$5,0)-1)</f>
        <v>37.712000000000003</v>
      </c>
      <c r="W40" s="1010">
        <f ca="1">-OFFSET(Income!$C$6,MATCH(Charts!$E40,Income!$C$6:$C$122,0)-1,MATCH(Charts!W$3,Income!$C$5:$ET$5,0)-1)</f>
        <v>44.4</v>
      </c>
      <c r="X40" s="1010">
        <f ca="1">-OFFSET(Income!$C$6,MATCH(Charts!$E40,Income!$C$6:$C$122,0)-1,MATCH(Charts!X$3,Income!$C$5:$ET$5,0)-1)</f>
        <v>52.17</v>
      </c>
      <c r="Y40" s="1010">
        <f ca="1">-OFFSET(Income!$C$6,MATCH(Charts!$E40,Income!$C$6:$C$122,0)-1,MATCH(Charts!Y$3,Income!$C$5:$ET$5,0)-1)</f>
        <v>59.25</v>
      </c>
      <c r="Z40" s="1010">
        <f ca="1">-OFFSET(Income!$C$6,MATCH(Charts!$E40,Income!$C$6:$C$122,0)-1,MATCH(Charts!Z$3,Income!$C$5:$ET$5,0)-1)</f>
        <v>58.381999999999998</v>
      </c>
      <c r="AA40" s="1010">
        <f ca="1">-OFFSET(Income!$C$6,MATCH(Charts!$E40,Income!$C$6:$C$122,0)-1,MATCH(Charts!AA$3,Income!$C$5:$ET$5,0)-1)</f>
        <v>63.027000000000001</v>
      </c>
      <c r="AB40" s="1010">
        <f ca="1">-OFFSET(Income!$C$6,MATCH(Charts!$E40,Income!$C$6:$C$122,0)-1,MATCH(Charts!AB$3,Income!$C$5:$ET$5,0)-1)</f>
        <v>67.355000000000004</v>
      </c>
      <c r="AC40" s="1010">
        <f ca="1">-OFFSET(Income!$C$6,MATCH(Charts!$E40,Income!$C$6:$C$122,0)-1,MATCH(Charts!AC$3,Income!$C$5:$ET$5,0)-1)</f>
        <v>75.587000000000003</v>
      </c>
      <c r="AD40" s="1010">
        <f ca="1">-OFFSET(Income!$C$6,MATCH(Charts!$E40,Income!$C$6:$C$122,0)-1,MATCH(Charts!AD$3,Income!$C$5:$ET$5,0)-1)</f>
        <v>77.545000000000002</v>
      </c>
      <c r="AE40" s="1010">
        <f ca="1">-OFFSET(Income!$C$6,MATCH(Charts!$E40,Income!$C$6:$C$122,0)-1,MATCH(Charts!AE$3,Income!$C$5:$ET$5,0)-1)</f>
        <v>85.238</v>
      </c>
      <c r="AF40" s="1010">
        <f ca="1">-OFFSET(Income!$C$6,MATCH(Charts!$E40,Income!$C$6:$C$122,0)-1,MATCH(Charts!AF$3,Income!$C$5:$ET$5,0)-1)</f>
        <v>82.313000000000002</v>
      </c>
      <c r="AG40" s="1010">
        <f ca="1">-OFFSET(Income!$C$6,MATCH(Charts!$E40,Income!$C$6:$C$122,0)-1,MATCH(Charts!AG$3,Income!$C$5:$ET$5,0)-1)</f>
        <v>85.771000000000001</v>
      </c>
      <c r="AH40" s="1010">
        <f ca="1">-OFFSET(Income!$C$6,MATCH(Charts!$E40,Income!$C$6:$C$122,0)-1,MATCH(Charts!AH$3,Income!$C$5:$ET$5,0)-1)</f>
        <v>84</v>
      </c>
      <c r="AI40" s="1010">
        <f ca="1">-OFFSET(Income!$C$6,MATCH(Charts!$E40,Income!$C$6:$C$122,0)-1,MATCH(Charts!AI$3,Income!$C$5:$ET$5,0)-1)</f>
        <v>85</v>
      </c>
      <c r="AJ40" s="1010">
        <f ca="1">-OFFSET(Income!$C$6,MATCH(Charts!$E40,Income!$C$6:$C$122,0)-1,MATCH(Charts!AJ$3,Income!$C$5:$ET$5,0)-1)</f>
        <v>88</v>
      </c>
      <c r="AK40" s="1010">
        <f ca="1">-OFFSET(Income!$C$6,MATCH(Charts!$E40,Income!$C$6:$C$122,0)-1,MATCH(Charts!AK$3,Income!$C$5:$ET$5,0)-1)</f>
        <v>97</v>
      </c>
      <c r="AL40" s="1010">
        <f ca="1">-OFFSET(Income!$C$6,MATCH(Charts!$E40,Income!$C$6:$C$122,0)-1,MATCH(Charts!AL$3,Income!$C$5:$ET$5,0)-1)</f>
        <v>95</v>
      </c>
      <c r="AM40" s="1010">
        <f ca="1">-OFFSET(Income!$C$6,MATCH(Charts!$E40,Income!$C$6:$C$122,0)-1,MATCH(Charts!AM$3,Income!$C$5:$ET$5,0)-1)</f>
        <v>97</v>
      </c>
      <c r="AN40" s="1010"/>
      <c r="AO40" s="1010">
        <f ca="1">-OFFSET(Income!$C$6,MATCH(Charts!$E40,Income!$C$6:$C$122,0)-1,MATCH(Charts!AO$3,Income!$C$5:$ET$5,0)-1)</f>
        <v>134</v>
      </c>
      <c r="AP40" s="1010">
        <f ca="1">-OFFSET(Income!$C$6,MATCH(Charts!$E40,Income!$C$6:$C$122,0)-1,MATCH(Charts!AP$3,Income!$C$5:$ET$5,0)-1)</f>
        <v>123</v>
      </c>
      <c r="AQ40" s="1010">
        <f ca="1">-OFFSET(Income!$C$6,MATCH(Charts!$E40,Income!$C$6:$C$122,0)-1,MATCH(Charts!AQ$3,Income!$C$5:$ET$5,0)-1)</f>
        <v>121</v>
      </c>
      <c r="AR40" s="1010">
        <f ca="1">-OFFSET(Income!$C$6,MATCH(Charts!$E40,Income!$C$6:$C$122,0)-1,MATCH(Charts!AR$3,Income!$C$5:$ET$5,0)-1)</f>
        <v>128</v>
      </c>
      <c r="AS40" s="1010">
        <f ca="1">-OFFSET(Income!$C$6,MATCH(Charts!$E40,Income!$C$6:$C$122,0)-1,MATCH(Charts!AS$3,Income!$C$5:$ET$5,0)-1)</f>
        <v>148</v>
      </c>
      <c r="AT40" s="1010">
        <f ca="1">-OFFSET(Income!$C$6,MATCH(Charts!$E40,Income!$C$6:$C$122,0)-1,MATCH(Charts!AT$3,Income!$C$5:$ET$5,0)-1)</f>
        <v>148</v>
      </c>
      <c r="AU40" s="1010">
        <f ca="1">-OFFSET(Income!$C$6,MATCH(Charts!$E40,Income!$C$6:$C$122,0)-1,MATCH(Charts!AU$3,Income!$C$5:$ET$5,0)-1)</f>
        <v>163</v>
      </c>
      <c r="AV40" s="1010">
        <f ca="1">-OFFSET(Income!$C$6,MATCH(Charts!$E40,Income!$C$6:$C$122,0)-1,MATCH(Charts!AV$3,Income!$C$5:$ET$5,0)-1)</f>
        <v>158.88568129056324</v>
      </c>
      <c r="AW40" s="1010">
        <f ca="1">-OFFSET(Income!$C$6,MATCH(Charts!$E40,Income!$C$6:$C$122,0)-1,MATCH(Charts!AW$3,Income!$C$5:$ET$5,0)-1)</f>
        <v>179.56195446259122</v>
      </c>
      <c r="AX40" s="1010">
        <f ca="1">-OFFSET(Income!$C$6,MATCH(Charts!$E40,Income!$C$6:$C$122,0)-1,MATCH(Charts!AX$3,Income!$C$5:$ET$5,0)-1)</f>
        <v>178.71860829240629</v>
      </c>
      <c r="AY40" s="1010">
        <f ca="1">-OFFSET(Income!$C$6,MATCH(Charts!$E40,Income!$C$6:$C$122,0)-1,MATCH(Charts!AY$3,Income!$C$5:$ET$5,0)-1)</f>
        <v>197.26583568231342</v>
      </c>
      <c r="AZ40" s="1010">
        <f ca="1">-OFFSET(Income!$C$6,MATCH(Charts!$E40,Income!$C$6:$C$122,0)-1,MATCH(Charts!AZ$3,Income!$C$5:$ET$5,0)-1)</f>
        <v>192.38157446168844</v>
      </c>
      <c r="BA40" s="1010">
        <f ca="1">-OFFSET(Income!$C$6,MATCH(Charts!$E40,Income!$C$6:$C$122,0)-1,MATCH(Charts!BA$3,Income!$C$5:$ET$5,0)-1)</f>
        <v>217.37187913418853</v>
      </c>
      <c r="BB40" s="1010">
        <f ca="1">-OFFSET(Income!$C$6,MATCH(Charts!$E40,Income!$C$6:$C$122,0)-1,MATCH(Charts!BB$3,Income!$C$5:$ET$5,0)-1)</f>
        <v>213.2504312353729</v>
      </c>
      <c r="BC40" s="1010">
        <f ca="1">-OFFSET(Income!$C$6,MATCH(Charts!$E40,Income!$C$6:$C$122,0)-1,MATCH(Charts!BC$3,Income!$C$5:$ET$5,0)-1)</f>
        <v>234.20766627567852</v>
      </c>
      <c r="BD40" s="1010">
        <f ca="1">-OFFSET(Income!$C$6,MATCH(Charts!$E40,Income!$C$6:$C$122,0)-1,MATCH(Charts!BD$3,Income!$C$5:$ET$5,0)-1)</f>
        <v>227.41106569347872</v>
      </c>
      <c r="BE40" s="1010">
        <f ca="1">-OFFSET(Income!$C$6,MATCH(Charts!$E40,Income!$C$6:$C$122,0)-1,MATCH(Charts!BE$3,Income!$C$5:$ET$5,0)-1)</f>
        <v>255.65211132292461</v>
      </c>
      <c r="BF40" s="1010">
        <f ca="1">-OFFSET(Income!$C$6,MATCH(Charts!$E40,Income!$C$6:$C$122,0)-1,MATCH(Charts!BF$3,Income!$C$5:$ET$5,0)-1)</f>
        <v>250.76048937176068</v>
      </c>
      <c r="BG40" s="1010">
        <f ca="1">-OFFSET(Income!$C$6,MATCH(Charts!$E40,Income!$C$6:$C$122,0)-1,MATCH(Charts!BG$3,Income!$C$5:$ET$5,0)-1)</f>
        <v>275.36789712879954</v>
      </c>
      <c r="BH40" s="1010">
        <f ca="1">-OFFSET(Income!$C$6,MATCH(Charts!$E40,Income!$C$6:$C$122,0)-1,MATCH(Charts!BH$3,Income!$C$5:$ET$5,0)-1)</f>
        <v>267.50621862618868</v>
      </c>
      <c r="BI40" s="1010">
        <f ca="1">-OFFSET(Income!$C$6,MATCH(Charts!$E40,Income!$C$6:$C$122,0)-1,MATCH(Charts!BI$3,Income!$C$5:$ET$5,0)-1)</f>
        <v>300.66568534900142</v>
      </c>
      <c r="BJ40" s="1010">
        <f ca="1">-OFFSET(Income!$C$6,MATCH(Charts!$E40,Income!$C$6:$C$122,0)-1,MATCH(Charts!BJ$3,Income!$C$5:$ET$5,0)-1)</f>
        <v>294.86113422549062</v>
      </c>
      <c r="BK40" s="1010">
        <f ca="1">-OFFSET(Income!$C$6,MATCH(Charts!$E40,Income!$C$6:$C$122,0)-1,MATCH(Charts!BK$3,Income!$C$5:$ET$5,0)-1)</f>
        <v>323.75411658034909</v>
      </c>
      <c r="BL40" s="1010">
        <f ca="1">-OFFSET(Income!$C$6,MATCH(Charts!$E40,Income!$C$6:$C$122,0)-1,MATCH(Charts!BL$3,Income!$C$5:$ET$5,0)-1)</f>
        <v>314.66166296122208</v>
      </c>
      <c r="BM40" s="1010">
        <f ca="1">-OFFSET(Income!$C$6,MATCH(Charts!$E40,Income!$C$6:$C$122,0)-1,MATCH(Charts!BM$3,Income!$C$5:$ET$5,0)-1)</f>
        <v>353.59565746776508</v>
      </c>
      <c r="BN40" s="889"/>
      <c r="BO40" s="889"/>
      <c r="BP40" s="889"/>
      <c r="BQ40" s="889"/>
      <c r="BR40" s="889"/>
      <c r="BS40" s="889"/>
      <c r="BT40" s="889"/>
      <c r="BU40" s="889"/>
      <c r="BV40" s="889"/>
      <c r="BW40" s="889"/>
      <c r="BX40" s="889"/>
      <c r="BY40" s="889"/>
      <c r="BZ40" s="889"/>
      <c r="CA40" s="889"/>
      <c r="CB40" s="889"/>
      <c r="CC40" s="889"/>
      <c r="CD40" s="889"/>
      <c r="CE40" s="889"/>
      <c r="CF40" s="889"/>
      <c r="CG40" s="889"/>
      <c r="CH40" s="889"/>
      <c r="CI40" s="889"/>
      <c r="CJ40" s="889"/>
      <c r="CK40" s="889"/>
      <c r="CL40" s="889"/>
      <c r="CM40" s="889"/>
      <c r="CN40" s="889"/>
      <c r="CO40" s="889"/>
      <c r="CP40" s="889"/>
      <c r="CQ40" s="889"/>
      <c r="CR40" s="889"/>
      <c r="CS40" s="889" t="str">
        <f t="shared" ref="CS40:CS45" si="57">E40</f>
        <v>Subscription Solutions CoR</v>
      </c>
      <c r="CT40" s="1010">
        <f ca="1">-OFFSET(Income!$C$6,MATCH(Charts!$E40,Income!$C$6:$C$122,0)-1,MATCH(Charts!CT$4,Income!$C$4:$ET$4,0)-1)</f>
        <v>39.477999999999994</v>
      </c>
      <c r="CU40" s="1010">
        <f ca="1">-OFFSET(Income!$C$6,MATCH(Charts!$E40,Income!$C$6:$C$122,0)-1,MATCH(Charts!CU$4,Income!$C$4:$ET$4,0)-1)</f>
        <v>61.266999999999996</v>
      </c>
      <c r="CV40" s="1010">
        <f ca="1">-OFFSET(Income!$C$6,MATCH(Charts!$E40,Income!$C$6:$C$122,0)-1,MATCH(Charts!CV$4,Income!$C$4:$ET$4,0)-1)</f>
        <v>100.99</v>
      </c>
      <c r="CW40" s="1010">
        <f ca="1">-OFFSET(Income!$C$6,MATCH(Charts!$E40,Income!$C$6:$C$122,0)-1,MATCH(Charts!CW$4,Income!$C$4:$ET$4,0)-1)</f>
        <v>128.155</v>
      </c>
      <c r="CX40" s="1010">
        <f ca="1">-OFFSET(Income!$C$6,MATCH(Charts!$E40,Income!$C$6:$C$122,0)-1,MATCH(Charts!CX$4,Income!$C$4:$ET$4,0)-1)</f>
        <v>193.53199999999998</v>
      </c>
      <c r="CY40" s="1010">
        <f ca="1">-OFFSET(Income!$C$6,MATCH(Charts!$E40,Income!$C$6:$C$122,0)-1,MATCH(Charts!CY$4,Income!$C$4:$ET$4,0)-1)</f>
        <v>264.351</v>
      </c>
      <c r="CZ40" s="1010">
        <f ca="1">-OFFSET(Income!$C$6,MATCH(Charts!$E40,Income!$C$6:$C$122,0)-1,MATCH(Charts!CZ$4,Income!$C$4:$ET$4,0)-1)</f>
        <v>330.86700000000002</v>
      </c>
      <c r="DA40" s="1010">
        <f ca="1">-OFFSET(Income!$C$6,MATCH(Charts!$E40,Income!$C$6:$C$122,0)-1,MATCH(Charts!DA$4,Income!$C$4:$ET$4,0)-1)</f>
        <v>354</v>
      </c>
      <c r="DB40" s="1010">
        <f ca="1">-OFFSET(Income!$C$6,MATCH(Charts!$E40,Income!$C$6:$C$122,0)-1,MATCH(Charts!DB$4,Income!$C$4:$ET$4,0)-1)</f>
        <v>434</v>
      </c>
      <c r="DC40" s="1010" t="e">
        <f ca="1">-OFFSET(Income!$C$6,MATCH(Charts!$E40,Income!$C$6:$C$122,0)-1,MATCH(Charts!DC$4,Income!$C$4:$ET$4,0)-1)</f>
        <v>#N/A</v>
      </c>
      <c r="DD40" s="1010">
        <f ca="1">-OFFSET(Income!$C$6,MATCH(Charts!$E40,Income!$C$6:$C$122,0)-1,MATCH(Charts!DD$4,Income!$C$4:$ET$4,0)-1)</f>
        <v>649.44763575315449</v>
      </c>
      <c r="DE40" s="1010">
        <f ca="1">-OFFSET(Income!$C$6,MATCH(Charts!$E40,Income!$C$6:$C$122,0)-1,MATCH(Charts!DE$4,Income!$C$4:$ET$4,0)-1)</f>
        <v>785.73789757059672</v>
      </c>
      <c r="DF40" s="1010">
        <f ca="1">-OFFSET(Income!$C$6,MATCH(Charts!$E40,Income!$C$6:$C$122,0)-1,MATCH(Charts!DF$4,Income!$C$4:$ET$4,0)-1)</f>
        <v>930.52127452745469</v>
      </c>
      <c r="DG40" s="1010">
        <f ca="1">-OFFSET(Income!$C$6,MATCH(Charts!$E40,Income!$C$6:$C$122,0)-1,MATCH(Charts!DG$4,Income!$C$4:$ET$4,0)-1)</f>
        <v>1094.3002904757504</v>
      </c>
      <c r="DH40" s="1010">
        <f ca="1">-OFFSET(Income!$C$6,MATCH(Charts!$E40,Income!$C$6:$C$122,0)-1,MATCH(Charts!DH$4,Income!$C$4:$ET$4,0)-1)</f>
        <v>1286.8725712348269</v>
      </c>
    </row>
    <row r="41" spans="1:145">
      <c r="E41" s="669" t="str">
        <f>Income!C13</f>
        <v>% of subscription revenue</v>
      </c>
      <c r="F41" s="1008">
        <f ca="1">OFFSET(Income!$C$6,MATCH(Charts!$E40,Income!$C$6:$C$122,0)+0,MATCH(Charts!F$3,Income!$C$5:$ET$5,0)-1)</f>
        <v>0.21268020461943882</v>
      </c>
      <c r="G41" s="1008">
        <f ca="1">OFFSET(Income!$C$6,MATCH(Charts!$E40,Income!$C$6:$C$122,0)+0,MATCH(Charts!G$3,Income!$C$5:$ET$5,0)-1)</f>
        <v>0.20831616064477723</v>
      </c>
      <c r="H41" s="1008">
        <f ca="1">OFFSET(Income!$C$6,MATCH(Charts!$E40,Income!$C$6:$C$122,0)+0,MATCH(Charts!H$3,Income!$C$5:$ET$5,0)-1)</f>
        <v>0.21178193783984431</v>
      </c>
      <c r="I41" s="1008">
        <f ca="1">OFFSET(Income!$C$6,MATCH(Charts!$E40,Income!$C$6:$C$122,0)+0,MATCH(Charts!I$3,Income!$C$5:$ET$5,0)-1)</f>
        <v>0.20559703477751964</v>
      </c>
      <c r="J41" s="1008">
        <f ca="1">OFFSET(Income!$C$6,MATCH(Charts!$E40,Income!$C$6:$C$122,0)+0,MATCH(Charts!J$3,Income!$C$5:$ET$5,0)-1)</f>
        <v>0.19739046391752577</v>
      </c>
      <c r="K41" s="1008">
        <f ca="1">OFFSET(Income!$C$6,MATCH(Charts!$E40,Income!$C$6:$C$122,0)+0,MATCH(Charts!K$3,Income!$C$5:$ET$5,0)-1)</f>
        <v>0.19117852453979162</v>
      </c>
      <c r="L41" s="1008">
        <f ca="1">OFFSET(Income!$C$6,MATCH(Charts!$E40,Income!$C$6:$C$122,0)+0,MATCH(Charts!L$3,Income!$C$5:$ET$5,0)-1)</f>
        <v>0.18751743798143991</v>
      </c>
      <c r="M41" s="1008">
        <f ca="1">OFFSET(Income!$C$6,MATCH(Charts!$E40,Income!$C$6:$C$122,0)+0,MATCH(Charts!M$3,Income!$C$5:$ET$5,0)-1)</f>
        <v>0.21153559488064055</v>
      </c>
      <c r="N41" s="1008">
        <f ca="1">OFFSET(Income!$C$6,MATCH(Charts!$E40,Income!$C$6:$C$122,0)+0,MATCH(Charts!N$3,Income!$C$5:$ET$5,0)-1)</f>
        <v>0.23114233817042257</v>
      </c>
      <c r="O41" s="1008">
        <f ca="1">OFFSET(Income!$C$6,MATCH(Charts!$E40,Income!$C$6:$C$122,0)+0,MATCH(Charts!O$3,Income!$C$5:$ET$5,0)-1)</f>
        <v>0.22149366425520001</v>
      </c>
      <c r="P41" s="1008">
        <f ca="1">OFFSET(Income!$C$6,MATCH(Charts!$E40,Income!$C$6:$C$122,0)+0,MATCH(Charts!P$3,Income!$C$5:$ET$5,0)-1)</f>
        <v>0.22071574964527829</v>
      </c>
      <c r="Q41" s="1008">
        <f ca="1">OFFSET(Income!$C$6,MATCH(Charts!$E40,Income!$C$6:$C$122,0)+0,MATCH(Charts!Q$3,Income!$C$5:$ET$5,0)-1)</f>
        <v>0.19995507637017071</v>
      </c>
      <c r="R41" s="1008">
        <f ca="1">OFFSET(Income!$C$6,MATCH(Charts!$E40,Income!$C$6:$C$122,0)+0,MATCH(Charts!R$3,Income!$C$5:$ET$5,0)-1)</f>
        <v>0.19925098432905428</v>
      </c>
      <c r="S41" s="1008">
        <f ca="1">OFFSET(Income!$C$6,MATCH(Charts!$E40,Income!$C$6:$C$122,0)+0,MATCH(Charts!S$3,Income!$C$5:$ET$5,0)-1)</f>
        <v>0.19299953609022066</v>
      </c>
      <c r="T41" s="1008">
        <f ca="1">OFFSET(Income!$C$6,MATCH(Charts!$E40,Income!$C$6:$C$122,0)+0,MATCH(Charts!T$3,Income!$C$5:$ET$5,0)-1)</f>
        <v>0.20089142815729236</v>
      </c>
      <c r="U41" s="1008">
        <f ca="1">OFFSET(Income!$C$6,MATCH(Charts!$E40,Income!$C$6:$C$122,0)+0,MATCH(Charts!U$3,Income!$C$5:$ET$5,0)-1)</f>
        <v>0.20401712108142342</v>
      </c>
      <c r="V41" s="1008">
        <f ca="1">OFFSET(Income!$C$6,MATCH(Charts!$E40,Income!$C$6:$C$122,0)+0,MATCH(Charts!V$3,Income!$C$5:$ET$5,0)-1)</f>
        <v>0.20101381063808241</v>
      </c>
      <c r="W41" s="1008">
        <f ca="1">OFFSET(Income!$C$6,MATCH(Charts!$E40,Income!$C$6:$C$122,0)+0,MATCH(Charts!W$3,Income!$C$5:$ET$5,0)-1)</f>
        <v>0.22603011698585784</v>
      </c>
      <c r="X41" s="1008">
        <f ca="1">OFFSET(Income!$C$6,MATCH(Charts!$E40,Income!$C$6:$C$122,0)+0,MATCH(Charts!X$3,Income!$C$5:$ET$5,0)-1)</f>
        <v>0.21270089777147191</v>
      </c>
      <c r="Y41" s="1008">
        <f ca="1">OFFSET(Income!$C$6,MATCH(Charts!$E40,Income!$C$6:$C$122,0)+0,MATCH(Charts!Y$3,Income!$C$5:$ET$5,0)-1)</f>
        <v>0.21203120526767821</v>
      </c>
      <c r="Z41" s="1008">
        <f ca="1">OFFSET(Income!$C$6,MATCH(Charts!$E40,Income!$C$6:$C$122,0)+0,MATCH(Charts!Z$3,Income!$C$5:$ET$5,0)-1)</f>
        <v>0.18205631141227577</v>
      </c>
      <c r="AA41" s="1008">
        <f ca="1">OFFSET(Income!$C$6,MATCH(Charts!$E40,Income!$C$6:$C$122,0)+0,MATCH(Charts!AA$3,Income!$C$5:$ET$5,0)-1)</f>
        <v>0.18856978730661175</v>
      </c>
      <c r="AB41" s="1008">
        <f ca="1">OFFSET(Income!$C$6,MATCH(Charts!$E40,Income!$C$6:$C$122,0)+0,MATCH(Charts!AB$3,Income!$C$5:$ET$5,0)-1)</f>
        <v>0.20033729120068527</v>
      </c>
      <c r="AC41" s="1008">
        <f ca="1">OFFSET(Income!$C$6,MATCH(Charts!$E40,Income!$C$6:$C$122,0)+0,MATCH(Charts!AC$3,Income!$C$5:$ET$5,0)-1)</f>
        <v>0.21522004054577343</v>
      </c>
      <c r="AD41" s="1008">
        <f ca="1">OFFSET(Income!$C$6,MATCH(Charts!$E40,Income!$C$6:$C$122,0)+0,MATCH(Charts!AD$3,Income!$C$5:$ET$5,0)-1)</f>
        <v>0.22492393281142586</v>
      </c>
      <c r="AE41" s="1008">
        <f ca="1">OFFSET(Income!$C$6,MATCH(Charts!$E40,Income!$C$6:$C$122,0)+0,MATCH(Charts!AE$3,Income!$C$5:$ET$5,0)-1)</f>
        <v>0.23260916431750642</v>
      </c>
      <c r="AF41" s="1008">
        <f ca="1">OFFSET(Income!$C$6,MATCH(Charts!$E40,Income!$C$6:$C$122,0)+0,MATCH(Charts!AF$3,Income!$C$5:$ET$5,0)-1)</f>
        <v>0.21874244288481828</v>
      </c>
      <c r="AG41" s="1008">
        <f ca="1">OFFSET(Income!$C$6,MATCH(Charts!$E40,Income!$C$6:$C$122,0)+0,MATCH(Charts!AG$3,Income!$C$5:$ET$5,0)-1)</f>
        <v>0.21429142494515982</v>
      </c>
      <c r="AH41" s="1008">
        <f ca="1">OFFSET(Income!$C$6,MATCH(Charts!$E40,Income!$C$6:$C$122,0)+0,MATCH(Charts!AH$3,Income!$C$5:$ET$5,0)-1)</f>
        <v>0.21989528795811519</v>
      </c>
      <c r="AI41" s="1008">
        <f ca="1">OFFSET(Income!$C$6,MATCH(Charts!$E40,Income!$C$6:$C$122,0)+0,MATCH(Charts!AI$3,Income!$C$5:$ET$5,0)-1)</f>
        <v>0.19144144144144143</v>
      </c>
      <c r="AJ41" s="1008">
        <f ca="1">OFFSET(Income!$C$6,MATCH(Charts!$E40,Income!$C$6:$C$122,0)+0,MATCH(Charts!AJ$3,Income!$C$5:$ET$5,0)-1)</f>
        <v>0.18106995884773663</v>
      </c>
      <c r="AK41" s="1008">
        <f ca="1">OFFSET(Income!$C$6,MATCH(Charts!$E40,Income!$C$6:$C$122,0)+0,MATCH(Charts!AK$3,Income!$C$5:$ET$5,0)-1)</f>
        <v>0.18476190476190477</v>
      </c>
      <c r="AL41" s="1008">
        <f ca="1">OFFSET(Income!$C$6,MATCH(Charts!$E40,Income!$C$6:$C$122,0)+0,MATCH(Charts!AL$3,Income!$C$5:$ET$5,0)-1)</f>
        <v>0.18590998043052837</v>
      </c>
      <c r="AM41" s="1008">
        <f ca="1">OFFSET(Income!$C$6,MATCH(Charts!$E40,Income!$C$6:$C$122,0)+0,MATCH(Charts!AM$3,Income!$C$5:$ET$5,0)-1)</f>
        <v>0.17229129662522202</v>
      </c>
      <c r="AN41" s="1008">
        <f ca="1">OFFSET(Income!$C$6,MATCH(Charts!$E40,Income!$C$6:$C$122,0)+0,MATCH(Charts!AN$3,Income!$C$5:$ET$5,0)-1)</f>
        <v>0.17704918032786884</v>
      </c>
      <c r="AO41" s="1008">
        <f ca="1">OFFSET(Income!$C$6,MATCH(Charts!$E40,Income!$C$6:$C$122,0)+0,MATCH(Charts!AO$3,Income!$C$5:$ET$5,0)-1)</f>
        <v>0.20120120120120119</v>
      </c>
      <c r="AP41" s="1008">
        <f ca="1">OFFSET(Income!$C$6,MATCH(Charts!$E40,Income!$C$6:$C$122,0)+0,MATCH(Charts!AP$3,Income!$C$5:$ET$5,0)-1)</f>
        <v>0.19838709677419356</v>
      </c>
      <c r="AQ41" s="1008">
        <f ca="1">OFFSET(Income!$C$6,MATCH(Charts!$E40,Income!$C$6:$C$122,0)+0,MATCH(Charts!AQ$3,Income!$C$5:$ET$5,0)-1)</f>
        <v>0.18445121951219512</v>
      </c>
      <c r="AR41" s="1008">
        <f ca="1">OFFSET(Income!$C$6,MATCH(Charts!$E40,Income!$C$6:$C$122,0)+0,MATCH(Charts!AR$3,Income!$C$5:$ET$5,0)-1)</f>
        <v>0.18311874105865522</v>
      </c>
      <c r="AS41" s="1008">
        <f ca="1">OFFSET(Income!$C$6,MATCH(Charts!$E40,Income!$C$6:$C$122,0)+0,MATCH(Charts!AS$3,Income!$C$5:$ET$5,0)-1)</f>
        <v>0.19047619047619047</v>
      </c>
      <c r="AT41" s="1008">
        <f ca="1">OFFSET(Income!$C$6,MATCH(Charts!$E40,Income!$C$6:$C$122,0)+0,MATCH(Charts!AT$3,Income!$C$5:$ET$5,0)-1)</f>
        <v>0.19733333333333333</v>
      </c>
      <c r="AU41" s="1008">
        <f ca="1">OFFSET(Income!$C$6,MATCH(Charts!$E40,Income!$C$6:$C$122,0)+0,MATCH(Charts!AU$3,Income!$C$5:$ET$5,0)-1)</f>
        <v>0.20324189526184538</v>
      </c>
      <c r="AV41" s="1008">
        <f ca="1">OFFSET(Income!$C$6,MATCH(Charts!$E40,Income!$C$6:$C$122,0)+0,MATCH(Charts!AV$3,Income!$C$5:$ET$5,0)-1)</f>
        <v>0.18461874105865522</v>
      </c>
      <c r="AW41" s="1008">
        <f ca="1">OFFSET(Income!$C$6,MATCH(Charts!$E40,Income!$C$6:$C$122,0)+0,MATCH(Charts!AW$3,Income!$C$5:$ET$5,0)-1)</f>
        <v>0.19197619047619047</v>
      </c>
      <c r="AX41" s="1008">
        <f ca="1">OFFSET(Income!$C$6,MATCH(Charts!$E40,Income!$C$6:$C$122,0)+0,MATCH(Charts!AX$3,Income!$C$5:$ET$5,0)-1)</f>
        <v>0.19883333333333333</v>
      </c>
      <c r="AY41" s="1008">
        <f ca="1">OFFSET(Income!$C$6,MATCH(Charts!$E40,Income!$C$6:$C$122,0)+0,MATCH(Charts!AY$3,Income!$C$5:$ET$5,0)-1)</f>
        <v>0.20424189526184539</v>
      </c>
      <c r="AZ41" s="1008">
        <f ca="1">OFFSET(Income!$C$6,MATCH(Charts!$E40,Income!$C$6:$C$122,0)+0,MATCH(Charts!AZ$3,Income!$C$5:$ET$5,0)-1)</f>
        <v>0.18561874105865522</v>
      </c>
      <c r="BA41" s="1008">
        <f ca="1">OFFSET(Income!$C$6,MATCH(Charts!$E40,Income!$C$6:$C$122,0)+0,MATCH(Charts!BA$3,Income!$C$5:$ET$5,0)-1)</f>
        <v>0.19297619047619047</v>
      </c>
      <c r="BB41" s="1008">
        <f ca="1">OFFSET(Income!$C$6,MATCH(Charts!$E40,Income!$C$6:$C$122,0)+0,MATCH(Charts!BB$3,Income!$C$5:$ET$5,0)-1)</f>
        <v>0.19983333333333334</v>
      </c>
      <c r="BC41" s="1008">
        <f ca="1">OFFSET(Income!$C$6,MATCH(Charts!$E40,Income!$C$6:$C$122,0)+0,MATCH(Charts!BC$3,Income!$C$5:$ET$5,0)-1)</f>
        <v>0.20524189526184539</v>
      </c>
      <c r="BD41" s="1008">
        <f ca="1">OFFSET(Income!$C$6,MATCH(Charts!$E40,Income!$C$6:$C$122,0)+0,MATCH(Charts!BD$3,Income!$C$5:$ET$5,0)-1)</f>
        <v>0.18661874105865522</v>
      </c>
      <c r="BE41" s="1008">
        <f ca="1">OFFSET(Income!$C$6,MATCH(Charts!$E40,Income!$C$6:$C$122,0)+0,MATCH(Charts!BE$3,Income!$C$5:$ET$5,0)-1)</f>
        <v>0.19397619047619047</v>
      </c>
      <c r="BF41" s="1008">
        <f ca="1">OFFSET(Income!$C$6,MATCH(Charts!$E40,Income!$C$6:$C$122,0)+0,MATCH(Charts!BF$3,Income!$C$5:$ET$5,0)-1)</f>
        <v>0.20083333333333334</v>
      </c>
      <c r="BG41" s="1008">
        <f ca="1">OFFSET(Income!$C$6,MATCH(Charts!$E40,Income!$C$6:$C$122,0)+0,MATCH(Charts!BG$3,Income!$C$5:$ET$5,0)-1)</f>
        <v>0.20624189526184539</v>
      </c>
      <c r="BH41" s="1008">
        <f ca="1">OFFSET(Income!$C$6,MATCH(Charts!$E40,Income!$C$6:$C$122,0)+0,MATCH(Charts!BH$3,Income!$C$5:$ET$5,0)-1)</f>
        <v>0.18761874105865523</v>
      </c>
      <c r="BI41" s="1008">
        <f ca="1">OFFSET(Income!$C$6,MATCH(Charts!$E40,Income!$C$6:$C$122,0)+0,MATCH(Charts!BI$3,Income!$C$5:$ET$5,0)-1)</f>
        <v>0.19497619047619047</v>
      </c>
      <c r="BJ41" s="1008">
        <f ca="1">OFFSET(Income!$C$6,MATCH(Charts!$E40,Income!$C$6:$C$122,0)+0,MATCH(Charts!BJ$3,Income!$C$5:$ET$5,0)-1)</f>
        <v>0.20183333333333334</v>
      </c>
      <c r="BK41" s="1008">
        <f ca="1">OFFSET(Income!$C$6,MATCH(Charts!$E40,Income!$C$6:$C$122,0)+0,MATCH(Charts!BK$3,Income!$C$5:$ET$5,0)-1)</f>
        <v>0.20724189526184539</v>
      </c>
      <c r="BL41" s="1008">
        <f ca="1">OFFSET(Income!$C$6,MATCH(Charts!$E40,Income!$C$6:$C$122,0)+0,MATCH(Charts!BL$3,Income!$C$5:$ET$5,0)-1)</f>
        <v>0.18861874105865523</v>
      </c>
      <c r="BM41" s="1008">
        <f ca="1">OFFSET(Income!$C$6,MATCH(Charts!$E40,Income!$C$6:$C$122,0)+0,MATCH(Charts!BM$3,Income!$C$5:$ET$5,0)-1)</f>
        <v>0.19597619047619047</v>
      </c>
      <c r="BN41" s="889"/>
      <c r="BO41" s="889"/>
      <c r="BP41" s="889"/>
      <c r="BQ41" s="889"/>
      <c r="BR41" s="889"/>
      <c r="BS41" s="889"/>
      <c r="BT41" s="889"/>
      <c r="BU41" s="889"/>
      <c r="BV41" s="889"/>
      <c r="BW41" s="889"/>
      <c r="BX41" s="889"/>
      <c r="BY41" s="889"/>
      <c r="BZ41" s="889"/>
      <c r="CA41" s="889"/>
      <c r="CB41" s="889"/>
      <c r="CC41" s="889"/>
      <c r="CD41" s="889"/>
      <c r="CE41" s="889"/>
      <c r="CF41" s="889"/>
      <c r="CG41" s="889"/>
      <c r="CH41" s="889"/>
      <c r="CI41" s="889"/>
      <c r="CJ41" s="889"/>
      <c r="CK41" s="889"/>
      <c r="CL41" s="889"/>
      <c r="CM41" s="889"/>
      <c r="CN41" s="889"/>
      <c r="CO41" s="889"/>
      <c r="CP41" s="889"/>
      <c r="CQ41" s="889"/>
      <c r="CR41" s="889"/>
      <c r="CS41" s="889" t="str">
        <f t="shared" si="57"/>
        <v>% of subscription revenue</v>
      </c>
      <c r="CT41" s="1008">
        <f t="shared" ref="CT41:DE41" ca="1" si="58">CT40/CT33</f>
        <v>0.20931465594943954</v>
      </c>
      <c r="CU41" s="1008">
        <f t="shared" ca="1" si="58"/>
        <v>0.19761572229873786</v>
      </c>
      <c r="CV41" s="1008">
        <f t="shared" ca="1" si="58"/>
        <v>0.21718466395409852</v>
      </c>
      <c r="CW41" s="1008">
        <f t="shared" ca="1" si="58"/>
        <v>0.19954347355587701</v>
      </c>
      <c r="CX41" s="1008">
        <f t="shared" ca="1" si="58"/>
        <v>0.21296342146470396</v>
      </c>
      <c r="CY41" s="1008">
        <f t="shared" ca="1" si="58"/>
        <v>0.19693384805867986</v>
      </c>
      <c r="CZ41" s="1008">
        <f t="shared" ca="1" si="58"/>
        <v>0.22239287411469197</v>
      </c>
      <c r="DA41" s="1008">
        <f t="shared" ca="1" si="58"/>
        <v>0.19270549809471965</v>
      </c>
      <c r="DB41" s="1008">
        <f t="shared" ca="1" si="58"/>
        <v>0.18468085106382978</v>
      </c>
      <c r="DC41" s="1008" t="e">
        <f t="shared" ca="1" si="58"/>
        <v>#N/A</v>
      </c>
      <c r="DD41" s="1008">
        <f t="shared" ca="1" si="58"/>
        <v>0.19398369383227998</v>
      </c>
      <c r="DE41" s="1008">
        <f t="shared" ca="1" si="58"/>
        <v>0.19509163372006322</v>
      </c>
      <c r="DF41" s="1008">
        <f t="shared" ref="DF41:DH41" ca="1" si="59">DF40/DF33</f>
        <v>0.1961133332023558</v>
      </c>
      <c r="DG41" s="1008">
        <f t="shared" ca="1" si="59"/>
        <v>0.19711333320235583</v>
      </c>
      <c r="DH41" s="1008">
        <f t="shared" ca="1" si="59"/>
        <v>0.19811333320235583</v>
      </c>
    </row>
    <row r="42" spans="1:145">
      <c r="E42" s="848" t="str">
        <f>Income!C15</f>
        <v>Merchant Solutions CoR</v>
      </c>
      <c r="F42" s="1010">
        <f ca="1">-OFFSET(Income!$C$6,MATCH(Charts!$E42,Income!$C$6:$C$122,0)-1,MATCH(Charts!F$3,Income!$C$5:$ET$5,0)-1)</f>
        <v>24.405000000000001</v>
      </c>
      <c r="G42" s="1010">
        <f ca="1">-OFFSET(Income!$C$6,MATCH(Charts!$E42,Income!$C$6:$C$122,0)-1,MATCH(Charts!G$3,Income!$C$5:$ET$5,0)-1)</f>
        <v>30.026</v>
      </c>
      <c r="H42" s="1010">
        <f ca="1">-OFFSET(Income!$C$6,MATCH(Charts!$E42,Income!$C$6:$C$122,0)-1,MATCH(Charts!H$3,Income!$C$5:$ET$5,0)-1)</f>
        <v>35.271000000000001</v>
      </c>
      <c r="I42" s="1010">
        <f ca="1">-OFFSET(Income!$C$6,MATCH(Charts!$E42,Income!$C$6:$C$122,0)-1,MATCH(Charts!I$3,Income!$C$5:$ET$5,0)-1)</f>
        <v>50.655000000000001</v>
      </c>
      <c r="J42" s="1010">
        <f ca="1">-OFFSET(Income!$C$6,MATCH(Charts!$E42,Income!$C$6:$C$122,0)-1,MATCH(Charts!J$3,Income!$C$5:$ET$5,0)-1)</f>
        <v>42.884</v>
      </c>
      <c r="K42" s="1010">
        <f ca="1">-OFFSET(Income!$C$6,MATCH(Charts!$E42,Income!$C$6:$C$122,0)-1,MATCH(Charts!K$3,Income!$C$5:$ET$5,0)-1)</f>
        <v>51.127000000000002</v>
      </c>
      <c r="L42" s="1010">
        <f ca="1">-OFFSET(Income!$C$6,MATCH(Charts!$E42,Income!$C$6:$C$122,0)-1,MATCH(Charts!L$3,Income!$C$5:$ET$5,0)-1)</f>
        <v>55.970999999999997</v>
      </c>
      <c r="M42" s="1010">
        <f ca="1">-OFFSET(Income!$C$6,MATCH(Charts!$E42,Income!$C$6:$C$122,0)-1,MATCH(Charts!M$3,Income!$C$5:$ET$5,0)-1)</f>
        <v>81.802000000000007</v>
      </c>
      <c r="N42" s="1010">
        <f ca="1">-OFFSET(Income!$C$6,MATCH(Charts!$E42,Income!$C$6:$C$122,0)-1,MATCH(Charts!N$3,Income!$C$5:$ET$5,0)-1)</f>
        <v>67.337999999999994</v>
      </c>
      <c r="O42" s="1010">
        <f ca="1">-OFFSET(Income!$C$6,MATCH(Charts!$E42,Income!$C$6:$C$122,0)-1,MATCH(Charts!O$3,Income!$C$5:$ET$5,0)-1)</f>
        <v>83.483999999999995</v>
      </c>
      <c r="P42" s="1010">
        <f ca="1">-OFFSET(Income!$C$6,MATCH(Charts!$E42,Income!$C$6:$C$122,0)-1,MATCH(Charts!P$3,Income!$C$5:$ET$5,0)-1)</f>
        <v>93.736999999999995</v>
      </c>
      <c r="Q42" s="1010">
        <f ca="1">-OFFSET(Income!$C$6,MATCH(Charts!$E42,Income!$C$6:$C$122,0)-1,MATCH(Charts!Q$3,Income!$C$5:$ET$5,0)-1)</f>
        <v>131.41300000000001</v>
      </c>
      <c r="R42" s="1010">
        <f ca="1">-OFFSET(Income!$C$6,MATCH(Charts!$E42,Income!$C$6:$C$122,0)-1,MATCH(Charts!R$3,Income!$C$5:$ET$5,0)-1)</f>
        <v>112.206</v>
      </c>
      <c r="S42" s="1010">
        <f ca="1">-OFFSET(Income!$C$6,MATCH(Charts!$E42,Income!$C$6:$C$122,0)-1,MATCH(Charts!S$3,Income!$C$5:$ET$5,0)-1)</f>
        <v>127.676</v>
      </c>
      <c r="T42" s="1010">
        <f ca="1">-OFFSET(Income!$C$6,MATCH(Charts!$E42,Income!$C$6:$C$122,0)-1,MATCH(Charts!T$3,Income!$C$5:$ET$5,0)-1)</f>
        <v>140.59299999999999</v>
      </c>
      <c r="U42" s="1010">
        <f ca="1">-OFFSET(Income!$C$6,MATCH(Charts!$E42,Income!$C$6:$C$122,0)-1,MATCH(Charts!U$3,Income!$C$5:$ET$5,0)-1)</f>
        <v>203.9</v>
      </c>
      <c r="V42" s="1010">
        <f ca="1">-OFFSET(Income!$C$6,MATCH(Charts!$E42,Income!$C$6:$C$122,0)-1,MATCH(Charts!V$3,Income!$C$5:$ET$5,0)-1)</f>
        <v>175.339</v>
      </c>
      <c r="W42" s="1010">
        <f ca="1">-OFFSET(Income!$C$6,MATCH(Charts!$E42,Income!$C$6:$C$122,0)-1,MATCH(Charts!W$3,Income!$C$5:$ET$5,0)-1)</f>
        <v>294.90699999999998</v>
      </c>
      <c r="X42" s="1010">
        <f ca="1">-OFFSET(Income!$C$6,MATCH(Charts!$E42,Income!$C$6:$C$122,0)-1,MATCH(Charts!X$3,Income!$C$5:$ET$5,0)-1)</f>
        <v>310.08699999999999</v>
      </c>
      <c r="Y42" s="1010">
        <f ca="1">-OFFSET(Income!$C$6,MATCH(Charts!$E42,Income!$C$6:$C$122,0)-1,MATCH(Charts!Y$3,Income!$C$5:$ET$5,0)-1)</f>
        <v>414.10599999999999</v>
      </c>
      <c r="Z42" s="1010">
        <f ca="1">-OFFSET(Income!$C$6,MATCH(Charts!$E42,Income!$C$6:$C$122,0)-1,MATCH(Charts!Z$3,Income!$C$5:$ET$5,0)-1)</f>
        <v>371.54899999999998</v>
      </c>
      <c r="AA42" s="1010">
        <f ca="1">-OFFSET(Income!$C$6,MATCH(Charts!$E42,Income!$C$6:$C$122,0)-1,MATCH(Charts!AA$3,Income!$C$5:$ET$5,0)-1)</f>
        <v>435.55799999999999</v>
      </c>
      <c r="AB42" s="1010">
        <f ca="1">-OFFSET(Income!$C$6,MATCH(Charts!$E42,Income!$C$6:$C$122,0)-1,MATCH(Charts!AB$3,Income!$C$5:$ET$5,0)-1)</f>
        <v>447.476</v>
      </c>
      <c r="AC42" s="1010">
        <f ca="1">-OFFSET(Income!$C$6,MATCH(Charts!$E42,Income!$C$6:$C$122,0)-1,MATCH(Charts!AC$3,Income!$C$5:$ET$5,0)-1)</f>
        <v>611.77800000000002</v>
      </c>
      <c r="AD42" s="1010">
        <f ca="1">-OFFSET(Income!$C$6,MATCH(Charts!$E42,Income!$C$6:$C$122,0)-1,MATCH(Charts!AD$3,Income!$C$5:$ET$5,0)-1)</f>
        <v>488.44099999999997</v>
      </c>
      <c r="AE42" s="1010">
        <f ca="1">-OFFSET(Income!$C$6,MATCH(Charts!$E42,Income!$C$6:$C$122,0)-1,MATCH(Charts!AE$3,Income!$C$5:$ET$5,0)-1)</f>
        <v>554.18299999999999</v>
      </c>
      <c r="AF42" s="1010">
        <f ca="1">-OFFSET(Income!$C$6,MATCH(Charts!$E42,Income!$C$6:$C$122,0)-1,MATCH(Charts!AF$3,Income!$C$5:$ET$5,0)-1)</f>
        <v>621.55499999999995</v>
      </c>
      <c r="AG42" s="1010">
        <f ca="1">-OFFSET(Income!$C$6,MATCH(Charts!$E42,Income!$C$6:$C$122,0)-1,MATCH(Charts!AG$3,Income!$C$5:$ET$5,0)-1)</f>
        <v>850.69899999999996</v>
      </c>
      <c r="AH42" s="1010">
        <f ca="1">-OFFSET(Income!$C$6,MATCH(Charts!$E42,Income!$C$6:$C$122,0)-1,MATCH(Charts!AH$3,Income!$C$5:$ET$5,0)-1)</f>
        <v>707</v>
      </c>
      <c r="AI42" s="1010">
        <f ca="1">-OFFSET(Income!$C$6,MATCH(Charts!$E42,Income!$C$6:$C$122,0)-1,MATCH(Charts!AI$3,Income!$C$5:$ET$5,0)-1)</f>
        <v>774</v>
      </c>
      <c r="AJ42" s="1010">
        <f ca="1">-OFFSET(Income!$C$6,MATCH(Charts!$E42,Income!$C$6:$C$122,0)-1,MATCH(Charts!AJ$3,Income!$C$5:$ET$5,0)-1)</f>
        <v>725</v>
      </c>
      <c r="AK42" s="1010">
        <f ca="1">-OFFSET(Income!$C$6,MATCH(Charts!$E42,Income!$C$6:$C$122,0)-1,MATCH(Charts!AK$3,Income!$C$5:$ET$5,0)-1)</f>
        <v>985</v>
      </c>
      <c r="AL42" s="1010">
        <f ca="1">-OFFSET(Income!$C$6,MATCH(Charts!$E42,Income!$C$6:$C$122,0)-1,MATCH(Charts!AL$3,Income!$C$5:$ET$5,0)-1)</f>
        <v>809</v>
      </c>
      <c r="AM42" s="1010">
        <f ca="1">-OFFSET(Income!$C$6,MATCH(Charts!$E42,Income!$C$6:$C$122,0)-1,MATCH(Charts!AM$3,Income!$C$5:$ET$5,0)-1)</f>
        <v>903</v>
      </c>
      <c r="AN42" s="1010">
        <f ca="1">-OFFSET(Income!$C$6,MATCH(Charts!$E42,Income!$C$6:$C$122,0)-1,MATCH(Charts!AN$3,Income!$C$5:$ET$5,0)-1)</f>
        <v>936</v>
      </c>
      <c r="AO42" s="1010">
        <f ca="1">-OFFSET(Income!$C$6,MATCH(Charts!$E42,Income!$C$6:$C$122,0)-1,MATCH(Charts!AO$3,Income!$C$5:$ET$5,0)-1)</f>
        <v>1326</v>
      </c>
      <c r="AP42" s="1010">
        <f ca="1">-OFFSET(Income!$C$6,MATCH(Charts!$E42,Income!$C$6:$C$122,0)-1,MATCH(Charts!AP$3,Income!$C$5:$ET$5,0)-1)</f>
        <v>1068</v>
      </c>
      <c r="AQ42" s="1010">
        <f ca="1">-OFFSET(Income!$C$6,MATCH(Charts!$E42,Income!$C$6:$C$122,0)-1,MATCH(Charts!AQ$3,Income!$C$5:$ET$5,0)-1)</f>
        <v>1257</v>
      </c>
      <c r="AR42" s="1010">
        <f ca="1">-OFFSET(Income!$C$6,MATCH(Charts!$E42,Income!$C$6:$C$122,0)-1,MATCH(Charts!AR$3,Income!$C$5:$ET$5,0)-1)</f>
        <v>1325</v>
      </c>
      <c r="AS42" s="1010">
        <f ca="1">-OFFSET(Income!$C$6,MATCH(Charts!$E42,Income!$C$6:$C$122,0)-1,MATCH(Charts!AS$3,Income!$C$5:$ET$5,0)-1)</f>
        <v>1831</v>
      </c>
      <c r="AT42" s="1010">
        <f ca="1">-OFFSET(Income!$C$6,MATCH(Charts!$E42,Income!$C$6:$C$122,0)-1,MATCH(Charts!AT$3,Income!$C$5:$ET$5,0)-1)</f>
        <v>1476</v>
      </c>
      <c r="AU42" s="1010">
        <f ca="1">-OFFSET(Income!$C$6,MATCH(Charts!$E42,Income!$C$6:$C$122,0)-1,MATCH(Charts!AU$3,Income!$C$5:$ET$5,0)-1)</f>
        <v>1712</v>
      </c>
      <c r="AV42" s="1010">
        <f ca="1">-OFFSET(Income!$C$6,MATCH(Charts!$E42,Income!$C$6:$C$122,0)-1,MATCH(Charts!AV$3,Income!$C$5:$ET$5,0)-1)</f>
        <v>1753.7479967363638</v>
      </c>
      <c r="AW42" s="1010">
        <f ca="1">-OFFSET(Income!$C$6,MATCH(Charts!$E42,Income!$C$6:$C$122,0)-1,MATCH(Charts!AW$3,Income!$C$5:$ET$5,0)-1)</f>
        <v>2404.8812148146635</v>
      </c>
      <c r="AX42" s="1010">
        <f ca="1">-OFFSET(Income!$C$6,MATCH(Charts!$E42,Income!$C$6:$C$122,0)-1,MATCH(Charts!AX$3,Income!$C$5:$ET$5,0)-1)</f>
        <v>1911.3067005307773</v>
      </c>
      <c r="AY42" s="1010">
        <f ca="1">-OFFSET(Income!$C$6,MATCH(Charts!$E42,Income!$C$6:$C$122,0)-1,MATCH(Charts!AY$3,Income!$C$5:$ET$5,0)-1)</f>
        <v>2199.5578093656809</v>
      </c>
      <c r="AZ42" s="1010">
        <f ca="1">-OFFSET(Income!$C$6,MATCH(Charts!$E42,Income!$C$6:$C$122,0)-1,MATCH(Charts!AZ$3,Income!$C$5:$ET$5,0)-1)</f>
        <v>2218.0011225227277</v>
      </c>
      <c r="BA42" s="1010">
        <f ca="1">-OFFSET(Income!$C$6,MATCH(Charts!$E42,Income!$C$6:$C$122,0)-1,MATCH(Charts!BA$3,Income!$C$5:$ET$5,0)-1)</f>
        <v>3017.1261211668525</v>
      </c>
      <c r="BB42" s="1010">
        <f ca="1">-OFFSET(Income!$C$6,MATCH(Charts!$E42,Income!$C$6:$C$122,0)-1,MATCH(Charts!BB$3,Income!$C$5:$ET$5,0)-1)</f>
        <v>2319.9536588994652</v>
      </c>
      <c r="BC42" s="1010">
        <f ca="1">-OFFSET(Income!$C$6,MATCH(Charts!$E42,Income!$C$6:$C$122,0)-1,MATCH(Charts!BC$3,Income!$C$5:$ET$5,0)-1)</f>
        <v>2669.7979052452329</v>
      </c>
      <c r="BD42" s="1010">
        <f ca="1">-OFFSET(Income!$C$6,MATCH(Charts!$E42,Income!$C$6:$C$122,0)-1,MATCH(Charts!BD$3,Income!$C$5:$ET$5,0)-1)</f>
        <v>2692.5268713450005</v>
      </c>
      <c r="BE42" s="1010">
        <f ca="1">-OFFSET(Income!$C$6,MATCH(Charts!$E42,Income!$C$6:$C$122,0)-1,MATCH(Charts!BE$3,Income!$C$5:$ET$5,0)-1)</f>
        <v>3662.5681285733308</v>
      </c>
      <c r="BF42" s="1010">
        <f ca="1">-OFFSET(Income!$C$6,MATCH(Charts!$E42,Income!$C$6:$C$122,0)-1,MATCH(Charts!BF$3,Income!$C$5:$ET$5,0)-1)</f>
        <v>2756.8941043754276</v>
      </c>
      <c r="BG42" s="1010">
        <f ca="1">-OFFSET(Income!$C$6,MATCH(Charts!$E42,Income!$C$6:$C$122,0)-1,MATCH(Charts!BG$3,Income!$C$5:$ET$5,0)-1)</f>
        <v>3172.5864823726188</v>
      </c>
      <c r="BH42" s="1010">
        <f ca="1">-OFFSET(Income!$C$6,MATCH(Charts!$E42,Income!$C$6:$C$122,0)-1,MATCH(Charts!BH$3,Income!$C$5:$ET$5,0)-1)</f>
        <v>3199.9933174678308</v>
      </c>
      <c r="BI42" s="1010">
        <f ca="1">-OFFSET(Income!$C$6,MATCH(Charts!$E42,Income!$C$6:$C$122,0)-1,MATCH(Charts!BI$3,Income!$C$5:$ET$5,0)-1)</f>
        <v>4352.8034766671626</v>
      </c>
      <c r="BJ42" s="1010">
        <f ca="1">-OFFSET(Income!$C$6,MATCH(Charts!$E42,Income!$C$6:$C$122,0)-1,MATCH(Charts!BJ$3,Income!$C$5:$ET$5,0)-1)</f>
        <v>3233.8342113747135</v>
      </c>
      <c r="BK42" s="1010">
        <f ca="1">-OFFSET(Income!$C$6,MATCH(Charts!$E42,Income!$C$6:$C$122,0)-1,MATCH(Charts!BK$3,Income!$C$5:$ET$5,0)-1)</f>
        <v>3721.3940771074604</v>
      </c>
      <c r="BL42" s="1010">
        <f ca="1">-OFFSET(Income!$C$6,MATCH(Charts!$E42,Income!$C$6:$C$122,0)-1,MATCH(Charts!BL$3,Income!$C$5:$ET$5,0)-1)</f>
        <v>3753.9970038565166</v>
      </c>
      <c r="BM42" s="1010">
        <f ca="1">-OFFSET(Income!$C$6,MATCH(Charts!$E42,Income!$C$6:$C$122,0)-1,MATCH(Charts!BM$3,Income!$C$5:$ET$5,0)-1)</f>
        <v>5106.3265048458798</v>
      </c>
      <c r="BN42" s="889"/>
      <c r="BO42" s="889"/>
      <c r="BP42" s="889"/>
      <c r="BQ42" s="889"/>
      <c r="BR42" s="889"/>
      <c r="BS42" s="889"/>
      <c r="BT42" s="889"/>
      <c r="BU42" s="889"/>
      <c r="BV42" s="889"/>
      <c r="BW42" s="889"/>
      <c r="BX42" s="889"/>
      <c r="BY42" s="889"/>
      <c r="BZ42" s="889"/>
      <c r="CA42" s="889"/>
      <c r="CB42" s="889"/>
      <c r="CC42" s="889"/>
      <c r="CD42" s="889"/>
      <c r="CE42" s="889"/>
      <c r="CF42" s="889"/>
      <c r="CG42" s="889"/>
      <c r="CH42" s="889"/>
      <c r="CI42" s="889"/>
      <c r="CJ42" s="889"/>
      <c r="CK42" s="889"/>
      <c r="CL42" s="889"/>
      <c r="CM42" s="889"/>
      <c r="CN42" s="889"/>
      <c r="CO42" s="889"/>
      <c r="CP42" s="889"/>
      <c r="CQ42" s="889"/>
      <c r="CR42" s="889"/>
      <c r="CS42" s="1027" t="str">
        <f t="shared" si="57"/>
        <v>Merchant Solutions CoR</v>
      </c>
      <c r="CT42" s="1010">
        <f ca="1">-OFFSET(Income!$C$6,MATCH(Charts!$E42,Income!$C$6:$C$122,0)-1,MATCH(Charts!CT$4,Income!$C$4:$ET$4,0)-1)</f>
        <v>140.357</v>
      </c>
      <c r="CU42" s="1010">
        <f ca="1">-OFFSET(Income!$C$6,MATCH(Charts!$E42,Income!$C$6:$C$122,0)-1,MATCH(Charts!CU$4,Income!$C$4:$ET$4,0)-1)</f>
        <v>231.78399999999999</v>
      </c>
      <c r="CV42" s="1010">
        <f ca="1">-OFFSET(Income!$C$6,MATCH(Charts!$E42,Income!$C$6:$C$122,0)-1,MATCH(Charts!CV$4,Income!$C$4:$ET$4,0)-1)</f>
        <v>375.97199999999998</v>
      </c>
      <c r="CW42" s="1010">
        <f ca="1">-OFFSET(Income!$C$6,MATCH(Charts!$E42,Income!$C$6:$C$122,0)-1,MATCH(Charts!CW$4,Income!$C$4:$ET$4,0)-1)</f>
        <v>584.375</v>
      </c>
      <c r="CX42" s="1010">
        <f ca="1">-OFFSET(Income!$C$6,MATCH(Charts!$E42,Income!$C$6:$C$122,0)-1,MATCH(Charts!CX$4,Income!$C$4:$ET$4,0)-1)</f>
        <v>1194.4389999999999</v>
      </c>
      <c r="CY42" s="1010">
        <f ca="1">-OFFSET(Income!$C$6,MATCH(Charts!$E42,Income!$C$6:$C$122,0)-1,MATCH(Charts!CY$4,Income!$C$4:$ET$4,0)-1)</f>
        <v>1866.3610000000001</v>
      </c>
      <c r="CZ42" s="1010">
        <f ca="1">-OFFSET(Income!$C$6,MATCH(Charts!$E42,Income!$C$6:$C$122,0)-1,MATCH(Charts!CZ$4,Income!$C$4:$ET$4,0)-1)</f>
        <v>2514.8780000000002</v>
      </c>
      <c r="DA42" s="1010">
        <f ca="1">-OFFSET(Income!$C$6,MATCH(Charts!$E42,Income!$C$6:$C$122,0)-1,MATCH(Charts!DA$4,Income!$C$4:$ET$4,0)-1)</f>
        <v>3191</v>
      </c>
      <c r="DB42" s="1010">
        <f ca="1">-OFFSET(Income!$C$6,MATCH(Charts!$E42,Income!$C$6:$C$122,0)-1,MATCH(Charts!DB$4,Income!$C$4:$ET$4,0)-1)</f>
        <v>3974</v>
      </c>
      <c r="DC42" s="1010" t="e">
        <f ca="1">-OFFSET(Income!$C$6,MATCH(Charts!$E42,Income!$C$6:$C$122,0)-1,MATCH(Charts!DC$4,Income!$C$4:$ET$4,0)-1)</f>
        <v>#N/A</v>
      </c>
      <c r="DD42" s="1010">
        <f ca="1">-OFFSET(Income!$C$6,MATCH(Charts!$E42,Income!$C$6:$C$122,0)-1,MATCH(Charts!DD$4,Income!$C$4:$ET$4,0)-1)</f>
        <v>7346.6292115510269</v>
      </c>
      <c r="DE42" s="1010">
        <f ca="1">-OFFSET(Income!$C$6,MATCH(Charts!$E42,Income!$C$6:$C$122,0)-1,MATCH(Charts!DE$4,Income!$C$4:$ET$4,0)-1)</f>
        <v>9345.9917535860368</v>
      </c>
      <c r="DF42" s="1010">
        <f ca="1">-OFFSET(Income!$C$6,MATCH(Charts!$E42,Income!$C$6:$C$122,0)-1,MATCH(Charts!DF$4,Income!$C$4:$ET$4,0)-1)</f>
        <v>11344.846564063029</v>
      </c>
      <c r="DG42" s="1010">
        <f ca="1">-OFFSET(Income!$C$6,MATCH(Charts!$E42,Income!$C$6:$C$122,0)-1,MATCH(Charts!DG$4,Income!$C$4:$ET$4,0)-1)</f>
        <v>13482.277380883039</v>
      </c>
      <c r="DH42" s="1010">
        <f ca="1">-OFFSET(Income!$C$6,MATCH(Charts!$E42,Income!$C$6:$C$122,0)-1,MATCH(Charts!DH$4,Income!$C$4:$ET$4,0)-1)</f>
        <v>15815.551797184571</v>
      </c>
    </row>
    <row r="43" spans="1:145">
      <c r="E43" s="669" t="str">
        <f>Income!C16</f>
        <v>% of merchant revenue</v>
      </c>
      <c r="F43" s="1008">
        <f ca="1">OFFSET(Income!$C$6,MATCH(Charts!$E42,Income!$C$6:$C$122,0)+0,MATCH(Charts!F$3,Income!$C$5:$ET$5,0)-1)</f>
        <v>0.71745649106302922</v>
      </c>
      <c r="G43" s="1008">
        <f ca="1">OFFSET(Income!$C$6,MATCH(Charts!$E42,Income!$C$6:$C$122,0)+0,MATCH(Charts!G$3,Income!$C$5:$ET$5,0)-1)</f>
        <v>0.69871779954855373</v>
      </c>
      <c r="H43" s="1008">
        <f ca="1">OFFSET(Income!$C$6,MATCH(Charts!$E42,Income!$C$6:$C$122,0)+0,MATCH(Charts!H$3,Income!$C$5:$ET$5,0)-1)</f>
        <v>0.70912161482940961</v>
      </c>
      <c r="I43" s="1008">
        <f ca="1">OFFSET(Income!$C$6,MATCH(Charts!$E42,Income!$C$6:$C$122,0)+0,MATCH(Charts!I$3,Income!$C$5:$ET$5,0)-1)</f>
        <v>0.68456403048813452</v>
      </c>
      <c r="J43" s="1008">
        <f ca="1">OFFSET(Income!$C$6,MATCH(Charts!$E42,Income!$C$6:$C$122,0)+0,MATCH(Charts!J$3,Income!$C$5:$ET$5,0)-1)</f>
        <v>0.65673287492917187</v>
      </c>
      <c r="K43" s="1008">
        <f ca="1">OFFSET(Income!$C$6,MATCH(Charts!$E42,Income!$C$6:$C$122,0)+0,MATCH(Charts!K$3,Income!$C$5:$ET$5,0)-1)</f>
        <v>0.63863247436201709</v>
      </c>
      <c r="L43" s="1008">
        <f ca="1">OFFSET(Income!$C$6,MATCH(Charts!$E42,Income!$C$6:$C$122,0)+0,MATCH(Charts!L$3,Income!$C$5:$ET$5,0)-1)</f>
        <v>0.62873928623583197</v>
      </c>
      <c r="M43" s="1008">
        <f ca="1">OFFSET(Income!$C$6,MATCH(Charts!$E42,Income!$C$6:$C$122,0)+0,MATCH(Charts!M$3,Income!$C$5:$ET$5,0)-1)</f>
        <v>0.63463567527308851</v>
      </c>
      <c r="N43" s="1008">
        <f ca="1">OFFSET(Income!$C$6,MATCH(Charts!$E42,Income!$C$6:$C$122,0)+0,MATCH(Charts!N$3,Income!$C$5:$ET$5,0)-1)</f>
        <v>0.58994936132186226</v>
      </c>
      <c r="O43" s="1008">
        <f ca="1">OFFSET(Income!$C$6,MATCH(Charts!$E42,Income!$C$6:$C$122,0)+0,MATCH(Charts!O$3,Income!$C$5:$ET$5,0)-1)</f>
        <v>0.6218918073330254</v>
      </c>
      <c r="P43" s="1008">
        <f ca="1">OFFSET(Income!$C$6,MATCH(Charts!$E42,Income!$C$6:$C$122,0)+0,MATCH(Charts!P$3,Income!$C$5:$ET$5,0)-1)</f>
        <v>0.62680628832407204</v>
      </c>
      <c r="Q43" s="1008">
        <f ca="1">OFFSET(Income!$C$6,MATCH(Charts!$E42,Income!$C$6:$C$122,0)+0,MATCH(Charts!Q$3,Income!$C$5:$ET$5,0)-1)</f>
        <v>0.62487755703702297</v>
      </c>
      <c r="R43" s="1008">
        <f ca="1">OFFSET(Income!$C$6,MATCH(Charts!$E42,Income!$C$6:$C$122,0)+0,MATCH(Charts!R$3,Income!$C$5:$ET$5,0)-1)</f>
        <v>0.62325932756025348</v>
      </c>
      <c r="S43" s="1008">
        <f ca="1">OFFSET(Income!$C$6,MATCH(Charts!$E42,Income!$C$6:$C$122,0)+0,MATCH(Charts!S$3,Income!$C$5:$ET$5,0)-1)</f>
        <v>0.61108877529531147</v>
      </c>
      <c r="T43" s="1008">
        <f ca="1">OFFSET(Income!$C$6,MATCH(Charts!$E42,Income!$C$6:$C$122,0)+0,MATCH(Charts!T$3,Income!$C$5:$ET$5,0)-1)</f>
        <v>0.62492721413490382</v>
      </c>
      <c r="U43" s="1008">
        <f ca="1">OFFSET(Income!$C$6,MATCH(Charts!$E42,Income!$C$6:$C$122,0)+0,MATCH(Charts!U$3,Income!$C$5:$ET$5,0)-1)</f>
        <v>0.6332416131977614</v>
      </c>
      <c r="V43" s="1008">
        <f ca="1">OFFSET(Income!$C$6,MATCH(Charts!$E42,Income!$C$6:$C$122,0)+0,MATCH(Charts!V$3,Income!$C$5:$ET$5,0)-1)</f>
        <v>0.62090639961471994</v>
      </c>
      <c r="W43" s="1008">
        <f ca="1">OFFSET(Income!$C$6,MATCH(Charts!$E42,Income!$C$6:$C$122,0)+0,MATCH(Charts!W$3,Income!$C$5:$ET$5,0)-1)</f>
        <v>0.56942076473189196</v>
      </c>
      <c r="X43" s="1008">
        <f ca="1">OFFSET(Income!$C$6,MATCH(Charts!$E42,Income!$C$6:$C$122,0)+0,MATCH(Charts!X$3,Income!$C$5:$ET$5,0)-1)</f>
        <v>0.59388735777036794</v>
      </c>
      <c r="Y43" s="1008">
        <f ca="1">OFFSET(Income!$C$6,MATCH(Charts!$E42,Income!$C$6:$C$122,0)+0,MATCH(Charts!Y$3,Income!$C$5:$ET$5,0)-1)</f>
        <v>0.59301679497754556</v>
      </c>
      <c r="Z43" s="1008">
        <f ca="1">OFFSET(Income!$C$6,MATCH(Charts!$E42,Income!$C$6:$C$122,0)+0,MATCH(Charts!Z$3,Income!$C$5:$ET$5,0)-1)</f>
        <v>0.55623938943000084</v>
      </c>
      <c r="AA43" s="1008">
        <f ca="1">OFFSET(Income!$C$6,MATCH(Charts!$E42,Income!$C$6:$C$122,0)+0,MATCH(Charts!AA$3,Income!$C$5:$ET$5,0)-1)</f>
        <v>0.55470397652596515</v>
      </c>
      <c r="AB43" s="1008">
        <f ca="1">OFFSET(Income!$C$6,MATCH(Charts!$E42,Income!$C$6:$C$122,0)+0,MATCH(Charts!AB$3,Income!$C$5:$ET$5,0)-1)</f>
        <v>0.56820040328519983</v>
      </c>
      <c r="AC43" s="1008">
        <f ca="1">OFFSET(Income!$C$6,MATCH(Charts!$E42,Income!$C$6:$C$122,0)+0,MATCH(Charts!AC$3,Income!$C$5:$ET$5,0)-1)</f>
        <v>0.59464277382933395</v>
      </c>
      <c r="AD43" s="1008">
        <f ca="1">OFFSET(Income!$C$6,MATCH(Charts!$E42,Income!$C$6:$C$122,0)+0,MATCH(Charts!AD$3,Income!$C$5:$ET$5,0)-1)</f>
        <v>0.56870719626668775</v>
      </c>
      <c r="AE43" s="1008">
        <f ca="1">OFFSET(Income!$C$6,MATCH(Charts!$E42,Income!$C$6:$C$122,0)+0,MATCH(Charts!AE$3,Income!$C$5:$ET$5,0)-1)</f>
        <v>0.59678124528870802</v>
      </c>
      <c r="AF43" s="1008">
        <f ca="1">OFFSET(Income!$C$6,MATCH(Charts!$E42,Income!$C$6:$C$122,0)+0,MATCH(Charts!AF$3,Income!$C$5:$ET$5,0)-1)</f>
        <v>0.62789739155206736</v>
      </c>
      <c r="AG43" s="1008">
        <f ca="1">OFFSET(Income!$C$6,MATCH(Charts!$E42,Income!$C$6:$C$122,0)+0,MATCH(Charts!AG$3,Income!$C$5:$ET$5,0)-1)</f>
        <v>0.63735948405812737</v>
      </c>
      <c r="AH43" s="1008">
        <f ca="1">OFFSET(Income!$C$6,MATCH(Charts!$E42,Income!$C$6:$C$122,0)+0,MATCH(Charts!AH$3,Income!$C$5:$ET$5,0)-1)</f>
        <v>0.62788632326820604</v>
      </c>
      <c r="AI43" s="1008">
        <f ca="1">OFFSET(Income!$C$6,MATCH(Charts!$E42,Income!$C$6:$C$122,0)+0,MATCH(Charts!AI$3,Income!$C$5:$ET$5,0)-1)</f>
        <v>0.61919999999999997</v>
      </c>
      <c r="AJ43" s="1008">
        <f ca="1">OFFSET(Income!$C$6,MATCH(Charts!$E42,Income!$C$6:$C$122,0)+0,MATCH(Charts!AJ$3,Income!$C$5:$ET$5,0)-1)</f>
        <v>0.5903908794788274</v>
      </c>
      <c r="AK43" s="1008">
        <f ca="1">OFFSET(Income!$C$6,MATCH(Charts!$E42,Income!$C$6:$C$122,0)+0,MATCH(Charts!AK$3,Income!$C$5:$ET$5,0)-1)</f>
        <v>0.60840024706609019</v>
      </c>
      <c r="AL43" s="1008">
        <f ca="1">OFFSET(Income!$C$6,MATCH(Charts!$E42,Income!$C$6:$C$122,0)+0,MATCH(Charts!AL$3,Income!$C$5:$ET$5,0)-1)</f>
        <v>0.59925925925925927</v>
      </c>
      <c r="AM43" s="1008">
        <f ca="1">OFFSET(Income!$C$6,MATCH(Charts!$E42,Income!$C$6:$C$122,0)+0,MATCH(Charts!AM$3,Income!$C$5:$ET$5,0)-1)</f>
        <v>0.60931174089068829</v>
      </c>
      <c r="AN43" s="1008">
        <f ca="1">OFFSET(Income!$C$6,MATCH(Charts!$E42,Income!$C$6:$C$122,0)+0,MATCH(Charts!AN$3,Income!$C$5:$ET$5,0)-1)</f>
        <v>0.60309278350515461</v>
      </c>
      <c r="AO43" s="1008">
        <f ca="1">OFFSET(Income!$C$6,MATCH(Charts!$E42,Income!$C$6:$C$122,0)+0,MATCH(Charts!AO$3,Income!$C$5:$ET$5,0)-1)</f>
        <v>0.61789375582479034</v>
      </c>
      <c r="AP43" s="1008">
        <f ca="1">OFFSET(Income!$C$6,MATCH(Charts!$E42,Income!$C$6:$C$122,0)+0,MATCH(Charts!AP$3,Income!$C$5:$ET$5,0)-1)</f>
        <v>0.61379310344827587</v>
      </c>
      <c r="AQ43" s="1008">
        <f ca="1">OFFSET(Income!$C$6,MATCH(Charts!$E42,Income!$C$6:$C$122,0)+0,MATCH(Charts!AQ$3,Income!$C$5:$ET$5,0)-1)</f>
        <v>0.62104743083003955</v>
      </c>
      <c r="AR43" s="1008">
        <f ca="1">OFFSET(Income!$C$6,MATCH(Charts!$E42,Income!$C$6:$C$122,0)+0,MATCH(Charts!AR$3,Income!$C$5:$ET$5,0)-1)</f>
        <v>0.61771561771561767</v>
      </c>
      <c r="AS43" s="1008">
        <f ca="1">OFFSET(Income!$C$6,MATCH(Charts!$E42,Income!$C$6:$C$122,0)+0,MATCH(Charts!AS$3,Income!$C$5:$ET$5,0)-1)</f>
        <v>0.63246977547495686</v>
      </c>
      <c r="AT43" s="1008">
        <f ca="1">OFFSET(Income!$C$6,MATCH(Charts!$E42,Income!$C$6:$C$122,0)+0,MATCH(Charts!AT$3,Income!$C$5:$ET$5,0)-1)</f>
        <v>0.60991735537190084</v>
      </c>
      <c r="AU43" s="1008">
        <f ca="1">OFFSET(Income!$C$6,MATCH(Charts!$E42,Income!$C$6:$C$122,0)+0,MATCH(Charts!AU$3,Income!$C$5:$ET$5,0)-1)</f>
        <v>0.61560589715929526</v>
      </c>
      <c r="AV43" s="1008">
        <f ca="1">OFFSET(Income!$C$6,MATCH(Charts!$E42,Income!$C$6:$C$122,0)+0,MATCH(Charts!AV$3,Income!$C$5:$ET$5,0)-1)</f>
        <v>0.61571561771561767</v>
      </c>
      <c r="AW43" s="1008">
        <f ca="1">OFFSET(Income!$C$6,MATCH(Charts!$E42,Income!$C$6:$C$122,0)+0,MATCH(Charts!AW$3,Income!$C$5:$ET$5,0)-1)</f>
        <v>0.63046977547495686</v>
      </c>
      <c r="AX43" s="1008">
        <f ca="1">OFFSET(Income!$C$6,MATCH(Charts!$E42,Income!$C$6:$C$122,0)+0,MATCH(Charts!AX$3,Income!$C$5:$ET$5,0)-1)</f>
        <v>0.60941735537190089</v>
      </c>
      <c r="AY43" s="1008">
        <f ca="1">OFFSET(Income!$C$6,MATCH(Charts!$E42,Income!$C$6:$C$122,0)+0,MATCH(Charts!AY$3,Income!$C$5:$ET$5,0)-1)</f>
        <v>0.61510589715929531</v>
      </c>
      <c r="AZ43" s="1008">
        <f ca="1">OFFSET(Income!$C$6,MATCH(Charts!$E42,Income!$C$6:$C$122,0)+0,MATCH(Charts!AZ$3,Income!$C$5:$ET$5,0)-1)</f>
        <v>0.61521561771561772</v>
      </c>
      <c r="BA43" s="1008">
        <f ca="1">OFFSET(Income!$C$6,MATCH(Charts!$E42,Income!$C$6:$C$122,0)+0,MATCH(Charts!BA$3,Income!$C$5:$ET$5,0)-1)</f>
        <v>0.62996977547495692</v>
      </c>
      <c r="BB43" s="1008">
        <f ca="1">OFFSET(Income!$C$6,MATCH(Charts!$E42,Income!$C$6:$C$122,0)+0,MATCH(Charts!BB$3,Income!$C$5:$ET$5,0)-1)</f>
        <v>0.60891735537190095</v>
      </c>
      <c r="BC43" s="1008">
        <f ca="1">OFFSET(Income!$C$6,MATCH(Charts!$E42,Income!$C$6:$C$122,0)+0,MATCH(Charts!BC$3,Income!$C$5:$ET$5,0)-1)</f>
        <v>0.61460589715929537</v>
      </c>
      <c r="BD43" s="1008">
        <f ca="1">OFFSET(Income!$C$6,MATCH(Charts!$E42,Income!$C$6:$C$122,0)+0,MATCH(Charts!BD$3,Income!$C$5:$ET$5,0)-1)</f>
        <v>0.61471561771561778</v>
      </c>
      <c r="BE43" s="1008">
        <f ca="1">OFFSET(Income!$C$6,MATCH(Charts!$E42,Income!$C$6:$C$122,0)+0,MATCH(Charts!BE$3,Income!$C$5:$ET$5,0)-1)</f>
        <v>0.62946977547495697</v>
      </c>
      <c r="BF43" s="1008">
        <f ca="1">OFFSET(Income!$C$6,MATCH(Charts!$E42,Income!$C$6:$C$122,0)+0,MATCH(Charts!BF$3,Income!$C$5:$ET$5,0)-1)</f>
        <v>0.608417355371901</v>
      </c>
      <c r="BG43" s="1008">
        <f ca="1">OFFSET(Income!$C$6,MATCH(Charts!$E42,Income!$C$6:$C$122,0)+0,MATCH(Charts!BG$3,Income!$C$5:$ET$5,0)-1)</f>
        <v>0.61410589715929542</v>
      </c>
      <c r="BH43" s="1008">
        <f ca="1">OFFSET(Income!$C$6,MATCH(Charts!$E42,Income!$C$6:$C$122,0)+0,MATCH(Charts!BH$3,Income!$C$5:$ET$5,0)-1)</f>
        <v>0.61421561771561783</v>
      </c>
      <c r="BI43" s="1008">
        <f ca="1">OFFSET(Income!$C$6,MATCH(Charts!$E42,Income!$C$6:$C$122,0)+0,MATCH(Charts!BI$3,Income!$C$5:$ET$5,0)-1)</f>
        <v>0.62896977547495703</v>
      </c>
      <c r="BJ43" s="1008">
        <f ca="1">OFFSET(Income!$C$6,MATCH(Charts!$E42,Income!$C$6:$C$122,0)+0,MATCH(Charts!BJ$3,Income!$C$5:$ET$5,0)-1)</f>
        <v>0.60791735537190106</v>
      </c>
      <c r="BK43" s="1008">
        <f ca="1">OFFSET(Income!$C$6,MATCH(Charts!$E42,Income!$C$6:$C$122,0)+0,MATCH(Charts!BK$3,Income!$C$5:$ET$5,0)-1)</f>
        <v>0.61360589715929548</v>
      </c>
      <c r="BL43" s="1008">
        <f ca="1">OFFSET(Income!$C$6,MATCH(Charts!$E42,Income!$C$6:$C$122,0)+0,MATCH(Charts!BL$3,Income!$C$5:$ET$5,0)-1)</f>
        <v>0.61371561771561789</v>
      </c>
      <c r="BM43" s="1008">
        <f ca="1">OFFSET(Income!$C$6,MATCH(Charts!$E42,Income!$C$6:$C$122,0)+0,MATCH(Charts!BM$3,Income!$C$5:$ET$5,0)-1)</f>
        <v>0.62846977547495708</v>
      </c>
      <c r="BN43" s="889"/>
      <c r="BO43" s="889"/>
      <c r="BP43" s="889"/>
      <c r="BQ43" s="889"/>
      <c r="BR43" s="889"/>
      <c r="BS43" s="889"/>
      <c r="BT43" s="889"/>
      <c r="BU43" s="889"/>
      <c r="BV43" s="889"/>
      <c r="BW43" s="889"/>
      <c r="BX43" s="889"/>
      <c r="BY43" s="889"/>
      <c r="BZ43" s="889"/>
      <c r="CA43" s="889"/>
      <c r="CB43" s="889"/>
      <c r="CC43" s="889"/>
      <c r="CD43" s="889"/>
      <c r="CE43" s="889"/>
      <c r="CF43" s="889"/>
      <c r="CG43" s="889"/>
      <c r="CH43" s="889"/>
      <c r="CI43" s="889"/>
      <c r="CJ43" s="889"/>
      <c r="CK43" s="889"/>
      <c r="CL43" s="889"/>
      <c r="CM43" s="889"/>
      <c r="CN43" s="889"/>
      <c r="CO43" s="889"/>
      <c r="CP43" s="889"/>
      <c r="CQ43" s="889"/>
      <c r="CR43" s="889"/>
      <c r="CS43" s="889" t="str">
        <f t="shared" si="57"/>
        <v>% of merchant revenue</v>
      </c>
      <c r="CT43" s="1008">
        <f t="shared" ref="CT43:DE43" ca="1" si="60">CT42/CT34</f>
        <v>0.69925370160020728</v>
      </c>
      <c r="CU43" s="1008">
        <f t="shared" ca="1" si="60"/>
        <v>0.63804356503235848</v>
      </c>
      <c r="CV43" s="1008">
        <f t="shared" ca="1" si="60"/>
        <v>0.61813811483428227</v>
      </c>
      <c r="CW43" s="1008">
        <f t="shared" ca="1" si="60"/>
        <v>0.62437762572494582</v>
      </c>
      <c r="CX43" s="1008">
        <f t="shared" ca="1" si="60"/>
        <v>0.59109165283505893</v>
      </c>
      <c r="CY43" s="1008">
        <f t="shared" ca="1" si="60"/>
        <v>0.5708360426998198</v>
      </c>
      <c r="CZ43" s="1008">
        <f t="shared" ca="1" si="60"/>
        <v>0.61157922767049977</v>
      </c>
      <c r="DA43" s="1008">
        <f t="shared" ca="1" si="60"/>
        <v>0.61095156040589704</v>
      </c>
      <c r="DB43" s="1008">
        <f t="shared" ca="1" si="60"/>
        <v>0.60857580398162325</v>
      </c>
      <c r="DC43" s="1008" t="e">
        <f t="shared" ca="1" si="60"/>
        <v>#N/A</v>
      </c>
      <c r="DD43" s="1008">
        <f t="shared" ca="1" si="60"/>
        <v>0.61925090684522743</v>
      </c>
      <c r="DE43" s="1008">
        <f t="shared" ca="1" si="60"/>
        <v>0.61866341562353344</v>
      </c>
      <c r="DF43" s="1008">
        <f t="shared" ref="DF43:DH43" ca="1" si="61">DF42/DF34</f>
        <v>0.61816360786615487</v>
      </c>
      <c r="DG43" s="1008">
        <f t="shared" ca="1" si="61"/>
        <v>0.61766379546434258</v>
      </c>
      <c r="DH43" s="1008">
        <f t="shared" ca="1" si="61"/>
        <v>0.61716397858439687</v>
      </c>
    </row>
    <row r="44" spans="1:145">
      <c r="E44" s="8" t="str">
        <f>Income!C18</f>
        <v>Total Cost of Revenue</v>
      </c>
      <c r="F44" s="1010">
        <f ca="1">-OFFSET(Income!$C$6,MATCH(Charts!$E44,Income!$C$6:$C$122,0)-1,MATCH(Charts!F$3,Income!$C$5:$ET$5,0)-1)</f>
        <v>32.637</v>
      </c>
      <c r="G44" s="1010">
        <f ca="1">-OFFSET(Income!$C$6,MATCH(Charts!$E44,Income!$C$6:$C$122,0)-1,MATCH(Charts!G$3,Income!$C$5:$ET$5,0)-1)</f>
        <v>39.124000000000002</v>
      </c>
      <c r="H44" s="1010">
        <f ca="1">-OFFSET(Income!$C$6,MATCH(Charts!$E44,Income!$C$6:$C$122,0)-1,MATCH(Charts!H$3,Income!$C$5:$ET$5,0)-1)</f>
        <v>45.826000000000001</v>
      </c>
      <c r="I44" s="1010">
        <f ca="1">-OFFSET(Income!$C$6,MATCH(Charts!$E44,Income!$C$6:$C$122,0)-1,MATCH(Charts!I$3,Income!$C$5:$ET$5,0)-1)</f>
        <v>62.248000000000005</v>
      </c>
      <c r="J44" s="1010">
        <f ca="1">-OFFSET(Income!$C$6,MATCH(Charts!$E44,Income!$C$6:$C$122,0)-1,MATCH(Charts!J$3,Income!$C$5:$ET$5,0)-1)</f>
        <v>55.137999999999998</v>
      </c>
      <c r="K44" s="1010">
        <f ca="1">-OFFSET(Income!$C$6,MATCH(Charts!$E44,Income!$C$6:$C$122,0)-1,MATCH(Charts!K$3,Income!$C$5:$ET$5,0)-1)</f>
        <v>64.814999999999998</v>
      </c>
      <c r="L44" s="1010">
        <f ca="1">-OFFSET(Income!$C$6,MATCH(Charts!$E44,Income!$C$6:$C$122,0)-1,MATCH(Charts!L$3,Income!$C$5:$ET$5,0)-1)</f>
        <v>71.429000000000002</v>
      </c>
      <c r="M44" s="1010">
        <f ca="1">-OFFSET(Income!$C$6,MATCH(Charts!$E44,Income!$C$6:$C$122,0)-1,MATCH(Charts!M$3,Income!$C$5:$ET$5,0)-1)</f>
        <v>101.66900000000001</v>
      </c>
      <c r="N44" s="1010">
        <f ca="1">-OFFSET(Income!$C$6,MATCH(Charts!$E44,Income!$C$6:$C$122,0)-1,MATCH(Charts!N$3,Income!$C$5:$ET$5,0)-1)</f>
        <v>90.49799999999999</v>
      </c>
      <c r="O44" s="1010">
        <f ca="1">-OFFSET(Income!$C$6,MATCH(Charts!$E44,Income!$C$6:$C$122,0)-1,MATCH(Charts!O$3,Income!$C$5:$ET$5,0)-1)</f>
        <v>108.008</v>
      </c>
      <c r="P44" s="1010">
        <f ca="1">-OFFSET(Income!$C$6,MATCH(Charts!$E44,Income!$C$6:$C$122,0)-1,MATCH(Charts!P$3,Income!$C$5:$ET$5,0)-1)</f>
        <v>120.33699999999999</v>
      </c>
      <c r="Q44" s="1010">
        <f ca="1">-OFFSET(Income!$C$6,MATCH(Charts!$E44,Income!$C$6:$C$122,0)-1,MATCH(Charts!Q$3,Income!$C$5:$ET$5,0)-1)</f>
        <v>158.119</v>
      </c>
      <c r="R44" s="1010">
        <f ca="1">-OFFSET(Income!$C$6,MATCH(Charts!$E44,Income!$C$6:$C$122,0)-1,MATCH(Charts!R$3,Income!$C$5:$ET$5,0)-1)</f>
        <v>140.191</v>
      </c>
      <c r="S44" s="1010">
        <f ca="1">-OFFSET(Income!$C$6,MATCH(Charts!$E44,Income!$C$6:$C$122,0)-1,MATCH(Charts!S$3,Income!$C$5:$ET$5,0)-1)</f>
        <v>157.214</v>
      </c>
      <c r="T44" s="1010">
        <f ca="1">-OFFSET(Income!$C$6,MATCH(Charts!$E44,Income!$C$6:$C$122,0)-1,MATCH(Charts!T$3,Income!$C$5:$ET$5,0)-1)</f>
        <v>173.85599999999999</v>
      </c>
      <c r="U44" s="1010">
        <f ca="1">-OFFSET(Income!$C$6,MATCH(Charts!$E44,Income!$C$6:$C$122,0)-1,MATCH(Charts!U$3,Income!$C$5:$ET$5,0)-1)</f>
        <v>241.26900000000001</v>
      </c>
      <c r="V44" s="1010">
        <f ca="1">-OFFSET(Income!$C$6,MATCH(Charts!$E44,Income!$C$6:$C$122,0)-1,MATCH(Charts!V$3,Income!$C$5:$ET$5,0)-1)</f>
        <v>213.05099999999999</v>
      </c>
      <c r="W44" s="1010">
        <f ca="1">-OFFSET(Income!$C$6,MATCH(Charts!$E44,Income!$C$6:$C$122,0)-1,MATCH(Charts!W$3,Income!$C$5:$ET$5,0)-1)</f>
        <v>339.30699999999996</v>
      </c>
      <c r="X44" s="1010">
        <f ca="1">-OFFSET(Income!$C$6,MATCH(Charts!$E44,Income!$C$6:$C$122,0)-1,MATCH(Charts!X$3,Income!$C$5:$ET$5,0)-1)</f>
        <v>362.25700000000001</v>
      </c>
      <c r="Y44" s="1010">
        <f ca="1">-OFFSET(Income!$C$6,MATCH(Charts!$E44,Income!$C$6:$C$122,0)-1,MATCH(Charts!Y$3,Income!$C$5:$ET$5,0)-1)</f>
        <v>473.35599999999999</v>
      </c>
      <c r="Z44" s="1010">
        <f ca="1">-OFFSET(Income!$C$6,MATCH(Charts!$E44,Income!$C$6:$C$122,0)-1,MATCH(Charts!Z$3,Income!$C$5:$ET$5,0)-1)</f>
        <v>429.93099999999998</v>
      </c>
      <c r="AA44" s="1010">
        <f ca="1">-OFFSET(Income!$C$6,MATCH(Charts!$E44,Income!$C$6:$C$122,0)-1,MATCH(Charts!AA$3,Income!$C$5:$ET$5,0)-1)</f>
        <v>498.58499999999998</v>
      </c>
      <c r="AB44" s="1010">
        <f ca="1">-OFFSET(Income!$C$6,MATCH(Charts!$E44,Income!$C$6:$C$122,0)-1,MATCH(Charts!AB$3,Income!$C$5:$ET$5,0)-1)</f>
        <v>514.83100000000002</v>
      </c>
      <c r="AC44" s="1010">
        <f ca="1">-OFFSET(Income!$C$6,MATCH(Charts!$E44,Income!$C$6:$C$122,0)-1,MATCH(Charts!AC$3,Income!$C$5:$ET$5,0)-1)</f>
        <v>687.36500000000001</v>
      </c>
      <c r="AD44" s="1010">
        <f ca="1">-OFFSET(Income!$C$6,MATCH(Charts!$E44,Income!$C$6:$C$122,0)-1,MATCH(Charts!AD$3,Income!$C$5:$ET$5,0)-1)</f>
        <v>565.98599999999999</v>
      </c>
      <c r="AE44" s="1010">
        <f ca="1">-OFFSET(Income!$C$6,MATCH(Charts!$E44,Income!$C$6:$C$122,0)-1,MATCH(Charts!AE$3,Income!$C$5:$ET$5,0)-1)</f>
        <v>639.42100000000005</v>
      </c>
      <c r="AF44" s="1010">
        <f ca="1">-OFFSET(Income!$C$6,MATCH(Charts!$E44,Income!$C$6:$C$122,0)-1,MATCH(Charts!AF$3,Income!$C$5:$ET$5,0)-1)</f>
        <v>703.86799999999994</v>
      </c>
      <c r="AG44" s="1010">
        <f ca="1">-OFFSET(Income!$C$6,MATCH(Charts!$E44,Income!$C$6:$C$122,0)-1,MATCH(Charts!AG$3,Income!$C$5:$ET$5,0)-1)</f>
        <v>936.46999999999991</v>
      </c>
      <c r="AH44" s="1010">
        <f ca="1">-OFFSET(Income!$C$6,MATCH(Charts!$E44,Income!$C$6:$C$122,0)-1,MATCH(Charts!AH$3,Income!$C$5:$ET$5,0)-1)</f>
        <v>791</v>
      </c>
      <c r="AI44" s="1010">
        <f ca="1">-OFFSET(Income!$C$6,MATCH(Charts!$E44,Income!$C$6:$C$122,0)-1,MATCH(Charts!AI$3,Income!$C$5:$ET$5,0)-1)</f>
        <v>859</v>
      </c>
      <c r="AJ44" s="1010">
        <f ca="1">-OFFSET(Income!$C$6,MATCH(Charts!$E44,Income!$C$6:$C$122,0)-1,MATCH(Charts!AJ$3,Income!$C$5:$ET$5,0)-1)</f>
        <v>813</v>
      </c>
      <c r="AK44" s="1010">
        <f ca="1">-OFFSET(Income!$C$6,MATCH(Charts!$E44,Income!$C$6:$C$122,0)-1,MATCH(Charts!AK$3,Income!$C$5:$ET$5,0)-1)</f>
        <v>1082</v>
      </c>
      <c r="AL44" s="1010">
        <f ca="1">-OFFSET(Income!$C$6,MATCH(Charts!$E44,Income!$C$6:$C$122,0)-1,MATCH(Charts!AL$3,Income!$C$5:$ET$5,0)-1)</f>
        <v>904</v>
      </c>
      <c r="AM44" s="1010">
        <f ca="1">-OFFSET(Income!$C$6,MATCH(Charts!$E44,Income!$C$6:$C$122,0)-1,MATCH(Charts!AM$3,Income!$C$5:$ET$5,0)-1)</f>
        <v>1000</v>
      </c>
      <c r="AN44" s="1010">
        <f ca="1">-OFFSET(Income!$C$6,MATCH(Charts!$E44,Income!$C$6:$C$122,0)-1,MATCH(Charts!AN$3,Income!$C$5:$ET$5,0)-1)</f>
        <v>1044</v>
      </c>
      <c r="AO44" s="1010">
        <f ca="1">-OFFSET(Income!$C$6,MATCH(Charts!$E44,Income!$C$6:$C$122,0)-1,MATCH(Charts!AO$3,Income!$C$5:$ET$5,0)-1)</f>
        <v>1460</v>
      </c>
      <c r="AP44" s="1010">
        <f ca="1">-OFFSET(Income!$C$6,MATCH(Charts!$E44,Income!$C$6:$C$122,0)-1,MATCH(Charts!AP$3,Income!$C$5:$ET$5,0)-1)</f>
        <v>1191</v>
      </c>
      <c r="AQ44" s="1010">
        <f ca="1">-OFFSET(Income!$C$6,MATCH(Charts!$E44,Income!$C$6:$C$122,0)-1,MATCH(Charts!AQ$3,Income!$C$5:$ET$5,0)-1)</f>
        <v>1378</v>
      </c>
      <c r="AR44" s="1010">
        <f ca="1">-OFFSET(Income!$C$6,MATCH(Charts!$E44,Income!$C$6:$C$122,0)-1,MATCH(Charts!AR$3,Income!$C$5:$ET$5,0)-1)</f>
        <v>1453</v>
      </c>
      <c r="AS44" s="1010">
        <f ca="1">-OFFSET(Income!$C$6,MATCH(Charts!$E44,Income!$C$6:$C$122,0)-1,MATCH(Charts!AS$3,Income!$C$5:$ET$5,0)-1)</f>
        <v>1979</v>
      </c>
      <c r="AT44" s="1010">
        <f ca="1">-OFFSET(Income!$C$6,MATCH(Charts!$E44,Income!$C$6:$C$122,0)-1,MATCH(Charts!AT$3,Income!$C$5:$ET$5,0)-1)</f>
        <v>1624</v>
      </c>
      <c r="AU44" s="1010">
        <f ca="1">-OFFSET(Income!$C$6,MATCH(Charts!$E44,Income!$C$6:$C$122,0)-1,MATCH(Charts!AU$3,Income!$C$5:$ET$5,0)-1)</f>
        <v>1875</v>
      </c>
      <c r="AV44" s="1010">
        <f ca="1">-OFFSET(Income!$C$6,MATCH(Charts!$E44,Income!$C$6:$C$122,0)-1,MATCH(Charts!AV$3,Income!$C$5:$ET$5,0)-1)</f>
        <v>1912.6336780269271</v>
      </c>
      <c r="AW44" s="1010">
        <f ca="1">-OFFSET(Income!$C$6,MATCH(Charts!$E44,Income!$C$6:$C$122,0)-1,MATCH(Charts!AW$3,Income!$C$5:$ET$5,0)-1)</f>
        <v>2584.4431692772546</v>
      </c>
      <c r="AX44" s="1010">
        <f ca="1">-OFFSET(Income!$C$6,MATCH(Charts!$E44,Income!$C$6:$C$122,0)-1,MATCH(Charts!AX$3,Income!$C$5:$ET$5,0)-1)</f>
        <v>2090.0253088231834</v>
      </c>
      <c r="AY44" s="1010">
        <f ca="1">-OFFSET(Income!$C$6,MATCH(Charts!$E44,Income!$C$6:$C$122,0)-1,MATCH(Charts!AY$3,Income!$C$5:$ET$5,0)-1)</f>
        <v>2396.8236450479944</v>
      </c>
      <c r="AZ44" s="1010">
        <f ca="1">-OFFSET(Income!$C$6,MATCH(Charts!$E44,Income!$C$6:$C$122,0)-1,MATCH(Charts!AZ$3,Income!$C$5:$ET$5,0)-1)</f>
        <v>2410.3826969844163</v>
      </c>
      <c r="BA44" s="1010">
        <f ca="1">-OFFSET(Income!$C$6,MATCH(Charts!$E44,Income!$C$6:$C$122,0)-1,MATCH(Charts!BA$3,Income!$C$5:$ET$5,0)-1)</f>
        <v>3234.498000301041</v>
      </c>
      <c r="BB44" s="1010">
        <f ca="1">-OFFSET(Income!$C$6,MATCH(Charts!$E44,Income!$C$6:$C$122,0)-1,MATCH(Charts!BB$3,Income!$C$5:$ET$5,0)-1)</f>
        <v>2533.2040901348382</v>
      </c>
      <c r="BC44" s="1010">
        <f ca="1">-OFFSET(Income!$C$6,MATCH(Charts!$E44,Income!$C$6:$C$122,0)-1,MATCH(Charts!BC$3,Income!$C$5:$ET$5,0)-1)</f>
        <v>2904.0055715209114</v>
      </c>
      <c r="BD44" s="1010">
        <f ca="1">-OFFSET(Income!$C$6,MATCH(Charts!$E44,Income!$C$6:$C$122,0)-1,MATCH(Charts!BD$3,Income!$C$5:$ET$5,0)-1)</f>
        <v>2919.937937038479</v>
      </c>
      <c r="BE44" s="1010">
        <f ca="1">-OFFSET(Income!$C$6,MATCH(Charts!$E44,Income!$C$6:$C$122,0)-1,MATCH(Charts!BE$3,Income!$C$5:$ET$5,0)-1)</f>
        <v>3918.2202398962554</v>
      </c>
      <c r="BF44" s="1010">
        <f ca="1">-OFFSET(Income!$C$6,MATCH(Charts!$E44,Income!$C$6:$C$122,0)-1,MATCH(Charts!BF$3,Income!$C$5:$ET$5,0)-1)</f>
        <v>3007.6545937471883</v>
      </c>
      <c r="BG44" s="1010">
        <f ca="1">-OFFSET(Income!$C$6,MATCH(Charts!$E44,Income!$C$6:$C$122,0)-1,MATCH(Charts!BG$3,Income!$C$5:$ET$5,0)-1)</f>
        <v>3447.9543795014183</v>
      </c>
      <c r="BH44" s="1010">
        <f ca="1">-OFFSET(Income!$C$6,MATCH(Charts!$E44,Income!$C$6:$C$122,0)-1,MATCH(Charts!BH$3,Income!$C$5:$ET$5,0)-1)</f>
        <v>3467.4995360940193</v>
      </c>
      <c r="BI44" s="1010">
        <f ca="1">-OFFSET(Income!$C$6,MATCH(Charts!$E44,Income!$C$6:$C$122,0)-1,MATCH(Charts!BI$3,Income!$C$5:$ET$5,0)-1)</f>
        <v>4653.4691620161639</v>
      </c>
      <c r="BJ44" s="1010">
        <f ca="1">-OFFSET(Income!$C$6,MATCH(Charts!$E44,Income!$C$6:$C$122,0)-1,MATCH(Charts!BJ$3,Income!$C$5:$ET$5,0)-1)</f>
        <v>3528.6953456002043</v>
      </c>
      <c r="BK44" s="1010">
        <f ca="1">-OFFSET(Income!$C$6,MATCH(Charts!$E44,Income!$C$6:$C$122,0)-1,MATCH(Charts!BK$3,Income!$C$5:$ET$5,0)-1)</f>
        <v>4045.1481936878095</v>
      </c>
      <c r="BL44" s="1010">
        <f ca="1">-OFFSET(Income!$C$6,MATCH(Charts!$E44,Income!$C$6:$C$122,0)-1,MATCH(Charts!BL$3,Income!$C$5:$ET$5,0)-1)</f>
        <v>4068.6586668177388</v>
      </c>
      <c r="BM44" s="1010">
        <f ca="1">-OFFSET(Income!$C$6,MATCH(Charts!$E44,Income!$C$6:$C$122,0)-1,MATCH(Charts!BM$3,Income!$C$5:$ET$5,0)-1)</f>
        <v>5459.9221623136445</v>
      </c>
      <c r="BN44" s="889"/>
      <c r="BO44" s="889"/>
      <c r="BP44" s="889"/>
      <c r="BQ44" s="889"/>
      <c r="BR44" s="889"/>
      <c r="BS44" s="889"/>
      <c r="BT44" s="889"/>
      <c r="BU44" s="889"/>
      <c r="BV44" s="889"/>
      <c r="BW44" s="889"/>
      <c r="BX44" s="889"/>
      <c r="BY44" s="889"/>
      <c r="BZ44" s="889"/>
      <c r="CA44" s="889"/>
      <c r="CB44" s="889"/>
      <c r="CC44" s="889"/>
      <c r="CD44" s="889"/>
      <c r="CE44" s="889"/>
      <c r="CF44" s="889"/>
      <c r="CG44" s="889"/>
      <c r="CH44" s="889"/>
      <c r="CI44" s="889"/>
      <c r="CJ44" s="889"/>
      <c r="CK44" s="889"/>
      <c r="CL44" s="889"/>
      <c r="CM44" s="889"/>
      <c r="CN44" s="889"/>
      <c r="CO44" s="889"/>
      <c r="CP44" s="889"/>
      <c r="CQ44" s="889"/>
      <c r="CR44" s="889"/>
      <c r="CS44" s="889" t="str">
        <f t="shared" si="57"/>
        <v>Total Cost of Revenue</v>
      </c>
      <c r="CT44" s="1015">
        <f ca="1">-OFFSET(Income!$C$6,MATCH(Charts!$E44,Income!$C$6:$C$122,0)-1,MATCH(Charts!CT$4,Income!$C$4:$ET$4,0)-1)</f>
        <v>179.83499999999998</v>
      </c>
      <c r="CU44" s="1015">
        <f ca="1">-OFFSET(Income!$C$6,MATCH(Charts!$E44,Income!$C$6:$C$122,0)-1,MATCH(Charts!CU$4,Income!$C$4:$ET$4,0)-1)</f>
        <v>293.05099999999999</v>
      </c>
      <c r="CV44" s="1015">
        <f ca="1">-OFFSET(Income!$C$6,MATCH(Charts!$E44,Income!$C$6:$C$122,0)-1,MATCH(Charts!CV$4,Income!$C$4:$ET$4,0)-1)</f>
        <v>476.96199999999999</v>
      </c>
      <c r="CW44" s="1015">
        <f ca="1">-OFFSET(Income!$C$6,MATCH(Charts!$E44,Income!$C$6:$C$122,0)-1,MATCH(Charts!CW$4,Income!$C$4:$ET$4,0)-1)</f>
        <v>712.53</v>
      </c>
      <c r="CX44" s="1015">
        <f ca="1">-OFFSET(Income!$C$6,MATCH(Charts!$E44,Income!$C$6:$C$122,0)-1,MATCH(Charts!CX$4,Income!$C$4:$ET$4,0)-1)</f>
        <v>1387.9709999999998</v>
      </c>
      <c r="CY44" s="1015">
        <f ca="1">-OFFSET(Income!$C$6,MATCH(Charts!$E44,Income!$C$6:$C$122,0)-1,MATCH(Charts!CY$4,Income!$C$4:$ET$4,0)-1)</f>
        <v>2130.712</v>
      </c>
      <c r="CZ44" s="1015">
        <f ca="1">-OFFSET(Income!$C$6,MATCH(Charts!$E44,Income!$C$6:$C$122,0)-1,MATCH(Charts!CZ$4,Income!$C$4:$ET$4,0)-1)</f>
        <v>2845.7450000000003</v>
      </c>
      <c r="DA44" s="1015">
        <f ca="1">-OFFSET(Income!$C$6,MATCH(Charts!$E44,Income!$C$6:$C$122,0)-1,MATCH(Charts!DA$4,Income!$C$4:$ET$4,0)-1)</f>
        <v>3545</v>
      </c>
      <c r="DB44" s="1015">
        <f ca="1">-OFFSET(Income!$C$6,MATCH(Charts!$E44,Income!$C$6:$C$122,0)-1,MATCH(Charts!DB$4,Income!$C$4:$ET$4,0)-1)</f>
        <v>4408</v>
      </c>
      <c r="DC44" s="1015" t="e">
        <f ca="1">-OFFSET(Income!$C$6,MATCH(Charts!$E44,Income!$C$6:$C$122,0)-1,MATCH(Charts!DC$4,Income!$C$4:$ET$4,0)-1)</f>
        <v>#N/A</v>
      </c>
      <c r="DD44" s="1015">
        <f ca="1">-OFFSET(Income!$C$6,MATCH(Charts!$E44,Income!$C$6:$C$122,0)-1,MATCH(Charts!DD$4,Income!$C$4:$ET$4,0)-1)</f>
        <v>7996.0768473041817</v>
      </c>
      <c r="DE44" s="1015">
        <f ca="1">-OFFSET(Income!$C$6,MATCH(Charts!$E44,Income!$C$6:$C$122,0)-1,MATCH(Charts!DE$4,Income!$C$4:$ET$4,0)-1)</f>
        <v>10131.729651156633</v>
      </c>
      <c r="DF44" s="1015">
        <f ca="1">-OFFSET(Income!$C$6,MATCH(Charts!$E44,Income!$C$6:$C$122,0)-1,MATCH(Charts!DF$4,Income!$C$4:$ET$4,0)-1)</f>
        <v>12275.367838590484</v>
      </c>
      <c r="DG44" s="1015">
        <f ca="1">-OFFSET(Income!$C$6,MATCH(Charts!$E44,Income!$C$6:$C$122,0)-1,MATCH(Charts!DG$4,Income!$C$4:$ET$4,0)-1)</f>
        <v>14576.577671358789</v>
      </c>
      <c r="DH44" s="1015">
        <f ca="1">-OFFSET(Income!$C$6,MATCH(Charts!$E44,Income!$C$6:$C$122,0)-1,MATCH(Charts!DH$4,Income!$C$4:$ET$4,0)-1)</f>
        <v>17102.424368419397</v>
      </c>
      <c r="DI44" s="7"/>
    </row>
    <row r="45" spans="1:145">
      <c r="E45" s="669" t="str">
        <f>Income!C19</f>
        <v>% of total revenue</v>
      </c>
      <c r="F45" s="1008">
        <f ca="1">OFFSET(Income!$C$6,MATCH(Charts!$E44,Income!$C$6:$C$122,0)+0,MATCH(Charts!F$3,Income!$C$5:$ET$5,0)-1)</f>
        <v>0.44879128736833418</v>
      </c>
      <c r="G45" s="1008">
        <f ca="1">OFFSET(Income!$C$6,MATCH(Charts!$E44,Income!$C$6:$C$122,0)+0,MATCH(Charts!G$3,Income!$C$5:$ET$5,0)-1)</f>
        <v>0.45153323254123057</v>
      </c>
      <c r="H45" s="1008">
        <f ca="1">OFFSET(Income!$C$6,MATCH(Charts!$E44,Income!$C$6:$C$122,0)+0,MATCH(Charts!H$3,Income!$C$5:$ET$5,0)-1)</f>
        <v>0.46020205266223463</v>
      </c>
      <c r="I45" s="1008">
        <f ca="1">OFFSET(Income!$C$6,MATCH(Charts!$E44,Income!$C$6:$C$122,0)+0,MATCH(Charts!I$3,Income!$C$5:$ET$5,0)-1)</f>
        <v>0.47742420407568481</v>
      </c>
      <c r="J45" s="1008">
        <f ca="1">OFFSET(Income!$C$6,MATCH(Charts!$E44,Income!$C$6:$C$122,0)+0,MATCH(Charts!J$3,Income!$C$5:$ET$5,0)-1)</f>
        <v>0.43286569999764479</v>
      </c>
      <c r="K45" s="1008">
        <f ca="1">OFFSET(Income!$C$6,MATCH(Charts!$E44,Income!$C$6:$C$122,0)+0,MATCH(Charts!K$3,Income!$C$5:$ET$5,0)-1)</f>
        <v>0.42738452408427019</v>
      </c>
      <c r="L45" s="1008">
        <f ca="1">OFFSET(Income!$C$6,MATCH(Charts!$E44,Income!$C$6:$C$122,0)+0,MATCH(Charts!L$3,Income!$C$5:$ET$5,0)-1)</f>
        <v>0.41660251026502421</v>
      </c>
      <c r="M45" s="1008">
        <f ca="1">OFFSET(Income!$C$6,MATCH(Charts!$E44,Income!$C$6:$C$122,0)+0,MATCH(Charts!M$3,Income!$C$5:$ET$5,0)-1)</f>
        <v>0.45629538538870995</v>
      </c>
      <c r="N45" s="1008">
        <f ca="1">OFFSET(Income!$C$6,MATCH(Charts!$E44,Income!$C$6:$C$122,0)+0,MATCH(Charts!N$3,Income!$C$5:$ET$5,0)-1)</f>
        <v>0.42221703835028462</v>
      </c>
      <c r="O45" s="1008">
        <f ca="1">OFFSET(Income!$C$6,MATCH(Charts!$E44,Income!$C$6:$C$122,0)+0,MATCH(Charts!O$3,Income!$C$5:$ET$5,0)-1)</f>
        <v>0.44091556684070654</v>
      </c>
      <c r="P45" s="1008">
        <f ca="1">OFFSET(Income!$C$6,MATCH(Charts!$E44,Income!$C$6:$C$122,0)+0,MATCH(Charts!P$3,Income!$C$5:$ET$5,0)-1)</f>
        <v>0.44558697197701286</v>
      </c>
      <c r="Q45" s="1008">
        <f ca="1">OFFSET(Income!$C$6,MATCH(Charts!$E44,Income!$C$6:$C$122,0)+0,MATCH(Charts!Q$3,Income!$C$5:$ET$5,0)-1)</f>
        <v>0.45983272359260408</v>
      </c>
      <c r="R45" s="1008">
        <f ca="1">OFFSET(Income!$C$6,MATCH(Charts!$E44,Income!$C$6:$C$122,0)+0,MATCH(Charts!R$3,Income!$C$5:$ET$5,0)-1)</f>
        <v>0.43743798403654499</v>
      </c>
      <c r="S45" s="1008">
        <f ca="1">OFFSET(Income!$C$6,MATCH(Charts!$E44,Income!$C$6:$C$122,0)+0,MATCH(Charts!S$3,Income!$C$5:$ET$5,0)-1)</f>
        <v>0.43431801292340166</v>
      </c>
      <c r="T45" s="1008">
        <f ca="1">OFFSET(Income!$C$6,MATCH(Charts!$E44,Income!$C$6:$C$122,0)+0,MATCH(Charts!T$3,Income!$C$5:$ET$5,0)-1)</f>
        <v>0.44515455048239411</v>
      </c>
      <c r="U45" s="1008">
        <f ca="1">OFFSET(Income!$C$6,MATCH(Charts!$E44,Income!$C$6:$C$122,0)+0,MATCH(Charts!U$3,Income!$C$5:$ET$5,0)-1)</f>
        <v>0.47760907435268035</v>
      </c>
      <c r="V45" s="1008">
        <f ca="1">OFFSET(Income!$C$6,MATCH(Charts!$E44,Income!$C$6:$C$122,0)+0,MATCH(Charts!V$3,Income!$C$5:$ET$5,0)-1)</f>
        <v>0.45329903553396694</v>
      </c>
      <c r="W45" s="1008">
        <f ca="1">OFFSET(Income!$C$6,MATCH(Charts!$E44,Income!$C$6:$C$122,0)+0,MATCH(Charts!W$3,Income!$C$5:$ET$5,0)-1)</f>
        <v>0.4749930355390492</v>
      </c>
      <c r="X45" s="1008">
        <f ca="1">OFFSET(Income!$C$6,MATCH(Charts!$E44,Income!$C$6:$C$122,0)+0,MATCH(Charts!X$3,Income!$C$5:$ET$5,0)-1)</f>
        <v>0.47205452140655851</v>
      </c>
      <c r="Y45" s="1008">
        <f ca="1">OFFSET(Income!$C$6,MATCH(Charts!$E44,Income!$C$6:$C$122,0)+0,MATCH(Charts!Y$3,Income!$C$5:$ET$5,0)-1)</f>
        <v>0.48413081542816938</v>
      </c>
      <c r="Z45" s="1008">
        <f ca="1">OFFSET(Income!$C$6,MATCH(Charts!$E44,Income!$C$6:$C$122,0)+0,MATCH(Charts!Z$3,Income!$C$5:$ET$5,0)-1)</f>
        <v>0.43486805705170806</v>
      </c>
      <c r="AA45" s="1008">
        <f ca="1">OFFSET(Income!$C$6,MATCH(Charts!$E44,Income!$C$6:$C$122,0)+0,MATCH(Charts!AA$3,Income!$C$5:$ET$5,0)-1)</f>
        <v>0.44538588318318451</v>
      </c>
      <c r="AB45" s="1008">
        <f ca="1">OFFSET(Income!$C$6,MATCH(Charts!$E44,Income!$C$6:$C$122,0)+0,MATCH(Charts!AB$3,Income!$C$5:$ET$5,0)-1)</f>
        <v>0.45814067310943812</v>
      </c>
      <c r="AC45" s="1008">
        <f ca="1">OFFSET(Income!$C$6,MATCH(Charts!$E44,Income!$C$6:$C$122,0)+0,MATCH(Charts!AC$3,Income!$C$5:$ET$5,0)-1)</f>
        <v>0.49808191741592894</v>
      </c>
      <c r="AD45" s="1008">
        <f ca="1">OFFSET(Income!$C$6,MATCH(Charts!$E44,Income!$C$6:$C$122,0)+0,MATCH(Charts!AD$3,Income!$C$5:$ET$5,0)-1)</f>
        <v>0.47023528131316861</v>
      </c>
      <c r="AE45" s="1008">
        <f ca="1">OFFSET(Income!$C$6,MATCH(Charts!$E44,Income!$C$6:$C$122,0)+0,MATCH(Charts!AE$3,Income!$C$5:$ET$5,0)-1)</f>
        <v>0.49373737030553727</v>
      </c>
      <c r="AF45" s="1008">
        <f ca="1">OFFSET(Income!$C$6,MATCH(Charts!$E44,Income!$C$6:$C$122,0)+0,MATCH(Charts!AF$3,Income!$C$5:$ET$5,0)-1)</f>
        <v>0.51520128824476641</v>
      </c>
      <c r="AG45" s="1008">
        <f ca="1">OFFSET(Income!$C$6,MATCH(Charts!$E44,Income!$C$6:$C$122,0)+0,MATCH(Charts!AG$3,Income!$C$5:$ET$5,0)-1)</f>
        <v>0.53975900558969614</v>
      </c>
      <c r="AH45" s="1008">
        <f ca="1">OFFSET(Income!$C$6,MATCH(Charts!$E44,Income!$C$6:$C$122,0)+0,MATCH(Charts!AH$3,Income!$C$5:$ET$5,0)-1)</f>
        <v>0.52453580901856767</v>
      </c>
      <c r="AI45" s="1008">
        <f ca="1">OFFSET(Income!$C$6,MATCH(Charts!$E44,Income!$C$6:$C$122,0)+0,MATCH(Charts!AI$3,Income!$C$5:$ET$5,0)-1)</f>
        <v>0.50708382526564344</v>
      </c>
      <c r="AJ45" s="1008">
        <f ca="1">OFFSET(Income!$C$6,MATCH(Charts!$E44,Income!$C$6:$C$122,0)+0,MATCH(Charts!AJ$3,Income!$C$5:$ET$5,0)-1)</f>
        <v>0.47432905484247373</v>
      </c>
      <c r="AK45" s="1008">
        <f ca="1">OFFSET(Income!$C$6,MATCH(Charts!$E44,Income!$C$6:$C$122,0)+0,MATCH(Charts!AK$3,Income!$C$5:$ET$5,0)-1)</f>
        <v>0.50466417910447758</v>
      </c>
      <c r="AL45" s="1008">
        <f ca="1">OFFSET(Income!$C$6,MATCH(Charts!$E44,Income!$C$6:$C$122,0)+0,MATCH(Charts!AL$3,Income!$C$5:$ET$5,0)-1)</f>
        <v>0.48576034390112843</v>
      </c>
      <c r="AM45" s="1008">
        <f ca="1">OFFSET(Income!$C$6,MATCH(Charts!$E44,Income!$C$6:$C$122,0)+0,MATCH(Charts!AM$3,Income!$C$5:$ET$5,0)-1)</f>
        <v>0.48899755501222492</v>
      </c>
      <c r="AN45" s="1008">
        <f ca="1">OFFSET(Income!$C$6,MATCH(Charts!$E44,Income!$C$6:$C$122,0)+0,MATCH(Charts!AN$3,Income!$C$5:$ET$5,0)-1)</f>
        <v>0.48288621646623497</v>
      </c>
      <c r="AO45" s="1008">
        <f ca="1">OFFSET(Income!$C$6,MATCH(Charts!$E44,Income!$C$6:$C$122,0)+0,MATCH(Charts!AO$3,Income!$C$5:$ET$5,0)-1)</f>
        <v>0.51920341394025604</v>
      </c>
      <c r="AP45" s="1008">
        <f ca="1">OFFSET(Income!$C$6,MATCH(Charts!$E44,Income!$C$6:$C$122,0)+0,MATCH(Charts!AP$3,Income!$C$5:$ET$5,0)-1)</f>
        <v>0.50466101694915255</v>
      </c>
      <c r="AQ45" s="1008">
        <f ca="1">OFFSET(Income!$C$6,MATCH(Charts!$E44,Income!$C$6:$C$122,0)+0,MATCH(Charts!AQ$3,Income!$C$5:$ET$5,0)-1)</f>
        <v>0.51417910447761195</v>
      </c>
      <c r="AR45" s="1008">
        <f ca="1">OFFSET(Income!$C$6,MATCH(Charts!$E44,Income!$C$6:$C$122,0)+0,MATCH(Charts!AR$3,Income!$C$5:$ET$5,0)-1)</f>
        <v>0.51090014064697609</v>
      </c>
      <c r="AS45" s="1008">
        <f ca="1">OFFSET(Income!$C$6,MATCH(Charts!$E44,Income!$C$6:$C$122,0)+0,MATCH(Charts!AS$3,Income!$C$5:$ET$5,0)-1)</f>
        <v>0.53894335511982572</v>
      </c>
      <c r="AT45" s="1008">
        <f ca="1">OFFSET(Income!$C$6,MATCH(Charts!$E44,Income!$C$6:$C$122,0)+0,MATCH(Charts!AT$3,Income!$C$5:$ET$5,0)-1)</f>
        <v>0.51230283911671926</v>
      </c>
      <c r="AU45" s="1008">
        <f ca="1">OFFSET(Income!$C$6,MATCH(Charts!$E44,Income!$C$6:$C$122,0)+0,MATCH(Charts!AU$3,Income!$C$5:$ET$5,0)-1)</f>
        <v>0.5233044934412503</v>
      </c>
      <c r="AV45" s="1008">
        <f ca="1">OFFSET(Income!$C$6,MATCH(Charts!$E44,Income!$C$6:$C$122,0)+0,MATCH(Charts!AV$3,Income!$C$5:$ET$5,0)-1)</f>
        <v>0.51568430524314668</v>
      </c>
      <c r="AW45" s="1008">
        <f ca="1">OFFSET(Income!$C$6,MATCH(Charts!$E44,Income!$C$6:$C$122,0)+0,MATCH(Charts!AW$3,Income!$C$5:$ET$5,0)-1)</f>
        <v>0.54412056820192622</v>
      </c>
      <c r="AX45" s="1008">
        <f ca="1">OFFSET(Income!$C$6,MATCH(Charts!$E44,Income!$C$6:$C$122,0)+0,MATCH(Charts!AX$3,Income!$C$5:$ET$5,0)-1)</f>
        <v>0.51795844937711444</v>
      </c>
      <c r="AY45" s="1008">
        <f ca="1">OFFSET(Income!$C$6,MATCH(Charts!$E44,Income!$C$6:$C$122,0)+0,MATCH(Charts!AY$3,Income!$C$5:$ET$5,0)-1)</f>
        <v>0.52773186563346763</v>
      </c>
      <c r="AZ45" s="1008">
        <f ca="1">OFFSET(Income!$C$6,MATCH(Charts!$E44,Income!$C$6:$C$122,0)+0,MATCH(Charts!AZ$3,Income!$C$5:$ET$5,0)-1)</f>
        <v>0.51929146893888567</v>
      </c>
      <c r="BA45" s="1008">
        <f ca="1">OFFSET(Income!$C$6,MATCH(Charts!$E44,Income!$C$6:$C$122,0)+0,MATCH(Charts!BA$3,Income!$C$5:$ET$5,0)-1)</f>
        <v>0.5467616312397372</v>
      </c>
      <c r="BB45" s="1008">
        <f ca="1">OFFSET(Income!$C$6,MATCH(Charts!$E44,Income!$C$6:$C$122,0)+0,MATCH(Charts!BB$3,Income!$C$5:$ET$5,0)-1)</f>
        <v>0.51940720412916352</v>
      </c>
      <c r="BC45" s="1008">
        <f ca="1">OFFSET(Income!$C$6,MATCH(Charts!$E44,Income!$C$6:$C$122,0)+0,MATCH(Charts!BC$3,Income!$C$5:$ET$5,0)-1)</f>
        <v>0.5294402840238025</v>
      </c>
      <c r="BD45" s="1008">
        <f ca="1">OFFSET(Income!$C$6,MATCH(Charts!$E44,Income!$C$6:$C$122,0)+0,MATCH(Charts!BD$3,Income!$C$5:$ET$5,0)-1)</f>
        <v>0.52153815812361437</v>
      </c>
      <c r="BE45" s="1008">
        <f ca="1">OFFSET(Income!$C$6,MATCH(Charts!$E44,Income!$C$6:$C$122,0)+0,MATCH(Charts!BE$3,Income!$C$5:$ET$5,0)-1)</f>
        <v>0.54904306815315318</v>
      </c>
      <c r="BF45" s="1008">
        <f ca="1">OFFSET(Income!$C$6,MATCH(Charts!$E44,Income!$C$6:$C$122,0)+0,MATCH(Charts!BF$3,Income!$C$5:$ET$5,0)-1)</f>
        <v>0.52036853676402772</v>
      </c>
      <c r="BG45" s="1008">
        <f ca="1">OFFSET(Income!$C$6,MATCH(Charts!$E44,Income!$C$6:$C$122,0)+0,MATCH(Charts!BG$3,Income!$C$5:$ET$5,0)-1)</f>
        <v>0.53034376067875066</v>
      </c>
      <c r="BH45" s="1008">
        <f ca="1">OFFSET(Income!$C$6,MATCH(Charts!$E44,Income!$C$6:$C$122,0)+0,MATCH(Charts!BH$3,Income!$C$5:$ET$5,0)-1)</f>
        <v>0.52255353611586397</v>
      </c>
      <c r="BI45" s="1008">
        <f ca="1">OFFSET(Income!$C$6,MATCH(Charts!$E44,Income!$C$6:$C$122,0)+0,MATCH(Charts!BI$3,Income!$C$5:$ET$5,0)-1)</f>
        <v>0.5498869515647824</v>
      </c>
      <c r="BJ45" s="1008">
        <f ca="1">OFFSET(Income!$C$6,MATCH(Charts!$E44,Income!$C$6:$C$122,0)+0,MATCH(Charts!BJ$3,Income!$C$5:$ET$5,0)-1)</f>
        <v>0.52042251322535205</v>
      </c>
      <c r="BK45" s="1008">
        <f ca="1">OFFSET(Income!$C$6,MATCH(Charts!$E44,Income!$C$6:$C$122,0)+0,MATCH(Charts!BK$3,Income!$C$5:$ET$5,0)-1)</f>
        <v>0.53037218310839918</v>
      </c>
      <c r="BL45" s="1008">
        <f ca="1">OFFSET(Income!$C$6,MATCH(Charts!$E44,Income!$C$6:$C$122,0)+0,MATCH(Charts!BL$3,Income!$C$5:$ET$5,0)-1)</f>
        <v>0.52262282408684924</v>
      </c>
      <c r="BM45" s="1008">
        <f ca="1">OFFSET(Income!$C$6,MATCH(Charts!$E44,Income!$C$6:$C$122,0)+0,MATCH(Charts!BM$3,Income!$C$5:$ET$5,0)-1)</f>
        <v>0.54988020484464428</v>
      </c>
      <c r="BN45" s="889"/>
      <c r="BO45" s="889"/>
      <c r="BP45" s="889"/>
      <c r="BQ45" s="889"/>
      <c r="BR45" s="889"/>
      <c r="BS45" s="889"/>
      <c r="BT45" s="889"/>
      <c r="BU45" s="889"/>
      <c r="BV45" s="889"/>
      <c r="BW45" s="889"/>
      <c r="BX45" s="889"/>
      <c r="BY45" s="889"/>
      <c r="BZ45" s="889"/>
      <c r="CA45" s="889"/>
      <c r="CB45" s="889"/>
      <c r="CC45" s="889"/>
      <c r="CD45" s="889"/>
      <c r="CE45" s="889"/>
      <c r="CF45" s="889"/>
      <c r="CG45" s="889"/>
      <c r="CH45" s="889"/>
      <c r="CI45" s="889"/>
      <c r="CJ45" s="889"/>
      <c r="CK45" s="889"/>
      <c r="CL45" s="889"/>
      <c r="CM45" s="889"/>
      <c r="CN45" s="889"/>
      <c r="CO45" s="889"/>
      <c r="CP45" s="889"/>
      <c r="CQ45" s="889"/>
      <c r="CR45" s="889"/>
      <c r="CS45" s="889" t="str">
        <f t="shared" si="57"/>
        <v>% of total revenue</v>
      </c>
      <c r="CT45" s="1008">
        <f ca="1">OFFSET(Income!$C$6,MATCH(Charts!$E44,Income!$C$6:$C$122,0)+0,MATCH(Charts!CT$4,Income!$C$4:$ET$4,0)-1)</f>
        <v>0.46190892045308601</v>
      </c>
      <c r="CU45" s="1008">
        <f ca="1">OFFSET(Income!$C$6,MATCH(Charts!$E44,Income!$C$6:$C$122,0)+0,MATCH(Charts!CU$4,Income!$C$4:$ET$4,0)-1)</f>
        <v>0.4352432185164502</v>
      </c>
      <c r="CV45" s="1008">
        <f ca="1">OFFSET(Income!$C$6,MATCH(Charts!$E44,Income!$C$6:$C$122,0)+0,MATCH(Charts!CV$4,Income!$C$4:$ET$4,0)-1)</f>
        <v>0.44441773377350041</v>
      </c>
      <c r="CW45" s="1008">
        <f ca="1">OFFSET(Income!$C$6,MATCH(Charts!$E44,Income!$C$6:$C$122,0)+0,MATCH(Charts!CW$4,Income!$C$4:$ET$4,0)-1)</f>
        <v>0.45149042595456895</v>
      </c>
      <c r="CX45" s="1008">
        <f ca="1">OFFSET(Income!$C$6,MATCH(Charts!$E44,Income!$C$6:$C$122,0)+0,MATCH(Charts!CX$4,Income!$C$4:$ET$4,0)-1)</f>
        <v>0.47379254621365957</v>
      </c>
      <c r="CY45" s="1008">
        <f ca="1">OFFSET(Income!$C$6,MATCH(Charts!$E44,Income!$C$6:$C$122,0)+0,MATCH(Charts!CY$4,Income!$C$4:$ET$4,0)-1)</f>
        <v>0.46200748679056763</v>
      </c>
      <c r="CZ45" s="1008">
        <f ca="1">OFFSET(Income!$C$6,MATCH(Charts!$E44,Income!$C$6:$C$122,0)+0,MATCH(Charts!CZ$4,Income!$C$4:$ET$4,0)-1)</f>
        <v>0.5081810915407946</v>
      </c>
      <c r="DA45" s="1008">
        <f ca="1">OFFSET(Income!$C$6,MATCH(Charts!$E44,Income!$C$6:$C$122,0)+0,MATCH(Charts!DA$4,Income!$C$4:$ET$4,0)-1)</f>
        <v>0.50212464589235128</v>
      </c>
      <c r="DB45" s="1008">
        <f ca="1">OFFSET(Income!$C$6,MATCH(Charts!$E44,Income!$C$6:$C$122,0)+0,MATCH(Charts!DB$4,Income!$C$4:$ET$4,0)-1)</f>
        <v>0.49639639639639638</v>
      </c>
      <c r="DC45" s="1008" t="e">
        <f ca="1">OFFSET(Income!$C$6,MATCH(Charts!$E44,Income!$C$6:$C$122,0)+0,MATCH(Charts!DC$4,Income!$C$4:$ET$4,0)-1)</f>
        <v>#N/A</v>
      </c>
      <c r="DD45" s="1008">
        <f ca="1">OFFSET(Income!$C$6,MATCH(Charts!$E44,Income!$C$6:$C$122,0)+0,MATCH(Charts!DD$4,Income!$C$4:$ET$4,0)-1)</f>
        <v>0.52565357302512994</v>
      </c>
      <c r="DE45" s="1008">
        <f ca="1">OFFSET(Income!$C$6,MATCH(Charts!$E44,Income!$C$6:$C$122,0)+0,MATCH(Charts!DE$4,Income!$C$4:$ET$4,0)-1)</f>
        <v>0.52950672103242225</v>
      </c>
      <c r="DF45" s="1008">
        <f ca="1">OFFSET(Income!$C$6,MATCH(Charts!$E44,Income!$C$6:$C$122,0)+0,MATCH(Charts!DF$4,Income!$C$4:$ET$4,0)-1)</f>
        <v>0.53146304283897938</v>
      </c>
      <c r="DG45" s="1008">
        <f ca="1">OFFSET(Income!$C$6,MATCH(Charts!$E44,Income!$C$6:$C$122,0)+0,MATCH(Charts!DG$4,Income!$C$4:$ET$4,0)-1)</f>
        <v>0.53239044814333902</v>
      </c>
      <c r="DH45" s="1008">
        <f ca="1">OFFSET(Income!$C$6,MATCH(Charts!$E44,Income!$C$6:$C$122,0)+0,MATCH(Charts!DH$4,Income!$C$4:$ET$4,0)-1)</f>
        <v>0.53242400864197115</v>
      </c>
      <c r="DI45" s="670"/>
    </row>
    <row r="46" spans="1:145">
      <c r="E46" s="669"/>
      <c r="F46" s="670"/>
      <c r="G46" s="670"/>
      <c r="H46" s="670"/>
      <c r="I46" s="670"/>
      <c r="J46" s="670"/>
      <c r="K46" s="670"/>
      <c r="L46" s="670"/>
      <c r="M46" s="670"/>
      <c r="N46" s="670"/>
      <c r="O46" s="670"/>
      <c r="P46" s="670"/>
      <c r="Q46" s="670"/>
      <c r="R46" s="670"/>
      <c r="S46" s="670"/>
      <c r="T46" s="670"/>
      <c r="U46" s="670"/>
      <c r="V46" s="670"/>
      <c r="W46" s="670"/>
      <c r="X46" s="670"/>
      <c r="Y46" s="670"/>
      <c r="Z46" s="670"/>
      <c r="AA46" s="670"/>
      <c r="AB46" s="670"/>
      <c r="AC46" s="670"/>
      <c r="AD46" s="670"/>
      <c r="AE46" s="670"/>
      <c r="AF46" s="670"/>
      <c r="AG46" s="670"/>
      <c r="AH46" s="670"/>
      <c r="AI46" s="670"/>
      <c r="AJ46" s="670"/>
      <c r="AK46" s="670"/>
      <c r="AL46" s="670"/>
      <c r="AM46" s="670"/>
      <c r="AN46" s="670"/>
      <c r="AO46" s="670"/>
      <c r="AP46" s="670"/>
      <c r="AQ46" s="670"/>
      <c r="AR46" s="670"/>
      <c r="AS46" s="670"/>
      <c r="AT46" s="670"/>
      <c r="AU46" s="670"/>
      <c r="AV46" s="670"/>
      <c r="AW46" s="670"/>
      <c r="AX46" s="670"/>
      <c r="AY46" s="670"/>
      <c r="AZ46" s="670"/>
      <c r="BA46" s="670"/>
      <c r="BB46" s="670"/>
      <c r="BC46" s="670"/>
      <c r="BD46" s="670"/>
      <c r="BE46" s="670"/>
      <c r="BF46" s="670"/>
      <c r="BG46" s="670"/>
      <c r="BH46" s="670"/>
      <c r="BI46" s="670"/>
      <c r="BJ46" s="670"/>
      <c r="BK46" s="670"/>
      <c r="BL46" s="670"/>
      <c r="BM46" s="670"/>
      <c r="BN46" s="889"/>
      <c r="BO46" s="889"/>
      <c r="BP46" s="889"/>
      <c r="BQ46" s="889"/>
      <c r="BR46" s="889"/>
      <c r="BS46" s="889"/>
      <c r="BT46" s="889"/>
      <c r="BU46" s="889"/>
      <c r="BV46" s="889"/>
      <c r="BW46" s="889"/>
      <c r="BX46" s="889"/>
      <c r="BY46" s="889"/>
      <c r="BZ46" s="889"/>
      <c r="CA46" s="889"/>
      <c r="CB46" s="889"/>
      <c r="CC46" s="889"/>
      <c r="CD46" s="889"/>
      <c r="CE46" s="889"/>
      <c r="CF46" s="889"/>
      <c r="CG46" s="889"/>
      <c r="CH46" s="889"/>
      <c r="CI46" s="889"/>
      <c r="CJ46" s="889"/>
      <c r="CK46" s="889"/>
      <c r="CL46" s="889"/>
      <c r="CM46" s="889"/>
      <c r="CN46" s="889"/>
      <c r="CO46" s="889"/>
      <c r="CP46" s="889"/>
      <c r="CQ46" s="889"/>
      <c r="CR46" s="889"/>
      <c r="CS46" s="889"/>
      <c r="CT46" s="1008"/>
      <c r="CU46" s="1008"/>
      <c r="CV46" s="1008"/>
      <c r="CW46" s="1008"/>
      <c r="CX46" s="1008"/>
      <c r="CY46" s="1008"/>
      <c r="CZ46" s="1008"/>
      <c r="DA46" s="1008"/>
      <c r="DB46" s="1008"/>
      <c r="DC46" s="1008"/>
      <c r="DD46" s="1008"/>
      <c r="DE46" s="1008"/>
      <c r="DF46" s="1008"/>
      <c r="DG46" s="1008"/>
      <c r="DH46" s="1008"/>
    </row>
    <row r="47" spans="1:145">
      <c r="E47" s="1169"/>
      <c r="F47" s="673"/>
      <c r="G47" s="673"/>
      <c r="H47" s="673"/>
      <c r="I47" s="673"/>
      <c r="J47" s="673"/>
      <c r="K47" s="673"/>
      <c r="L47" s="673"/>
      <c r="M47" s="673"/>
      <c r="N47" s="673"/>
      <c r="O47" s="673"/>
      <c r="P47" s="673"/>
      <c r="Q47" s="673"/>
      <c r="R47" s="673"/>
      <c r="S47" s="673"/>
      <c r="T47" s="673"/>
      <c r="U47" s="673"/>
      <c r="V47" s="673"/>
      <c r="W47" s="673"/>
      <c r="X47" s="673"/>
      <c r="Y47" s="673"/>
      <c r="Z47" s="673"/>
      <c r="AA47" s="673"/>
      <c r="AB47" s="673"/>
      <c r="AC47" s="673"/>
      <c r="AD47" s="673"/>
      <c r="AE47" s="673"/>
      <c r="AF47" s="673"/>
      <c r="AG47" s="673"/>
      <c r="AH47" s="673"/>
      <c r="AI47" s="673"/>
      <c r="AJ47" s="673"/>
      <c r="AK47" s="673"/>
      <c r="AL47" s="673"/>
      <c r="AM47" s="673"/>
      <c r="AN47" s="673"/>
      <c r="AO47" s="673"/>
      <c r="AP47" s="673"/>
      <c r="AQ47" s="673"/>
      <c r="AR47" s="673"/>
      <c r="AS47" s="673"/>
      <c r="AT47" s="673"/>
      <c r="AU47" s="673"/>
      <c r="AV47" s="673"/>
      <c r="AW47" s="673"/>
      <c r="AX47" s="673"/>
      <c r="AY47" s="673"/>
      <c r="AZ47" s="673"/>
      <c r="BA47" s="673"/>
      <c r="BB47" s="673"/>
      <c r="BC47" s="673"/>
      <c r="BD47" s="673"/>
      <c r="BE47" s="673"/>
      <c r="BF47" s="673"/>
      <c r="BG47" s="673"/>
      <c r="BH47" s="673"/>
      <c r="BI47" s="673"/>
      <c r="BJ47" s="673"/>
      <c r="BK47" s="673"/>
      <c r="BL47" s="673"/>
      <c r="BM47" s="673"/>
      <c r="BN47" s="889"/>
      <c r="BO47" s="889"/>
      <c r="BP47" s="889"/>
      <c r="BQ47" s="889"/>
      <c r="BR47" s="889"/>
      <c r="BS47" s="889"/>
      <c r="BT47" s="889"/>
      <c r="BU47" s="889"/>
      <c r="BV47" s="889"/>
      <c r="BW47" s="889"/>
      <c r="BX47" s="889"/>
      <c r="BY47" s="889"/>
      <c r="BZ47" s="889"/>
      <c r="CA47" s="889"/>
      <c r="CB47" s="889"/>
      <c r="CC47" s="889"/>
      <c r="CD47" s="889"/>
      <c r="CE47" s="889"/>
      <c r="CF47" s="889"/>
      <c r="CG47" s="889"/>
      <c r="CH47" s="889"/>
      <c r="CI47" s="889"/>
      <c r="CJ47" s="889"/>
      <c r="CK47" s="889"/>
      <c r="CL47" s="889"/>
      <c r="CM47" s="889"/>
      <c r="CN47" s="889"/>
      <c r="CO47" s="889"/>
      <c r="CP47" s="889"/>
      <c r="CQ47" s="889"/>
      <c r="CR47" s="889"/>
      <c r="CS47" s="889"/>
      <c r="CT47" s="1170"/>
      <c r="CU47" s="1170"/>
      <c r="CV47" s="1170"/>
      <c r="CW47" s="1170"/>
      <c r="CX47" s="1170"/>
      <c r="CY47" s="1170"/>
      <c r="CZ47" s="1170"/>
      <c r="DA47" s="1170"/>
      <c r="DB47" s="1170"/>
      <c r="DC47" s="1170"/>
      <c r="DD47" s="1170"/>
      <c r="DE47" s="1170"/>
      <c r="DF47" s="1170"/>
      <c r="DG47" s="1170"/>
      <c r="DH47" s="1170"/>
    </row>
    <row r="48" spans="1:145" s="1105" customFormat="1">
      <c r="A48" s="908"/>
      <c r="B48" s="908"/>
      <c r="C48" s="908"/>
      <c r="D48" s="908"/>
      <c r="E48" s="849" t="str">
        <f>Income!C20</f>
        <v>Subscription Solution Gross Profit</v>
      </c>
      <c r="F48" s="1015">
        <f ca="1">OFFSET(Income!$C$6,MATCH(Charts!$E48,Income!$C$6:$C$122,0)-1,MATCH(Charts!F$3,Income!$C$5:$ET$5,0)-1)</f>
        <v>30.474000000000004</v>
      </c>
      <c r="G48" s="1015">
        <f ca="1">OFFSET(Income!$C$6,MATCH(Charts!$E48,Income!$C$6:$C$122,0)-1,MATCH(Charts!G$3,Income!$C$5:$ET$5,0)-1)</f>
        <v>34.576000000000001</v>
      </c>
      <c r="H48" s="1015">
        <f ca="1">OFFSET(Income!$C$6,MATCH(Charts!$E48,Income!$C$6:$C$122,0)-1,MATCH(Charts!H$3,Income!$C$5:$ET$5,0)-1)</f>
        <v>39.283999999999999</v>
      </c>
      <c r="I48" s="1015">
        <f ca="1">OFFSET(Income!$C$6,MATCH(Charts!$E48,Income!$C$6:$C$122,0)-1,MATCH(Charts!I$3,Income!$C$5:$ET$5,0)-1)</f>
        <v>44.793999999999997</v>
      </c>
      <c r="J48" s="1015">
        <f ca="1">OFFSET(Income!$C$6,MATCH(Charts!$E48,Income!$C$6:$C$122,0)-1,MATCH(Charts!J$3,Income!$C$5:$ET$5,0)-1)</f>
        <v>49.826000000000001</v>
      </c>
      <c r="K48" s="1015">
        <f ca="1">OFFSET(Income!$C$6,MATCH(Charts!$E48,Income!$C$6:$C$122,0)-1,MATCH(Charts!K$3,Income!$C$5:$ET$5,0)-1)</f>
        <v>57.91</v>
      </c>
      <c r="L48" s="1015">
        <f ca="1">OFFSET(Income!$C$6,MATCH(Charts!$E48,Income!$C$6:$C$122,0)-1,MATCH(Charts!L$3,Income!$C$5:$ET$5,0)-1)</f>
        <v>66.977000000000004</v>
      </c>
      <c r="M48" s="1015">
        <f ca="1">OFFSET(Income!$C$6,MATCH(Charts!$E48,Income!$C$6:$C$122,0)-1,MATCH(Charts!M$3,Income!$C$5:$ET$5,0)-1)</f>
        <v>74.051000000000002</v>
      </c>
      <c r="N48" s="1015">
        <f ca="1">OFFSET(Income!$C$6,MATCH(Charts!$E48,Income!$C$6:$C$122,0)-1,MATCH(Charts!N$3,Income!$C$5:$ET$5,0)-1)</f>
        <v>77.037999999999997</v>
      </c>
      <c r="O48" s="1015">
        <f ca="1">OFFSET(Income!$C$6,MATCH(Charts!$E48,Income!$C$6:$C$122,0)-1,MATCH(Charts!O$3,Income!$C$5:$ET$5,0)-1)</f>
        <v>86.197000000000003</v>
      </c>
      <c r="P48" s="1015">
        <f ca="1">OFFSET(Income!$C$6,MATCH(Charts!$E48,Income!$C$6:$C$122,0)-1,MATCH(Charts!P$3,Income!$C$5:$ET$5,0)-1)</f>
        <v>93.917000000000002</v>
      </c>
      <c r="Q48" s="1015">
        <f ca="1">OFFSET(Income!$C$6,MATCH(Charts!$E48,Income!$C$6:$C$122,0)-1,MATCH(Charts!Q$3,Income!$C$5:$ET$5,0)-1)</f>
        <v>106.854</v>
      </c>
      <c r="R48" s="1015">
        <f ca="1">OFFSET(Income!$C$6,MATCH(Charts!$E48,Income!$C$6:$C$122,0)-1,MATCH(Charts!R$3,Income!$C$5:$ET$5,0)-1)</f>
        <v>112.46599999999999</v>
      </c>
      <c r="S48" s="1015">
        <f ca="1">OFFSET(Income!$C$6,MATCH(Charts!$E48,Income!$C$6:$C$122,0)-1,MATCH(Charts!S$3,Income!$C$5:$ET$5,0)-1)</f>
        <v>123.509</v>
      </c>
      <c r="T48" s="1015">
        <f ca="1">OFFSET(Income!$C$6,MATCH(Charts!$E48,Income!$C$6:$C$122,0)-1,MATCH(Charts!T$3,Income!$C$5:$ET$5,0)-1)</f>
        <v>132.31399999999999</v>
      </c>
      <c r="U48" s="1015">
        <f ca="1">OFFSET(Income!$C$6,MATCH(Charts!$E48,Income!$C$6:$C$122,0)-1,MATCH(Charts!U$3,Income!$C$5:$ET$5,0)-1)</f>
        <v>145.797</v>
      </c>
      <c r="V48" s="1015">
        <f ca="1">OFFSET(Income!$C$6,MATCH(Charts!$E48,Income!$C$6:$C$122,0)-1,MATCH(Charts!V$3,Income!$C$5:$ET$5,0)-1)</f>
        <v>149.89699999999999</v>
      </c>
      <c r="W48" s="1015">
        <f ca="1">OFFSET(Income!$C$6,MATCH(Charts!$E48,Income!$C$6:$C$122,0)-1,MATCH(Charts!W$3,Income!$C$5:$ET$5,0)-1)</f>
        <v>152.03399999999999</v>
      </c>
      <c r="X48" s="1015">
        <f ca="1">OFFSET(Income!$C$6,MATCH(Charts!$E48,Income!$C$6:$C$122,0)-1,MATCH(Charts!X$3,Income!$C$5:$ET$5,0)-1)</f>
        <v>193.10399999999998</v>
      </c>
      <c r="Y48" s="1015">
        <f ca="1">OFFSET(Income!$C$6,MATCH(Charts!$E48,Income!$C$6:$C$122,0)-1,MATCH(Charts!Y$3,Income!$C$5:$ET$5,0)-1)</f>
        <v>220.19</v>
      </c>
      <c r="Z48" s="1015">
        <f ca="1">OFFSET(Income!$C$6,MATCH(Charts!$E48,Income!$C$6:$C$122,0)-1,MATCH(Charts!Z$3,Income!$C$5:$ET$5,0)-1)</f>
        <v>262.29899999999998</v>
      </c>
      <c r="AA48" s="1015">
        <f ca="1">OFFSET(Income!$C$6,MATCH(Charts!$E48,Income!$C$6:$C$122,0)-1,MATCH(Charts!AA$3,Income!$C$5:$ET$5,0)-1)</f>
        <v>271.21000000000004</v>
      </c>
      <c r="AB48" s="1015">
        <f ca="1">OFFSET(Income!$C$6,MATCH(Charts!$E48,Income!$C$6:$C$122,0)-1,MATCH(Charts!AB$3,Income!$C$5:$ET$5,0)-1)</f>
        <v>268.85300000000001</v>
      </c>
      <c r="AC48" s="1015">
        <f ca="1">OFFSET(Income!$C$6,MATCH(Charts!$E48,Income!$C$6:$C$122,0)-1,MATCH(Charts!AC$3,Income!$C$5:$ET$5,0)-1)</f>
        <v>275.62100000000004</v>
      </c>
      <c r="AD48" s="1015">
        <f ca="1">OFFSET(Income!$C$6,MATCH(Charts!$E48,Income!$C$6:$C$122,0)-1,MATCH(Charts!AD$3,Income!$C$5:$ET$5,0)-1)</f>
        <v>267.21600000000001</v>
      </c>
      <c r="AE48" s="1015">
        <f ca="1">OFFSET(Income!$C$6,MATCH(Charts!$E48,Income!$C$6:$C$122,0)-1,MATCH(Charts!AE$3,Income!$C$5:$ET$5,0)-1)</f>
        <v>281.20499999999998</v>
      </c>
      <c r="AF48" s="1015">
        <f ca="1">OFFSET(Income!$C$6,MATCH(Charts!$E48,Income!$C$6:$C$122,0)-1,MATCH(Charts!AF$3,Income!$C$5:$ET$5,0)-1)</f>
        <v>293.988</v>
      </c>
      <c r="AG48" s="1015">
        <f ca="1">OFFSET(Income!$C$6,MATCH(Charts!$E48,Income!$C$6:$C$122,0)-1,MATCH(Charts!AG$3,Income!$C$5:$ET$5,0)-1)</f>
        <v>314.483</v>
      </c>
      <c r="AH48" s="1015">
        <f ca="1">OFFSET(Income!$C$6,MATCH(Charts!$E48,Income!$C$6:$C$122,0)-1,MATCH(Charts!AH$3,Income!$C$5:$ET$5,0)-1)</f>
        <v>298</v>
      </c>
      <c r="AI48" s="1015">
        <f ca="1">OFFSET(Income!$C$6,MATCH(Charts!$E48,Income!$C$6:$C$122,0)-1,MATCH(Charts!AI$3,Income!$C$5:$ET$5,0)-1)</f>
        <v>359</v>
      </c>
      <c r="AJ48" s="1015">
        <f ca="1">OFFSET(Income!$C$6,MATCH(Charts!$E48,Income!$C$6:$C$122,0)-1,MATCH(Charts!AJ$3,Income!$C$5:$ET$5,0)-1)</f>
        <v>398</v>
      </c>
      <c r="AK48" s="1015">
        <f ca="1">OFFSET(Income!$C$6,MATCH(Charts!$E48,Income!$C$6:$C$122,0)-1,MATCH(Charts!AK$3,Income!$C$5:$ET$5,0)-1)</f>
        <v>428</v>
      </c>
      <c r="AL48" s="1015">
        <f ca="1">OFFSET(Income!$C$6,MATCH(Charts!$E48,Income!$C$6:$C$122,0)-1,MATCH(Charts!AL$3,Income!$C$5:$ET$5,0)-1)</f>
        <v>416</v>
      </c>
      <c r="AM48" s="1015">
        <f ca="1">OFFSET(Income!$C$6,MATCH(Charts!$E48,Income!$C$6:$C$122,0)-1,MATCH(Charts!AM$3,Income!$C$5:$ET$5,0)-1)</f>
        <v>466</v>
      </c>
      <c r="AN48" s="1015">
        <f ca="1">OFFSET(Income!$C$6,MATCH(Charts!$E48,Income!$C$6:$C$122,0)-1,MATCH(Charts!AN$3,Income!$C$5:$ET$5,0)-1)</f>
        <v>502</v>
      </c>
      <c r="AO48" s="1015">
        <f ca="1">OFFSET(Income!$C$6,MATCH(Charts!$E48,Income!$C$6:$C$122,0)-1,MATCH(Charts!AO$3,Income!$C$5:$ET$5,0)-1)</f>
        <v>532</v>
      </c>
      <c r="AP48" s="1015">
        <f ca="1">OFFSET(Income!$C$6,MATCH(Charts!$E48,Income!$C$6:$C$122,0)-1,MATCH(Charts!AP$3,Income!$C$5:$ET$5,0)-1)</f>
        <v>497</v>
      </c>
      <c r="AQ48" s="1015">
        <f ca="1">OFFSET(Income!$C$6,MATCH(Charts!$E48,Income!$C$6:$C$122,0)-1,MATCH(Charts!AQ$3,Income!$C$5:$ET$5,0)-1)</f>
        <v>535</v>
      </c>
      <c r="AR48" s="1015">
        <f ca="1">OFFSET(Income!$C$6,MATCH(Charts!$E48,Income!$C$6:$C$122,0)-1,MATCH(Charts!AR$3,Income!$C$5:$ET$5,0)-1)</f>
        <v>571</v>
      </c>
      <c r="AS48" s="1015">
        <f ca="1">OFFSET(Income!$C$6,MATCH(Charts!$E48,Income!$C$6:$C$122,0)-1,MATCH(Charts!AS$3,Income!$C$5:$ET$5,0)-1)</f>
        <v>629</v>
      </c>
      <c r="AT48" s="1015">
        <f ca="1">OFFSET(Income!$C$6,MATCH(Charts!$E48,Income!$C$6:$C$122,0)-1,MATCH(Charts!AT$3,Income!$C$5:$ET$5,0)-1)</f>
        <v>602</v>
      </c>
      <c r="AU48" s="1015">
        <f ca="1">OFFSET(Income!$C$6,MATCH(Charts!$E48,Income!$C$6:$C$122,0)-1,MATCH(Charts!AU$3,Income!$C$5:$ET$5,0)-1)</f>
        <v>639</v>
      </c>
      <c r="AV48" s="1015">
        <f ca="1">OFFSET(Income!$C$6,MATCH(Charts!$E48,Income!$C$6:$C$122,0)-1,MATCH(Charts!AV$3,Income!$C$5:$ET$5,0)-1)</f>
        <v>701.7294457516241</v>
      </c>
      <c r="AW48" s="1015">
        <f ca="1">OFFSET(Income!$C$6,MATCH(Charts!$E48,Income!$C$6:$C$122,0)-1,MATCH(Charts!AW$3,Income!$C$5:$ET$5,0)-1)</f>
        <v>755.77254726490867</v>
      </c>
      <c r="AX48" s="1015">
        <f ca="1">OFFSET(Income!$C$6,MATCH(Charts!$E48,Income!$C$6:$C$122,0)-1,MATCH(Charts!AX$3,Income!$C$5:$ET$5,0)-1)</f>
        <v>720.11764464509383</v>
      </c>
      <c r="AY48" s="1015">
        <f ca="1">OFFSET(Income!$C$6,MATCH(Charts!$E48,Income!$C$6:$C$122,0)-1,MATCH(Charts!AY$3,Income!$C$5:$ET$5,0)-1)</f>
        <v>768.57829453108673</v>
      </c>
      <c r="AZ48" s="1015">
        <f ca="1">OFFSET(Income!$C$6,MATCH(Charts!$E48,Income!$C$6:$C$122,0)-1,MATCH(Charts!AZ$3,Income!$C$5:$ET$5,0)-1)</f>
        <v>844.05242656893051</v>
      </c>
      <c r="BA48" s="1015">
        <f ca="1">OFFSET(Income!$C$6,MATCH(Charts!$E48,Income!$C$6:$C$122,0)-1,MATCH(Charts!BA$3,Income!$C$5:$ET$5,0)-1)</f>
        <v>909.04624839646158</v>
      </c>
      <c r="BB48" s="1015">
        <f ca="1">OFFSET(Income!$C$6,MATCH(Charts!$E48,Income!$C$6:$C$122,0)-1,MATCH(Charts!BB$3,Income!$C$5:$ET$5,0)-1)</f>
        <v>853.89100947541738</v>
      </c>
      <c r="BC48" s="1015">
        <f ca="1">OFFSET(Income!$C$6,MATCH(Charts!$E48,Income!$C$6:$C$122,0)-1,MATCH(Charts!BC$3,Income!$C$5:$ET$5,0)-1)</f>
        <v>906.9222476577263</v>
      </c>
      <c r="BD48" s="1015">
        <f ca="1">OFFSET(Income!$C$6,MATCH(Charts!$E48,Income!$C$6:$C$122,0)-1,MATCH(Charts!BD$3,Income!$C$5:$ET$5,0)-1)</f>
        <v>991.17536567678906</v>
      </c>
      <c r="BE48" s="1015">
        <f ca="1">OFFSET(Income!$C$6,MATCH(Charts!$E48,Income!$C$6:$C$122,0)-1,MATCH(Charts!BE$3,Income!$C$5:$ET$5,0)-1)</f>
        <v>1062.304029043202</v>
      </c>
      <c r="BF48" s="1015">
        <f ca="1">OFFSET(Income!$C$6,MATCH(Charts!$E48,Income!$C$6:$C$122,0)-1,MATCH(Charts!BF$3,Income!$C$5:$ET$5,0)-1)</f>
        <v>997.83945770754553</v>
      </c>
      <c r="BG48" s="1015">
        <f ca="1">OFFSET(Income!$C$6,MATCH(Charts!$E48,Income!$C$6:$C$122,0)-1,MATCH(Charts!BG$3,Income!$C$5:$ET$5,0)-1)</f>
        <v>1059.8016462813382</v>
      </c>
      <c r="BH48" s="1015">
        <f ca="1">OFFSET(Income!$C$6,MATCH(Charts!$E48,Income!$C$6:$C$122,0)-1,MATCH(Charts!BH$3,Income!$C$5:$ET$5,0)-1)</f>
        <v>1158.2906773382622</v>
      </c>
      <c r="BI48" s="1015">
        <f ca="1">OFFSET(Income!$C$6,MATCH(Charts!$E48,Income!$C$6:$C$122,0)-1,MATCH(Charts!BI$3,Income!$C$5:$ET$5,0)-1)</f>
        <v>1241.3979102863705</v>
      </c>
      <c r="BJ48" s="1015">
        <f ca="1">OFFSET(Income!$C$6,MATCH(Charts!$E48,Income!$C$6:$C$122,0)-1,MATCH(Charts!BJ$3,Income!$C$5:$ET$5,0)-1)</f>
        <v>1166.0528256035298</v>
      </c>
      <c r="BK48" s="1015">
        <f ca="1">OFFSET(Income!$C$6,MATCH(Charts!$E48,Income!$C$6:$C$122,0)-1,MATCH(Charts!BK$3,Income!$C$5:$ET$5,0)-1)</f>
        <v>1238.4498777968167</v>
      </c>
      <c r="BL48" s="1015">
        <f ca="1">OFFSET(Income!$C$6,MATCH(Charts!$E48,Income!$C$6:$C$122,0)-1,MATCH(Charts!BL$3,Income!$C$5:$ET$5,0)-1)</f>
        <v>1353.5801098081711</v>
      </c>
      <c r="BM48" s="1015">
        <f ca="1">OFFSET(Income!$C$6,MATCH(Charts!$E48,Income!$C$6:$C$122,0)-1,MATCH(Charts!BM$3,Income!$C$5:$ET$5,0)-1)</f>
        <v>1450.6829980596476</v>
      </c>
      <c r="BN48" s="908"/>
      <c r="BO48" s="908"/>
      <c r="BP48" s="908"/>
      <c r="BQ48" s="908"/>
      <c r="BR48" s="908"/>
      <c r="BS48" s="908"/>
      <c r="BT48" s="908"/>
      <c r="BU48" s="908"/>
      <c r="BV48" s="908"/>
      <c r="BW48" s="908"/>
      <c r="BX48" s="908"/>
      <c r="BY48" s="908"/>
      <c r="BZ48" s="908"/>
      <c r="CA48" s="908"/>
      <c r="CB48" s="908"/>
      <c r="CC48" s="908"/>
      <c r="CD48" s="908"/>
      <c r="CE48" s="908"/>
      <c r="CF48" s="908"/>
      <c r="CG48" s="908"/>
      <c r="CH48" s="908"/>
      <c r="CI48" s="908"/>
      <c r="CJ48" s="908"/>
      <c r="CK48" s="908"/>
      <c r="CL48" s="908"/>
      <c r="CM48" s="908"/>
      <c r="CN48" s="908"/>
      <c r="CO48" s="908"/>
      <c r="CP48" s="908"/>
      <c r="CQ48" s="908"/>
      <c r="CR48" s="908"/>
      <c r="CS48" s="889" t="s">
        <v>601</v>
      </c>
      <c r="CT48" s="1012">
        <f ca="1">OFFSET(Income!$C$6,MATCH(Charts!$E48,Income!$C$6:$C$122,0)-1,MATCH(Charts!CT$4,Income!$C$4:$ET$4,0)-1)</f>
        <v>149.12799999999999</v>
      </c>
      <c r="CU48" s="1012">
        <f ca="1">OFFSET(Income!$C$6,MATCH(Charts!$E48,Income!$C$6:$C$122,0)-1,MATCH(Charts!CU$4,Income!$C$4:$ET$4,0)-1)</f>
        <v>248.76400000000001</v>
      </c>
      <c r="CV48" s="1012">
        <f ca="1">OFFSET(Income!$C$6,MATCH(Charts!$E48,Income!$C$6:$C$122,0)-1,MATCH(Charts!CV$4,Income!$C$4:$ET$4,0)-1)</f>
        <v>364.00600000000003</v>
      </c>
      <c r="CW48" s="1012">
        <f ca="1">OFFSET(Income!$C$6,MATCH(Charts!$E48,Income!$C$6:$C$122,0)-1,MATCH(Charts!CW$4,Income!$C$4:$ET$4,0)-1)</f>
        <v>514.08600000000001</v>
      </c>
      <c r="CX48" s="1012">
        <f ca="1">OFFSET(Income!$C$6,MATCH(Charts!$E48,Income!$C$6:$C$122,0)-1,MATCH(Charts!CX$4,Income!$C$4:$ET$4,0)-1)</f>
        <v>715.22499999999991</v>
      </c>
      <c r="CY48" s="1012">
        <f ca="1">OFFSET(Income!$C$6,MATCH(Charts!$E48,Income!$C$6:$C$122,0)-1,MATCH(Charts!CY$4,Income!$C$4:$ET$4,0)-1)</f>
        <v>1077.9830000000002</v>
      </c>
      <c r="CZ48" s="1012">
        <f ca="1">OFFSET(Income!$C$6,MATCH(Charts!$E48,Income!$C$6:$C$122,0)-1,MATCH(Charts!CZ$4,Income!$C$4:$ET$4,0)-1)</f>
        <v>1156.8920000000001</v>
      </c>
      <c r="DA48" s="1012">
        <f ca="1">OFFSET(Income!$C$6,MATCH(Charts!$E48,Income!$C$6:$C$122,0)-1,MATCH(Charts!DA$4,Income!$C$4:$ET$4,0)-1)</f>
        <v>1483</v>
      </c>
      <c r="DB48" s="1012">
        <f ca="1">OFFSET(Income!$C$6,MATCH(Charts!$E48,Income!$C$6:$C$122,0)-1,MATCH(Charts!DB$4,Income!$C$4:$ET$4,0)-1)</f>
        <v>1916</v>
      </c>
      <c r="DC48" s="1012" t="e">
        <f ca="1">OFFSET(Income!$C$6,MATCH(Charts!$E48,Income!$C$6:$C$122,0)-1,MATCH(Charts!DC$4,Income!$C$4:$ET$4,0)-1)</f>
        <v>#N/A</v>
      </c>
      <c r="DD48" s="1012">
        <f ca="1">OFFSET(Income!$C$6,MATCH(Charts!$E48,Income!$C$6:$C$122,0)-1,MATCH(Charts!DD$4,Income!$C$4:$ET$4,0)-1)</f>
        <v>2698.5019930165327</v>
      </c>
      <c r="DE48" s="1012">
        <f ca="1">OFFSET(Income!$C$6,MATCH(Charts!$E48,Income!$C$6:$C$122,0)-1,MATCH(Charts!DE$4,Income!$C$4:$ET$4,0)-1)</f>
        <v>3241.7946141415728</v>
      </c>
      <c r="DF48" s="1012">
        <f ca="1">OFFSET(Income!$C$6,MATCH(Charts!$E48,Income!$C$6:$C$122,0)-1,MATCH(Charts!DF$4,Income!$C$4:$ET$4,0)-1)</f>
        <v>3814.2926518531349</v>
      </c>
      <c r="DG48" s="1012">
        <f ca="1">OFFSET(Income!$C$6,MATCH(Charts!$E48,Income!$C$6:$C$122,0)-1,MATCH(Charts!DG$4,Income!$C$4:$ET$4,0)-1)</f>
        <v>4457.3296916135159</v>
      </c>
      <c r="DH48" s="1012">
        <f ca="1">OFFSET(Income!$C$6,MATCH(Charts!$E48,Income!$C$6:$C$122,0)-1,MATCH(Charts!DH$4,Income!$C$4:$ET$4,0)-1)</f>
        <v>5208.7658112681656</v>
      </c>
    </row>
    <row r="49" spans="1:145" s="1105" customFormat="1">
      <c r="A49" s="908"/>
      <c r="B49" s="908"/>
      <c r="C49" s="908"/>
      <c r="D49" s="908"/>
      <c r="E49" s="849" t="str">
        <f>Income!C22</f>
        <v>Merchant Solutions Gross Profit</v>
      </c>
      <c r="F49" s="1015">
        <f ca="1">OFFSET(Income!$C$6,MATCH(Charts!$E49,Income!$C$6:$C$122,0)-1,MATCH(Charts!F$3,Income!$C$5:$ET$5,0)-1)</f>
        <v>9.6109999999999971</v>
      </c>
      <c r="G49" s="1015">
        <f ca="1">OFFSET(Income!$C$6,MATCH(Charts!$E49,Income!$C$6:$C$122,0)-1,MATCH(Charts!G$3,Income!$C$5:$ET$5,0)-1)</f>
        <v>12.946999999999999</v>
      </c>
      <c r="H49" s="1015">
        <f ca="1">OFFSET(Income!$C$6,MATCH(Charts!$E49,Income!$C$6:$C$122,0)-1,MATCH(Charts!H$3,Income!$C$5:$ET$5,0)-1)</f>
        <v>14.467999999999996</v>
      </c>
      <c r="I49" s="1015">
        <f ca="1">OFFSET(Income!$C$6,MATCH(Charts!$E49,Income!$C$6:$C$122,0)-1,MATCH(Charts!I$3,Income!$C$5:$ET$5,0)-1)</f>
        <v>23.340999999999994</v>
      </c>
      <c r="J49" s="1015">
        <f ca="1">OFFSET(Income!$C$6,MATCH(Charts!$E49,Income!$C$6:$C$122,0)-1,MATCH(Charts!J$3,Income!$C$5:$ET$5,0)-1)</f>
        <v>22.415000000000006</v>
      </c>
      <c r="K49" s="1015">
        <f ca="1">OFFSET(Income!$C$6,MATCH(Charts!$E49,Income!$C$6:$C$122,0)-1,MATCH(Charts!K$3,Income!$C$5:$ET$5,0)-1)</f>
        <v>28.93</v>
      </c>
      <c r="L49" s="1015">
        <f ca="1">OFFSET(Income!$C$6,MATCH(Charts!$E49,Income!$C$6:$C$122,0)-1,MATCH(Charts!L$3,Income!$C$5:$ET$5,0)-1)</f>
        <v>33.050000000000004</v>
      </c>
      <c r="M49" s="1015">
        <f ca="1">OFFSET(Income!$C$6,MATCH(Charts!$E49,Income!$C$6:$C$122,0)-1,MATCH(Charts!M$3,Income!$C$5:$ET$5,0)-1)</f>
        <v>47.09399999999998</v>
      </c>
      <c r="N49" s="1015">
        <f ca="1">OFFSET(Income!$C$6,MATCH(Charts!$E49,Income!$C$6:$C$122,0)-1,MATCH(Charts!N$3,Income!$C$5:$ET$5,0)-1)</f>
        <v>46.804000000000002</v>
      </c>
      <c r="O49" s="1015">
        <f ca="1">OFFSET(Income!$C$6,MATCH(Charts!$E49,Income!$C$6:$C$122,0)-1,MATCH(Charts!O$3,Income!$C$5:$ET$5,0)-1)</f>
        <v>50.757999999999996</v>
      </c>
      <c r="P49" s="1015">
        <f ca="1">OFFSET(Income!$C$6,MATCH(Charts!$E49,Income!$C$6:$C$122,0)-1,MATCH(Charts!P$3,Income!$C$5:$ET$5,0)-1)</f>
        <v>55.81</v>
      </c>
      <c r="Q49" s="1015">
        <f ca="1">OFFSET(Income!$C$6,MATCH(Charts!$E49,Income!$C$6:$C$122,0)-1,MATCH(Charts!Q$3,Income!$C$5:$ET$5,0)-1)</f>
        <v>78.888999999999982</v>
      </c>
      <c r="R49" s="1015">
        <f ca="1">OFFSET(Income!$C$6,MATCH(Charts!$E49,Income!$C$6:$C$122,0)-1,MATCH(Charts!R$3,Income!$C$5:$ET$5,0)-1)</f>
        <v>67.825000000000003</v>
      </c>
      <c r="S49" s="1015">
        <f ca="1">OFFSET(Income!$C$6,MATCH(Charts!$E49,Income!$C$6:$C$122,0)-1,MATCH(Charts!S$3,Income!$C$5:$ET$5,0)-1)</f>
        <v>81.255999999999986</v>
      </c>
      <c r="T49" s="1015">
        <f ca="1">OFFSET(Income!$C$6,MATCH(Charts!$E49,Income!$C$6:$C$122,0)-1,MATCH(Charts!T$3,Income!$C$5:$ET$5,0)-1)</f>
        <v>84.382000000000005</v>
      </c>
      <c r="U49" s="1015">
        <f ca="1">OFFSET(Income!$C$6,MATCH(Charts!$E49,Income!$C$6:$C$122,0)-1,MATCH(Charts!U$3,Income!$C$5:$ET$5,0)-1)</f>
        <v>118.09400000000002</v>
      </c>
      <c r="V49" s="1015">
        <f ca="1">OFFSET(Income!$C$6,MATCH(Charts!$E49,Income!$C$6:$C$122,0)-1,MATCH(Charts!V$3,Income!$C$5:$ET$5,0)-1)</f>
        <v>107.053</v>
      </c>
      <c r="W49" s="1015">
        <f ca="1">OFFSET(Income!$C$6,MATCH(Charts!$E49,Income!$C$6:$C$122,0)-1,MATCH(Charts!W$3,Income!$C$5:$ET$5,0)-1)</f>
        <v>223.00000000000006</v>
      </c>
      <c r="X49" s="1015">
        <f ca="1">OFFSET(Income!$C$6,MATCH(Charts!$E49,Income!$C$6:$C$122,0)-1,MATCH(Charts!X$3,Income!$C$5:$ET$5,0)-1)</f>
        <v>212.04399999999998</v>
      </c>
      <c r="Y49" s="1015">
        <f ca="1">OFFSET(Income!$C$6,MATCH(Charts!$E49,Income!$C$6:$C$122,0)-1,MATCH(Charts!Y$3,Income!$C$5:$ET$5,0)-1)</f>
        <v>284.19799999999998</v>
      </c>
      <c r="Z49" s="1015">
        <f ca="1">OFFSET(Income!$C$6,MATCH(Charts!$E49,Income!$C$6:$C$122,0)-1,MATCH(Charts!Z$3,Income!$C$5:$ET$5,0)-1)</f>
        <v>296.41700000000003</v>
      </c>
      <c r="AA49" s="1015">
        <f ca="1">OFFSET(Income!$C$6,MATCH(Charts!$E49,Income!$C$6:$C$122,0)-1,MATCH(Charts!AA$3,Income!$C$5:$ET$5,0)-1)</f>
        <v>349.65</v>
      </c>
      <c r="AB49" s="1015">
        <f ca="1">OFFSET(Income!$C$6,MATCH(Charts!$E49,Income!$C$6:$C$122,0)-1,MATCH(Charts!AB$3,Income!$C$5:$ET$5,0)-1)</f>
        <v>340.05600000000004</v>
      </c>
      <c r="AC49" s="1015">
        <f ca="1">OFFSET(Income!$C$6,MATCH(Charts!$E49,Income!$C$6:$C$122,0)-1,MATCH(Charts!AC$3,Income!$C$5:$ET$5,0)-1)</f>
        <v>417.03800000000001</v>
      </c>
      <c r="AD49" s="1015">
        <f ca="1">OFFSET(Income!$C$6,MATCH(Charts!$E49,Income!$C$6:$C$122,0)-1,MATCH(Charts!AD$3,Income!$C$5:$ET$5,0)-1)</f>
        <v>370.42099999999999</v>
      </c>
      <c r="AE49" s="1015">
        <f ca="1">OFFSET(Income!$C$6,MATCH(Charts!$E49,Income!$C$6:$C$122,0)-1,MATCH(Charts!AE$3,Income!$C$5:$ET$5,0)-1)</f>
        <v>374.43700000000001</v>
      </c>
      <c r="AF49" s="1015">
        <f ca="1">OFFSET(Income!$C$6,MATCH(Charts!$E49,Income!$C$6:$C$122,0)-1,MATCH(Charts!AF$3,Income!$C$5:$ET$5,0)-1)</f>
        <v>368.34400000000005</v>
      </c>
      <c r="AG49" s="1015">
        <f ca="1">OFFSET(Income!$C$6,MATCH(Charts!$E49,Income!$C$6:$C$122,0)-1,MATCH(Charts!AG$3,Income!$C$5:$ET$5,0)-1)</f>
        <v>484.02499999999998</v>
      </c>
      <c r="AH49" s="1015">
        <f ca="1">OFFSET(Income!$C$6,MATCH(Charts!$E49,Income!$C$6:$C$122,0)-1,MATCH(Charts!AH$3,Income!$C$5:$ET$5,0)-1)</f>
        <v>419</v>
      </c>
      <c r="AI49" s="1015">
        <f ca="1">OFFSET(Income!$C$6,MATCH(Charts!$E49,Income!$C$6:$C$122,0)-1,MATCH(Charts!AI$3,Income!$C$5:$ET$5,0)-1)</f>
        <v>476</v>
      </c>
      <c r="AJ49" s="1015">
        <f ca="1">OFFSET(Income!$C$6,MATCH(Charts!$E49,Income!$C$6:$C$122,0)-1,MATCH(Charts!AJ$3,Income!$C$5:$ET$5,0)-1)</f>
        <v>503</v>
      </c>
      <c r="AK49" s="1015">
        <f ca="1">OFFSET(Income!$C$6,MATCH(Charts!$E49,Income!$C$6:$C$122,0)-1,MATCH(Charts!AK$3,Income!$C$5:$ET$5,0)-1)</f>
        <v>634</v>
      </c>
      <c r="AL49" s="1015">
        <f ca="1">OFFSET(Income!$C$6,MATCH(Charts!$E49,Income!$C$6:$C$122,0)-1,MATCH(Charts!AL$3,Income!$C$5:$ET$5,0)-1)</f>
        <v>541</v>
      </c>
      <c r="AM49" s="1015">
        <f ca="1">OFFSET(Income!$C$6,MATCH(Charts!$E49,Income!$C$6:$C$122,0)-1,MATCH(Charts!AM$3,Income!$C$5:$ET$5,0)-1)</f>
        <v>579</v>
      </c>
      <c r="AN49" s="1015">
        <f ca="1">OFFSET(Income!$C$6,MATCH(Charts!$E49,Income!$C$6:$C$122,0)-1,MATCH(Charts!AN$3,Income!$C$5:$ET$5,0)-1)</f>
        <v>616</v>
      </c>
      <c r="AO49" s="1015">
        <f ca="1">OFFSET(Income!$C$6,MATCH(Charts!$E49,Income!$C$6:$C$122,0)-1,MATCH(Charts!AO$3,Income!$C$5:$ET$5,0)-1)</f>
        <v>820</v>
      </c>
      <c r="AP49" s="1015">
        <f ca="1">OFFSET(Income!$C$6,MATCH(Charts!$E49,Income!$C$6:$C$122,0)-1,MATCH(Charts!AP$3,Income!$C$5:$ET$5,0)-1)</f>
        <v>672</v>
      </c>
      <c r="AQ49" s="1015">
        <f ca="1">OFFSET(Income!$C$6,MATCH(Charts!$E49,Income!$C$6:$C$122,0)-1,MATCH(Charts!AQ$3,Income!$C$5:$ET$5,0)-1)</f>
        <v>767</v>
      </c>
      <c r="AR49" s="1015">
        <f ca="1">OFFSET(Income!$C$6,MATCH(Charts!$E49,Income!$C$6:$C$122,0)-1,MATCH(Charts!AR$3,Income!$C$5:$ET$5,0)-1)</f>
        <v>820</v>
      </c>
      <c r="AS49" s="1015">
        <f ca="1">OFFSET(Income!$C$6,MATCH(Charts!$E49,Income!$C$6:$C$122,0)-1,MATCH(Charts!AS$3,Income!$C$5:$ET$5,0)-1)</f>
        <v>1064</v>
      </c>
      <c r="AT49" s="1015">
        <f ca="1">OFFSET(Income!$C$6,MATCH(Charts!$E49,Income!$C$6:$C$122,0)-1,MATCH(Charts!AT$3,Income!$C$5:$ET$5,0)-1)</f>
        <v>944</v>
      </c>
      <c r="AU49" s="1015">
        <f ca="1">OFFSET(Income!$C$6,MATCH(Charts!$E49,Income!$C$6:$C$122,0)-1,MATCH(Charts!AU$3,Income!$C$5:$ET$5,0)-1)</f>
        <v>1069</v>
      </c>
      <c r="AV49" s="1015">
        <f ca="1">OFFSET(Income!$C$6,MATCH(Charts!$E49,Income!$C$6:$C$122,0)-1,MATCH(Charts!AV$3,Income!$C$5:$ET$5,0)-1)</f>
        <v>1094.5604532636366</v>
      </c>
      <c r="AW49" s="1015">
        <f ca="1">OFFSET(Income!$C$6,MATCH(Charts!$E49,Income!$C$6:$C$122,0)-1,MATCH(Charts!AW$3,Income!$C$5:$ET$5,0)-1)</f>
        <v>1409.5462301853368</v>
      </c>
      <c r="AX49" s="1015">
        <f ca="1">OFFSET(Income!$C$6,MATCH(Charts!$E49,Income!$C$6:$C$122,0)-1,MATCH(Charts!AX$3,Income!$C$5:$ET$5,0)-1)</f>
        <v>1224.9786114692231</v>
      </c>
      <c r="AY49" s="1015">
        <f ca="1">OFFSET(Income!$C$6,MATCH(Charts!$E49,Income!$C$6:$C$122,0)-1,MATCH(Charts!AY$3,Income!$C$5:$ET$5,0)-1)</f>
        <v>1376.3432176343194</v>
      </c>
      <c r="AZ49" s="1015">
        <f ca="1">OFFSET(Income!$C$6,MATCH(Charts!$E49,Income!$C$6:$C$122,0)-1,MATCH(Charts!AZ$3,Income!$C$5:$ET$5,0)-1)</f>
        <v>1387.2407774772728</v>
      </c>
      <c r="BA49" s="1015">
        <f ca="1">OFFSET(Income!$C$6,MATCH(Charts!$E49,Income!$C$6:$C$122,0)-1,MATCH(Charts!BA$3,Income!$C$5:$ET$5,0)-1)</f>
        <v>1772.1927297131479</v>
      </c>
      <c r="BB49" s="1015">
        <f ca="1">OFFSET(Income!$C$6,MATCH(Charts!$E49,Income!$C$6:$C$122,0)-1,MATCH(Charts!BB$3,Income!$C$5:$ET$5,0)-1)</f>
        <v>1490.0110899005349</v>
      </c>
      <c r="BC49" s="1015">
        <f ca="1">OFFSET(Income!$C$6,MATCH(Charts!$E49,Income!$C$6:$C$122,0)-1,MATCH(Charts!BC$3,Income!$C$5:$ET$5,0)-1)</f>
        <v>1674.1205595547672</v>
      </c>
      <c r="BD49" s="1015">
        <f ca="1">OFFSET(Income!$C$6,MATCH(Charts!$E49,Income!$C$6:$C$122,0)-1,MATCH(Charts!BD$3,Income!$C$5:$ET$5,0)-1)</f>
        <v>1687.5910136550001</v>
      </c>
      <c r="BE49" s="1015">
        <f ca="1">OFFSET(Income!$C$6,MATCH(Charts!$E49,Income!$C$6:$C$122,0)-1,MATCH(Charts!BE$3,Income!$C$5:$ET$5,0)-1)</f>
        <v>2155.9290753786699</v>
      </c>
      <c r="BF49" s="1015">
        <f ca="1">OFFSET(Income!$C$6,MATCH(Charts!$E49,Income!$C$6:$C$122,0)-1,MATCH(Charts!BF$3,Income!$C$5:$ET$5,0)-1)</f>
        <v>1774.3607653845738</v>
      </c>
      <c r="BG49" s="1015">
        <f ca="1">OFFSET(Income!$C$6,MATCH(Charts!$E49,Income!$C$6:$C$122,0)-1,MATCH(Charts!BG$3,Income!$C$5:$ET$5,0)-1)</f>
        <v>1993.601461837382</v>
      </c>
      <c r="BH49" s="1015">
        <f ca="1">OFFSET(Income!$C$6,MATCH(Charts!$E49,Income!$C$6:$C$122,0)-1,MATCH(Charts!BH$3,Income!$C$5:$ET$5,0)-1)</f>
        <v>2009.8926332821702</v>
      </c>
      <c r="BI49" s="1015">
        <f ca="1">OFFSET(Income!$C$6,MATCH(Charts!$E49,Income!$C$6:$C$122,0)-1,MATCH(Charts!BI$3,Income!$C$5:$ET$5,0)-1)</f>
        <v>2567.7253728792384</v>
      </c>
      <c r="BJ49" s="1015">
        <f ca="1">OFFSET(Income!$C$6,MATCH(Charts!$E49,Income!$C$6:$C$122,0)-1,MATCH(Charts!BJ$3,Income!$C$5:$ET$5,0)-1)</f>
        <v>2085.695133854088</v>
      </c>
      <c r="BK49" s="1015">
        <f ca="1">OFFSET(Income!$C$6,MATCH(Charts!$E49,Income!$C$6:$C$122,0)-1,MATCH(Charts!BK$3,Income!$C$5:$ET$5,0)-1)</f>
        <v>2343.4010859373402</v>
      </c>
      <c r="BL49" s="1015">
        <f ca="1">OFFSET(Income!$C$6,MATCH(Charts!$E49,Income!$C$6:$C$122,0)-1,MATCH(Charts!BL$3,Income!$C$5:$ET$5,0)-1)</f>
        <v>2362.8377246284849</v>
      </c>
      <c r="BM49" s="1015">
        <f ca="1">OFFSET(Income!$C$6,MATCH(Charts!$E49,Income!$C$6:$C$122,0)-1,MATCH(Charts!BM$3,Income!$C$5:$ET$5,0)-1)</f>
        <v>3018.6887371151934</v>
      </c>
      <c r="BN49" s="908"/>
      <c r="BO49" s="908"/>
      <c r="BP49" s="908"/>
      <c r="BQ49" s="908"/>
      <c r="BR49" s="908"/>
      <c r="BS49" s="908"/>
      <c r="BT49" s="908"/>
      <c r="BU49" s="908"/>
      <c r="BV49" s="908"/>
      <c r="BW49" s="908"/>
      <c r="BX49" s="908"/>
      <c r="BY49" s="908"/>
      <c r="BZ49" s="908"/>
      <c r="CA49" s="908"/>
      <c r="CB49" s="908"/>
      <c r="CC49" s="908"/>
      <c r="CD49" s="908"/>
      <c r="CE49" s="908"/>
      <c r="CF49" s="908"/>
      <c r="CG49" s="908"/>
      <c r="CH49" s="908"/>
      <c r="CI49" s="908"/>
      <c r="CJ49" s="908"/>
      <c r="CK49" s="908"/>
      <c r="CL49" s="908"/>
      <c r="CM49" s="908"/>
      <c r="CN49" s="908"/>
      <c r="CO49" s="908"/>
      <c r="CP49" s="908"/>
      <c r="CQ49" s="908"/>
      <c r="CR49" s="908"/>
      <c r="CS49" s="889" t="s">
        <v>213</v>
      </c>
      <c r="CT49" s="1012">
        <f ca="1">OFFSET(Income!$C$6,MATCH(Charts!$E49,Income!$C$6:$C$122,0)-1,MATCH(Charts!CT$4,Income!$C$4:$ET$4,0)-1)</f>
        <v>60.36699999999999</v>
      </c>
      <c r="CU49" s="1012">
        <f ca="1">OFFSET(Income!$C$6,MATCH(Charts!$E49,Income!$C$6:$C$122,0)-1,MATCH(Charts!CU$4,Income!$C$4:$ET$4,0)-1)</f>
        <v>131.48899999999998</v>
      </c>
      <c r="CV49" s="1012">
        <f ca="1">OFFSET(Income!$C$6,MATCH(Charts!$E49,Income!$C$6:$C$122,0)-1,MATCH(Charts!CV$4,Income!$C$4:$ET$4,0)-1)</f>
        <v>232.261</v>
      </c>
      <c r="CW49" s="1012">
        <f ca="1">OFFSET(Income!$C$6,MATCH(Charts!$E49,Income!$C$6:$C$122,0)-1,MATCH(Charts!CW$4,Income!$C$4:$ET$4,0)-1)</f>
        <v>351.55700000000002</v>
      </c>
      <c r="CX49" s="1012">
        <f ca="1">OFFSET(Income!$C$6,MATCH(Charts!$E49,Income!$C$6:$C$122,0)-1,MATCH(Charts!CX$4,Income!$C$4:$ET$4,0)-1)</f>
        <v>826.29499999999996</v>
      </c>
      <c r="CY49" s="1012">
        <f ca="1">OFFSET(Income!$C$6,MATCH(Charts!$E49,Income!$C$6:$C$122,0)-1,MATCH(Charts!CY$4,Income!$C$4:$ET$4,0)-1)</f>
        <v>1403.1610000000001</v>
      </c>
      <c r="CZ49" s="1012">
        <f ca="1">OFFSET(Income!$C$6,MATCH(Charts!$E49,Income!$C$6:$C$122,0)-1,MATCH(Charts!CZ$4,Income!$C$4:$ET$4,0)-1)</f>
        <v>1597.2269999999999</v>
      </c>
      <c r="DA49" s="1012">
        <f ca="1">OFFSET(Income!$C$6,MATCH(Charts!$E49,Income!$C$6:$C$122,0)-1,MATCH(Charts!DA$4,Income!$C$4:$ET$4,0)-1)</f>
        <v>2032</v>
      </c>
      <c r="DB49" s="1012">
        <f ca="1">OFFSET(Income!$C$6,MATCH(Charts!$E49,Income!$C$6:$C$122,0)-1,MATCH(Charts!DB$4,Income!$C$4:$ET$4,0)-1)</f>
        <v>2556</v>
      </c>
      <c r="DC49" s="1012" t="e">
        <f ca="1">OFFSET(Income!$C$6,MATCH(Charts!$E49,Income!$C$6:$C$122,0)-1,MATCH(Charts!DC$4,Income!$C$4:$ET$4,0)-1)</f>
        <v>#N/A</v>
      </c>
      <c r="DD49" s="1012">
        <f ca="1">OFFSET(Income!$C$6,MATCH(Charts!$E49,Income!$C$6:$C$122,0)-1,MATCH(Charts!DD$4,Income!$C$4:$ET$4,0)-1)</f>
        <v>4517.1066834489739</v>
      </c>
      <c r="DE49" s="1012">
        <f ca="1">OFFSET(Income!$C$6,MATCH(Charts!$E49,Income!$C$6:$C$122,0)-1,MATCH(Charts!DE$4,Income!$C$4:$ET$4,0)-1)</f>
        <v>5760.7553362939634</v>
      </c>
      <c r="DF49" s="1012">
        <f ca="1">OFFSET(Income!$C$6,MATCH(Charts!$E49,Income!$C$6:$C$122,0)-1,MATCH(Charts!DF$4,Income!$C$4:$ET$4,0)-1)</f>
        <v>7007.6517384889721</v>
      </c>
      <c r="DG49" s="1012">
        <f ca="1">OFFSET(Income!$C$6,MATCH(Charts!$E49,Income!$C$6:$C$122,0)-1,MATCH(Charts!DG$4,Income!$C$4:$ET$4,0)-1)</f>
        <v>8345.5802333833635</v>
      </c>
      <c r="DH49" s="1012">
        <f ca="1">OFFSET(Income!$C$6,MATCH(Charts!$E49,Income!$C$6:$C$122,0)-1,MATCH(Charts!DH$4,Income!$C$4:$ET$4,0)-1)</f>
        <v>9810.6226815351074</v>
      </c>
    </row>
    <row r="50" spans="1:145">
      <c r="E50" s="8" t="str">
        <f>Income!C24</f>
        <v>Total Gross Profit</v>
      </c>
      <c r="F50" s="1010">
        <f ca="1">OFFSET(Income!$C$6,MATCH(Charts!$E50,Income!$C$6:$C$122,0)-1,MATCH(Charts!F$3,Income!$C$5:$ET$5,0)-1)</f>
        <v>40.085000000000008</v>
      </c>
      <c r="G50" s="1010">
        <f ca="1">OFFSET(Income!$C$6,MATCH(Charts!$E50,Income!$C$6:$C$122,0)-1,MATCH(Charts!G$3,Income!$C$5:$ET$5,0)-1)</f>
        <v>47.522999999999989</v>
      </c>
      <c r="H50" s="1010">
        <f ca="1">OFFSET(Income!$C$6,MATCH(Charts!$E50,Income!$C$6:$C$122,0)-1,MATCH(Charts!H$3,Income!$C$5:$ET$5,0)-1)</f>
        <v>53.752000000000002</v>
      </c>
      <c r="I50" s="1010">
        <f ca="1">OFFSET(Income!$C$6,MATCH(Charts!$E50,Income!$C$6:$C$122,0)-1,MATCH(Charts!I$3,Income!$C$5:$ET$5,0)-1)</f>
        <v>68.134999999999977</v>
      </c>
      <c r="J50" s="1010">
        <f ca="1">OFFSET(Income!$C$6,MATCH(Charts!$E50,Income!$C$6:$C$122,0)-1,MATCH(Charts!J$3,Income!$C$5:$ET$5,0)-1)</f>
        <v>72.241000000000014</v>
      </c>
      <c r="K50" s="1010">
        <f ca="1">OFFSET(Income!$C$6,MATCH(Charts!$E50,Income!$C$6:$C$122,0)-1,MATCH(Charts!K$3,Income!$C$5:$ET$5,0)-1)</f>
        <v>86.84</v>
      </c>
      <c r="L50" s="1010">
        <f ca="1">OFFSET(Income!$C$6,MATCH(Charts!$E50,Income!$C$6:$C$122,0)-1,MATCH(Charts!L$3,Income!$C$5:$ET$5,0)-1)</f>
        <v>100.02700000000002</v>
      </c>
      <c r="M50" s="1010">
        <f ca="1">OFFSET(Income!$C$6,MATCH(Charts!$E50,Income!$C$6:$C$122,0)-1,MATCH(Charts!M$3,Income!$C$5:$ET$5,0)-1)</f>
        <v>121.14499999999998</v>
      </c>
      <c r="N50" s="1010">
        <f ca="1">OFFSET(Income!$C$6,MATCH(Charts!$E50,Income!$C$6:$C$122,0)-1,MATCH(Charts!N$3,Income!$C$5:$ET$5,0)-1)</f>
        <v>123.84199999999998</v>
      </c>
      <c r="O50" s="1010">
        <f ca="1">OFFSET(Income!$C$6,MATCH(Charts!$E50,Income!$C$6:$C$122,0)-1,MATCH(Charts!O$3,Income!$C$5:$ET$5,0)-1)</f>
        <v>136.95499999999998</v>
      </c>
      <c r="P50" s="1010">
        <f ca="1">OFFSET(Income!$C$6,MATCH(Charts!$E50,Income!$C$6:$C$122,0)-1,MATCH(Charts!P$3,Income!$C$5:$ET$5,0)-1)</f>
        <v>149.72699999999998</v>
      </c>
      <c r="Q50" s="1010">
        <f ca="1">OFFSET(Income!$C$6,MATCH(Charts!$E50,Income!$C$6:$C$122,0)-1,MATCH(Charts!Q$3,Income!$C$5:$ET$5,0)-1)</f>
        <v>185.74299999999997</v>
      </c>
      <c r="R50" s="1010">
        <f ca="1">OFFSET(Income!$C$6,MATCH(Charts!$E50,Income!$C$6:$C$122,0)-1,MATCH(Charts!R$3,Income!$C$5:$ET$5,0)-1)</f>
        <v>180.29099999999997</v>
      </c>
      <c r="S50" s="1010">
        <f ca="1">OFFSET(Income!$C$6,MATCH(Charts!$E50,Income!$C$6:$C$122,0)-1,MATCH(Charts!S$3,Income!$C$5:$ET$5,0)-1)</f>
        <v>204.76499999999999</v>
      </c>
      <c r="T50" s="1010">
        <f ca="1">OFFSET(Income!$C$6,MATCH(Charts!$E50,Income!$C$6:$C$122,0)-1,MATCH(Charts!T$3,Income!$C$5:$ET$5,0)-1)</f>
        <v>216.69600000000003</v>
      </c>
      <c r="U50" s="1010">
        <f ca="1">OFFSET(Income!$C$6,MATCH(Charts!$E50,Income!$C$6:$C$122,0)-1,MATCH(Charts!U$3,Income!$C$5:$ET$5,0)-1)</f>
        <v>263.89100000000002</v>
      </c>
      <c r="V50" s="1010">
        <f ca="1">OFFSET(Income!$C$6,MATCH(Charts!$E50,Income!$C$6:$C$122,0)-1,MATCH(Charts!V$3,Income!$C$5:$ET$5,0)-1)</f>
        <v>256.95</v>
      </c>
      <c r="W50" s="1010">
        <f ca="1">OFFSET(Income!$C$6,MATCH(Charts!$E50,Income!$C$6:$C$122,0)-1,MATCH(Charts!W$3,Income!$C$5:$ET$5,0)-1)</f>
        <v>375.03400000000005</v>
      </c>
      <c r="X50" s="1010">
        <f ca="1">OFFSET(Income!$C$6,MATCH(Charts!$E50,Income!$C$6:$C$122,0)-1,MATCH(Charts!X$3,Income!$C$5:$ET$5,0)-1)</f>
        <v>405.14799999999997</v>
      </c>
      <c r="Y50" s="1010">
        <f ca="1">OFFSET(Income!$C$6,MATCH(Charts!$E50,Income!$C$6:$C$122,0)-1,MATCH(Charts!Y$3,Income!$C$5:$ET$5,0)-1)</f>
        <v>504.38799999999992</v>
      </c>
      <c r="Z50" s="1010">
        <f ca="1">OFFSET(Income!$C$6,MATCH(Charts!$E50,Income!$C$6:$C$122,0)-1,MATCH(Charts!Z$3,Income!$C$5:$ET$5,0)-1)</f>
        <v>558.71599999999989</v>
      </c>
      <c r="AA50" s="1010">
        <f ca="1">OFFSET(Income!$C$6,MATCH(Charts!$E50,Income!$C$6:$C$122,0)-1,MATCH(Charts!AA$3,Income!$C$5:$ET$5,0)-1)</f>
        <v>620.8599999999999</v>
      </c>
      <c r="AB50" s="1010">
        <f ca="1">OFFSET(Income!$C$6,MATCH(Charts!$E50,Income!$C$6:$C$122,0)-1,MATCH(Charts!AB$3,Income!$C$5:$ET$5,0)-1)</f>
        <v>608.90899999999999</v>
      </c>
      <c r="AC50" s="1010">
        <f ca="1">OFFSET(Income!$C$6,MATCH(Charts!$E50,Income!$C$6:$C$122,0)-1,MATCH(Charts!AC$3,Income!$C$5:$ET$5,0)-1)</f>
        <v>692.65900000000011</v>
      </c>
      <c r="AD50" s="1010">
        <f ca="1">OFFSET(Income!$C$6,MATCH(Charts!$E50,Income!$C$6:$C$122,0)-1,MATCH(Charts!AD$3,Income!$C$5:$ET$5,0)-1)</f>
        <v>637.63700000000006</v>
      </c>
      <c r="AE50" s="1010">
        <f ca="1">OFFSET(Income!$C$6,MATCH(Charts!$E50,Income!$C$6:$C$122,0)-1,MATCH(Charts!AE$3,Income!$C$5:$ET$5,0)-1)</f>
        <v>655.64200000000005</v>
      </c>
      <c r="AF50" s="1010">
        <f ca="1">OFFSET(Income!$C$6,MATCH(Charts!$E50,Income!$C$6:$C$122,0)-1,MATCH(Charts!AF$3,Income!$C$5:$ET$5,0)-1)</f>
        <v>662.33200000000011</v>
      </c>
      <c r="AG50" s="1010">
        <f ca="1">OFFSET(Income!$C$6,MATCH(Charts!$E50,Income!$C$6:$C$122,0)-1,MATCH(Charts!AG$3,Income!$C$5:$ET$5,0)-1)</f>
        <v>798.50800000000015</v>
      </c>
      <c r="AH50" s="1010">
        <f ca="1">OFFSET(Income!$C$6,MATCH(Charts!$E50,Income!$C$6:$C$122,0)-1,MATCH(Charts!AH$3,Income!$C$5:$ET$5,0)-1)</f>
        <v>717</v>
      </c>
      <c r="AI50" s="1010">
        <f ca="1">OFFSET(Income!$C$6,MATCH(Charts!$E50,Income!$C$6:$C$122,0)-1,MATCH(Charts!AI$3,Income!$C$5:$ET$5,0)-1)</f>
        <v>835</v>
      </c>
      <c r="AJ50" s="1010">
        <f ca="1">OFFSET(Income!$C$6,MATCH(Charts!$E50,Income!$C$6:$C$122,0)-1,MATCH(Charts!AJ$3,Income!$C$5:$ET$5,0)-1)</f>
        <v>901</v>
      </c>
      <c r="AK50" s="1010">
        <f ca="1">OFFSET(Income!$C$6,MATCH(Charts!$E50,Income!$C$6:$C$122,0)-1,MATCH(Charts!AK$3,Income!$C$5:$ET$5,0)-1)</f>
        <v>1062</v>
      </c>
      <c r="AL50" s="1010">
        <f ca="1">OFFSET(Income!$C$6,MATCH(Charts!$E50,Income!$C$6:$C$122,0)-1,MATCH(Charts!AL$3,Income!$C$5:$ET$5,0)-1)</f>
        <v>957</v>
      </c>
      <c r="AM50" s="1010">
        <f ca="1">OFFSET(Income!$C$6,MATCH(Charts!$E50,Income!$C$6:$C$122,0)-1,MATCH(Charts!AM$3,Income!$C$5:$ET$5,0)-1)</f>
        <v>1045</v>
      </c>
      <c r="AN50" s="1010">
        <f ca="1">OFFSET(Income!$C$6,MATCH(Charts!$E50,Income!$C$6:$C$122,0)-1,MATCH(Charts!AN$3,Income!$C$5:$ET$5,0)-1)</f>
        <v>1118</v>
      </c>
      <c r="AO50" s="1010">
        <f ca="1">OFFSET(Income!$C$6,MATCH(Charts!$E50,Income!$C$6:$C$122,0)-1,MATCH(Charts!AO$3,Income!$C$5:$ET$5,0)-1)</f>
        <v>1352</v>
      </c>
      <c r="AP50" s="1010">
        <f ca="1">OFFSET(Income!$C$6,MATCH(Charts!$E50,Income!$C$6:$C$122,0)-1,MATCH(Charts!AP$3,Income!$C$5:$ET$5,0)-1)</f>
        <v>1169</v>
      </c>
      <c r="AQ50" s="1010">
        <f ca="1">OFFSET(Income!$C$6,MATCH(Charts!$E50,Income!$C$6:$C$122,0)-1,MATCH(Charts!AQ$3,Income!$C$5:$ET$5,0)-1)</f>
        <v>1302</v>
      </c>
      <c r="AR50" s="1010">
        <f ca="1">OFFSET(Income!$C$6,MATCH(Charts!$E50,Income!$C$6:$C$122,0)-1,MATCH(Charts!AR$3,Income!$C$5:$ET$5,0)-1)</f>
        <v>1391</v>
      </c>
      <c r="AS50" s="1010">
        <f ca="1">OFFSET(Income!$C$6,MATCH(Charts!$E50,Income!$C$6:$C$122,0)-1,MATCH(Charts!AS$3,Income!$C$5:$ET$5,0)-1)</f>
        <v>1693</v>
      </c>
      <c r="AT50" s="1010">
        <f ca="1">OFFSET(Income!$C$6,MATCH(Charts!$E50,Income!$C$6:$C$122,0)-1,MATCH(Charts!AT$3,Income!$C$5:$ET$5,0)-1)</f>
        <v>1546</v>
      </c>
      <c r="AU50" s="1010">
        <f ca="1">OFFSET(Income!$C$6,MATCH(Charts!$E50,Income!$C$6:$C$122,0)-1,MATCH(Charts!AU$3,Income!$C$5:$ET$5,0)-1)</f>
        <v>1708</v>
      </c>
      <c r="AV50" s="1010">
        <f ca="1">OFFSET(Income!$C$6,MATCH(Charts!$E50,Income!$C$6:$C$122,0)-1,MATCH(Charts!AV$3,Income!$C$5:$ET$5,0)-1)</f>
        <v>1796.2898990152607</v>
      </c>
      <c r="AW50" s="1010">
        <f ca="1">OFFSET(Income!$C$6,MATCH(Charts!$E50,Income!$C$6:$C$122,0)-1,MATCH(Charts!AW$3,Income!$C$5:$ET$5,0)-1)</f>
        <v>2165.3187774502453</v>
      </c>
      <c r="AX50" s="1010">
        <f ca="1">OFFSET(Income!$C$6,MATCH(Charts!$E50,Income!$C$6:$C$122,0)-1,MATCH(Charts!AX$3,Income!$C$5:$ET$5,0)-1)</f>
        <v>1945.0962561143174</v>
      </c>
      <c r="AY50" s="1010">
        <f ca="1">OFFSET(Income!$C$6,MATCH(Charts!$E50,Income!$C$6:$C$122,0)-1,MATCH(Charts!AY$3,Income!$C$5:$ET$5,0)-1)</f>
        <v>2144.9215121654061</v>
      </c>
      <c r="AZ50" s="1010">
        <f ca="1">OFFSET(Income!$C$6,MATCH(Charts!$E50,Income!$C$6:$C$122,0)-1,MATCH(Charts!AZ$3,Income!$C$5:$ET$5,0)-1)</f>
        <v>2231.2932040462033</v>
      </c>
      <c r="BA50" s="1010">
        <f ca="1">OFFSET(Income!$C$6,MATCH(Charts!$E50,Income!$C$6:$C$122,0)-1,MATCH(Charts!BA$3,Income!$C$5:$ET$5,0)-1)</f>
        <v>2681.2389781096094</v>
      </c>
      <c r="BB50" s="1010">
        <f ca="1">OFFSET(Income!$C$6,MATCH(Charts!$E50,Income!$C$6:$C$122,0)-1,MATCH(Charts!BB$3,Income!$C$5:$ET$5,0)-1)</f>
        <v>2343.9020993759523</v>
      </c>
      <c r="BC50" s="1010">
        <f ca="1">OFFSET(Income!$C$6,MATCH(Charts!$E50,Income!$C$6:$C$122,0)-1,MATCH(Charts!BC$3,Income!$C$5:$ET$5,0)-1)</f>
        <v>2581.0428072124937</v>
      </c>
      <c r="BD50" s="1010">
        <f ca="1">OFFSET(Income!$C$6,MATCH(Charts!$E50,Income!$C$6:$C$122,0)-1,MATCH(Charts!BD$3,Income!$C$5:$ET$5,0)-1)</f>
        <v>2678.7663793317893</v>
      </c>
      <c r="BE50" s="1010">
        <f ca="1">OFFSET(Income!$C$6,MATCH(Charts!$E50,Income!$C$6:$C$122,0)-1,MATCH(Charts!BE$3,Income!$C$5:$ET$5,0)-1)</f>
        <v>3218.2331044218718</v>
      </c>
      <c r="BF50" s="1010">
        <f ca="1">OFFSET(Income!$C$6,MATCH(Charts!$E50,Income!$C$6:$C$122,0)-1,MATCH(Charts!BF$3,Income!$C$5:$ET$5,0)-1)</f>
        <v>2772.2002230921198</v>
      </c>
      <c r="BG50" s="1010">
        <f ca="1">OFFSET(Income!$C$6,MATCH(Charts!$E50,Income!$C$6:$C$122,0)-1,MATCH(Charts!BG$3,Income!$C$5:$ET$5,0)-1)</f>
        <v>3053.40310811872</v>
      </c>
      <c r="BH50" s="1010">
        <f ca="1">OFFSET(Income!$C$6,MATCH(Charts!$E50,Income!$C$6:$C$122,0)-1,MATCH(Charts!BH$3,Income!$C$5:$ET$5,0)-1)</f>
        <v>3168.1833106204322</v>
      </c>
      <c r="BI50" s="1010">
        <f ca="1">OFFSET(Income!$C$6,MATCH(Charts!$E50,Income!$C$6:$C$122,0)-1,MATCH(Charts!BI$3,Income!$C$5:$ET$5,0)-1)</f>
        <v>3809.1232831656098</v>
      </c>
      <c r="BJ50" s="1010">
        <f ca="1">OFFSET(Income!$C$6,MATCH(Charts!$E50,Income!$C$6:$C$122,0)-1,MATCH(Charts!BJ$3,Income!$C$5:$ET$5,0)-1)</f>
        <v>3251.7479594576175</v>
      </c>
      <c r="BK50" s="1010">
        <f ca="1">OFFSET(Income!$C$6,MATCH(Charts!$E50,Income!$C$6:$C$122,0)-1,MATCH(Charts!BK$3,Income!$C$5:$ET$5,0)-1)</f>
        <v>3581.8509637341572</v>
      </c>
      <c r="BL50" s="1010">
        <f ca="1">OFFSET(Income!$C$6,MATCH(Charts!$E50,Income!$C$6:$C$122,0)-1,MATCH(Charts!BL$3,Income!$C$5:$ET$5,0)-1)</f>
        <v>3716.4178344366555</v>
      </c>
      <c r="BM50" s="1010">
        <f ca="1">OFFSET(Income!$C$6,MATCH(Charts!$E50,Income!$C$6:$C$122,0)-1,MATCH(Charts!BM$3,Income!$C$5:$ET$5,0)-1)</f>
        <v>4469.371735174841</v>
      </c>
      <c r="BN50" s="889"/>
      <c r="BO50" s="889"/>
      <c r="BP50" s="889"/>
      <c r="BQ50" s="889"/>
      <c r="BR50" s="889"/>
      <c r="BS50" s="889"/>
      <c r="BT50" s="889"/>
      <c r="BU50" s="889"/>
      <c r="BV50" s="889"/>
      <c r="BW50" s="889"/>
      <c r="BX50" s="889"/>
      <c r="BY50" s="889"/>
      <c r="BZ50" s="889"/>
      <c r="CA50" s="889"/>
      <c r="CB50" s="889"/>
      <c r="CC50" s="889"/>
      <c r="CD50" s="889"/>
      <c r="CE50" s="889"/>
      <c r="CF50" s="889"/>
      <c r="CG50" s="889"/>
      <c r="CH50" s="889"/>
      <c r="CI50" s="889"/>
      <c r="CJ50" s="889"/>
      <c r="CK50" s="889"/>
      <c r="CL50" s="889"/>
      <c r="CM50" s="889"/>
      <c r="CN50" s="889"/>
      <c r="CO50" s="889"/>
      <c r="CP50" s="889"/>
      <c r="CQ50" s="889"/>
      <c r="CR50" s="889"/>
      <c r="CS50" s="889" t="s">
        <v>207</v>
      </c>
      <c r="CT50" s="1012">
        <f ca="1">OFFSET(Income!$C$6,MATCH(Charts!$E50,Income!$C$6:$C$122,0)-1,MATCH(Charts!CT$4,Income!$C$4:$ET$4,0)-1)</f>
        <v>209.495</v>
      </c>
      <c r="CU50" s="1012">
        <f ca="1">OFFSET(Income!$C$6,MATCH(Charts!$E50,Income!$C$6:$C$122,0)-1,MATCH(Charts!CU$4,Income!$C$4:$ET$4,0)-1)</f>
        <v>380.25299999999999</v>
      </c>
      <c r="CV50" s="1012">
        <f ca="1">OFFSET(Income!$C$6,MATCH(Charts!$E50,Income!$C$6:$C$122,0)-1,MATCH(Charts!CV$4,Income!$C$4:$ET$4,0)-1)</f>
        <v>596.26699999999983</v>
      </c>
      <c r="CW50" s="1012">
        <f ca="1">OFFSET(Income!$C$6,MATCH(Charts!$E50,Income!$C$6:$C$122,0)-1,MATCH(Charts!CW$4,Income!$C$4:$ET$4,0)-1)</f>
        <v>865.64300000000003</v>
      </c>
      <c r="CX50" s="1012">
        <f ca="1">OFFSET(Income!$C$6,MATCH(Charts!$E50,Income!$C$6:$C$122,0)-1,MATCH(Charts!CX$4,Income!$C$4:$ET$4,0)-1)</f>
        <v>1541.5200000000002</v>
      </c>
      <c r="CY50" s="1012">
        <f ca="1">OFFSET(Income!$C$6,MATCH(Charts!$E50,Income!$C$6:$C$122,0)-1,MATCH(Charts!CY$4,Income!$C$4:$ET$4,0)-1)</f>
        <v>2481.1439999999998</v>
      </c>
      <c r="CZ50" s="1012">
        <f ca="1">OFFSET(Income!$C$6,MATCH(Charts!$E50,Income!$C$6:$C$122,0)-1,MATCH(Charts!CZ$4,Income!$C$4:$ET$4,0)-1)</f>
        <v>2754.1190000000001</v>
      </c>
      <c r="DA50" s="1012">
        <f ca="1">OFFSET(Income!$C$6,MATCH(Charts!$E50,Income!$C$6:$C$122,0)-1,MATCH(Charts!DA$4,Income!$C$4:$ET$4,0)-1)</f>
        <v>3515</v>
      </c>
      <c r="DB50" s="1012">
        <f ca="1">OFFSET(Income!$C$6,MATCH(Charts!$E50,Income!$C$6:$C$122,0)-1,MATCH(Charts!DB$4,Income!$C$4:$ET$4,0)-1)</f>
        <v>4472</v>
      </c>
      <c r="DC50" s="1012" t="e">
        <f ca="1">OFFSET(Income!$C$6,MATCH(Charts!$E50,Income!$C$6:$C$122,0)-1,MATCH(Charts!DC$4,Income!$C$4:$ET$4,0)-1)</f>
        <v>#N/A</v>
      </c>
      <c r="DD50" s="1012">
        <f ca="1">OFFSET(Income!$C$6,MATCH(Charts!$E50,Income!$C$6:$C$122,0)-1,MATCH(Charts!DD$4,Income!$C$4:$ET$4,0)-1)</f>
        <v>7215.6086764655056</v>
      </c>
      <c r="DE50" s="1012">
        <f ca="1">OFFSET(Income!$C$6,MATCH(Charts!$E50,Income!$C$6:$C$122,0)-1,MATCH(Charts!DE$4,Income!$C$4:$ET$4,0)-1)</f>
        <v>9002.5499504355375</v>
      </c>
      <c r="DF50" s="1012">
        <f ca="1">OFFSET(Income!$C$6,MATCH(Charts!$E50,Income!$C$6:$C$122,0)-1,MATCH(Charts!DF$4,Income!$C$4:$ET$4,0)-1)</f>
        <v>10821.944390342107</v>
      </c>
      <c r="DG50" s="1012">
        <f ca="1">OFFSET(Income!$C$6,MATCH(Charts!$E50,Income!$C$6:$C$122,0)-1,MATCH(Charts!DG$4,Income!$C$4:$ET$4,0)-1)</f>
        <v>12802.909924996884</v>
      </c>
      <c r="DH50" s="1012">
        <f ca="1">OFFSET(Income!$C$6,MATCH(Charts!$E50,Income!$C$6:$C$122,0)-1,MATCH(Charts!DH$4,Income!$C$4:$ET$4,0)-1)</f>
        <v>15019.388492803271</v>
      </c>
    </row>
    <row r="51" spans="1:145">
      <c r="E51" s="8"/>
      <c r="F51" s="1010"/>
      <c r="G51" s="1010"/>
      <c r="H51" s="1010"/>
      <c r="I51" s="1010"/>
      <c r="J51" s="1010"/>
      <c r="K51" s="1010"/>
      <c r="L51" s="1010"/>
      <c r="M51" s="1010"/>
      <c r="N51" s="1010"/>
      <c r="O51" s="1010"/>
      <c r="P51" s="1010"/>
      <c r="Q51" s="1010"/>
      <c r="R51" s="1010"/>
      <c r="S51" s="1010"/>
      <c r="T51" s="1010"/>
      <c r="U51" s="1010"/>
      <c r="V51" s="1010"/>
      <c r="W51" s="1010"/>
      <c r="X51" s="1010"/>
      <c r="Y51" s="1010"/>
      <c r="Z51" s="1010"/>
      <c r="AA51" s="1010"/>
      <c r="AB51" s="1010"/>
      <c r="AC51" s="1010"/>
      <c r="AD51" s="1010"/>
      <c r="AE51" s="1010"/>
      <c r="AF51" s="1010"/>
      <c r="AG51" s="1010"/>
      <c r="AH51" s="1010"/>
      <c r="AI51" s="1010"/>
      <c r="AJ51" s="1010"/>
      <c r="AK51" s="1010"/>
      <c r="AL51" s="1010"/>
      <c r="AM51" s="1010"/>
      <c r="AN51" s="1010"/>
      <c r="AO51" s="1010"/>
      <c r="AP51" s="1010"/>
      <c r="AQ51" s="1010"/>
      <c r="AR51" s="1010"/>
      <c r="AS51" s="1010"/>
      <c r="AT51" s="1010"/>
      <c r="AU51" s="1010"/>
      <c r="AV51" s="1010"/>
      <c r="AW51" s="1010"/>
      <c r="AX51" s="1010"/>
      <c r="AY51" s="1010"/>
      <c r="AZ51" s="1010"/>
      <c r="BA51" s="1010"/>
      <c r="BB51" s="1010"/>
      <c r="BC51" s="1010"/>
      <c r="BD51" s="1010"/>
      <c r="BE51" s="1010"/>
      <c r="BF51" s="1010"/>
      <c r="BG51" s="1010"/>
      <c r="BH51" s="1010"/>
      <c r="BI51" s="1010"/>
      <c r="BJ51" s="1010"/>
      <c r="BK51" s="1010"/>
      <c r="BL51" s="1010"/>
      <c r="BM51" s="1010"/>
      <c r="BN51" s="889"/>
      <c r="BO51" s="889"/>
      <c r="BP51" s="889"/>
      <c r="BQ51" s="889"/>
      <c r="BR51" s="889"/>
      <c r="BS51" s="889"/>
      <c r="BT51" s="889"/>
      <c r="BU51" s="889"/>
      <c r="BV51" s="889"/>
      <c r="BW51" s="889"/>
      <c r="BX51" s="889"/>
      <c r="BY51" s="889"/>
      <c r="BZ51" s="889"/>
      <c r="CA51" s="889"/>
      <c r="CB51" s="889"/>
      <c r="CC51" s="889"/>
      <c r="CD51" s="889"/>
      <c r="CE51" s="889"/>
      <c r="CF51" s="889"/>
      <c r="CG51" s="889"/>
      <c r="CH51" s="889"/>
      <c r="CI51" s="889"/>
      <c r="CJ51" s="889"/>
      <c r="CK51" s="889"/>
      <c r="CL51" s="889"/>
      <c r="CM51" s="889"/>
      <c r="CN51" s="889"/>
      <c r="CO51" s="889"/>
      <c r="CP51" s="889"/>
      <c r="CQ51" s="889"/>
      <c r="CR51" s="889"/>
      <c r="CS51" s="908"/>
      <c r="CT51" s="1012"/>
      <c r="CU51" s="1012"/>
      <c r="CV51" s="1012"/>
      <c r="CW51" s="1012"/>
      <c r="CX51" s="1012"/>
      <c r="CY51" s="1012"/>
      <c r="CZ51" s="1012"/>
      <c r="DA51" s="1012"/>
      <c r="DB51" s="1012"/>
      <c r="DC51" s="1012"/>
      <c r="DD51" s="1012"/>
      <c r="DE51" s="1012"/>
      <c r="DF51" s="1012"/>
      <c r="DG51" s="1012"/>
      <c r="DH51" s="1012"/>
    </row>
    <row r="52" spans="1:145">
      <c r="E52" s="8"/>
      <c r="F52" s="1010"/>
      <c r="G52" s="1010"/>
      <c r="H52" s="1010"/>
      <c r="I52" s="1010"/>
      <c r="J52" s="1010"/>
      <c r="K52" s="1010"/>
      <c r="L52" s="1010"/>
      <c r="M52" s="1010"/>
      <c r="N52" s="1010"/>
      <c r="O52" s="1010"/>
      <c r="P52" s="1010"/>
      <c r="Q52" s="1010"/>
      <c r="R52" s="1010"/>
      <c r="S52" s="1010"/>
      <c r="T52" s="1010"/>
      <c r="U52" s="1010"/>
      <c r="V52" s="1010"/>
      <c r="W52" s="1010"/>
      <c r="X52" s="1010"/>
      <c r="Y52" s="1010"/>
      <c r="Z52" s="1010"/>
      <c r="AA52" s="1010"/>
      <c r="AB52" s="1010"/>
      <c r="AC52" s="1010"/>
      <c r="AD52" s="1010"/>
      <c r="AE52" s="1010"/>
      <c r="AF52" s="1010"/>
      <c r="AG52" s="1010"/>
      <c r="AH52" s="1010"/>
      <c r="AI52" s="1010"/>
      <c r="AJ52" s="1010"/>
      <c r="AK52" s="1010"/>
      <c r="AL52" s="1010"/>
      <c r="AM52" s="1010"/>
      <c r="AN52" s="1010"/>
      <c r="AO52" s="1010"/>
      <c r="AP52" s="1010"/>
      <c r="AQ52" s="1010"/>
      <c r="AR52" s="1010"/>
      <c r="AS52" s="1010"/>
      <c r="AT52" s="1010"/>
      <c r="AU52" s="1010"/>
      <c r="AV52" s="1010"/>
      <c r="AW52" s="1010"/>
      <c r="AX52" s="1010"/>
      <c r="AY52" s="1010"/>
      <c r="AZ52" s="1010"/>
      <c r="BA52" s="1010"/>
      <c r="BB52" s="1010"/>
      <c r="BC52" s="1010"/>
      <c r="BD52" s="1010"/>
      <c r="BE52" s="1010"/>
      <c r="BF52" s="1010"/>
      <c r="BG52" s="1010"/>
      <c r="BH52" s="1010"/>
      <c r="BI52" s="1010"/>
      <c r="BJ52" s="1010"/>
      <c r="BK52" s="1010"/>
      <c r="BL52" s="1010"/>
      <c r="BM52" s="1010"/>
      <c r="BN52" s="889"/>
      <c r="BO52" s="889"/>
      <c r="BP52" s="889"/>
      <c r="BQ52" s="889"/>
      <c r="BR52" s="889"/>
      <c r="BS52" s="889"/>
      <c r="BT52" s="889"/>
      <c r="BU52" s="889"/>
      <c r="BV52" s="889"/>
      <c r="BW52" s="889"/>
      <c r="BX52" s="889"/>
      <c r="BY52" s="889"/>
      <c r="BZ52" s="889"/>
      <c r="CA52" s="889"/>
      <c r="CB52" s="889"/>
      <c r="CC52" s="889"/>
      <c r="CD52" s="889"/>
      <c r="CE52" s="889"/>
      <c r="CF52" s="889"/>
      <c r="CG52" s="889"/>
      <c r="CH52" s="889"/>
      <c r="CI52" s="889"/>
      <c r="CJ52" s="889"/>
      <c r="CK52" s="889"/>
      <c r="CL52" s="889"/>
      <c r="CM52" s="889"/>
      <c r="CN52" s="889"/>
      <c r="CO52" s="889"/>
      <c r="CP52" s="889"/>
      <c r="CQ52" s="889"/>
      <c r="CR52" s="889"/>
      <c r="CS52" s="908"/>
      <c r="CT52" s="1012"/>
      <c r="CU52" s="1012"/>
      <c r="CV52" s="1012"/>
      <c r="CW52" s="1012"/>
      <c r="CX52" s="1012"/>
      <c r="CY52" s="1012"/>
      <c r="CZ52" s="1012"/>
      <c r="DA52" s="1012"/>
      <c r="DB52" s="1012"/>
      <c r="DC52" s="1012"/>
      <c r="DD52" s="1012"/>
      <c r="DE52" s="1012"/>
      <c r="DF52" s="1012"/>
      <c r="DG52" s="1012"/>
      <c r="DH52" s="1012"/>
    </row>
    <row r="53" spans="1:145">
      <c r="E53" s="669" t="str">
        <f>Income!C21</f>
        <v>Subscription Solutions Gross margin</v>
      </c>
      <c r="F53" s="1008">
        <f ca="1">OFFSET(Income!$C$6,MATCH(Charts!$E48,Income!$C$6:$C$122,0)+0,MATCH(Charts!F$3,Income!$C$5:$ET$5,0)-1)</f>
        <v>0.78731979538056118</v>
      </c>
      <c r="G53" s="1008">
        <f ca="1">OFFSET(Income!$C$6,MATCH(Charts!$E48,Income!$C$6:$C$122,0)+0,MATCH(Charts!G$3,Income!$C$5:$ET$5,0)-1)</f>
        <v>0.7916838393552228</v>
      </c>
      <c r="H53" s="1008">
        <f ca="1">OFFSET(Income!$C$6,MATCH(Charts!$E48,Income!$C$6:$C$122,0)+0,MATCH(Charts!H$3,Income!$C$5:$ET$5,0)-1)</f>
        <v>0.78821806216015566</v>
      </c>
      <c r="I53" s="1008">
        <f ca="1">OFFSET(Income!$C$6,MATCH(Charts!$E48,Income!$C$6:$C$122,0)+0,MATCH(Charts!I$3,Income!$C$5:$ET$5,0)-1)</f>
        <v>0.79440296522248033</v>
      </c>
      <c r="J53" s="1008">
        <f ca="1">OFFSET(Income!$C$6,MATCH(Charts!$E48,Income!$C$6:$C$122,0)+0,MATCH(Charts!J$3,Income!$C$5:$ET$5,0)-1)</f>
        <v>0.80260953608247421</v>
      </c>
      <c r="K53" s="1008">
        <f ca="1">OFFSET(Income!$C$6,MATCH(Charts!$E48,Income!$C$6:$C$122,0)+0,MATCH(Charts!K$3,Income!$C$5:$ET$5,0)-1)</f>
        <v>0.80882147546020833</v>
      </c>
      <c r="L53" s="1008">
        <f ca="1">OFFSET(Income!$C$6,MATCH(Charts!$E48,Income!$C$6:$C$122,0)+0,MATCH(Charts!L$3,Income!$C$5:$ET$5,0)-1)</f>
        <v>0.81248256201856006</v>
      </c>
      <c r="M53" s="1008">
        <f ca="1">OFFSET(Income!$C$6,MATCH(Charts!$E48,Income!$C$6:$C$122,0)+0,MATCH(Charts!M$3,Income!$C$5:$ET$5,0)-1)</f>
        <v>0.78846440511935945</v>
      </c>
      <c r="N53" s="1008">
        <f ca="1">OFFSET(Income!$C$6,MATCH(Charts!$E48,Income!$C$6:$C$122,0)+0,MATCH(Charts!N$3,Income!$C$5:$ET$5,0)-1)</f>
        <v>0.76885766182957749</v>
      </c>
      <c r="O53" s="1008">
        <f ca="1">OFFSET(Income!$C$6,MATCH(Charts!$E48,Income!$C$6:$C$122,0)+0,MATCH(Charts!O$3,Income!$C$5:$ET$5,0)-1)</f>
        <v>0.77850633574479999</v>
      </c>
      <c r="P53" s="1008">
        <f ca="1">OFFSET(Income!$C$6,MATCH(Charts!$E48,Income!$C$6:$C$122,0)+0,MATCH(Charts!P$3,Income!$C$5:$ET$5,0)-1)</f>
        <v>0.77928425035472182</v>
      </c>
      <c r="Q53" s="1008">
        <f ca="1">OFFSET(Income!$C$6,MATCH(Charts!$E48,Income!$C$6:$C$122,0)+0,MATCH(Charts!Q$3,Income!$C$5:$ET$5,0)-1)</f>
        <v>0.80004492362982926</v>
      </c>
      <c r="R53" s="1008">
        <f ca="1">OFFSET(Income!$C$6,MATCH(Charts!$E48,Income!$C$6:$C$122,0)+0,MATCH(Charts!R$3,Income!$C$5:$ET$5,0)-1)</f>
        <v>0.8007490156709457</v>
      </c>
      <c r="S53" s="1008">
        <f ca="1">OFFSET(Income!$C$6,MATCH(Charts!$E48,Income!$C$6:$C$122,0)+0,MATCH(Charts!S$3,Income!$C$5:$ET$5,0)-1)</f>
        <v>0.80700046390977942</v>
      </c>
      <c r="T53" s="1008">
        <f ca="1">OFFSET(Income!$C$6,MATCH(Charts!$E48,Income!$C$6:$C$122,0)+0,MATCH(Charts!T$3,Income!$C$5:$ET$5,0)-1)</f>
        <v>0.79910857184270756</v>
      </c>
      <c r="U53" s="1008">
        <f ca="1">OFFSET(Income!$C$6,MATCH(Charts!$E48,Income!$C$6:$C$122,0)+0,MATCH(Charts!U$3,Income!$C$5:$ET$5,0)-1)</f>
        <v>0.79598287891857655</v>
      </c>
      <c r="V53" s="1008">
        <f ca="1">OFFSET(Income!$C$6,MATCH(Charts!$E48,Income!$C$6:$C$122,0)+0,MATCH(Charts!V$3,Income!$C$5:$ET$5,0)-1)</f>
        <v>0.79898618936191756</v>
      </c>
      <c r="W53" s="1008">
        <f ca="1">OFFSET(Income!$C$6,MATCH(Charts!$E48,Income!$C$6:$C$122,0)+0,MATCH(Charts!W$3,Income!$C$5:$ET$5,0)-1)</f>
        <v>0.77396988301414216</v>
      </c>
      <c r="X53" s="1008">
        <f ca="1">OFFSET(Income!$C$6,MATCH(Charts!$E48,Income!$C$6:$C$122,0)+0,MATCH(Charts!X$3,Income!$C$5:$ET$5,0)-1)</f>
        <v>0.78729910222852806</v>
      </c>
      <c r="Y53" s="1008">
        <f ca="1">OFFSET(Income!$C$6,MATCH(Charts!$E48,Income!$C$6:$C$122,0)+0,MATCH(Charts!Y$3,Income!$C$5:$ET$5,0)-1)</f>
        <v>0.78796879473232173</v>
      </c>
      <c r="Z53" s="1008">
        <f ca="1">OFFSET(Income!$C$6,MATCH(Charts!$E48,Income!$C$6:$C$122,0)+0,MATCH(Charts!Z$3,Income!$C$5:$ET$5,0)-1)</f>
        <v>0.81794368858772426</v>
      </c>
      <c r="AA53" s="1008">
        <f ca="1">OFFSET(Income!$C$6,MATCH(Charts!$E48,Income!$C$6:$C$122,0)+0,MATCH(Charts!AA$3,Income!$C$5:$ET$5,0)-1)</f>
        <v>0.81143021269338833</v>
      </c>
      <c r="AB53" s="1008">
        <f ca="1">OFFSET(Income!$C$6,MATCH(Charts!$E48,Income!$C$6:$C$122,0)+0,MATCH(Charts!AB$3,Income!$C$5:$ET$5,0)-1)</f>
        <v>0.79966270879931467</v>
      </c>
      <c r="AC53" s="1008">
        <f ca="1">OFFSET(Income!$C$6,MATCH(Charts!$E48,Income!$C$6:$C$122,0)+0,MATCH(Charts!AC$3,Income!$C$5:$ET$5,0)-1)</f>
        <v>0.78477995945422663</v>
      </c>
      <c r="AD53" s="1008">
        <f ca="1">OFFSET(Income!$C$6,MATCH(Charts!$E48,Income!$C$6:$C$122,0)+0,MATCH(Charts!AD$3,Income!$C$5:$ET$5,0)-1)</f>
        <v>0.77507606718857414</v>
      </c>
      <c r="AE53" s="1008">
        <f ca="1">OFFSET(Income!$C$6,MATCH(Charts!$E48,Income!$C$6:$C$122,0)+0,MATCH(Charts!AE$3,Income!$C$5:$ET$5,0)-1)</f>
        <v>0.76739083568249356</v>
      </c>
      <c r="AF53" s="1008">
        <f ca="1">OFFSET(Income!$C$6,MATCH(Charts!$E48,Income!$C$6:$C$122,0)+0,MATCH(Charts!AF$3,Income!$C$5:$ET$5,0)-1)</f>
        <v>0.78125755711518174</v>
      </c>
      <c r="AG53" s="1008">
        <f ca="1">OFFSET(Income!$C$6,MATCH(Charts!$E48,Income!$C$6:$C$122,0)+0,MATCH(Charts!AG$3,Income!$C$5:$ET$5,0)-1)</f>
        <v>0.78570857505484015</v>
      </c>
      <c r="AH53" s="1008">
        <f ca="1">OFFSET(Income!$C$6,MATCH(Charts!$E48,Income!$C$6:$C$122,0)+0,MATCH(Charts!AH$3,Income!$C$5:$ET$5,0)-1)</f>
        <v>0.78010471204188481</v>
      </c>
      <c r="AI53" s="1008">
        <f ca="1">OFFSET(Income!$C$6,MATCH(Charts!$E48,Income!$C$6:$C$122,0)+0,MATCH(Charts!AI$3,Income!$C$5:$ET$5,0)-1)</f>
        <v>0.80855855855855852</v>
      </c>
      <c r="AJ53" s="1008">
        <f ca="1">OFFSET(Income!$C$6,MATCH(Charts!$E48,Income!$C$6:$C$122,0)+0,MATCH(Charts!AJ$3,Income!$C$5:$ET$5,0)-1)</f>
        <v>0.81893004115226342</v>
      </c>
      <c r="AK53" s="1008">
        <f ca="1">OFFSET(Income!$C$6,MATCH(Charts!$E48,Income!$C$6:$C$122,0)+0,MATCH(Charts!AK$3,Income!$C$5:$ET$5,0)-1)</f>
        <v>0.81523809523809521</v>
      </c>
      <c r="AL53" s="1008">
        <f ca="1">OFFSET(Income!$C$6,MATCH(Charts!$E48,Income!$C$6:$C$122,0)+0,MATCH(Charts!AL$3,Income!$C$5:$ET$5,0)-1)</f>
        <v>0.81409001956947158</v>
      </c>
      <c r="AM53" s="1008">
        <f ca="1">OFFSET(Income!$C$6,MATCH(Charts!$E48,Income!$C$6:$C$122,0)+0,MATCH(Charts!AM$3,Income!$C$5:$ET$5,0)-1)</f>
        <v>0.82770870337477798</v>
      </c>
      <c r="AN53" s="1008">
        <f ca="1">OFFSET(Income!$C$6,MATCH(Charts!$E48,Income!$C$6:$C$122,0)+0,MATCH(Charts!AN$3,Income!$C$5:$ET$5,0)-1)</f>
        <v>0.82295081967213113</v>
      </c>
      <c r="AO53" s="1008">
        <f ca="1">OFFSET(Income!$C$6,MATCH(Charts!$E48,Income!$C$6:$C$122,0)+0,MATCH(Charts!AO$3,Income!$C$5:$ET$5,0)-1)</f>
        <v>0.79879879879879878</v>
      </c>
      <c r="AP53" s="1008">
        <f ca="1">OFFSET(Income!$C$6,MATCH(Charts!$E48,Income!$C$6:$C$122,0)+0,MATCH(Charts!AP$3,Income!$C$5:$ET$5,0)-1)</f>
        <v>0.80161290322580647</v>
      </c>
      <c r="AQ53" s="1008">
        <f ca="1">OFFSET(Income!$C$6,MATCH(Charts!$E48,Income!$C$6:$C$122,0)+0,MATCH(Charts!AQ$3,Income!$C$5:$ET$5,0)-1)</f>
        <v>0.81554878048780488</v>
      </c>
      <c r="AR53" s="1008">
        <f ca="1">OFFSET(Income!$C$6,MATCH(Charts!$E48,Income!$C$6:$C$122,0)+0,MATCH(Charts!AR$3,Income!$C$5:$ET$5,0)-1)</f>
        <v>0.81688125894134478</v>
      </c>
      <c r="AS53" s="1008">
        <f ca="1">OFFSET(Income!$C$6,MATCH(Charts!$E48,Income!$C$6:$C$122,0)+0,MATCH(Charts!AS$3,Income!$C$5:$ET$5,0)-1)</f>
        <v>0.80952380952380953</v>
      </c>
      <c r="AT53" s="1008">
        <f ca="1">OFFSET(Income!$C$6,MATCH(Charts!$E48,Income!$C$6:$C$122,0)+0,MATCH(Charts!AT$3,Income!$C$5:$ET$5,0)-1)</f>
        <v>0.80266666666666664</v>
      </c>
      <c r="AU53" s="1008">
        <f ca="1">OFFSET(Income!$C$6,MATCH(Charts!$E48,Income!$C$6:$C$122,0)+0,MATCH(Charts!AU$3,Income!$C$5:$ET$5,0)-1)</f>
        <v>0.79675810473815456</v>
      </c>
      <c r="AV53" s="1008">
        <f ca="1">OFFSET(Income!$C$6,MATCH(Charts!$E48,Income!$C$6:$C$122,0)+0,MATCH(Charts!AV$3,Income!$C$5:$ET$5,0)-1)</f>
        <v>0.81538125894134483</v>
      </c>
      <c r="AW53" s="1008">
        <f ca="1">OFFSET(Income!$C$6,MATCH(Charts!$E48,Income!$C$6:$C$122,0)+0,MATCH(Charts!AW$3,Income!$C$5:$ET$5,0)-1)</f>
        <v>0.80802380952380959</v>
      </c>
      <c r="AX53" s="1008">
        <f ca="1">OFFSET(Income!$C$6,MATCH(Charts!$E48,Income!$C$6:$C$122,0)+0,MATCH(Charts!AX$3,Income!$C$5:$ET$5,0)-1)</f>
        <v>0.80116666666666658</v>
      </c>
      <c r="AY53" s="1008">
        <f ca="1">OFFSET(Income!$C$6,MATCH(Charts!$E48,Income!$C$6:$C$122,0)+0,MATCH(Charts!AY$3,Income!$C$5:$ET$5,0)-1)</f>
        <v>0.79575810473815467</v>
      </c>
      <c r="AZ53" s="1008">
        <f ca="1">OFFSET(Income!$C$6,MATCH(Charts!$E48,Income!$C$6:$C$122,0)+0,MATCH(Charts!AZ$3,Income!$C$5:$ET$5,0)-1)</f>
        <v>0.81438125894134483</v>
      </c>
      <c r="BA53" s="1008">
        <f ca="1">OFFSET(Income!$C$6,MATCH(Charts!$E48,Income!$C$6:$C$122,0)+0,MATCH(Charts!BA$3,Income!$C$5:$ET$5,0)-1)</f>
        <v>0.80702380952380959</v>
      </c>
      <c r="BB53" s="1008">
        <f ca="1">OFFSET(Income!$C$6,MATCH(Charts!$E48,Income!$C$6:$C$122,0)+0,MATCH(Charts!BB$3,Income!$C$5:$ET$5,0)-1)</f>
        <v>0.80016666666666669</v>
      </c>
      <c r="BC53" s="1008">
        <f ca="1">OFFSET(Income!$C$6,MATCH(Charts!$E48,Income!$C$6:$C$122,0)+0,MATCH(Charts!BC$3,Income!$C$5:$ET$5,0)-1)</f>
        <v>0.79475810473815456</v>
      </c>
      <c r="BD53" s="1008">
        <f ca="1">OFFSET(Income!$C$6,MATCH(Charts!$E48,Income!$C$6:$C$122,0)+0,MATCH(Charts!BD$3,Income!$C$5:$ET$5,0)-1)</f>
        <v>0.81338125894134483</v>
      </c>
      <c r="BE53" s="1008">
        <f ca="1">OFFSET(Income!$C$6,MATCH(Charts!$E48,Income!$C$6:$C$122,0)+0,MATCH(Charts!BE$3,Income!$C$5:$ET$5,0)-1)</f>
        <v>0.80602380952380948</v>
      </c>
      <c r="BF53" s="1008">
        <f ca="1">OFFSET(Income!$C$6,MATCH(Charts!$E48,Income!$C$6:$C$122,0)+0,MATCH(Charts!BF$3,Income!$C$5:$ET$5,0)-1)</f>
        <v>0.79916666666666658</v>
      </c>
      <c r="BG53" s="1008">
        <f ca="1">OFFSET(Income!$C$6,MATCH(Charts!$E48,Income!$C$6:$C$122,0)+0,MATCH(Charts!BG$3,Income!$C$5:$ET$5,0)-1)</f>
        <v>0.79375810473815467</v>
      </c>
      <c r="BH53" s="1008">
        <f ca="1">OFFSET(Income!$C$6,MATCH(Charts!$E48,Income!$C$6:$C$122,0)+0,MATCH(Charts!BH$3,Income!$C$5:$ET$5,0)-1)</f>
        <v>0.81238125894134483</v>
      </c>
      <c r="BI53" s="1008">
        <f ca="1">OFFSET(Income!$C$6,MATCH(Charts!$E48,Income!$C$6:$C$122,0)+0,MATCH(Charts!BI$3,Income!$C$5:$ET$5,0)-1)</f>
        <v>0.80502380952380947</v>
      </c>
      <c r="BJ53" s="1008">
        <f ca="1">OFFSET(Income!$C$6,MATCH(Charts!$E48,Income!$C$6:$C$122,0)+0,MATCH(Charts!BJ$3,Income!$C$5:$ET$5,0)-1)</f>
        <v>0.79816666666666669</v>
      </c>
      <c r="BK53" s="1008">
        <f ca="1">OFFSET(Income!$C$6,MATCH(Charts!$E48,Income!$C$6:$C$122,0)+0,MATCH(Charts!BK$3,Income!$C$5:$ET$5,0)-1)</f>
        <v>0.79275810473815467</v>
      </c>
      <c r="BL53" s="1008">
        <f ca="1">OFFSET(Income!$C$6,MATCH(Charts!$E48,Income!$C$6:$C$122,0)+0,MATCH(Charts!BL$3,Income!$C$5:$ET$5,0)-1)</f>
        <v>0.81138125894134483</v>
      </c>
      <c r="BM53" s="1008">
        <f ca="1">OFFSET(Income!$C$6,MATCH(Charts!$E48,Income!$C$6:$C$122,0)+0,MATCH(Charts!BM$3,Income!$C$5:$ET$5,0)-1)</f>
        <v>0.80402380952380959</v>
      </c>
      <c r="BN53" s="889"/>
      <c r="BO53" s="889"/>
      <c r="BP53" s="889"/>
      <c r="BQ53" s="889"/>
      <c r="BR53" s="889"/>
      <c r="BS53" s="889"/>
      <c r="BT53" s="889"/>
      <c r="BU53" s="889"/>
      <c r="BV53" s="889"/>
      <c r="BW53" s="889"/>
      <c r="BX53" s="889"/>
      <c r="BY53" s="889"/>
      <c r="BZ53" s="889"/>
      <c r="CA53" s="889"/>
      <c r="CB53" s="889"/>
      <c r="CC53" s="889"/>
      <c r="CD53" s="889"/>
      <c r="CE53" s="889"/>
      <c r="CF53" s="889"/>
      <c r="CG53" s="889"/>
      <c r="CH53" s="889"/>
      <c r="CI53" s="889"/>
      <c r="CJ53" s="889"/>
      <c r="CK53" s="889"/>
      <c r="CL53" s="889"/>
      <c r="CM53" s="889"/>
      <c r="CN53" s="889"/>
      <c r="CO53" s="889"/>
      <c r="CP53" s="889"/>
      <c r="CQ53" s="889"/>
      <c r="CR53" s="889"/>
      <c r="CS53" s="1027" t="str">
        <f>E53</f>
        <v>Subscription Solutions Gross margin</v>
      </c>
      <c r="CT53" s="1008">
        <f ca="1">OFFSET(Income!$C$6,MATCH(Charts!$E48,Income!$C$6:$C$122,0)+0,MATCH(Charts!CT$4,Income!$C$4:$ET$4,0)-1)</f>
        <v>0.79068534405056035</v>
      </c>
      <c r="CU53" s="1008">
        <f ca="1">OFFSET(Income!$C$6,MATCH(Charts!$E48,Income!$C$6:$C$122,0)+0,MATCH(Charts!CU$4,Income!$C$4:$ET$4,0)-1)</f>
        <v>0.80238427770126219</v>
      </c>
      <c r="CV53" s="1008">
        <f ca="1">OFFSET(Income!$C$6,MATCH(Charts!$E48,Income!$C$6:$C$122,0)+0,MATCH(Charts!CV$4,Income!$C$4:$ET$4,0)-1)</f>
        <v>0.78281533604590159</v>
      </c>
      <c r="CW53" s="1008">
        <f ca="1">OFFSET(Income!$C$6,MATCH(Charts!$E48,Income!$C$6:$C$122,0)+0,MATCH(Charts!CW$4,Income!$C$4:$ET$4,0)-1)</f>
        <v>0.80045652644412302</v>
      </c>
      <c r="CX53" s="1008">
        <f ca="1">OFFSET(Income!$C$6,MATCH(Charts!$E48,Income!$C$6:$C$122,0)+0,MATCH(Charts!CX$4,Income!$C$4:$ET$4,0)-1)</f>
        <v>0.78703657853529585</v>
      </c>
      <c r="CY53" s="1008">
        <f ca="1">OFFSET(Income!$C$6,MATCH(Charts!$E48,Income!$C$6:$C$122,0)+0,MATCH(Charts!CY$4,Income!$C$4:$ET$4,0)-1)</f>
        <v>0.80306615194132025</v>
      </c>
      <c r="CZ53" s="1008">
        <f ca="1">OFFSET(Income!$C$6,MATCH(Charts!$E48,Income!$C$6:$C$122,0)+0,MATCH(Charts!CZ$4,Income!$C$4:$ET$4,0)-1)</f>
        <v>0.77760712588530811</v>
      </c>
      <c r="DA53" s="1008">
        <f ca="1">OFFSET(Income!$C$6,MATCH(Charts!$E48,Income!$C$6:$C$122,0)+0,MATCH(Charts!DA$4,Income!$C$4:$ET$4,0)-1)</f>
        <v>0.8072945019052804</v>
      </c>
      <c r="DB53" s="1008">
        <f ca="1">OFFSET(Income!$C$6,MATCH(Charts!$E48,Income!$C$6:$C$122,0)+0,MATCH(Charts!DB$4,Income!$C$4:$ET$4,0)-1)</f>
        <v>0.81531914893617019</v>
      </c>
      <c r="DC53" s="1008" t="e">
        <f ca="1">OFFSET(Income!$C$6,MATCH(Charts!$E48,Income!$C$6:$C$122,0)+0,MATCH(Charts!DC$4,Income!$C$4:$ET$4,0)-1)</f>
        <v>#N/A</v>
      </c>
      <c r="DD53" s="1008">
        <f ca="1">OFFSET(Income!$C$6,MATCH(Charts!$E48,Income!$C$6:$C$122,0)+0,MATCH(Charts!DD$4,Income!$C$4:$ET$4,0)-1)</f>
        <v>0.80601630616771991</v>
      </c>
      <c r="DE53" s="1008">
        <f ca="1">OFFSET(Income!$C$6,MATCH(Charts!$E48,Income!$C$6:$C$122,0)+0,MATCH(Charts!DE$4,Income!$C$4:$ET$4,0)-1)</f>
        <v>0.80490836627993689</v>
      </c>
      <c r="DF53" s="1008">
        <f ca="1">OFFSET(Income!$C$6,MATCH(Charts!$E48,Income!$C$6:$C$122,0)+0,MATCH(Charts!DF$4,Income!$C$4:$ET$4,0)-1)</f>
        <v>0.8038866667976442</v>
      </c>
      <c r="DG53" s="1008">
        <f ca="1">OFFSET(Income!$C$6,MATCH(Charts!$E48,Income!$C$6:$C$122,0)+0,MATCH(Charts!DG$4,Income!$C$4:$ET$4,0)-1)</f>
        <v>0.80288666679764398</v>
      </c>
      <c r="DH53" s="1008">
        <f ca="1">OFFSET(Income!$C$6,MATCH(Charts!$E48,Income!$C$6:$C$122,0)+0,MATCH(Charts!DH$4,Income!$C$4:$ET$4,0)-1)</f>
        <v>0.80188666679764431</v>
      </c>
    </row>
    <row r="54" spans="1:145">
      <c r="E54" s="669" t="str">
        <f>Income!C23</f>
        <v>Merchant Solutions Gross margin</v>
      </c>
      <c r="F54" s="1008">
        <f ca="1">OFFSET(Income!$C$6,MATCH(Charts!$E49,Income!$C$6:$C$122,0)+0,MATCH(Charts!F$3,Income!$C$5:$ET$5,0)-1)</f>
        <v>0.28254350893697078</v>
      </c>
      <c r="G54" s="1008">
        <f ca="1">OFFSET(Income!$C$6,MATCH(Charts!$E49,Income!$C$6:$C$122,0)+0,MATCH(Charts!G$3,Income!$C$5:$ET$5,0)-1)</f>
        <v>0.30128220045144627</v>
      </c>
      <c r="H54" s="1008">
        <f ca="1">OFFSET(Income!$C$6,MATCH(Charts!$E49,Income!$C$6:$C$122,0)+0,MATCH(Charts!H$3,Income!$C$5:$ET$5,0)-1)</f>
        <v>0.29087838517059045</v>
      </c>
      <c r="I54" s="1008">
        <f ca="1">OFFSET(Income!$C$6,MATCH(Charts!$E49,Income!$C$6:$C$122,0)+0,MATCH(Charts!I$3,Income!$C$5:$ET$5,0)-1)</f>
        <v>0.31543596951186542</v>
      </c>
      <c r="J54" s="1008">
        <f ca="1">OFFSET(Income!$C$6,MATCH(Charts!$E49,Income!$C$6:$C$122,0)+0,MATCH(Charts!J$3,Income!$C$5:$ET$5,0)-1)</f>
        <v>0.34326712507082807</v>
      </c>
      <c r="K54" s="1008">
        <f ca="1">OFFSET(Income!$C$6,MATCH(Charts!$E49,Income!$C$6:$C$122,0)+0,MATCH(Charts!K$3,Income!$C$5:$ET$5,0)-1)</f>
        <v>0.36136752563798291</v>
      </c>
      <c r="L54" s="1008">
        <f ca="1">OFFSET(Income!$C$6,MATCH(Charts!$E49,Income!$C$6:$C$122,0)+0,MATCH(Charts!L$3,Income!$C$5:$ET$5,0)-1)</f>
        <v>0.37126071376416803</v>
      </c>
      <c r="M54" s="1008">
        <f ca="1">OFFSET(Income!$C$6,MATCH(Charts!$E49,Income!$C$6:$C$122,0)+0,MATCH(Charts!M$3,Income!$C$5:$ET$5,0)-1)</f>
        <v>0.36536432472691149</v>
      </c>
      <c r="N54" s="1008">
        <f ca="1">OFFSET(Income!$C$6,MATCH(Charts!$E49,Income!$C$6:$C$122,0)+0,MATCH(Charts!N$3,Income!$C$5:$ET$5,0)-1)</f>
        <v>0.41005063867813779</v>
      </c>
      <c r="O54" s="1008">
        <f ca="1">OFFSET(Income!$C$6,MATCH(Charts!$E49,Income!$C$6:$C$122,0)+0,MATCH(Charts!O$3,Income!$C$5:$ET$5,0)-1)</f>
        <v>0.37810819266697454</v>
      </c>
      <c r="P54" s="1008">
        <f ca="1">OFFSET(Income!$C$6,MATCH(Charts!$E49,Income!$C$6:$C$122,0)+0,MATCH(Charts!P$3,Income!$C$5:$ET$5,0)-1)</f>
        <v>0.37319371167592802</v>
      </c>
      <c r="Q54" s="1008">
        <f ca="1">OFFSET(Income!$C$6,MATCH(Charts!$E49,Income!$C$6:$C$122,0)+0,MATCH(Charts!Q$3,Income!$C$5:$ET$5,0)-1)</f>
        <v>0.37512244296297698</v>
      </c>
      <c r="R54" s="1008">
        <f ca="1">OFFSET(Income!$C$6,MATCH(Charts!$E49,Income!$C$6:$C$122,0)+0,MATCH(Charts!R$3,Income!$C$5:$ET$5,0)-1)</f>
        <v>0.37674067243974652</v>
      </c>
      <c r="S54" s="1008">
        <f ca="1">OFFSET(Income!$C$6,MATCH(Charts!$E49,Income!$C$6:$C$122,0)+0,MATCH(Charts!S$3,Income!$C$5:$ET$5,0)-1)</f>
        <v>0.38891122470468859</v>
      </c>
      <c r="T54" s="1008">
        <f ca="1">OFFSET(Income!$C$6,MATCH(Charts!$E49,Income!$C$6:$C$122,0)+0,MATCH(Charts!T$3,Income!$C$5:$ET$5,0)-1)</f>
        <v>0.37507278586509618</v>
      </c>
      <c r="U54" s="1008">
        <f ca="1">OFFSET(Income!$C$6,MATCH(Charts!$E49,Income!$C$6:$C$122,0)+0,MATCH(Charts!U$3,Income!$C$5:$ET$5,0)-1)</f>
        <v>0.3667583868022386</v>
      </c>
      <c r="V54" s="1008">
        <f ca="1">OFFSET(Income!$C$6,MATCH(Charts!$E49,Income!$C$6:$C$122,0)+0,MATCH(Charts!V$3,Income!$C$5:$ET$5,0)-1)</f>
        <v>0.37909360038528001</v>
      </c>
      <c r="W54" s="1008">
        <f ca="1">OFFSET(Income!$C$6,MATCH(Charts!$E49,Income!$C$6:$C$122,0)+0,MATCH(Charts!W$3,Income!$C$5:$ET$5,0)-1)</f>
        <v>0.43057923526810804</v>
      </c>
      <c r="X54" s="1008">
        <f ca="1">OFFSET(Income!$C$6,MATCH(Charts!$E49,Income!$C$6:$C$122,0)+0,MATCH(Charts!X$3,Income!$C$5:$ET$5,0)-1)</f>
        <v>0.406112642229632</v>
      </c>
      <c r="Y54" s="1008">
        <f ca="1">OFFSET(Income!$C$6,MATCH(Charts!$E49,Income!$C$6:$C$122,0)+0,MATCH(Charts!Y$3,Income!$C$5:$ET$5,0)-1)</f>
        <v>0.40698320502245439</v>
      </c>
      <c r="Z54" s="1008">
        <f ca="1">OFFSET(Income!$C$6,MATCH(Charts!$E49,Income!$C$6:$C$122,0)+0,MATCH(Charts!Z$3,Income!$C$5:$ET$5,0)-1)</f>
        <v>0.4437606105699991</v>
      </c>
      <c r="AA54" s="1008">
        <f ca="1">OFFSET(Income!$C$6,MATCH(Charts!$E49,Income!$C$6:$C$122,0)+0,MATCH(Charts!AA$3,Income!$C$5:$ET$5,0)-1)</f>
        <v>0.44529602347403491</v>
      </c>
      <c r="AB54" s="1008">
        <f ca="1">OFFSET(Income!$C$6,MATCH(Charts!$E49,Income!$C$6:$C$122,0)+0,MATCH(Charts!AB$3,Income!$C$5:$ET$5,0)-1)</f>
        <v>0.43179959671480017</v>
      </c>
      <c r="AC54" s="1008">
        <f ca="1">OFFSET(Income!$C$6,MATCH(Charts!$E49,Income!$C$6:$C$122,0)+0,MATCH(Charts!AC$3,Income!$C$5:$ET$5,0)-1)</f>
        <v>0.40535722617066611</v>
      </c>
      <c r="AD54" s="1008">
        <f ca="1">OFFSET(Income!$C$6,MATCH(Charts!$E49,Income!$C$6:$C$122,0)+0,MATCH(Charts!AD$3,Income!$C$5:$ET$5,0)-1)</f>
        <v>0.43129280373331225</v>
      </c>
      <c r="AE54" s="1008">
        <f ca="1">OFFSET(Income!$C$6,MATCH(Charts!$E49,Income!$C$6:$C$122,0)+0,MATCH(Charts!AE$3,Income!$C$5:$ET$5,0)-1)</f>
        <v>0.40321875471129204</v>
      </c>
      <c r="AF54" s="1008">
        <f ca="1">OFFSET(Income!$C$6,MATCH(Charts!$E49,Income!$C$6:$C$122,0)+0,MATCH(Charts!AF$3,Income!$C$5:$ET$5,0)-1)</f>
        <v>0.37210260844793264</v>
      </c>
      <c r="AG54" s="1008">
        <f ca="1">OFFSET(Income!$C$6,MATCH(Charts!$E49,Income!$C$6:$C$122,0)+0,MATCH(Charts!AG$3,Income!$C$5:$ET$5,0)-1)</f>
        <v>0.36264051594187263</v>
      </c>
      <c r="AH54" s="1008">
        <f ca="1">OFFSET(Income!$C$6,MATCH(Charts!$E49,Income!$C$6:$C$122,0)+0,MATCH(Charts!AH$3,Income!$C$5:$ET$5,0)-1)</f>
        <v>0.37211367673179396</v>
      </c>
      <c r="AI54" s="1008">
        <f ca="1">OFFSET(Income!$C$6,MATCH(Charts!$E49,Income!$C$6:$C$122,0)+0,MATCH(Charts!AI$3,Income!$C$5:$ET$5,0)-1)</f>
        <v>0.38080000000000003</v>
      </c>
      <c r="AJ54" s="1008">
        <f ca="1">OFFSET(Income!$C$6,MATCH(Charts!$E49,Income!$C$6:$C$122,0)+0,MATCH(Charts!AJ$3,Income!$C$5:$ET$5,0)-1)</f>
        <v>0.40960912052117265</v>
      </c>
      <c r="AK54" s="1008">
        <f ca="1">OFFSET(Income!$C$6,MATCH(Charts!$E49,Income!$C$6:$C$122,0)+0,MATCH(Charts!AK$3,Income!$C$5:$ET$5,0)-1)</f>
        <v>0.39159975293390981</v>
      </c>
      <c r="AL54" s="1008">
        <f ca="1">OFFSET(Income!$C$6,MATCH(Charts!$E49,Income!$C$6:$C$122,0)+0,MATCH(Charts!AL$3,Income!$C$5:$ET$5,0)-1)</f>
        <v>0.40074074074074073</v>
      </c>
      <c r="AM54" s="1008">
        <f ca="1">OFFSET(Income!$C$6,MATCH(Charts!$E49,Income!$C$6:$C$122,0)+0,MATCH(Charts!AM$3,Income!$C$5:$ET$5,0)-1)</f>
        <v>0.39068825910931176</v>
      </c>
      <c r="AN54" s="1008">
        <f ca="1">OFFSET(Income!$C$6,MATCH(Charts!$E49,Income!$C$6:$C$122,0)+0,MATCH(Charts!AN$3,Income!$C$5:$ET$5,0)-1)</f>
        <v>0.39690721649484534</v>
      </c>
      <c r="AO54" s="1008">
        <f ca="1">OFFSET(Income!$C$6,MATCH(Charts!$E49,Income!$C$6:$C$122,0)+0,MATCH(Charts!AO$3,Income!$C$5:$ET$5,0)-1)</f>
        <v>0.38210624417520972</v>
      </c>
      <c r="AP54" s="1008">
        <f ca="1">OFFSET(Income!$C$6,MATCH(Charts!$E49,Income!$C$6:$C$122,0)+0,MATCH(Charts!AP$3,Income!$C$5:$ET$5,0)-1)</f>
        <v>0.38620689655172413</v>
      </c>
      <c r="AQ54" s="1008">
        <f ca="1">OFFSET(Income!$C$6,MATCH(Charts!$E49,Income!$C$6:$C$122,0)+0,MATCH(Charts!AQ$3,Income!$C$5:$ET$5,0)-1)</f>
        <v>0.37895256916996045</v>
      </c>
      <c r="AR54" s="1008">
        <f ca="1">OFFSET(Income!$C$6,MATCH(Charts!$E49,Income!$C$6:$C$122,0)+0,MATCH(Charts!AR$3,Income!$C$5:$ET$5,0)-1)</f>
        <v>0.38228438228438227</v>
      </c>
      <c r="AS54" s="1008">
        <f ca="1">OFFSET(Income!$C$6,MATCH(Charts!$E49,Income!$C$6:$C$122,0)+0,MATCH(Charts!AS$3,Income!$C$5:$ET$5,0)-1)</f>
        <v>0.36753022452504319</v>
      </c>
      <c r="AT54" s="1008">
        <f ca="1">OFFSET(Income!$C$6,MATCH(Charts!$E49,Income!$C$6:$C$122,0)+0,MATCH(Charts!AT$3,Income!$C$5:$ET$5,0)-1)</f>
        <v>0.39008264462809916</v>
      </c>
      <c r="AU54" s="1008">
        <f ca="1">OFFSET(Income!$C$6,MATCH(Charts!$E49,Income!$C$6:$C$122,0)+0,MATCH(Charts!AU$3,Income!$C$5:$ET$5,0)-1)</f>
        <v>0.3843941028407048</v>
      </c>
      <c r="AV54" s="1008">
        <f ca="1">OFFSET(Income!$C$6,MATCH(Charts!$E49,Income!$C$6:$C$122,0)+0,MATCH(Charts!AV$3,Income!$C$5:$ET$5,0)-1)</f>
        <v>0.38428438228438233</v>
      </c>
      <c r="AW54" s="1008">
        <f ca="1">OFFSET(Income!$C$6,MATCH(Charts!$E49,Income!$C$6:$C$122,0)+0,MATCH(Charts!AW$3,Income!$C$5:$ET$5,0)-1)</f>
        <v>0.36953022452504314</v>
      </c>
      <c r="AX54" s="1008">
        <f ca="1">OFFSET(Income!$C$6,MATCH(Charts!$E49,Income!$C$6:$C$122,0)+0,MATCH(Charts!AX$3,Income!$C$5:$ET$5,0)-1)</f>
        <v>0.39058264462809911</v>
      </c>
      <c r="AY54" s="1008">
        <f ca="1">OFFSET(Income!$C$6,MATCH(Charts!$E49,Income!$C$6:$C$122,0)+0,MATCH(Charts!AY$3,Income!$C$5:$ET$5,0)-1)</f>
        <v>0.38489410284070463</v>
      </c>
      <c r="AZ54" s="1008">
        <f ca="1">OFFSET(Income!$C$6,MATCH(Charts!$E49,Income!$C$6:$C$122,0)+0,MATCH(Charts!AZ$3,Income!$C$5:$ET$5,0)-1)</f>
        <v>0.38478438228438228</v>
      </c>
      <c r="BA54" s="1008">
        <f ca="1">OFFSET(Income!$C$6,MATCH(Charts!$E49,Income!$C$6:$C$122,0)+0,MATCH(Charts!BA$3,Income!$C$5:$ET$5,0)-1)</f>
        <v>0.37003022452504308</v>
      </c>
      <c r="BB54" s="1008">
        <f ca="1">OFFSET(Income!$C$6,MATCH(Charts!$E49,Income!$C$6:$C$122,0)+0,MATCH(Charts!BB$3,Income!$C$5:$ET$5,0)-1)</f>
        <v>0.391082644628099</v>
      </c>
      <c r="BC54" s="1008">
        <f ca="1">OFFSET(Income!$C$6,MATCH(Charts!$E49,Income!$C$6:$C$122,0)+0,MATCH(Charts!BC$3,Income!$C$5:$ET$5,0)-1)</f>
        <v>0.38539410284070469</v>
      </c>
      <c r="BD54" s="1008">
        <f ca="1">OFFSET(Income!$C$6,MATCH(Charts!$E49,Income!$C$6:$C$122,0)+0,MATCH(Charts!BD$3,Income!$C$5:$ET$5,0)-1)</f>
        <v>0.38528438228438228</v>
      </c>
      <c r="BE54" s="1008">
        <f ca="1">OFFSET(Income!$C$6,MATCH(Charts!$E49,Income!$C$6:$C$122,0)+0,MATCH(Charts!BE$3,Income!$C$5:$ET$5,0)-1)</f>
        <v>0.37053022452504303</v>
      </c>
      <c r="BF54" s="1008">
        <f ca="1">OFFSET(Income!$C$6,MATCH(Charts!$E49,Income!$C$6:$C$122,0)+0,MATCH(Charts!BF$3,Income!$C$5:$ET$5,0)-1)</f>
        <v>0.39158264462809905</v>
      </c>
      <c r="BG54" s="1008">
        <f ca="1">OFFSET(Income!$C$6,MATCH(Charts!$E49,Income!$C$6:$C$122,0)+0,MATCH(Charts!BG$3,Income!$C$5:$ET$5,0)-1)</f>
        <v>0.38589410284070452</v>
      </c>
      <c r="BH54" s="1008">
        <f ca="1">OFFSET(Income!$C$6,MATCH(Charts!$E49,Income!$C$6:$C$122,0)+0,MATCH(Charts!BH$3,Income!$C$5:$ET$5,0)-1)</f>
        <v>0.38578438228438217</v>
      </c>
      <c r="BI54" s="1008">
        <f ca="1">OFFSET(Income!$C$6,MATCH(Charts!$E49,Income!$C$6:$C$122,0)+0,MATCH(Charts!BI$3,Income!$C$5:$ET$5,0)-1)</f>
        <v>0.37103022452504297</v>
      </c>
      <c r="BJ54" s="1008">
        <f ca="1">OFFSET(Income!$C$6,MATCH(Charts!$E49,Income!$C$6:$C$122,0)+0,MATCH(Charts!BJ$3,Income!$C$5:$ET$5,0)-1)</f>
        <v>0.39208264462809894</v>
      </c>
      <c r="BK54" s="1008">
        <f ca="1">OFFSET(Income!$C$6,MATCH(Charts!$E49,Income!$C$6:$C$122,0)+0,MATCH(Charts!BK$3,Income!$C$5:$ET$5,0)-1)</f>
        <v>0.38639410284070458</v>
      </c>
      <c r="BL54" s="1008">
        <f ca="1">OFFSET(Income!$C$6,MATCH(Charts!$E49,Income!$C$6:$C$122,0)+0,MATCH(Charts!BL$3,Income!$C$5:$ET$5,0)-1)</f>
        <v>0.38628438228438211</v>
      </c>
      <c r="BM54" s="1008">
        <f ca="1">OFFSET(Income!$C$6,MATCH(Charts!$E49,Income!$C$6:$C$122,0)+0,MATCH(Charts!BM$3,Income!$C$5:$ET$5,0)-1)</f>
        <v>0.37153022452504292</v>
      </c>
      <c r="BN54" s="889"/>
      <c r="BO54" s="889"/>
      <c r="BP54" s="889"/>
      <c r="BQ54" s="889"/>
      <c r="BR54" s="889"/>
      <c r="BS54" s="889"/>
      <c r="BT54" s="889"/>
      <c r="BU54" s="889"/>
      <c r="BV54" s="889"/>
      <c r="BW54" s="889"/>
      <c r="BX54" s="889"/>
      <c r="BY54" s="889"/>
      <c r="BZ54" s="889"/>
      <c r="CA54" s="889"/>
      <c r="CB54" s="889"/>
      <c r="CC54" s="889"/>
      <c r="CD54" s="889"/>
      <c r="CE54" s="889"/>
      <c r="CF54" s="889"/>
      <c r="CG54" s="889"/>
      <c r="CH54" s="889"/>
      <c r="CI54" s="889"/>
      <c r="CJ54" s="889"/>
      <c r="CK54" s="889"/>
      <c r="CL54" s="889"/>
      <c r="CM54" s="889"/>
      <c r="CN54" s="889"/>
      <c r="CO54" s="889"/>
      <c r="CP54" s="889"/>
      <c r="CQ54" s="889"/>
      <c r="CR54" s="889"/>
      <c r="CS54" s="1027" t="str">
        <f>E54</f>
        <v>Merchant Solutions Gross margin</v>
      </c>
      <c r="CT54" s="1008">
        <f ca="1">OFFSET(Income!$C$6,MATCH(Charts!$E49,Income!$C$6:$C$122,0)+0,MATCH(Charts!CT$4,Income!$C$4:$ET$4,0)-1)</f>
        <v>0.30074629839979272</v>
      </c>
      <c r="CU54" s="1008">
        <f ca="1">OFFSET(Income!$C$6,MATCH(Charts!$E49,Income!$C$6:$C$122,0)+0,MATCH(Charts!CU$4,Income!$C$4:$ET$4,0)-1)</f>
        <v>0.36195643496764135</v>
      </c>
      <c r="CV54" s="1008">
        <f ca="1">OFFSET(Income!$C$6,MATCH(Charts!$E49,Income!$C$6:$C$122,0)+0,MATCH(Charts!CV$4,Income!$C$4:$ET$4,0)-1)</f>
        <v>0.38186188516571778</v>
      </c>
      <c r="CW54" s="1008">
        <f ca="1">OFFSET(Income!$C$6,MATCH(Charts!$E49,Income!$C$6:$C$122,0)+0,MATCH(Charts!CW$4,Income!$C$4:$ET$4,0)-1)</f>
        <v>0.37562237427505418</v>
      </c>
      <c r="CX54" s="1008">
        <f ca="1">OFFSET(Income!$C$6,MATCH(Charts!$E49,Income!$C$6:$C$122,0)+0,MATCH(Charts!CX$4,Income!$C$4:$ET$4,0)-1)</f>
        <v>0.40890834716494107</v>
      </c>
      <c r="CY54" s="1008">
        <f ca="1">OFFSET(Income!$C$6,MATCH(Charts!$E49,Income!$C$6:$C$122,0)+0,MATCH(Charts!CY$4,Income!$C$4:$ET$4,0)-1)</f>
        <v>0.42916395730018031</v>
      </c>
      <c r="CZ54" s="1008">
        <f ca="1">OFFSET(Income!$C$6,MATCH(Charts!$E49,Income!$C$6:$C$122,0)+0,MATCH(Charts!CZ$4,Income!$C$4:$ET$4,0)-1)</f>
        <v>0.38842077232950034</v>
      </c>
      <c r="DA54" s="1008">
        <f ca="1">OFFSET(Income!$C$6,MATCH(Charts!$E49,Income!$C$6:$C$122,0)+0,MATCH(Charts!DA$4,Income!$C$4:$ET$4,0)-1)</f>
        <v>0.38904843959410301</v>
      </c>
      <c r="DB54" s="1008">
        <f ca="1">OFFSET(Income!$C$6,MATCH(Charts!$E49,Income!$C$6:$C$122,0)+0,MATCH(Charts!DB$4,Income!$C$4:$ET$4,0)-1)</f>
        <v>0.39142419601837675</v>
      </c>
      <c r="DC54" s="1008" t="e">
        <f ca="1">OFFSET(Income!$C$6,MATCH(Charts!$E49,Income!$C$6:$C$122,0)+0,MATCH(Charts!DC$4,Income!$C$4:$ET$4,0)-1)</f>
        <v>#N/A</v>
      </c>
      <c r="DD54" s="1008">
        <f ca="1">OFFSET(Income!$C$6,MATCH(Charts!$E49,Income!$C$6:$C$122,0)+0,MATCH(Charts!DD$4,Income!$C$4:$ET$4,0)-1)</f>
        <v>0.38074909315477251</v>
      </c>
      <c r="DE54" s="1008">
        <f ca="1">OFFSET(Income!$C$6,MATCH(Charts!$E49,Income!$C$6:$C$122,0)+0,MATCH(Charts!DE$4,Income!$C$4:$ET$4,0)-1)</f>
        <v>0.38133658437646639</v>
      </c>
      <c r="DF54" s="1008">
        <f ca="1">OFFSET(Income!$C$6,MATCH(Charts!$E49,Income!$C$6:$C$122,0)+0,MATCH(Charts!DF$4,Income!$C$4:$ET$4,0)-1)</f>
        <v>0.38183639213384507</v>
      </c>
      <c r="DG54" s="1008">
        <f ca="1">OFFSET(Income!$C$6,MATCH(Charts!$E49,Income!$C$6:$C$122,0)+0,MATCH(Charts!DG$4,Income!$C$4:$ET$4,0)-1)</f>
        <v>0.3823362045356572</v>
      </c>
      <c r="DH54" s="1008">
        <f ca="1">OFFSET(Income!$C$6,MATCH(Charts!$E49,Income!$C$6:$C$122,0)+0,MATCH(Charts!DH$4,Income!$C$4:$ET$4,0)-1)</f>
        <v>0.38283602141560302</v>
      </c>
    </row>
    <row r="55" spans="1:145">
      <c r="E55" s="10" t="s">
        <v>564</v>
      </c>
      <c r="F55" s="1008">
        <f ca="1">OFFSET(Income!$C$6,MATCH(Charts!$E50,Income!$C$6:$C$122,0)+0,MATCH(Charts!F$3,Income!$C$5:$ET$5,0)-1)</f>
        <v>0.55120871263166582</v>
      </c>
      <c r="G55" s="1008">
        <f ca="1">OFFSET(Income!$C$6,MATCH(Charts!$E50,Income!$C$6:$C$122,0)+0,MATCH(Charts!G$3,Income!$C$5:$ET$5,0)-1)</f>
        <v>0.54846676745876943</v>
      </c>
      <c r="H55" s="1008">
        <f ca="1">OFFSET(Income!$C$6,MATCH(Charts!$E50,Income!$C$6:$C$122,0)+0,MATCH(Charts!H$3,Income!$C$5:$ET$5,0)-1)</f>
        <v>0.53979794733776543</v>
      </c>
      <c r="I55" s="1008">
        <f ca="1">OFFSET(Income!$C$6,MATCH(Charts!$E50,Income!$C$6:$C$122,0)+0,MATCH(Charts!I$3,Income!$C$5:$ET$5,0)-1)</f>
        <v>0.52257579592431513</v>
      </c>
      <c r="J55" s="1008">
        <f ca="1">OFFSET(Income!$C$6,MATCH(Charts!$E50,Income!$C$6:$C$122,0)+0,MATCH(Charts!J$3,Income!$C$5:$ET$5,0)-1)</f>
        <v>0.56713430000235532</v>
      </c>
      <c r="K55" s="1008">
        <f ca="1">OFFSET(Income!$C$6,MATCH(Charts!$E50,Income!$C$6:$C$122,0)+0,MATCH(Charts!K$3,Income!$C$5:$ET$5,0)-1)</f>
        <v>0.57261547591572981</v>
      </c>
      <c r="L55" s="1008">
        <f ca="1">OFFSET(Income!$C$6,MATCH(Charts!$E50,Income!$C$6:$C$122,0)+0,MATCH(Charts!L$3,Income!$C$5:$ET$5,0)-1)</f>
        <v>0.58339748973497574</v>
      </c>
      <c r="M55" s="1008">
        <f ca="1">OFFSET(Income!$C$6,MATCH(Charts!$E50,Income!$C$6:$C$122,0)+0,MATCH(Charts!M$3,Income!$C$5:$ET$5,0)-1)</f>
        <v>0.54370461461129005</v>
      </c>
      <c r="N55" s="1008">
        <f ca="1">OFFSET(Income!$C$6,MATCH(Charts!$E50,Income!$C$6:$C$122,0)+0,MATCH(Charts!N$3,Income!$C$5:$ET$5,0)-1)</f>
        <v>0.57778296164971543</v>
      </c>
      <c r="O55" s="1008">
        <f ca="1">OFFSET(Income!$C$6,MATCH(Charts!$E50,Income!$C$6:$C$122,0)+0,MATCH(Charts!O$3,Income!$C$5:$ET$5,0)-1)</f>
        <v>0.55908443315929335</v>
      </c>
      <c r="P55" s="1008">
        <f ca="1">OFFSET(Income!$C$6,MATCH(Charts!$E50,Income!$C$6:$C$122,0)+0,MATCH(Charts!P$3,Income!$C$5:$ET$5,0)-1)</f>
        <v>0.55441302802298709</v>
      </c>
      <c r="Q55" s="1008">
        <f ca="1">OFFSET(Income!$C$6,MATCH(Charts!$E50,Income!$C$6:$C$122,0)+0,MATCH(Charts!Q$3,Income!$C$5:$ET$5,0)-1)</f>
        <v>0.54016727640739592</v>
      </c>
      <c r="R55" s="1008">
        <f ca="1">OFFSET(Income!$C$6,MATCH(Charts!$E50,Income!$C$6:$C$122,0)+0,MATCH(Charts!R$3,Income!$C$5:$ET$5,0)-1)</f>
        <v>0.56256201596345501</v>
      </c>
      <c r="S55" s="1008">
        <f ca="1">OFFSET(Income!$C$6,MATCH(Charts!$E50,Income!$C$6:$C$122,0)+0,MATCH(Charts!S$3,Income!$C$5:$ET$5,0)-1)</f>
        <v>0.56568198707659834</v>
      </c>
      <c r="T55" s="1008">
        <f ca="1">OFFSET(Income!$C$6,MATCH(Charts!$E50,Income!$C$6:$C$122,0)+0,MATCH(Charts!T$3,Income!$C$5:$ET$5,0)-1)</f>
        <v>0.55484544951760584</v>
      </c>
      <c r="U55" s="1008">
        <f ca="1">OFFSET(Income!$C$6,MATCH(Charts!$E50,Income!$C$6:$C$122,0)+0,MATCH(Charts!U$3,Income!$C$5:$ET$5,0)-1)</f>
        <v>0.5223909256473197</v>
      </c>
      <c r="V55" s="1008">
        <f ca="1">OFFSET(Income!$C$6,MATCH(Charts!$E50,Income!$C$6:$C$122,0)+0,MATCH(Charts!V$3,Income!$C$5:$ET$5,0)-1)</f>
        <v>0.546700964466033</v>
      </c>
      <c r="W55" s="1008">
        <f ca="1">OFFSET(Income!$C$6,MATCH(Charts!$E50,Income!$C$6:$C$122,0)+0,MATCH(Charts!W$3,Income!$C$5:$ET$5,0)-1)</f>
        <v>0.52500696446095074</v>
      </c>
      <c r="X55" s="1008">
        <f ca="1">OFFSET(Income!$C$6,MATCH(Charts!$E50,Income!$C$6:$C$122,0)+0,MATCH(Charts!X$3,Income!$C$5:$ET$5,0)-1)</f>
        <v>0.52794547859344154</v>
      </c>
      <c r="Y55" s="1008">
        <f ca="1">OFFSET(Income!$C$6,MATCH(Charts!$E50,Income!$C$6:$C$122,0)+0,MATCH(Charts!Y$3,Income!$C$5:$ET$5,0)-1)</f>
        <v>0.51586918457183062</v>
      </c>
      <c r="Z55" s="1008">
        <f ca="1">OFFSET(Income!$C$6,MATCH(Charts!$E50,Income!$C$6:$C$122,0)+0,MATCH(Charts!Z$3,Income!$C$5:$ET$5,0)-1)</f>
        <v>0.56513194294829194</v>
      </c>
      <c r="AA55" s="1008">
        <f ca="1">OFFSET(Income!$C$6,MATCH(Charts!$E50,Income!$C$6:$C$122,0)+0,MATCH(Charts!AA$3,Income!$C$5:$ET$5,0)-1)</f>
        <v>0.55461411681681538</v>
      </c>
      <c r="AB55" s="1008">
        <f ca="1">OFFSET(Income!$C$6,MATCH(Charts!$E50,Income!$C$6:$C$122,0)+0,MATCH(Charts!AB$3,Income!$C$5:$ET$5,0)-1)</f>
        <v>0.54185932689056182</v>
      </c>
      <c r="AC55" s="1008">
        <f ca="1">OFFSET(Income!$C$6,MATCH(Charts!$E50,Income!$C$6:$C$122,0)+0,MATCH(Charts!AC$3,Income!$C$5:$ET$5,0)-1)</f>
        <v>0.501918082584071</v>
      </c>
      <c r="AD55" s="1008">
        <f ca="1">OFFSET(Income!$C$6,MATCH(Charts!$E50,Income!$C$6:$C$122,0)+0,MATCH(Charts!AD$3,Income!$C$5:$ET$5,0)-1)</f>
        <v>0.52976471868683139</v>
      </c>
      <c r="AE55" s="1008">
        <f ca="1">OFFSET(Income!$C$6,MATCH(Charts!$E50,Income!$C$6:$C$122,0)+0,MATCH(Charts!AE$3,Income!$C$5:$ET$5,0)-1)</f>
        <v>0.50626262969446278</v>
      </c>
      <c r="AF55" s="1008">
        <f ca="1">OFFSET(Income!$C$6,MATCH(Charts!$E50,Income!$C$6:$C$122,0)+0,MATCH(Charts!AF$3,Income!$C$5:$ET$5,0)-1)</f>
        <v>0.48479871175523354</v>
      </c>
      <c r="AG55" s="1008">
        <f ca="1">OFFSET(Income!$C$6,MATCH(Charts!$E50,Income!$C$6:$C$122,0)+0,MATCH(Charts!AG$3,Income!$C$5:$ET$5,0)-1)</f>
        <v>0.46024099441030381</v>
      </c>
      <c r="AH55" s="1008">
        <f ca="1">OFFSET(Income!$C$6,MATCH(Charts!$E50,Income!$C$6:$C$122,0)+0,MATCH(Charts!AH$3,Income!$C$5:$ET$5,0)-1)</f>
        <v>0.47546419098143233</v>
      </c>
      <c r="AI55" s="1008">
        <f ca="1">OFFSET(Income!$C$6,MATCH(Charts!$E50,Income!$C$6:$C$122,0)+0,MATCH(Charts!AI$3,Income!$C$5:$ET$5,0)-1)</f>
        <v>0.49291617473435656</v>
      </c>
      <c r="AJ55" s="1008">
        <f ca="1">OFFSET(Income!$C$6,MATCH(Charts!$E50,Income!$C$6:$C$122,0)+0,MATCH(Charts!AJ$3,Income!$C$5:$ET$5,0)-1)</f>
        <v>0.52567094515752621</v>
      </c>
      <c r="AK55" s="1008">
        <f ca="1">OFFSET(Income!$C$6,MATCH(Charts!$E50,Income!$C$6:$C$122,0)+0,MATCH(Charts!AK$3,Income!$C$5:$ET$5,0)-1)</f>
        <v>0.49533582089552236</v>
      </c>
      <c r="AL55" s="1008">
        <f ca="1">OFFSET(Income!$C$6,MATCH(Charts!$E50,Income!$C$6:$C$122,0)+0,MATCH(Charts!AL$3,Income!$C$5:$ET$5,0)-1)</f>
        <v>0.51423965609887157</v>
      </c>
      <c r="AM55" s="1008">
        <f ca="1">OFFSET(Income!$C$6,MATCH(Charts!$E50,Income!$C$6:$C$122,0)+0,MATCH(Charts!AM$3,Income!$C$5:$ET$5,0)-1)</f>
        <v>0.51100244498777503</v>
      </c>
      <c r="AN55" s="1008">
        <f ca="1">OFFSET(Income!$C$6,MATCH(Charts!$E50,Income!$C$6:$C$122,0)+0,MATCH(Charts!AN$3,Income!$C$5:$ET$5,0)-1)</f>
        <v>0.51711378353376503</v>
      </c>
      <c r="AO55" s="1008">
        <f ca="1">OFFSET(Income!$C$6,MATCH(Charts!$E50,Income!$C$6:$C$122,0)+0,MATCH(Charts!AO$3,Income!$C$5:$ET$5,0)-1)</f>
        <v>0.48079658605974396</v>
      </c>
      <c r="AP55" s="1008">
        <f ca="1">OFFSET(Income!$C$6,MATCH(Charts!$E50,Income!$C$6:$C$122,0)+0,MATCH(Charts!AP$3,Income!$C$5:$ET$5,0)-1)</f>
        <v>0.49533898305084745</v>
      </c>
      <c r="AQ55" s="1008">
        <f ca="1">OFFSET(Income!$C$6,MATCH(Charts!$E50,Income!$C$6:$C$122,0)+0,MATCH(Charts!AQ$3,Income!$C$5:$ET$5,0)-1)</f>
        <v>0.48582089552238805</v>
      </c>
      <c r="AR55" s="1008">
        <f ca="1">OFFSET(Income!$C$6,MATCH(Charts!$E50,Income!$C$6:$C$122,0)+0,MATCH(Charts!AR$3,Income!$C$5:$ET$5,0)-1)</f>
        <v>0.48909985935302391</v>
      </c>
      <c r="AS55" s="1008">
        <f ca="1">OFFSET(Income!$C$6,MATCH(Charts!$E50,Income!$C$6:$C$122,0)+0,MATCH(Charts!AS$3,Income!$C$5:$ET$5,0)-1)</f>
        <v>0.46105664488017428</v>
      </c>
      <c r="AT55" s="1008">
        <f ca="1">OFFSET(Income!$C$6,MATCH(Charts!$E50,Income!$C$6:$C$122,0)+0,MATCH(Charts!AT$3,Income!$C$5:$ET$5,0)-1)</f>
        <v>0.48769716088328074</v>
      </c>
      <c r="AU55" s="1008">
        <f ca="1">OFFSET(Income!$C$6,MATCH(Charts!$E50,Income!$C$6:$C$122,0)+0,MATCH(Charts!AU$3,Income!$C$5:$ET$5,0)-1)</f>
        <v>0.47669550655874965</v>
      </c>
      <c r="AV55" s="1008">
        <f ca="1">OFFSET(Income!$C$6,MATCH(Charts!$E50,Income!$C$6:$C$122,0)+0,MATCH(Charts!AV$3,Income!$C$5:$ET$5,0)-1)</f>
        <v>0.48431569475685332</v>
      </c>
      <c r="AW55" s="1008">
        <f ca="1">OFFSET(Income!$C$6,MATCH(Charts!$E50,Income!$C$6:$C$122,0)+0,MATCH(Charts!AW$3,Income!$C$5:$ET$5,0)-1)</f>
        <v>0.45587943179807378</v>
      </c>
      <c r="AX55" s="1008">
        <f ca="1">OFFSET(Income!$C$6,MATCH(Charts!$E50,Income!$C$6:$C$122,0)+0,MATCH(Charts!AX$3,Income!$C$5:$ET$5,0)-1)</f>
        <v>0.48204155062288551</v>
      </c>
      <c r="AY55" s="1008">
        <f ca="1">OFFSET(Income!$C$6,MATCH(Charts!$E50,Income!$C$6:$C$122,0)+0,MATCH(Charts!AY$3,Income!$C$5:$ET$5,0)-1)</f>
        <v>0.47226813436653242</v>
      </c>
      <c r="AZ55" s="1008">
        <f ca="1">OFFSET(Income!$C$6,MATCH(Charts!$E50,Income!$C$6:$C$122,0)+0,MATCH(Charts!AZ$3,Income!$C$5:$ET$5,0)-1)</f>
        <v>0.48070853106111427</v>
      </c>
      <c r="BA55" s="1008">
        <f ca="1">OFFSET(Income!$C$6,MATCH(Charts!$E50,Income!$C$6:$C$122,0)+0,MATCH(Charts!BA$3,Income!$C$5:$ET$5,0)-1)</f>
        <v>0.45323836876026286</v>
      </c>
      <c r="BB55" s="1008">
        <f ca="1">OFFSET(Income!$C$6,MATCH(Charts!$E50,Income!$C$6:$C$122,0)+0,MATCH(Charts!BB$3,Income!$C$5:$ET$5,0)-1)</f>
        <v>0.48059279587083642</v>
      </c>
      <c r="BC55" s="1008">
        <f ca="1">OFFSET(Income!$C$6,MATCH(Charts!$E50,Income!$C$6:$C$122,0)+0,MATCH(Charts!BC$3,Income!$C$5:$ET$5,0)-1)</f>
        <v>0.4705597159761975</v>
      </c>
      <c r="BD55" s="1008">
        <f ca="1">OFFSET(Income!$C$6,MATCH(Charts!$E50,Income!$C$6:$C$122,0)+0,MATCH(Charts!BD$3,Income!$C$5:$ET$5,0)-1)</f>
        <v>0.47846184187638569</v>
      </c>
      <c r="BE55" s="1008">
        <f ca="1">OFFSET(Income!$C$6,MATCH(Charts!$E50,Income!$C$6:$C$122,0)+0,MATCH(Charts!BE$3,Income!$C$5:$ET$5,0)-1)</f>
        <v>0.45095693184684682</v>
      </c>
      <c r="BF55" s="1008">
        <f ca="1">OFFSET(Income!$C$6,MATCH(Charts!$E50,Income!$C$6:$C$122,0)+0,MATCH(Charts!BF$3,Income!$C$5:$ET$5,0)-1)</f>
        <v>0.47963146323597228</v>
      </c>
      <c r="BG55" s="1008">
        <f ca="1">OFFSET(Income!$C$6,MATCH(Charts!$E50,Income!$C$6:$C$122,0)+0,MATCH(Charts!BG$3,Income!$C$5:$ET$5,0)-1)</f>
        <v>0.46965623932124934</v>
      </c>
      <c r="BH55" s="1008">
        <f ca="1">OFFSET(Income!$C$6,MATCH(Charts!$E50,Income!$C$6:$C$122,0)+0,MATCH(Charts!BH$3,Income!$C$5:$ET$5,0)-1)</f>
        <v>0.47744646388413603</v>
      </c>
      <c r="BI55" s="1008">
        <f ca="1">OFFSET(Income!$C$6,MATCH(Charts!$E50,Income!$C$6:$C$122,0)+0,MATCH(Charts!BI$3,Income!$C$5:$ET$5,0)-1)</f>
        <v>0.45011304843521754</v>
      </c>
      <c r="BJ55" s="1008">
        <f ca="1">OFFSET(Income!$C$6,MATCH(Charts!$E50,Income!$C$6:$C$122,0)+0,MATCH(Charts!BJ$3,Income!$C$5:$ET$5,0)-1)</f>
        <v>0.4795774867746479</v>
      </c>
      <c r="BK55" s="1008">
        <f ca="1">OFFSET(Income!$C$6,MATCH(Charts!$E50,Income!$C$6:$C$122,0)+0,MATCH(Charts!BK$3,Income!$C$5:$ET$5,0)-1)</f>
        <v>0.46962781689160082</v>
      </c>
      <c r="BL55" s="1008">
        <f ca="1">OFFSET(Income!$C$6,MATCH(Charts!$E50,Income!$C$6:$C$122,0)+0,MATCH(Charts!BL$3,Income!$C$5:$ET$5,0)-1)</f>
        <v>0.47737717591315082</v>
      </c>
      <c r="BM55" s="1008">
        <f ca="1">OFFSET(Income!$C$6,MATCH(Charts!$E50,Income!$C$6:$C$122,0)+0,MATCH(Charts!BM$3,Income!$C$5:$ET$5,0)-1)</f>
        <v>0.45011979515535577</v>
      </c>
      <c r="BN55" s="889"/>
      <c r="BO55" s="889"/>
      <c r="BP55" s="889"/>
      <c r="BQ55" s="889"/>
      <c r="BR55" s="889"/>
      <c r="BS55" s="889"/>
      <c r="BT55" s="889"/>
      <c r="BU55" s="889"/>
      <c r="BV55" s="889"/>
      <c r="BW55" s="889"/>
      <c r="BX55" s="889"/>
      <c r="BY55" s="889"/>
      <c r="BZ55" s="889"/>
      <c r="CA55" s="889"/>
      <c r="CB55" s="889"/>
      <c r="CC55" s="889"/>
      <c r="CD55" s="889"/>
      <c r="CE55" s="889"/>
      <c r="CF55" s="889"/>
      <c r="CG55" s="889"/>
      <c r="CH55" s="889"/>
      <c r="CI55" s="889"/>
      <c r="CJ55" s="889"/>
      <c r="CK55" s="889"/>
      <c r="CL55" s="889"/>
      <c r="CM55" s="889"/>
      <c r="CN55" s="889"/>
      <c r="CO55" s="889"/>
      <c r="CP55" s="889"/>
      <c r="CQ55" s="889"/>
      <c r="CR55" s="889"/>
      <c r="CS55" s="1027" t="str">
        <f>E55</f>
        <v>Total Gross Margin</v>
      </c>
      <c r="CT55" s="1008">
        <f t="shared" ref="CT55:DE55" ca="1" si="62">+CT50/CT5</f>
        <v>0.53809107954691393</v>
      </c>
      <c r="CU55" s="1008">
        <f t="shared" ca="1" si="62"/>
        <v>0.5647567814835498</v>
      </c>
      <c r="CV55" s="1008">
        <f t="shared" ca="1" si="62"/>
        <v>0.55558226622649964</v>
      </c>
      <c r="CW55" s="1008">
        <f t="shared" ca="1" si="62"/>
        <v>0.54850957404543099</v>
      </c>
      <c r="CX55" s="1008">
        <f t="shared" ca="1" si="62"/>
        <v>0.52620745378634048</v>
      </c>
      <c r="CY55" s="1008">
        <f t="shared" ca="1" si="62"/>
        <v>0.53799251320943231</v>
      </c>
      <c r="CZ55" s="1008">
        <f t="shared" ca="1" si="62"/>
        <v>0.4918189084592054</v>
      </c>
      <c r="DA55" s="1008">
        <f t="shared" ca="1" si="62"/>
        <v>0.49787535410764872</v>
      </c>
      <c r="DB55" s="1008">
        <f t="shared" ca="1" si="62"/>
        <v>0.50360360360360357</v>
      </c>
      <c r="DC55" s="1008" t="e">
        <f t="shared" ca="1" si="62"/>
        <v>#N/A</v>
      </c>
      <c r="DD55" s="1008">
        <f t="shared" ca="1" si="62"/>
        <v>0.47434642697487006</v>
      </c>
      <c r="DE55" s="1008">
        <f t="shared" ca="1" si="62"/>
        <v>0.47049327896757775</v>
      </c>
      <c r="DF55" s="1008">
        <f t="shared" ref="DF55:DH55" ca="1" si="63">+DF50/DF5</f>
        <v>0.46853695716102062</v>
      </c>
      <c r="DG55" s="1008">
        <f t="shared" ca="1" si="63"/>
        <v>0.46760955185666098</v>
      </c>
      <c r="DH55" s="1008">
        <f t="shared" ca="1" si="63"/>
        <v>0.46757599135802885</v>
      </c>
    </row>
    <row r="56" spans="1:145">
      <c r="E56" s="1108"/>
      <c r="BN56" s="889"/>
      <c r="BO56" s="889"/>
      <c r="BP56" s="889"/>
      <c r="BQ56" s="889"/>
      <c r="BR56" s="889"/>
      <c r="BS56" s="889"/>
      <c r="BT56" s="889"/>
      <c r="BU56" s="889"/>
      <c r="BV56" s="889"/>
      <c r="BW56" s="889"/>
      <c r="BX56" s="889"/>
      <c r="BY56" s="889"/>
      <c r="BZ56" s="889"/>
      <c r="CA56" s="889"/>
      <c r="CB56" s="889"/>
      <c r="CC56" s="889"/>
      <c r="CD56" s="889"/>
      <c r="CE56" s="889"/>
      <c r="CF56" s="889"/>
      <c r="CG56" s="889"/>
      <c r="CH56" s="889"/>
      <c r="CI56" s="889"/>
      <c r="CJ56" s="889"/>
      <c r="CK56" s="889"/>
      <c r="CL56" s="889"/>
      <c r="CM56" s="889"/>
      <c r="CN56" s="889"/>
      <c r="CO56" s="889"/>
      <c r="CP56" s="889"/>
      <c r="CQ56" s="889"/>
      <c r="CR56" s="889"/>
      <c r="CS56" s="889"/>
    </row>
    <row r="57" spans="1:145">
      <c r="E57" s="11" t="s">
        <v>318</v>
      </c>
      <c r="BN57" s="889"/>
      <c r="BO57" s="889"/>
      <c r="BP57" s="889"/>
      <c r="BQ57" s="889"/>
      <c r="BR57" s="889"/>
      <c r="BS57" s="889"/>
      <c r="BT57" s="889"/>
      <c r="BU57" s="889"/>
      <c r="BV57" s="889"/>
      <c r="BW57" s="889"/>
      <c r="BX57" s="889"/>
      <c r="BY57" s="889"/>
      <c r="BZ57" s="889"/>
      <c r="CA57" s="889"/>
      <c r="CB57" s="889"/>
      <c r="CC57" s="889"/>
      <c r="CD57" s="889"/>
      <c r="CE57" s="889"/>
      <c r="CF57" s="889"/>
      <c r="CG57" s="889"/>
      <c r="CH57" s="889"/>
      <c r="CI57" s="889"/>
      <c r="CJ57" s="889"/>
      <c r="CK57" s="889"/>
      <c r="CL57" s="889"/>
      <c r="CM57" s="889"/>
      <c r="CN57" s="889"/>
      <c r="CO57" s="889"/>
      <c r="CP57" s="889"/>
      <c r="CQ57" s="889"/>
      <c r="CR57" s="889"/>
      <c r="CS57" s="889"/>
    </row>
    <row r="58" spans="1:145">
      <c r="E58" s="12" t="str">
        <f>Income!C31</f>
        <v xml:space="preserve">Selling and Marketing </v>
      </c>
      <c r="F58" s="1010">
        <f ca="1">-OFFSET(Income!$C$6,MATCH(Charts!$E58,Income!$C$6:$C$122,0)-1,MATCH(Charts!F$3,Income!$C$5:$ET$5,0)-1)</f>
        <v>28.007999999999999</v>
      </c>
      <c r="G58" s="1010">
        <f ca="1">-OFFSET(Income!$C$6,MATCH(Charts!$E58,Income!$C$6:$C$122,0)-1,MATCH(Charts!G$3,Income!$C$5:$ET$5,0)-1)</f>
        <v>29.413</v>
      </c>
      <c r="H58" s="1010">
        <f ca="1">-OFFSET(Income!$C$6,MATCH(Charts!$E58,Income!$C$6:$C$122,0)-1,MATCH(Charts!H$3,Income!$C$5:$ET$5,0)-1)</f>
        <v>32.777000000000001</v>
      </c>
      <c r="I58" s="1010">
        <f ca="1">-OFFSET(Income!$C$6,MATCH(Charts!$E58,Income!$C$6:$C$122,0)-1,MATCH(Charts!I$3,Income!$C$5:$ET$5,0)-1)</f>
        <v>39.015999999999998</v>
      </c>
      <c r="J58" s="1010">
        <f ca="1">-OFFSET(Income!$C$6,MATCH(Charts!$E58,Income!$C$6:$C$122,0)-1,MATCH(Charts!J$3,Income!$C$5:$ET$5,0)-1)</f>
        <v>45.334000000000003</v>
      </c>
      <c r="K58" s="1010">
        <f ca="1">-OFFSET(Income!$C$6,MATCH(Charts!$E58,Income!$C$6:$C$122,0)-1,MATCH(Charts!K$3,Income!$C$5:$ET$5,0)-1)</f>
        <v>54.872</v>
      </c>
      <c r="L58" s="1010">
        <f ca="1">-OFFSET(Income!$C$6,MATCH(Charts!$E58,Income!$C$6:$C$122,0)-1,MATCH(Charts!L$3,Income!$C$5:$ET$5,0)-1)</f>
        <v>58.314</v>
      </c>
      <c r="M58" s="1010">
        <f ca="1">-OFFSET(Income!$C$6,MATCH(Charts!$E58,Income!$C$6:$C$122,0)-1,MATCH(Charts!M$3,Income!$C$5:$ET$5,0)-1)</f>
        <v>67.174000000000007</v>
      </c>
      <c r="N58" s="1010">
        <f ca="1">-OFFSET(Income!$C$6,MATCH(Charts!$E58,Income!$C$6:$C$122,0)-1,MATCH(Charts!N$3,Income!$C$5:$ET$5,0)-1)</f>
        <v>75.784000000000006</v>
      </c>
      <c r="O58" s="1010">
        <f ca="1">-OFFSET(Income!$C$6,MATCH(Charts!$E58,Income!$C$6:$C$122,0)-1,MATCH(Charts!O$3,Income!$C$5:$ET$5,0)-1)</f>
        <v>87.486999999999995</v>
      </c>
      <c r="P58" s="1010">
        <f ca="1">-OFFSET(Income!$C$6,MATCH(Charts!$E58,Income!$C$6:$C$122,0)-1,MATCH(Charts!P$3,Income!$C$5:$ET$5,0)-1)</f>
        <v>91.635000000000005</v>
      </c>
      <c r="Q58" s="1010">
        <f ca="1">-OFFSET(Income!$C$6,MATCH(Charts!$E58,Income!$C$6:$C$122,0)-1,MATCH(Charts!Q$3,Income!$C$5:$ET$5,0)-1)</f>
        <v>95.162999999999997</v>
      </c>
      <c r="R58" s="1010">
        <f ca="1">-OFFSET(Income!$C$6,MATCH(Charts!$E58,Income!$C$6:$C$122,0)-1,MATCH(Charts!R$3,Income!$C$5:$ET$5,0)-1)</f>
        <v>105.02200000000001</v>
      </c>
      <c r="S58" s="1010">
        <f ca="1">-OFFSET(Income!$C$6,MATCH(Charts!$E58,Income!$C$6:$C$122,0)-1,MATCH(Charts!S$3,Income!$C$5:$ET$5,0)-1)</f>
        <v>119.21</v>
      </c>
      <c r="T58" s="1010">
        <f ca="1">-OFFSET(Income!$C$6,MATCH(Charts!$E58,Income!$C$6:$C$122,0)-1,MATCH(Charts!T$3,Income!$C$5:$ET$5,0)-1)</f>
        <v>116.54600000000001</v>
      </c>
      <c r="U58" s="1010">
        <f ca="1">-OFFSET(Income!$C$6,MATCH(Charts!$E58,Income!$C$6:$C$122,0)-1,MATCH(Charts!U$3,Income!$C$5:$ET$5,0)-1)</f>
        <v>132.06299999999999</v>
      </c>
      <c r="V58" s="1010">
        <f ca="1">-OFFSET(Income!$C$6,MATCH(Charts!$E58,Income!$C$6:$C$122,0)-1,MATCH(Charts!V$3,Income!$C$5:$ET$5,0)-1)</f>
        <v>154.86199999999999</v>
      </c>
      <c r="W58" s="1010">
        <f ca="1">-OFFSET(Income!$C$6,MATCH(Charts!$E58,Income!$C$6:$C$122,0)-1,MATCH(Charts!W$3,Income!$C$5:$ET$5,0)-1)</f>
        <v>144.85</v>
      </c>
      <c r="X58" s="1010">
        <f ca="1">-OFFSET(Income!$C$6,MATCH(Charts!$E58,Income!$C$6:$C$122,0)-1,MATCH(Charts!X$3,Income!$C$5:$ET$5,0)-1)</f>
        <v>147.608</v>
      </c>
      <c r="Y58" s="1010">
        <f ca="1">-OFFSET(Income!$C$6,MATCH(Charts!$E58,Income!$C$6:$C$122,0)-1,MATCH(Charts!Y$3,Income!$C$5:$ET$5,0)-1)</f>
        <v>154.72800000000001</v>
      </c>
      <c r="Z58" s="1010">
        <f ca="1">-OFFSET(Income!$C$6,MATCH(Charts!$E58,Income!$C$6:$C$122,0)-1,MATCH(Charts!Z$3,Income!$C$5:$ET$5,0)-1)</f>
        <v>186.22300000000001</v>
      </c>
      <c r="AA58" s="1010">
        <f ca="1">-OFFSET(Income!$C$6,MATCH(Charts!$E58,Income!$C$6:$C$122,0)-1,MATCH(Charts!AA$3,Income!$C$5:$ET$5,0)-1)</f>
        <v>201.91</v>
      </c>
      <c r="AB58" s="1010">
        <f ca="1">-OFFSET(Income!$C$6,MATCH(Charts!$E58,Income!$C$6:$C$122,0)-1,MATCH(Charts!AB$3,Income!$C$5:$ET$5,0)-1)</f>
        <v>237.94900000000001</v>
      </c>
      <c r="AC58" s="1010">
        <f ca="1">-OFFSET(Income!$C$6,MATCH(Charts!$E58,Income!$C$6:$C$122,0)-1,MATCH(Charts!AC$3,Income!$C$5:$ET$5,0)-1)</f>
        <v>275.47500000000002</v>
      </c>
      <c r="AD58" s="1010">
        <f ca="1">-OFFSET(Income!$C$6,MATCH(Charts!$E58,Income!$C$6:$C$122,0)-1,MATCH(Charts!AD$3,Income!$C$5:$ET$5,0)-1)</f>
        <v>303.37099999999998</v>
      </c>
      <c r="AE58" s="1010">
        <f ca="1">-OFFSET(Income!$C$6,MATCH(Charts!$E58,Income!$C$6:$C$122,0)-1,MATCH(Charts!AE$3,Income!$C$5:$ET$5,0)-1)</f>
        <v>326.90199999999999</v>
      </c>
      <c r="AF58" s="1010">
        <f ca="1">-OFFSET(Income!$C$6,MATCH(Charts!$E58,Income!$C$6:$C$122,0)-1,MATCH(Charts!AF$3,Income!$C$5:$ET$5,0)-1)</f>
        <v>302.476</v>
      </c>
      <c r="AG58" s="1010">
        <f ca="1">-OFFSET(Income!$C$6,MATCH(Charts!$E58,Income!$C$6:$C$122,0)-1,MATCH(Charts!AG$3,Income!$C$5:$ET$5,0)-1)</f>
        <v>297.74099999999999</v>
      </c>
      <c r="AH58" s="1010">
        <f ca="1">-OFFSET(Income!$C$6,MATCH(Charts!$E58,Income!$C$6:$C$122,0)-1,MATCH(Charts!AH$3,Income!$C$5:$ET$5,0)-1)</f>
        <v>287</v>
      </c>
      <c r="AI58" s="1010">
        <f ca="1">-OFFSET(Income!$C$6,MATCH(Charts!$E58,Income!$C$6:$C$122,0)-1,MATCH(Charts!AI$3,Income!$C$5:$ET$5,0)-1)</f>
        <v>321</v>
      </c>
      <c r="AJ58" s="1010">
        <f ca="1">-OFFSET(Income!$C$6,MATCH(Charts!$E58,Income!$C$6:$C$122,0)-1,MATCH(Charts!AJ$3,Income!$C$5:$ET$5,0)-1)</f>
        <v>295</v>
      </c>
      <c r="AK58" s="1010">
        <f ca="1">-OFFSET(Income!$C$6,MATCH(Charts!$E58,Income!$C$6:$C$122,0)-1,MATCH(Charts!AK$3,Income!$C$5:$ET$5,0)-1)</f>
        <v>317</v>
      </c>
      <c r="AL58" s="1010">
        <f ca="1">-OFFSET(Income!$C$6,MATCH(Charts!$E58,Income!$C$6:$C$122,0)-1,MATCH(Charts!AL$3,Income!$C$5:$ET$5,0)-1)</f>
        <v>361</v>
      </c>
      <c r="AM58" s="1010">
        <f ca="1">-OFFSET(Income!$C$6,MATCH(Charts!$E58,Income!$C$6:$C$122,0)-1,MATCH(Charts!AM$3,Income!$C$5:$ET$5,0)-1)</f>
        <v>353</v>
      </c>
      <c r="AN58" s="1010">
        <f ca="1">-OFFSET(Income!$C$6,MATCH(Charts!$E58,Income!$C$6:$C$122,0)-1,MATCH(Charts!AN$3,Income!$C$5:$ET$5,0)-1)</f>
        <v>331</v>
      </c>
      <c r="AO58" s="1010">
        <f ca="1">-OFFSET(Income!$C$6,MATCH(Charts!$E58,Income!$C$6:$C$122,0)-1,MATCH(Charts!AO$3,Income!$C$5:$ET$5,0)-1)</f>
        <v>348</v>
      </c>
      <c r="AP58" s="1010">
        <f ca="1">-OFFSET(Income!$C$6,MATCH(Charts!$E58,Income!$C$6:$C$122,0)-1,MATCH(Charts!AP$3,Income!$C$5:$ET$5,0)-1)</f>
        <v>405</v>
      </c>
      <c r="AQ58" s="1010">
        <f ca="1">-OFFSET(Income!$C$6,MATCH(Charts!$E58,Income!$C$6:$C$122,0)-1,MATCH(Charts!AQ$3,Income!$C$5:$ET$5,0)-1)</f>
        <v>415</v>
      </c>
      <c r="AR58" s="1010">
        <f ca="1">-OFFSET(Income!$C$6,MATCH(Charts!$E58,Income!$C$6:$C$122,0)-1,MATCH(Charts!AR$3,Income!$C$5:$ET$5,0)-1)</f>
        <v>410</v>
      </c>
      <c r="AS58" s="1010">
        <f ca="1">-OFFSET(Income!$C$6,MATCH(Charts!$E58,Income!$C$6:$C$122,0)-1,MATCH(Charts!AS$3,Income!$C$5:$ET$5,0)-1)</f>
        <v>433</v>
      </c>
      <c r="AT58" s="1010">
        <f ca="1">-OFFSET(Income!$C$6,MATCH(Charts!$E58,Income!$C$6:$C$122,0)-1,MATCH(Charts!AT$3,Income!$C$5:$ET$5,0)-1)</f>
        <v>496</v>
      </c>
      <c r="AU58" s="1010">
        <f ca="1">-OFFSET(Income!$C$6,MATCH(Charts!$E58,Income!$C$6:$C$122,0)-1,MATCH(Charts!AU$3,Income!$C$5:$ET$5,0)-1)</f>
        <v>498</v>
      </c>
      <c r="AV58" s="1010">
        <f ca="1">-OFFSET(Income!$C$6,MATCH(Charts!$E58,Income!$C$6:$C$122,0)-1,MATCH(Charts!AV$3,Income!$C$5:$ET$5,0)-1)</f>
        <v>501.30979560806082</v>
      </c>
      <c r="AW58" s="1010">
        <f ca="1">-OFFSET(Income!$C$6,MATCH(Charts!$E58,Income!$C$6:$C$122,0)-1,MATCH(Charts!AW$3,Income!$C$5:$ET$5,0)-1)</f>
        <v>517.34117377929113</v>
      </c>
      <c r="AX58" s="1010">
        <f ca="1">-OFFSET(Income!$C$6,MATCH(Charts!$E58,Income!$C$6:$C$122,0)-1,MATCH(Charts!AX$3,Income!$C$5:$ET$5,0)-1)</f>
        <v>599.08189694706152</v>
      </c>
      <c r="AY58" s="1010">
        <f ca="1">-OFFSET(Income!$C$6,MATCH(Charts!$E58,Income!$C$6:$C$122,0)-1,MATCH(Charts!AY$3,Income!$C$5:$ET$5,0)-1)</f>
        <v>594.92171507281842</v>
      </c>
      <c r="AZ58" s="1010">
        <f ca="1">-OFFSET(Income!$C$6,MATCH(Charts!$E58,Income!$C$6:$C$122,0)-1,MATCH(Charts!AZ$3,Income!$C$5:$ET$5,0)-1)</f>
        <v>590.25013113907357</v>
      </c>
      <c r="BA58" s="1010">
        <f ca="1">-OFFSET(Income!$C$6,MATCH(Charts!$E58,Income!$C$6:$C$122,0)-1,MATCH(Charts!BA$3,Income!$C$5:$ET$5,0)-1)</f>
        <v>597.01256713276291</v>
      </c>
      <c r="BB58" s="1010">
        <f ca="1">-OFFSET(Income!$C$6,MATCH(Charts!$E58,Income!$C$6:$C$122,0)-1,MATCH(Charts!BB$3,Income!$C$5:$ET$5,0)-1)</f>
        <v>714.33451223654879</v>
      </c>
      <c r="BC58" s="1010">
        <f ca="1">-OFFSET(Income!$C$6,MATCH(Charts!$E58,Income!$C$6:$C$122,0)-1,MATCH(Charts!BC$3,Income!$C$5:$ET$5,0)-1)</f>
        <v>707.51459927413271</v>
      </c>
      <c r="BD58" s="1010">
        <f ca="1">-OFFSET(Income!$C$6,MATCH(Charts!$E58,Income!$C$6:$C$122,0)-1,MATCH(Charts!BD$3,Income!$C$5:$ET$5,0)-1)</f>
        <v>700.75147091154213</v>
      </c>
      <c r="BE58" s="1010">
        <f ca="1">-OFFSET(Income!$C$6,MATCH(Charts!$E58,Income!$C$6:$C$122,0)-1,MATCH(Charts!BE$3,Income!$C$5:$ET$5,0)-1)</f>
        <v>705.93361142793083</v>
      </c>
      <c r="BF58" s="1010">
        <f ca="1">-OFFSET(Income!$C$6,MATCH(Charts!$E58,Income!$C$6:$C$122,0)-1,MATCH(Charts!BF$3,Income!$C$5:$ET$5,0)-1)</f>
        <v>834.99757473808495</v>
      </c>
      <c r="BG58" s="1010">
        <f ca="1">-OFFSET(Income!$C$6,MATCH(Charts!$E58,Income!$C$6:$C$122,0)-1,MATCH(Charts!BG$3,Income!$C$5:$ET$5,0)-1)</f>
        <v>825.60526438657917</v>
      </c>
      <c r="BH58" s="1010">
        <f ca="1">-OFFSET(Income!$C$6,MATCH(Charts!$E58,Income!$C$6:$C$122,0)-1,MATCH(Charts!BH$3,Income!$C$5:$ET$5,0)-1)</f>
        <v>817.27160506882944</v>
      </c>
      <c r="BI58" s="1010">
        <f ca="1">-OFFSET(Income!$C$6,MATCH(Charts!$E58,Income!$C$6:$C$122,0)-1,MATCH(Charts!BI$3,Income!$C$5:$ET$5,0)-1)</f>
        <v>820.18929742125567</v>
      </c>
      <c r="BJ58" s="1010">
        <f ca="1">-OFFSET(Income!$C$6,MATCH(Charts!$E58,Income!$C$6:$C$122,0)-1,MATCH(Charts!BJ$3,Income!$C$5:$ET$5,0)-1)</f>
        <v>965.98858215464134</v>
      </c>
      <c r="BK58" s="1010">
        <f ca="1">-OFFSET(Income!$C$6,MATCH(Charts!$E58,Income!$C$6:$C$122,0)-1,MATCH(Charts!BK$3,Income!$C$5:$ET$5,0)-1)</f>
        <v>953.29613415058282</v>
      </c>
      <c r="BL58" s="1010">
        <f ca="1">-OFFSET(Income!$C$6,MATCH(Charts!$E58,Income!$C$6:$C$122,0)-1,MATCH(Charts!BL$3,Income!$C$5:$ET$5,0)-1)</f>
        <v>943.26439571527737</v>
      </c>
      <c r="BM58" s="1010">
        <f ca="1">-OFFSET(Income!$C$6,MATCH(Charts!$E58,Income!$C$6:$C$122,0)-1,MATCH(Charts!BM$3,Income!$C$5:$ET$5,0)-1)</f>
        <v>942.48251966400505</v>
      </c>
      <c r="BN58" s="889"/>
      <c r="BO58" s="889"/>
      <c r="BP58" s="889"/>
      <c r="BQ58" s="889"/>
      <c r="BR58" s="889"/>
      <c r="BS58" s="889"/>
      <c r="BT58" s="889"/>
      <c r="BU58" s="889"/>
      <c r="BV58" s="889"/>
      <c r="BW58" s="889"/>
      <c r="BX58" s="889"/>
      <c r="BY58" s="889"/>
      <c r="BZ58" s="889"/>
      <c r="CA58" s="889"/>
      <c r="CB58" s="889"/>
      <c r="CC58" s="889"/>
      <c r="CD58" s="889"/>
      <c r="CE58" s="889"/>
      <c r="CF58" s="889"/>
      <c r="CG58" s="889"/>
      <c r="CH58" s="889"/>
      <c r="CI58" s="889"/>
      <c r="CJ58" s="889"/>
      <c r="CK58" s="889"/>
      <c r="CL58" s="889"/>
      <c r="CM58" s="889"/>
      <c r="CN58" s="889"/>
      <c r="CO58" s="889"/>
      <c r="CP58" s="889"/>
      <c r="CQ58" s="889"/>
      <c r="CR58" s="889"/>
      <c r="CS58" s="1028" t="str">
        <f>E58</f>
        <v xml:space="preserve">Selling and Marketing </v>
      </c>
      <c r="CT58" s="1119">
        <f ca="1">-OFFSET(Income!$C$6,MATCH(Charts!$E58,Income!$C$6:$C$122,0)-1,MATCH(Charts!CT$4,Income!$C$4:$ET$4,0)-1)</f>
        <v>129.214</v>
      </c>
      <c r="CU58" s="1119">
        <f ca="1">-OFFSET(Income!$C$6,MATCH(Charts!$E58,Income!$C$6:$C$122,0)-1,MATCH(Charts!CU$4,Income!$C$4:$ET$4,0)-1)</f>
        <v>225.69400000000002</v>
      </c>
      <c r="CV58" s="1119">
        <f ca="1">-OFFSET(Income!$C$6,MATCH(Charts!$E58,Income!$C$6:$C$122,0)-1,MATCH(Charts!CV$4,Income!$C$4:$ET$4,0)-1)</f>
        <v>350.06900000000002</v>
      </c>
      <c r="CW58" s="1119">
        <f ca="1">-OFFSET(Income!$C$6,MATCH(Charts!$E58,Income!$C$6:$C$122,0)-1,MATCH(Charts!CW$4,Income!$C$4:$ET$4,0)-1)</f>
        <v>472.84100000000001</v>
      </c>
      <c r="CX58" s="1119">
        <f ca="1">-OFFSET(Income!$C$6,MATCH(Charts!$E58,Income!$C$6:$C$122,0)-1,MATCH(Charts!CX$4,Income!$C$4:$ET$4,0)-1)</f>
        <v>602.048</v>
      </c>
      <c r="CY58" s="1119">
        <f ca="1">-OFFSET(Income!$C$6,MATCH(Charts!$E58,Income!$C$6:$C$122,0)-1,MATCH(Charts!CY$4,Income!$C$4:$ET$4,0)-1)</f>
        <v>901.55700000000013</v>
      </c>
      <c r="CZ58" s="1119">
        <f ca="1">-OFFSET(Income!$C$6,MATCH(Charts!$E58,Income!$C$6:$C$122,0)-1,MATCH(Charts!CZ$4,Income!$C$4:$ET$4,0)-1)</f>
        <v>1230.4899999999998</v>
      </c>
      <c r="DA58" s="1119">
        <f ca="1">-OFFSET(Income!$C$6,MATCH(Charts!$E58,Income!$C$6:$C$122,0)-1,MATCH(Charts!DA$4,Income!$C$4:$ET$4,0)-1)</f>
        <v>1220</v>
      </c>
      <c r="DB58" s="1119">
        <f ca="1">-OFFSET(Income!$C$6,MATCH(Charts!$E58,Income!$C$6:$C$122,0)-1,MATCH(Charts!DB$4,Income!$C$4:$ET$4,0)-1)</f>
        <v>1393</v>
      </c>
      <c r="DC58" s="1119" t="e">
        <f ca="1">-OFFSET(Income!$C$6,MATCH(Charts!$E58,Income!$C$6:$C$122,0)-1,MATCH(Charts!DC$4,Income!$C$4:$ET$4,0)-1)</f>
        <v>#N/A</v>
      </c>
      <c r="DD58" s="1119">
        <f ca="1">-OFFSET(Income!$C$6,MATCH(Charts!$E58,Income!$C$6:$C$122,0)-1,MATCH(Charts!DD$4,Income!$C$4:$ET$4,0)-1)</f>
        <v>2012.6509693873518</v>
      </c>
      <c r="DE58" s="1119">
        <f ca="1">-OFFSET(Income!$C$6,MATCH(Charts!$E58,Income!$C$6:$C$122,0)-1,MATCH(Charts!DE$4,Income!$C$4:$ET$4,0)-1)</f>
        <v>2381.2663102917163</v>
      </c>
      <c r="DF58" s="1119">
        <f ca="1">-OFFSET(Income!$C$6,MATCH(Charts!$E58,Income!$C$6:$C$122,0)-1,MATCH(Charts!DF$4,Income!$C$4:$ET$4,0)-1)</f>
        <v>2828.5341938501547</v>
      </c>
      <c r="DG58" s="1119">
        <f ca="1">-OFFSET(Income!$C$6,MATCH(Charts!$E58,Income!$C$6:$C$122,0)-1,MATCH(Charts!DG$4,Income!$C$4:$ET$4,0)-1)</f>
        <v>3298.0637416147492</v>
      </c>
      <c r="DH58" s="1119">
        <f ca="1">-OFFSET(Income!$C$6,MATCH(Charts!$E58,Income!$C$6:$C$122,0)-1,MATCH(Charts!DH$4,Income!$C$4:$ET$4,0)-1)</f>
        <v>3805.0316316845065</v>
      </c>
    </row>
    <row r="59" spans="1:145">
      <c r="E59" s="669" t="s">
        <v>189</v>
      </c>
      <c r="F59" s="1008">
        <f ca="1">OFFSET(Income!$C$6,MATCH(Charts!$E58,Income!$C$6:$C$122,0)+0,MATCH(Charts!F$3,Income!$C$5:$ET$5,0)-1)</f>
        <v>0.38513792249938117</v>
      </c>
      <c r="G59" s="1008">
        <f ca="1">OFFSET(Income!$C$6,MATCH(Charts!$E58,Income!$C$6:$C$122,0)+0,MATCH(Charts!G$3,Income!$C$5:$ET$5,0)-1)</f>
        <v>0.3394578000392397</v>
      </c>
      <c r="H59" s="1008">
        <f ca="1">OFFSET(Income!$C$6,MATCH(Charts!$E58,Income!$C$6:$C$122,0)+0,MATCH(Charts!H$3,Income!$C$5:$ET$5,0)-1)</f>
        <v>0.32915905119604733</v>
      </c>
      <c r="I59" s="1008">
        <f ca="1">OFFSET(Income!$C$6,MATCH(Charts!$E58,Income!$C$6:$C$122,0)+0,MATCH(Charts!I$3,Income!$C$5:$ET$5,0)-1)</f>
        <v>0.29924146552848152</v>
      </c>
      <c r="J59" s="1008">
        <f ca="1">OFFSET(Income!$C$6,MATCH(Charts!$E58,Income!$C$6:$C$122,0)+0,MATCH(Charts!J$3,Income!$C$5:$ET$5,0)-1)</f>
        <v>0.35589853900564461</v>
      </c>
      <c r="K59" s="1008">
        <f ca="1">OFFSET(Income!$C$6,MATCH(Charts!$E58,Income!$C$6:$C$122,0)+0,MATCH(Charts!K$3,Income!$C$5:$ET$5,0)-1)</f>
        <v>0.36182123899640634</v>
      </c>
      <c r="L59" s="1008">
        <f ca="1">OFFSET(Income!$C$6,MATCH(Charts!$E58,Income!$C$6:$C$122,0)+0,MATCH(Charts!L$3,Income!$C$5:$ET$5,0)-1)</f>
        <v>0.34011058230683089</v>
      </c>
      <c r="M59" s="1008">
        <f ca="1">OFFSET(Income!$C$6,MATCH(Charts!$E58,Income!$C$6:$C$122,0)+0,MATCH(Charts!M$3,Income!$C$5:$ET$5,0)-1)</f>
        <v>0.30148015833834502</v>
      </c>
      <c r="N59" s="1008">
        <f ca="1">OFFSET(Income!$C$6,MATCH(Charts!$E58,Income!$C$6:$C$122,0)+0,MATCH(Charts!N$3,Income!$C$5:$ET$5,0)-1)</f>
        <v>0.35356909582905671</v>
      </c>
      <c r="O59" s="1008">
        <f ca="1">OFFSET(Income!$C$6,MATCH(Charts!$E58,Income!$C$6:$C$122,0)+0,MATCH(Charts!O$3,Income!$C$5:$ET$5,0)-1)</f>
        <v>0.35714373191053339</v>
      </c>
      <c r="P59" s="1008">
        <f ca="1">OFFSET(Income!$C$6,MATCH(Charts!$E58,Income!$C$6:$C$122,0)+0,MATCH(Charts!P$3,Income!$C$5:$ET$5,0)-1)</f>
        <v>0.33930846021683753</v>
      </c>
      <c r="Q59" s="1008">
        <f ca="1">OFFSET(Income!$C$6,MATCH(Charts!$E58,Income!$C$6:$C$122,0)+0,MATCH(Charts!Q$3,Income!$C$5:$ET$5,0)-1)</f>
        <v>0.27674764876607477</v>
      </c>
      <c r="R59" s="1008">
        <f ca="1">OFFSET(Income!$C$6,MATCH(Charts!$E58,Income!$C$6:$C$122,0)+0,MATCH(Charts!R$3,Income!$C$5:$ET$5,0)-1)</f>
        <v>0.32770015164658239</v>
      </c>
      <c r="S59" s="1008">
        <f ca="1">OFFSET(Income!$C$6,MATCH(Charts!$E58,Income!$C$6:$C$122,0)+0,MATCH(Charts!S$3,Income!$C$5:$ET$5,0)-1)</f>
        <v>0.32932849695700578</v>
      </c>
      <c r="T59" s="1008">
        <f ca="1">OFFSET(Income!$C$6,MATCH(Charts!$E58,Income!$C$6:$C$122,0)+0,MATCH(Charts!T$3,Income!$C$5:$ET$5,0)-1)</f>
        <v>0.29841352752002293</v>
      </c>
      <c r="U59" s="1008">
        <f ca="1">OFFSET(Income!$C$6,MATCH(Charts!$E58,Income!$C$6:$C$122,0)+0,MATCH(Charts!U$3,Income!$C$5:$ET$5,0)-1)</f>
        <v>0.26142806239607247</v>
      </c>
      <c r="V59" s="1008">
        <f ca="1">OFFSET(Income!$C$6,MATCH(Charts!$E58,Income!$C$6:$C$122,0)+0,MATCH(Charts!V$3,Income!$C$5:$ET$5,0)-1)</f>
        <v>0.32949291597251923</v>
      </c>
      <c r="W59" s="1008">
        <f ca="1">OFFSET(Income!$C$6,MATCH(Charts!$E58,Income!$C$6:$C$122,0)+0,MATCH(Charts!W$3,Income!$C$5:$ET$5,0)-1)</f>
        <v>0.20277430526877219</v>
      </c>
      <c r="X59" s="1008">
        <f ca="1">OFFSET(Income!$C$6,MATCH(Charts!$E58,Income!$C$6:$C$122,0)+0,MATCH(Charts!X$3,Income!$C$5:$ET$5,0)-1)</f>
        <v>0.19234693545129367</v>
      </c>
      <c r="Y59" s="1008">
        <f ca="1">OFFSET(Income!$C$6,MATCH(Charts!$E58,Income!$C$6:$C$122,0)+0,MATCH(Charts!Y$3,Income!$C$5:$ET$5,0)-1)</f>
        <v>0.15825001227315127</v>
      </c>
      <c r="Z59" s="1008">
        <f ca="1">OFFSET(Income!$C$6,MATCH(Charts!$E58,Income!$C$6:$C$122,0)+0,MATCH(Charts!Z$3,Income!$C$5:$ET$5,0)-1)</f>
        <v>0.1883614677432896</v>
      </c>
      <c r="AA59" s="1008">
        <f ca="1">OFFSET(Income!$C$6,MATCH(Charts!$E58,Income!$C$6:$C$122,0)+0,MATCH(Charts!AA$3,Income!$C$5:$ET$5,0)-1)</f>
        <v>0.18036616358999327</v>
      </c>
      <c r="AB59" s="1008">
        <f ca="1">OFFSET(Income!$C$6,MATCH(Charts!$E58,Income!$C$6:$C$122,0)+0,MATCH(Charts!AB$3,Income!$C$5:$ET$5,0)-1)</f>
        <v>0.2117473792870237</v>
      </c>
      <c r="AC59" s="1008">
        <f ca="1">OFFSET(Income!$C$6,MATCH(Charts!$E58,Income!$C$6:$C$122,0)+0,MATCH(Charts!AC$3,Income!$C$5:$ET$5,0)-1)</f>
        <v>0.19961609363315422</v>
      </c>
      <c r="AD59" s="1008">
        <f ca="1">OFFSET(Income!$C$6,MATCH(Charts!$E58,Income!$C$6:$C$122,0)+0,MATCH(Charts!AD$3,Income!$C$5:$ET$5,0)-1)</f>
        <v>0.25204819116949406</v>
      </c>
      <c r="AE59" s="1008">
        <f ca="1">OFFSET(Income!$C$6,MATCH(Charts!$E58,Income!$C$6:$C$122,0)+0,MATCH(Charts!AE$3,Income!$C$5:$ET$5,0)-1)</f>
        <v>0.25242169685953497</v>
      </c>
      <c r="AF59" s="1008">
        <f ca="1">OFFSET(Income!$C$6,MATCH(Charts!$E58,Income!$C$6:$C$122,0)+0,MATCH(Charts!AF$3,Income!$C$5:$ET$5,0)-1)</f>
        <v>0.22139950226906749</v>
      </c>
      <c r="AG59" s="1008">
        <f ca="1">OFFSET(Income!$C$6,MATCH(Charts!$E58,Income!$C$6:$C$122,0)+0,MATCH(Charts!AG$3,Income!$C$5:$ET$5,0)-1)</f>
        <v>0.17161082157814103</v>
      </c>
      <c r="AH59" s="1008">
        <f ca="1">OFFSET(Income!$C$6,MATCH(Charts!$E58,Income!$C$6:$C$122,0)+0,MATCH(Charts!AH$3,Income!$C$5:$ET$5,0)-1)</f>
        <v>0.19031830238726791</v>
      </c>
      <c r="AI59" s="1008">
        <f ca="1">OFFSET(Income!$C$6,MATCH(Charts!$E58,Income!$C$6:$C$122,0)+0,MATCH(Charts!AI$3,Income!$C$5:$ET$5,0)-1)</f>
        <v>0.18949232585596221</v>
      </c>
      <c r="AJ59" s="1008">
        <f ca="1">OFFSET(Income!$C$6,MATCH(Charts!$E58,Income!$C$6:$C$122,0)+0,MATCH(Charts!AJ$3,Income!$C$5:$ET$5,0)-1)</f>
        <v>0.17211201866977829</v>
      </c>
      <c r="AK59" s="1008">
        <f ca="1">OFFSET(Income!$C$6,MATCH(Charts!$E58,Income!$C$6:$C$122,0)+0,MATCH(Charts!AK$3,Income!$C$5:$ET$5,0)-1)</f>
        <v>0.14785447761194029</v>
      </c>
      <c r="AL59" s="1008">
        <f ca="1">OFFSET(Income!$C$6,MATCH(Charts!$E58,Income!$C$6:$C$122,0)+0,MATCH(Charts!AL$3,Income!$C$5:$ET$5,0)-1)</f>
        <v>0.19398173025255239</v>
      </c>
      <c r="AM59" s="1008">
        <f ca="1">OFFSET(Income!$C$6,MATCH(Charts!$E58,Income!$C$6:$C$122,0)+0,MATCH(Charts!AM$3,Income!$C$5:$ET$5,0)-1)</f>
        <v>0.1726161369193154</v>
      </c>
      <c r="AN59" s="1008">
        <f ca="1">OFFSET(Income!$C$6,MATCH(Charts!$E58,Income!$C$6:$C$122,0)+0,MATCH(Charts!AN$3,Income!$C$5:$ET$5,0)-1)</f>
        <v>0.15309898242368178</v>
      </c>
      <c r="AO59" s="1008">
        <f ca="1">OFFSET(Income!$C$6,MATCH(Charts!$E58,Income!$C$6:$C$122,0)+0,MATCH(Charts!AO$3,Income!$C$5:$ET$5,0)-1)</f>
        <v>0.12375533428165007</v>
      </c>
      <c r="AP59" s="1008">
        <f ca="1">OFFSET(Income!$C$6,MATCH(Charts!$E58,Income!$C$6:$C$122,0)+0,MATCH(Charts!AP$3,Income!$C$5:$ET$5,0)-1)</f>
        <v>0.17161016949152541</v>
      </c>
      <c r="AQ59" s="1008">
        <f ca="1">OFFSET(Income!$C$6,MATCH(Charts!$E58,Income!$C$6:$C$122,0)+0,MATCH(Charts!AQ$3,Income!$C$5:$ET$5,0)-1)</f>
        <v>0.15485074626865672</v>
      </c>
      <c r="AR59" s="1008">
        <f ca="1">OFFSET(Income!$C$6,MATCH(Charts!$E58,Income!$C$6:$C$122,0)+0,MATCH(Charts!AR$3,Income!$C$5:$ET$5,0)-1)</f>
        <v>0.14416315049226441</v>
      </c>
      <c r="AS59" s="1008">
        <f ca="1">OFFSET(Income!$C$6,MATCH(Charts!$E58,Income!$C$6:$C$122,0)+0,MATCH(Charts!AS$3,Income!$C$5:$ET$5,0)-1)</f>
        <v>0.11791938997821351</v>
      </c>
      <c r="AT59" s="1008">
        <f ca="1">OFFSET(Income!$C$6,MATCH(Charts!$E58,Income!$C$6:$C$122,0)+0,MATCH(Charts!AT$3,Income!$C$5:$ET$5,0)-1)</f>
        <v>0.15646687697160883</v>
      </c>
      <c r="AU59" s="1008">
        <f ca="1">OFFSET(Income!$C$6,MATCH(Charts!$E58,Income!$C$6:$C$122,0)+0,MATCH(Charts!AU$3,Income!$C$5:$ET$5,0)-1)</f>
        <v>0.13898967345799609</v>
      </c>
      <c r="AV59" s="1008">
        <f ca="1">OFFSET(Income!$C$6,MATCH(Charts!$E58,Income!$C$6:$C$122,0)+0,MATCH(Charts!AV$3,Income!$C$5:$ET$5,0)-1)</f>
        <v>0.13516315049226441</v>
      </c>
      <c r="AW59" s="1008">
        <f ca="1">OFFSET(Income!$C$6,MATCH(Charts!$E58,Income!$C$6:$C$122,0)+0,MATCH(Charts!AW$3,Income!$C$5:$ET$5,0)-1)</f>
        <v>0.10891938997821352</v>
      </c>
      <c r="AX59" s="1008">
        <f ca="1">OFFSET(Income!$C$6,MATCH(Charts!$E58,Income!$C$6:$C$122,0)+0,MATCH(Charts!AX$3,Income!$C$5:$ET$5,0)-1)</f>
        <v>0.14846687697160882</v>
      </c>
      <c r="AY59" s="1008">
        <f ca="1">OFFSET(Income!$C$6,MATCH(Charts!$E58,Income!$C$6:$C$122,0)+0,MATCH(Charts!AY$3,Income!$C$5:$ET$5,0)-1)</f>
        <v>0.13098967345799609</v>
      </c>
      <c r="AZ59" s="1008">
        <f ca="1">OFFSET(Income!$C$6,MATCH(Charts!$E58,Income!$C$6:$C$122,0)+0,MATCH(Charts!AZ$3,Income!$C$5:$ET$5,0)-1)</f>
        <v>0.1271631504922644</v>
      </c>
      <c r="BA59" s="1008">
        <f ca="1">OFFSET(Income!$C$6,MATCH(Charts!$E58,Income!$C$6:$C$122,0)+0,MATCH(Charts!BA$3,Income!$C$5:$ET$5,0)-1)</f>
        <v>0.10091938997821351</v>
      </c>
      <c r="BB59" s="1008">
        <f ca="1">OFFSET(Income!$C$6,MATCH(Charts!$E58,Income!$C$6:$C$122,0)+0,MATCH(Charts!BB$3,Income!$C$5:$ET$5,0)-1)</f>
        <v>0.14646687697160882</v>
      </c>
      <c r="BC59" s="1008">
        <f ca="1">OFFSET(Income!$C$6,MATCH(Charts!$E58,Income!$C$6:$C$122,0)+0,MATCH(Charts!BC$3,Income!$C$5:$ET$5,0)-1)</f>
        <v>0.12898967345799608</v>
      </c>
      <c r="BD59" s="1008">
        <f ca="1">OFFSET(Income!$C$6,MATCH(Charts!$E58,Income!$C$6:$C$122,0)+0,MATCH(Charts!BD$3,Income!$C$5:$ET$5,0)-1)</f>
        <v>0.1251631504922644</v>
      </c>
      <c r="BE59" s="1008">
        <f ca="1">OFFSET(Income!$C$6,MATCH(Charts!$E58,Income!$C$6:$C$122,0)+0,MATCH(Charts!BE$3,Income!$C$5:$ET$5,0)-1)</f>
        <v>9.8919389978213507E-2</v>
      </c>
      <c r="BF59" s="1008">
        <f ca="1">OFFSET(Income!$C$6,MATCH(Charts!$E58,Income!$C$6:$C$122,0)+0,MATCH(Charts!BF$3,Income!$C$5:$ET$5,0)-1)</f>
        <v>0.14446687697160882</v>
      </c>
      <c r="BG59" s="1008">
        <f ca="1">OFFSET(Income!$C$6,MATCH(Charts!$E58,Income!$C$6:$C$122,0)+0,MATCH(Charts!BG$3,Income!$C$5:$ET$5,0)-1)</f>
        <v>0.12698967345799608</v>
      </c>
      <c r="BH59" s="1008">
        <f ca="1">OFFSET(Income!$C$6,MATCH(Charts!$E58,Income!$C$6:$C$122,0)+0,MATCH(Charts!BH$3,Income!$C$5:$ET$5,0)-1)</f>
        <v>0.12316315049226439</v>
      </c>
      <c r="BI59" s="1008">
        <f ca="1">OFFSET(Income!$C$6,MATCH(Charts!$E58,Income!$C$6:$C$122,0)+0,MATCH(Charts!BI$3,Income!$C$5:$ET$5,0)-1)</f>
        <v>9.6919389978213505E-2</v>
      </c>
      <c r="BJ59" s="1008">
        <f ca="1">OFFSET(Income!$C$6,MATCH(Charts!$E58,Income!$C$6:$C$122,0)+0,MATCH(Charts!BJ$3,Income!$C$5:$ET$5,0)-1)</f>
        <v>0.14246687697160881</v>
      </c>
      <c r="BK59" s="1008">
        <f ca="1">OFFSET(Income!$C$6,MATCH(Charts!$E58,Income!$C$6:$C$122,0)+0,MATCH(Charts!BK$3,Income!$C$5:$ET$5,0)-1)</f>
        <v>0.12498967345799608</v>
      </c>
      <c r="BL59" s="1008">
        <f ca="1">OFFSET(Income!$C$6,MATCH(Charts!$E58,Income!$C$6:$C$122,0)+0,MATCH(Charts!BL$3,Income!$C$5:$ET$5,0)-1)</f>
        <v>0.12116315049226439</v>
      </c>
      <c r="BM59" s="1008">
        <f ca="1">OFFSET(Income!$C$6,MATCH(Charts!$E58,Income!$C$6:$C$122,0)+0,MATCH(Charts!BM$3,Income!$C$5:$ET$5,0)-1)</f>
        <v>9.4919389978213503E-2</v>
      </c>
      <c r="BN59" s="889"/>
      <c r="BO59" s="889"/>
      <c r="BP59" s="889"/>
      <c r="BQ59" s="889"/>
      <c r="BR59" s="889"/>
      <c r="BS59" s="889"/>
      <c r="BT59" s="889"/>
      <c r="BU59" s="889"/>
      <c r="BV59" s="889"/>
      <c r="BW59" s="889"/>
      <c r="BX59" s="889"/>
      <c r="BY59" s="889"/>
      <c r="BZ59" s="889"/>
      <c r="CA59" s="889"/>
      <c r="CB59" s="889"/>
      <c r="CC59" s="889"/>
      <c r="CD59" s="889"/>
      <c r="CE59" s="889"/>
      <c r="CF59" s="889"/>
      <c r="CG59" s="889"/>
      <c r="CH59" s="889"/>
      <c r="CI59" s="889"/>
      <c r="CJ59" s="889"/>
      <c r="CK59" s="889"/>
      <c r="CL59" s="889"/>
      <c r="CM59" s="889"/>
      <c r="CN59" s="889"/>
      <c r="CO59" s="889"/>
      <c r="CP59" s="889"/>
      <c r="CQ59" s="889"/>
      <c r="CR59" s="889"/>
      <c r="CS59" s="1028" t="str">
        <f>E59</f>
        <v>% of revenue</v>
      </c>
      <c r="CT59" s="1008">
        <f ca="1">OFFSET(Income!$C$6,MATCH(Charts!$E58,Income!$C$6:$C$122,0)+0,MATCH(Charts!CT$4,Income!$C$4:$ET$4,0)-1)</f>
        <v>0.33188811548044078</v>
      </c>
      <c r="CU59" s="1008">
        <f ca="1">OFFSET(Income!$C$6,MATCH(Charts!$E58,Income!$C$6:$C$122,0)+0,MATCH(Charts!CU$4,Income!$C$4:$ET$4,0)-1)</f>
        <v>0.33520371184487247</v>
      </c>
      <c r="CV59" s="1008">
        <f ca="1">OFFSET(Income!$C$6,MATCH(Charts!$E58,Income!$C$6:$C$122,0)+0,MATCH(Charts!CV$4,Income!$C$4:$ET$4,0)-1)</f>
        <v>0.32618294883943694</v>
      </c>
      <c r="CW59" s="1008">
        <f ca="1">OFFSET(Income!$C$6,MATCH(Charts!$E58,Income!$C$6:$C$122,0)+0,MATCH(Charts!CW$4,Income!$C$4:$ET$4,0)-1)</f>
        <v>0.29961290682326969</v>
      </c>
      <c r="CX59" s="1008">
        <f ca="1">OFFSET(Income!$C$6,MATCH(Charts!$E58,Income!$C$6:$C$122,0)+0,MATCH(Charts!CX$4,Income!$C$4:$ET$4,0)-1)</f>
        <v>0.20551283482352395</v>
      </c>
      <c r="CY59" s="1008">
        <f ca="1">OFFSET(Income!$C$6,MATCH(Charts!$E58,Income!$C$6:$C$122,0)+0,MATCH(Charts!CY$4,Income!$C$4:$ET$4,0)-1)</f>
        <v>0.19548680617955116</v>
      </c>
      <c r="CZ59" s="1008">
        <f ca="1">OFFSET(Income!$C$6,MATCH(Charts!$E58,Income!$C$6:$C$122,0)+0,MATCH(Charts!CZ$4,Income!$C$4:$ET$4,0)-1)</f>
        <v>0.21973569358112977</v>
      </c>
      <c r="DA59" s="1008">
        <f ca="1">OFFSET(Income!$C$6,MATCH(Charts!$E58,Income!$C$6:$C$122,0)+0,MATCH(Charts!DA$4,Income!$C$4:$ET$4,0)-1)</f>
        <v>0.17280453257790368</v>
      </c>
      <c r="DB59" s="1008">
        <f ca="1">OFFSET(Income!$C$6,MATCH(Charts!$E58,Income!$C$6:$C$122,0)+0,MATCH(Charts!DB$4,Income!$C$4:$ET$4,0)-1)</f>
        <v>0.15686936936936938</v>
      </c>
      <c r="DC59" s="1008" t="e">
        <f ca="1">OFFSET(Income!$C$6,MATCH(Charts!$E58,Income!$C$6:$C$122,0)+0,MATCH(Charts!DC$4,Income!$C$4:$ET$4,0)-1)</f>
        <v>#N/A</v>
      </c>
      <c r="DD59" s="1008">
        <f ca="1">OFFSET(Income!$C$6,MATCH(Charts!$E58,Income!$C$6:$C$122,0)+0,MATCH(Charts!DD$4,Income!$C$4:$ET$4,0)-1)</f>
        <v>0.13230953047526492</v>
      </c>
      <c r="DE59" s="1008">
        <f ca="1">OFFSET(Income!$C$6,MATCH(Charts!$E58,Income!$C$6:$C$122,0)+0,MATCH(Charts!DE$4,Income!$C$4:$ET$4,0)-1)</f>
        <v>0.12445027248862665</v>
      </c>
      <c r="DF59" s="1008">
        <f ca="1">OFFSET(Income!$C$6,MATCH(Charts!$E58,Income!$C$6:$C$122,0)+0,MATCH(Charts!DF$4,Income!$C$4:$ET$4,0)-1)</f>
        <v>0.12246161656450325</v>
      </c>
      <c r="DG59" s="1008">
        <f ca="1">OFFSET(Income!$C$6,MATCH(Charts!$E58,Income!$C$6:$C$122,0)+0,MATCH(Charts!DG$4,Income!$C$4:$ET$4,0)-1)</f>
        <v>0.12045746765742013</v>
      </c>
      <c r="DH59" s="1008">
        <f ca="1">OFFSET(Income!$C$6,MATCH(Charts!$E58,Income!$C$6:$C$122,0)+0,MATCH(Charts!DH$4,Income!$C$4:$ET$4,0)-1)</f>
        <v>0.11845631652620474</v>
      </c>
    </row>
    <row r="60" spans="1:145">
      <c r="E60" s="12" t="str">
        <f>Income!C33</f>
        <v>Research and Development</v>
      </c>
      <c r="F60" s="1010">
        <f ca="1">-OFFSET(Income!$C$6,MATCH(Charts!$E60,Income!$C$6:$C$122,0)-1,MATCH(Charts!F$3,Income!$C$5:$ET$5,0)-1)</f>
        <v>13.67</v>
      </c>
      <c r="G60" s="1010">
        <f ca="1">-OFFSET(Income!$C$6,MATCH(Charts!$E60,Income!$C$6:$C$122,0)-1,MATCH(Charts!G$3,Income!$C$5:$ET$5,0)-1)</f>
        <v>16.731999999999999</v>
      </c>
      <c r="H60" s="1010">
        <f ca="1">-OFFSET(Income!$C$6,MATCH(Charts!$E60,Income!$C$6:$C$122,0)-1,MATCH(Charts!H$3,Income!$C$5:$ET$5,0)-1)</f>
        <v>19.462</v>
      </c>
      <c r="I60" s="1010">
        <f ca="1">-OFFSET(Income!$C$6,MATCH(Charts!$E60,Income!$C$6:$C$122,0)-1,MATCH(Charts!I$3,Income!$C$5:$ET$5,0)-1)</f>
        <v>24.472000000000001</v>
      </c>
      <c r="J60" s="1010">
        <f ca="1">-OFFSET(Income!$C$6,MATCH(Charts!$E60,Income!$C$6:$C$122,0)-1,MATCH(Charts!J$3,Income!$C$5:$ET$5,0)-1)</f>
        <v>26.594000000000001</v>
      </c>
      <c r="K60" s="1010">
        <f ca="1">-OFFSET(Income!$C$6,MATCH(Charts!$E60,Income!$C$6:$C$122,0)-1,MATCH(Charts!K$3,Income!$C$5:$ET$5,0)-1)</f>
        <v>32.713999999999999</v>
      </c>
      <c r="L60" s="1010">
        <f ca="1">-OFFSET(Income!$C$6,MATCH(Charts!$E60,Income!$C$6:$C$122,0)-1,MATCH(Charts!L$3,Income!$C$5:$ET$5,0)-1)</f>
        <v>36.35</v>
      </c>
      <c r="M60" s="1010">
        <f ca="1">-OFFSET(Income!$C$6,MATCH(Charts!$E60,Income!$C$6:$C$122,0)-1,MATCH(Charts!M$3,Income!$C$5:$ET$5,0)-1)</f>
        <v>40.338999999999999</v>
      </c>
      <c r="N60" s="1010">
        <f ca="1">-OFFSET(Income!$C$6,MATCH(Charts!$E60,Income!$C$6:$C$122,0)-1,MATCH(Charts!N$3,Income!$C$5:$ET$5,0)-1)</f>
        <v>47.716000000000001</v>
      </c>
      <c r="O60" s="1010">
        <f ca="1">-OFFSET(Income!$C$6,MATCH(Charts!$E60,Income!$C$6:$C$122,0)-1,MATCH(Charts!O$3,Income!$C$5:$ET$5,0)-1)</f>
        <v>54.305</v>
      </c>
      <c r="P60" s="1010">
        <f ca="1">-OFFSET(Income!$C$6,MATCH(Charts!$E60,Income!$C$6:$C$122,0)-1,MATCH(Charts!P$3,Income!$C$5:$ET$5,0)-1)</f>
        <v>61.628999999999998</v>
      </c>
      <c r="Q60" s="1010">
        <f ca="1">-OFFSET(Income!$C$6,MATCH(Charts!$E60,Income!$C$6:$C$122,0)-1,MATCH(Charts!Q$3,Income!$C$5:$ET$5,0)-1)</f>
        <v>67.024000000000001</v>
      </c>
      <c r="R60" s="1010">
        <f ca="1">-OFFSET(Income!$C$6,MATCH(Charts!$E60,Income!$C$6:$C$122,0)-1,MATCH(Charts!R$3,Income!$C$5:$ET$5,0)-1)</f>
        <v>76.355000000000004</v>
      </c>
      <c r="S60" s="1010">
        <f ca="1">-OFFSET(Income!$C$6,MATCH(Charts!$E60,Income!$C$6:$C$122,0)-1,MATCH(Charts!S$3,Income!$C$5:$ET$5,0)-1)</f>
        <v>85.52</v>
      </c>
      <c r="T60" s="1010">
        <f ca="1">-OFFSET(Income!$C$6,MATCH(Charts!$E60,Income!$C$6:$C$122,0)-1,MATCH(Charts!T$3,Income!$C$5:$ET$5,0)-1)</f>
        <v>90.387</v>
      </c>
      <c r="U60" s="1010">
        <f ca="1">-OFFSET(Income!$C$6,MATCH(Charts!$E60,Income!$C$6:$C$122,0)-1,MATCH(Charts!U$3,Income!$C$5:$ET$5,0)-1)</f>
        <v>102.753</v>
      </c>
      <c r="V60" s="1010">
        <f ca="1">-OFFSET(Income!$C$6,MATCH(Charts!$E60,Income!$C$6:$C$122,0)-1,MATCH(Charts!V$3,Income!$C$5:$ET$5,0)-1)</f>
        <v>116.396</v>
      </c>
      <c r="W60" s="1010">
        <f ca="1">-OFFSET(Income!$C$6,MATCH(Charts!$E60,Income!$C$6:$C$122,0)-1,MATCH(Charts!W$3,Income!$C$5:$ET$5,0)-1)</f>
        <v>133.227</v>
      </c>
      <c r="X60" s="1010">
        <f ca="1">-OFFSET(Income!$C$6,MATCH(Charts!$E60,Income!$C$6:$C$122,0)-1,MATCH(Charts!X$3,Income!$C$5:$ET$5,0)-1)</f>
        <v>143.42699999999999</v>
      </c>
      <c r="Y60" s="1010">
        <f ca="1">-OFFSET(Income!$C$6,MATCH(Charts!$E60,Income!$C$6:$C$122,0)-1,MATCH(Charts!Y$3,Income!$C$5:$ET$5,0)-1)</f>
        <v>159.077</v>
      </c>
      <c r="Z60" s="1010">
        <f ca="1">-OFFSET(Income!$C$6,MATCH(Charts!$E60,Income!$C$6:$C$122,0)-1,MATCH(Charts!Z$3,Income!$C$5:$ET$5,0)-1)</f>
        <v>175.886</v>
      </c>
      <c r="AA60" s="1010">
        <f ca="1">-OFFSET(Income!$C$6,MATCH(Charts!$E60,Income!$C$6:$C$122,0)-1,MATCH(Charts!AA$3,Income!$C$5:$ET$5,0)-1)</f>
        <v>183.55699999999999</v>
      </c>
      <c r="AB60" s="1010">
        <f ca="1">-OFFSET(Income!$C$6,MATCH(Charts!$E60,Income!$C$6:$C$122,0)-1,MATCH(Charts!AB$3,Income!$C$5:$ET$5,0)-1)</f>
        <v>221.02799999999999</v>
      </c>
      <c r="AC60" s="1010">
        <f ca="1">-OFFSET(Income!$C$6,MATCH(Charts!$E60,Income!$C$6:$C$122,0)-1,MATCH(Charts!AC$3,Income!$C$5:$ET$5,0)-1)</f>
        <v>273.91199999999998</v>
      </c>
      <c r="AD60" s="1010">
        <f ca="1">-OFFSET(Income!$C$6,MATCH(Charts!$E60,Income!$C$6:$C$122,0)-1,MATCH(Charts!AD$3,Income!$C$5:$ET$5,0)-1)</f>
        <v>303.661</v>
      </c>
      <c r="AE60" s="1010">
        <f ca="1">-OFFSET(Income!$C$6,MATCH(Charts!$E60,Income!$C$6:$C$122,0)-1,MATCH(Charts!AE$3,Income!$C$5:$ET$5,0)-1)</f>
        <v>346.66699999999997</v>
      </c>
      <c r="AF60" s="1010">
        <f ca="1">-OFFSET(Income!$C$6,MATCH(Charts!$E60,Income!$C$6:$C$122,0)-1,MATCH(Charts!AF$3,Income!$C$5:$ET$5,0)-1)</f>
        <v>412.35899999999998</v>
      </c>
      <c r="AG60" s="1010">
        <f ca="1">-OFFSET(Income!$C$6,MATCH(Charts!$E60,Income!$C$6:$C$122,0)-1,MATCH(Charts!AG$3,Income!$C$5:$ET$5,0)-1)</f>
        <v>440.54700000000003</v>
      </c>
      <c r="AH60" s="1010">
        <f ca="1">-OFFSET(Income!$C$6,MATCH(Charts!$E60,Income!$C$6:$C$122,0)-1,MATCH(Charts!AH$3,Income!$C$5:$ET$5,0)-1)</f>
        <v>458</v>
      </c>
      <c r="AI60" s="1010">
        <f ca="1">-OFFSET(Income!$C$6,MATCH(Charts!$E60,Income!$C$6:$C$122,0)-1,MATCH(Charts!AI$3,Income!$C$5:$ET$5,0)-1)</f>
        <v>648</v>
      </c>
      <c r="AJ60" s="1010">
        <f ca="1">-OFFSET(Income!$C$6,MATCH(Charts!$E60,Income!$C$6:$C$122,0)-1,MATCH(Charts!AJ$3,Income!$C$5:$ET$5,0)-1)</f>
        <v>313</v>
      </c>
      <c r="AK60" s="1010">
        <f ca="1">-OFFSET(Income!$C$6,MATCH(Charts!$E60,Income!$C$6:$C$122,0)-1,MATCH(Charts!AK$3,Income!$C$5:$ET$5,0)-1)</f>
        <v>311</v>
      </c>
      <c r="AL60" s="1010">
        <f ca="1">-OFFSET(Income!$C$6,MATCH(Charts!$E60,Income!$C$6:$C$122,0)-1,MATCH(Charts!AL$3,Income!$C$5:$ET$5,0)-1)</f>
        <v>335</v>
      </c>
      <c r="AM60" s="1010">
        <f ca="1">-OFFSET(Income!$C$6,MATCH(Charts!$E60,Income!$C$6:$C$122,0)-1,MATCH(Charts!AM$3,Income!$C$5:$ET$5,0)-1)</f>
        <v>349</v>
      </c>
      <c r="AN60" s="1010">
        <f ca="1">-OFFSET(Income!$C$6,MATCH(Charts!$E60,Income!$C$6:$C$122,0)-1,MATCH(Charts!AN$3,Income!$C$5:$ET$5,0)-1)</f>
        <v>332</v>
      </c>
      <c r="AO60" s="1010">
        <f ca="1">-OFFSET(Income!$C$6,MATCH(Charts!$E60,Income!$C$6:$C$122,0)-1,MATCH(Charts!AO$3,Income!$C$5:$ET$5,0)-1)</f>
        <v>351</v>
      </c>
      <c r="AP60" s="1010">
        <f ca="1">-OFFSET(Income!$C$6,MATCH(Charts!$E60,Income!$C$6:$C$122,0)-1,MATCH(Charts!AP$3,Income!$C$5:$ET$5,0)-1)</f>
        <v>377</v>
      </c>
      <c r="AQ60" s="1010">
        <f ca="1">-OFFSET(Income!$C$6,MATCH(Charts!$E60,Income!$C$6:$C$122,0)-1,MATCH(Charts!AQ$3,Income!$C$5:$ET$5,0)-1)</f>
        <v>394</v>
      </c>
      <c r="AR60" s="1010">
        <f ca="1">-OFFSET(Income!$C$6,MATCH(Charts!$E60,Income!$C$6:$C$122,0)-1,MATCH(Charts!AR$3,Income!$C$5:$ET$5,0)-1)</f>
        <v>375</v>
      </c>
      <c r="AS60" s="1010">
        <f ca="1">-OFFSET(Income!$C$6,MATCH(Charts!$E60,Income!$C$6:$C$122,0)-1,MATCH(Charts!AS$3,Income!$C$5:$ET$5,0)-1)</f>
        <v>390</v>
      </c>
      <c r="AT60" s="1010">
        <f ca="1">-OFFSET(Income!$C$6,MATCH(Charts!$E60,Income!$C$6:$C$122,0)-1,MATCH(Charts!AT$3,Income!$C$5:$ET$5,0)-1)</f>
        <v>437</v>
      </c>
      <c r="AU60" s="1010">
        <f ca="1">-OFFSET(Income!$C$6,MATCH(Charts!$E60,Income!$C$6:$C$122,0)-1,MATCH(Charts!AU$3,Income!$C$5:$ET$5,0)-1)</f>
        <v>445</v>
      </c>
      <c r="AV60" s="1010">
        <f ca="1">-OFFSET(Income!$C$6,MATCH(Charts!$E60,Income!$C$6:$C$122,0)-1,MATCH(Charts!AV$3,Income!$C$5:$ET$5,0)-1)</f>
        <v>485.86898859252665</v>
      </c>
      <c r="AW60" s="1010">
        <f ca="1">-OFFSET(Income!$C$6,MATCH(Charts!$E60,Income!$C$6:$C$122,0)-1,MATCH(Charts!AW$3,Income!$C$5:$ET$5,0)-1)</f>
        <v>474.97619467275001</v>
      </c>
      <c r="AX60" s="1010">
        <f ca="1">-OFFSET(Income!$C$6,MATCH(Charts!$E60,Income!$C$6:$C$122,0)-1,MATCH(Charts!AX$3,Income!$C$5:$ET$5,0)-1)</f>
        <v>515.91002216693028</v>
      </c>
      <c r="AY60" s="1010">
        <f ca="1">-OFFSET(Income!$C$6,MATCH(Charts!$E60,Income!$C$6:$C$122,0)-1,MATCH(Charts!AY$3,Income!$C$5:$ET$5,0)-1)</f>
        <v>518.65639575132764</v>
      </c>
      <c r="AZ60" s="1010">
        <f ca="1">-OFFSET(Income!$C$6,MATCH(Charts!$E60,Income!$C$6:$C$122,0)-1,MATCH(Charts!AZ$3,Income!$C$5:$ET$5,0)-1)</f>
        <v>561.64278402470507</v>
      </c>
      <c r="BA60" s="1010">
        <f ca="1">-OFFSET(Income!$C$6,MATCH(Charts!$E60,Income!$C$6:$C$122,0)-1,MATCH(Charts!BA$3,Income!$C$5:$ET$5,0)-1)</f>
        <v>532.4163280569586</v>
      </c>
      <c r="BB60" s="1010">
        <f ca="1">-OFFSET(Income!$C$6,MATCH(Charts!$E60,Income!$C$6:$C$122,0)-1,MATCH(Charts!BB$3,Income!$C$5:$ET$5,0)-1)</f>
        <v>608.93055480961368</v>
      </c>
      <c r="BC60" s="1010">
        <f ca="1">-OFFSET(Income!$C$6,MATCH(Charts!$E60,Income!$C$6:$C$122,0)-1,MATCH(Charts!BC$3,Income!$C$5:$ET$5,0)-1)</f>
        <v>609.9242143743628</v>
      </c>
      <c r="BD60" s="1010">
        <f ca="1">-OFFSET(Income!$C$6,MATCH(Charts!$E60,Income!$C$6:$C$122,0)-1,MATCH(Charts!BD$3,Income!$C$5:$ET$5,0)-1)</f>
        <v>660.64710933169169</v>
      </c>
      <c r="BE60" s="1010">
        <f ca="1">-OFFSET(Income!$C$6,MATCH(Charts!$E60,Income!$C$6:$C$122,0)-1,MATCH(Charts!BE$3,Income!$C$5:$ET$5,0)-1)</f>
        <v>620.87144095567714</v>
      </c>
      <c r="BF60" s="1010">
        <f ca="1">-OFFSET(Income!$C$6,MATCH(Charts!$E60,Income!$C$6:$C$122,0)-1,MATCH(Charts!BF$3,Income!$C$5:$ET$5,0)-1)</f>
        <v>704.30357055163643</v>
      </c>
      <c r="BG60" s="1010">
        <f ca="1">-OFFSET(Income!$C$6,MATCH(Charts!$E60,Income!$C$6:$C$122,0)-1,MATCH(Charts!BG$3,Income!$C$5:$ET$5,0)-1)</f>
        <v>703.43127545092773</v>
      </c>
      <c r="BH60" s="1010">
        <f ca="1">-OFFSET(Income!$C$6,MATCH(Charts!$E60,Income!$C$6:$C$122,0)-1,MATCH(Charts!BH$3,Income!$C$5:$ET$5,0)-1)</f>
        <v>763.10352737216192</v>
      </c>
      <c r="BI60" s="1010">
        <f ca="1">-OFFSET(Income!$C$6,MATCH(Charts!$E60,Income!$C$6:$C$122,0)-1,MATCH(Charts!BI$3,Income!$C$5:$ET$5,0)-1)</f>
        <v>710.85776539526898</v>
      </c>
      <c r="BJ60" s="1010">
        <f ca="1">-OFFSET(Income!$C$6,MATCH(Charts!$E60,Income!$C$6:$C$122,0)-1,MATCH(Charts!BJ$3,Income!$C$5:$ET$5,0)-1)</f>
        <v>805.88884039326024</v>
      </c>
      <c r="BK60" s="1010">
        <f ca="1">-OFFSET(Income!$C$6,MATCH(Charts!$E60,Income!$C$6:$C$122,0)-1,MATCH(Charts!BK$3,Income!$C$5:$ET$5,0)-1)</f>
        <v>802.34200485988276</v>
      </c>
      <c r="BL60" s="1010">
        <f ca="1">-OFFSET(Income!$C$6,MATCH(Charts!$E60,Income!$C$6:$C$122,0)-1,MATCH(Charts!BL$3,Income!$C$5:$ET$5,0)-1)</f>
        <v>871.92856814049219</v>
      </c>
      <c r="BM60" s="1010">
        <f ca="1">-OFFSET(Income!$C$6,MATCH(Charts!$E60,Income!$C$6:$C$122,0)-1,MATCH(Charts!BM$3,Income!$C$5:$ET$5,0)-1)</f>
        <v>804.27280569656739</v>
      </c>
      <c r="BN60" s="889"/>
      <c r="BO60" s="889"/>
      <c r="BP60" s="889"/>
      <c r="BQ60" s="889"/>
      <c r="BR60" s="889"/>
      <c r="BS60" s="889"/>
      <c r="BT60" s="889"/>
      <c r="BU60" s="889"/>
      <c r="BV60" s="889"/>
      <c r="BW60" s="889"/>
      <c r="BX60" s="889"/>
      <c r="BY60" s="889"/>
      <c r="BZ60" s="889"/>
      <c r="CA60" s="889"/>
      <c r="CB60" s="889"/>
      <c r="CC60" s="889"/>
      <c r="CD60" s="889"/>
      <c r="CE60" s="889"/>
      <c r="CF60" s="889"/>
      <c r="CG60" s="889"/>
      <c r="CH60" s="889"/>
      <c r="CI60" s="889"/>
      <c r="CJ60" s="889"/>
      <c r="CK60" s="889"/>
      <c r="CL60" s="889"/>
      <c r="CM60" s="889"/>
      <c r="CN60" s="889"/>
      <c r="CO60" s="889"/>
      <c r="CP60" s="889"/>
      <c r="CQ60" s="889"/>
      <c r="CR60" s="889"/>
      <c r="CS60" s="1028" t="str">
        <f t="shared" ref="CS60:CS66" si="64">E60</f>
        <v>Research and Development</v>
      </c>
      <c r="CT60" s="1015">
        <f ca="1">-OFFSET(Income!$C$6,MATCH(Charts!$E60,Income!$C$6:$C$122,0)-1,MATCH(Charts!CT$4,Income!$C$4:$ET$4,0)-1)</f>
        <v>74.336000000000013</v>
      </c>
      <c r="CU60" s="1015">
        <f ca="1">-OFFSET(Income!$C$6,MATCH(Charts!$E60,Income!$C$6:$C$122,0)-1,MATCH(Charts!CU$4,Income!$C$4:$ET$4,0)-1)</f>
        <v>135.99700000000001</v>
      </c>
      <c r="CV60" s="1015">
        <f ca="1">-OFFSET(Income!$C$6,MATCH(Charts!$E60,Income!$C$6:$C$122,0)-1,MATCH(Charts!CV$4,Income!$C$4:$ET$4,0)-1)</f>
        <v>230.67400000000001</v>
      </c>
      <c r="CW60" s="1015">
        <f ca="1">-OFFSET(Income!$C$6,MATCH(Charts!$E60,Income!$C$6:$C$122,0)-1,MATCH(Charts!CW$4,Income!$C$4:$ET$4,0)-1)</f>
        <v>355.01499999999999</v>
      </c>
      <c r="CX60" s="1015">
        <f ca="1">-OFFSET(Income!$C$6,MATCH(Charts!$E60,Income!$C$6:$C$122,0)-1,MATCH(Charts!CX$4,Income!$C$4:$ET$4,0)-1)</f>
        <v>552.12699999999995</v>
      </c>
      <c r="CY60" s="1015">
        <f ca="1">-OFFSET(Income!$C$6,MATCH(Charts!$E60,Income!$C$6:$C$122,0)-1,MATCH(Charts!CY$4,Income!$C$4:$ET$4,0)-1)</f>
        <v>854.38300000000004</v>
      </c>
      <c r="CZ60" s="1015">
        <f ca="1">-OFFSET(Income!$C$6,MATCH(Charts!$E60,Income!$C$6:$C$122,0)-1,MATCH(Charts!CZ$4,Income!$C$4:$ET$4,0)-1)</f>
        <v>1503.2339999999999</v>
      </c>
      <c r="DA60" s="1015">
        <f ca="1">-OFFSET(Income!$C$6,MATCH(Charts!$E60,Income!$C$6:$C$122,0)-1,MATCH(Charts!DA$4,Income!$C$4:$ET$4,0)-1)</f>
        <v>1730</v>
      </c>
      <c r="DB60" s="1015">
        <f ca="1">-OFFSET(Income!$C$6,MATCH(Charts!$E60,Income!$C$6:$C$122,0)-1,MATCH(Charts!DB$4,Income!$C$4:$ET$4,0)-1)</f>
        <v>1367</v>
      </c>
      <c r="DC60" s="1015" t="e">
        <f ca="1">-OFFSET(Income!$C$6,MATCH(Charts!$E60,Income!$C$6:$C$122,0)-1,MATCH(Charts!DC$4,Income!$C$4:$ET$4,0)-1)</f>
        <v>#N/A</v>
      </c>
      <c r="DD60" s="1015">
        <f ca="1">-OFFSET(Income!$C$6,MATCH(Charts!$E60,Income!$C$6:$C$122,0)-1,MATCH(Charts!DD$4,Income!$C$4:$ET$4,0)-1)</f>
        <v>1842.8451832652768</v>
      </c>
      <c r="DE60" s="1015">
        <f ca="1">-OFFSET(Income!$C$6,MATCH(Charts!$E60,Income!$C$6:$C$122,0)-1,MATCH(Charts!DE$4,Income!$C$4:$ET$4,0)-1)</f>
        <v>2128.6255299999216</v>
      </c>
      <c r="DF60" s="1015">
        <f ca="1">-OFFSET(Income!$C$6,MATCH(Charts!$E60,Income!$C$6:$C$122,0)-1,MATCH(Charts!DF$4,Income!$C$4:$ET$4,0)-1)</f>
        <v>2500.373319471345</v>
      </c>
      <c r="DG60" s="1015">
        <f ca="1">-OFFSET(Income!$C$6,MATCH(Charts!$E60,Income!$C$6:$C$122,0)-1,MATCH(Charts!DG$4,Income!$C$4:$ET$4,0)-1)</f>
        <v>2881.6961387699948</v>
      </c>
      <c r="DH60" s="1015">
        <f ca="1">-OFFSET(Income!$C$6,MATCH(Charts!$E60,Income!$C$6:$C$122,0)-1,MATCH(Charts!DH$4,Income!$C$4:$ET$4,0)-1)</f>
        <v>3284.4322190902026</v>
      </c>
      <c r="DJ60" s="889"/>
      <c r="DK60" s="889"/>
      <c r="DL60" s="889"/>
      <c r="DM60" s="889"/>
      <c r="DN60" s="889"/>
      <c r="DO60" s="889"/>
      <c r="DP60" s="889"/>
      <c r="DQ60" s="889"/>
      <c r="DR60" s="889"/>
      <c r="DS60" s="889"/>
      <c r="DT60" s="889"/>
      <c r="DU60" s="889"/>
      <c r="DV60" s="889"/>
      <c r="DW60" s="889"/>
      <c r="DX60" s="889"/>
      <c r="DY60" s="889"/>
      <c r="DZ60" s="889"/>
      <c r="EA60" s="889"/>
      <c r="EB60" s="889"/>
      <c r="EC60" s="889"/>
      <c r="ED60" s="889"/>
    </row>
    <row r="61" spans="1:145">
      <c r="E61" s="669" t="s">
        <v>189</v>
      </c>
      <c r="F61" s="1008">
        <f ca="1">OFFSET(Income!$C$6,MATCH(Charts!$E60,Income!$C$6:$C$122,0)+0,MATCH(Charts!F$3,Income!$C$5:$ET$5,0)-1)</f>
        <v>0.18797612826929949</v>
      </c>
      <c r="G61" s="1008">
        <f ca="1">OFFSET(Income!$C$6,MATCH(Charts!$E60,Income!$C$6:$C$122,0)+0,MATCH(Charts!G$3,Income!$C$5:$ET$5,0)-1)</f>
        <v>0.193105358523665</v>
      </c>
      <c r="H61" s="1008">
        <f ca="1">OFFSET(Income!$C$6,MATCH(Charts!$E60,Income!$C$6:$C$122,0)+0,MATCH(Charts!H$3,Income!$C$5:$ET$5,0)-1)</f>
        <v>0.195444776958766</v>
      </c>
      <c r="I61" s="1008">
        <f ca="1">OFFSET(Income!$C$6,MATCH(Charts!$E60,Income!$C$6:$C$122,0)+0,MATCH(Charts!I$3,Income!$C$5:$ET$5,0)-1)</f>
        <v>0.1876931808594679</v>
      </c>
      <c r="J61" s="1008">
        <f ca="1">OFFSET(Income!$C$6,MATCH(Charts!$E60,Income!$C$6:$C$122,0)+0,MATCH(Charts!J$3,Income!$C$5:$ET$5,0)-1)</f>
        <v>0.20877852707275141</v>
      </c>
      <c r="K61" s="1008">
        <f ca="1">OFFSET(Income!$C$6,MATCH(Charts!$E60,Income!$C$6:$C$122,0)+0,MATCH(Charts!K$3,Income!$C$5:$ET$5,0)-1)</f>
        <v>0.21571329662721306</v>
      </c>
      <c r="L61" s="1008">
        <f ca="1">OFFSET(Income!$C$6,MATCH(Charts!$E60,Income!$C$6:$C$122,0)+0,MATCH(Charts!L$3,Income!$C$5:$ET$5,0)-1)</f>
        <v>0.21200774542739828</v>
      </c>
      <c r="M61" s="1008">
        <f ca="1">OFFSET(Income!$C$6,MATCH(Charts!$E60,Income!$C$6:$C$122,0)+0,MATCH(Charts!M$3,Income!$C$5:$ET$5,0)-1)</f>
        <v>0.18104338147513171</v>
      </c>
      <c r="N61" s="1008">
        <f ca="1">OFFSET(Income!$C$6,MATCH(Charts!$E60,Income!$C$6:$C$122,0)+0,MATCH(Charts!N$3,Income!$C$5:$ET$5,0)-1)</f>
        <v>0.22261827003825702</v>
      </c>
      <c r="O61" s="1008">
        <f ca="1">OFFSET(Income!$C$6,MATCH(Charts!$E60,Income!$C$6:$C$122,0)+0,MATCH(Charts!O$3,Income!$C$5:$ET$5,0)-1)</f>
        <v>0.22168654041630778</v>
      </c>
      <c r="P61" s="1008">
        <f ca="1">OFFSET(Income!$C$6,MATCH(Charts!$E60,Income!$C$6:$C$122,0)+0,MATCH(Charts!P$3,Income!$C$5:$ET$5,0)-1)</f>
        <v>0.22820146335683394</v>
      </c>
      <c r="Q61" s="1008">
        <f ca="1">OFFSET(Income!$C$6,MATCH(Charts!$E60,Income!$C$6:$C$122,0)+0,MATCH(Charts!Q$3,Income!$C$5:$ET$5,0)-1)</f>
        <v>0.19491540210898561</v>
      </c>
      <c r="R61" s="1008">
        <f ca="1">OFFSET(Income!$C$6,MATCH(Charts!$E60,Income!$C$6:$C$122,0)+0,MATCH(Charts!R$3,Income!$C$5:$ET$5,0)-1)</f>
        <v>0.23825051016905788</v>
      </c>
      <c r="S61" s="1008">
        <f ca="1">OFFSET(Income!$C$6,MATCH(Charts!$E60,Income!$C$6:$C$122,0)+0,MATCH(Charts!S$3,Income!$C$5:$ET$5,0)-1)</f>
        <v>0.23625679942759109</v>
      </c>
      <c r="T61" s="1008">
        <f ca="1">OFFSET(Income!$C$6,MATCH(Charts!$E60,Income!$C$6:$C$122,0)+0,MATCH(Charts!T$3,Income!$C$5:$ET$5,0)-1)</f>
        <v>0.23143397038038468</v>
      </c>
      <c r="U61" s="1008">
        <f ca="1">OFFSET(Income!$C$6,MATCH(Charts!$E60,Income!$C$6:$C$122,0)+0,MATCH(Charts!U$3,Income!$C$5:$ET$5,0)-1)</f>
        <v>0.20340684139678517</v>
      </c>
      <c r="V61" s="1008">
        <f ca="1">OFFSET(Income!$C$6,MATCH(Charts!$E60,Income!$C$6:$C$122,0)+0,MATCH(Charts!V$3,Income!$C$5:$ET$5,0)-1)</f>
        <v>0.24765053691375127</v>
      </c>
      <c r="W61" s="1008">
        <f ca="1">OFFSET(Income!$C$6,MATCH(Charts!$E60,Income!$C$6:$C$122,0)+0,MATCH(Charts!W$3,Income!$C$5:$ET$5,0)-1)</f>
        <v>0.1865033646395769</v>
      </c>
      <c r="X61" s="1008">
        <f ca="1">OFFSET(Income!$C$6,MATCH(Charts!$E60,Income!$C$6:$C$122,0)+0,MATCH(Charts!X$3,Income!$C$5:$ET$5,0)-1)</f>
        <v>0.18689870407411993</v>
      </c>
      <c r="Y61" s="1008">
        <f ca="1">OFFSET(Income!$C$6,MATCH(Charts!$E60,Income!$C$6:$C$122,0)+0,MATCH(Charts!Y$3,Income!$C$5:$ET$5,0)-1)</f>
        <v>0.1626980068402363</v>
      </c>
      <c r="Z61" s="1008">
        <f ca="1">OFFSET(Income!$C$6,MATCH(Charts!$E60,Income!$C$6:$C$122,0)+0,MATCH(Charts!Z$3,Income!$C$5:$ET$5,0)-1)</f>
        <v>0.17790576414028467</v>
      </c>
      <c r="AA61" s="1008">
        <f ca="1">OFFSET(Income!$C$6,MATCH(Charts!$E60,Income!$C$6:$C$122,0)+0,MATCH(Charts!AA$3,Income!$C$5:$ET$5,0)-1)</f>
        <v>0.16397143227224203</v>
      </c>
      <c r="AB61" s="1008">
        <f ca="1">OFFSET(Income!$C$6,MATCH(Charts!$E60,Income!$C$6:$C$122,0)+0,MATCH(Charts!AB$3,Income!$C$5:$ET$5,0)-1)</f>
        <v>0.19668962571413315</v>
      </c>
      <c r="AC61" s="1008">
        <f ca="1">OFFSET(Income!$C$6,MATCH(Charts!$E60,Income!$C$6:$C$122,0)+0,MATCH(Charts!AC$3,Income!$C$5:$ET$5,0)-1)</f>
        <v>0.19848350463470196</v>
      </c>
      <c r="AD61" s="1008">
        <f ca="1">OFFSET(Income!$C$6,MATCH(Charts!$E60,Income!$C$6:$C$122,0)+0,MATCH(Charts!AD$3,Income!$C$5:$ET$5,0)-1)</f>
        <v>0.25228913040046591</v>
      </c>
      <c r="AE61" s="1008">
        <f ca="1">OFFSET(Income!$C$6,MATCH(Charts!$E60,Income!$C$6:$C$122,0)+0,MATCH(Charts!AE$3,Income!$C$5:$ET$5,0)-1)</f>
        <v>0.26768350265585533</v>
      </c>
      <c r="AF61" s="1008">
        <f ca="1">OFFSET(Income!$C$6,MATCH(Charts!$E60,Income!$C$6:$C$122,0)+0,MATCH(Charts!AF$3,Income!$C$5:$ET$5,0)-1)</f>
        <v>0.30182916117698722</v>
      </c>
      <c r="AG61" s="1008">
        <f ca="1">OFFSET(Income!$C$6,MATCH(Charts!$E60,Income!$C$6:$C$122,0)+0,MATCH(Charts!AG$3,Income!$C$5:$ET$5,0)-1)</f>
        <v>0.25392079899572212</v>
      </c>
      <c r="AH61" s="1008">
        <f ca="1">OFFSET(Income!$C$6,MATCH(Charts!$E60,Income!$C$6:$C$122,0)+0,MATCH(Charts!AH$3,Income!$C$5:$ET$5,0)-1)</f>
        <v>0.30371352785145889</v>
      </c>
      <c r="AI61" s="1008">
        <f ca="1">OFFSET(Income!$C$6,MATCH(Charts!$E60,Income!$C$6:$C$122,0)+0,MATCH(Charts!AI$3,Income!$C$5:$ET$5,0)-1)</f>
        <v>0.38252656434474619</v>
      </c>
      <c r="AJ61" s="1008">
        <f ca="1">OFFSET(Income!$C$6,MATCH(Charts!$E60,Income!$C$6:$C$122,0)+0,MATCH(Charts!AJ$3,Income!$C$5:$ET$5,0)-1)</f>
        <v>0.18261376896149359</v>
      </c>
      <c r="AK61" s="1008">
        <f ca="1">OFFSET(Income!$C$6,MATCH(Charts!$E60,Income!$C$6:$C$122,0)+0,MATCH(Charts!AK$3,Income!$C$5:$ET$5,0)-1)</f>
        <v>0.14505597014925373</v>
      </c>
      <c r="AL61" s="1008">
        <f ca="1">OFFSET(Income!$C$6,MATCH(Charts!$E60,Income!$C$6:$C$122,0)+0,MATCH(Charts!AL$3,Income!$C$5:$ET$5,0)-1)</f>
        <v>0.18001074691026331</v>
      </c>
      <c r="AM61" s="1008">
        <f ca="1">OFFSET(Income!$C$6,MATCH(Charts!$E60,Income!$C$6:$C$122,0)+0,MATCH(Charts!AM$3,Income!$C$5:$ET$5,0)-1)</f>
        <v>0.17066014669926649</v>
      </c>
      <c r="AN61" s="1008">
        <f ca="1">OFFSET(Income!$C$6,MATCH(Charts!$E60,Income!$C$6:$C$122,0)+0,MATCH(Charts!AN$3,Income!$C$5:$ET$5,0)-1)</f>
        <v>0.15356151711378355</v>
      </c>
      <c r="AO61" s="1008">
        <f ca="1">OFFSET(Income!$C$6,MATCH(Charts!$E60,Income!$C$6:$C$122,0)+0,MATCH(Charts!AO$3,Income!$C$5:$ET$5,0)-1)</f>
        <v>0.1248221906116643</v>
      </c>
      <c r="AP61" s="1008">
        <f ca="1">OFFSET(Income!$C$6,MATCH(Charts!$E60,Income!$C$6:$C$122,0)+0,MATCH(Charts!AP$3,Income!$C$5:$ET$5,0)-1)</f>
        <v>0.15974576271186441</v>
      </c>
      <c r="AQ61" s="1008">
        <f ca="1">OFFSET(Income!$C$6,MATCH(Charts!$E60,Income!$C$6:$C$122,0)+0,MATCH(Charts!AQ$3,Income!$C$5:$ET$5,0)-1)</f>
        <v>0.14701492537313432</v>
      </c>
      <c r="AR61" s="1008">
        <f ca="1">OFFSET(Income!$C$6,MATCH(Charts!$E60,Income!$C$6:$C$122,0)+0,MATCH(Charts!AR$3,Income!$C$5:$ET$5,0)-1)</f>
        <v>0.13185654008438819</v>
      </c>
      <c r="AS61" s="1008">
        <f ca="1">OFFSET(Income!$C$6,MATCH(Charts!$E60,Income!$C$6:$C$122,0)+0,MATCH(Charts!AS$3,Income!$C$5:$ET$5,0)-1)</f>
        <v>0.10620915032679738</v>
      </c>
      <c r="AT61" s="1008">
        <f ca="1">OFFSET(Income!$C$6,MATCH(Charts!$E60,Income!$C$6:$C$122,0)+0,MATCH(Charts!AT$3,Income!$C$5:$ET$5,0)-1)</f>
        <v>0.13785488958990536</v>
      </c>
      <c r="AU61" s="1008">
        <f ca="1">OFFSET(Income!$C$6,MATCH(Charts!$E60,Income!$C$6:$C$122,0)+0,MATCH(Charts!AU$3,Income!$C$5:$ET$5,0)-1)</f>
        <v>0.12419759977672341</v>
      </c>
      <c r="AV61" s="1008">
        <f ca="1">OFFSET(Income!$C$6,MATCH(Charts!$E60,Income!$C$6:$C$122,0)+0,MATCH(Charts!AV$3,Income!$C$5:$ET$5,0)-1)</f>
        <v>0.13100000000000001</v>
      </c>
      <c r="AW61" s="1008">
        <f ca="1">OFFSET(Income!$C$6,MATCH(Charts!$E60,Income!$C$6:$C$122,0)+0,MATCH(Charts!AW$3,Income!$C$5:$ET$5,0)-1)</f>
        <v>0.1</v>
      </c>
      <c r="AX61" s="1008">
        <f ca="1">OFFSET(Income!$C$6,MATCH(Charts!$E60,Income!$C$6:$C$122,0)+0,MATCH(Charts!AX$3,Income!$C$5:$ET$5,0)-1)</f>
        <v>0.12785488958990535</v>
      </c>
      <c r="AY61" s="1008">
        <f ca="1">OFFSET(Income!$C$6,MATCH(Charts!$E60,Income!$C$6:$C$122,0)+0,MATCH(Charts!AY$3,Income!$C$5:$ET$5,0)-1)</f>
        <v>0.11419759977672342</v>
      </c>
      <c r="AZ61" s="1008">
        <f ca="1">OFFSET(Income!$C$6,MATCH(Charts!$E60,Income!$C$6:$C$122,0)+0,MATCH(Charts!AZ$3,Income!$C$5:$ET$5,0)-1)</f>
        <v>0.12100000000000001</v>
      </c>
      <c r="BA61" s="1008">
        <f ca="1">OFFSET(Income!$C$6,MATCH(Charts!$E60,Income!$C$6:$C$122,0)+0,MATCH(Charts!BA$3,Income!$C$5:$ET$5,0)-1)</f>
        <v>9.0000000000000011E-2</v>
      </c>
      <c r="BB61" s="1008">
        <f ca="1">OFFSET(Income!$C$6,MATCH(Charts!$E60,Income!$C$6:$C$122,0)+0,MATCH(Charts!BB$3,Income!$C$5:$ET$5,0)-1)</f>
        <v>0.12485488958990534</v>
      </c>
      <c r="BC61" s="1008">
        <f ca="1">OFFSET(Income!$C$6,MATCH(Charts!$E60,Income!$C$6:$C$122,0)+0,MATCH(Charts!BC$3,Income!$C$5:$ET$5,0)-1)</f>
        <v>0.11119759977672342</v>
      </c>
      <c r="BD61" s="1008">
        <f ca="1">OFFSET(Income!$C$6,MATCH(Charts!$E60,Income!$C$6:$C$122,0)+0,MATCH(Charts!BD$3,Income!$C$5:$ET$5,0)-1)</f>
        <v>0.11800000000000001</v>
      </c>
      <c r="BE61" s="1008">
        <f ca="1">OFFSET(Income!$C$6,MATCH(Charts!$E60,Income!$C$6:$C$122,0)+0,MATCH(Charts!BE$3,Income!$C$5:$ET$5,0)-1)</f>
        <v>8.7000000000000008E-2</v>
      </c>
      <c r="BF61" s="1008">
        <f ca="1">OFFSET(Income!$C$6,MATCH(Charts!$E60,Income!$C$6:$C$122,0)+0,MATCH(Charts!BF$3,Income!$C$5:$ET$5,0)-1)</f>
        <v>0.12185488958990534</v>
      </c>
      <c r="BG61" s="1008">
        <f ca="1">OFFSET(Income!$C$6,MATCH(Charts!$E60,Income!$C$6:$C$122,0)+0,MATCH(Charts!BG$3,Income!$C$5:$ET$5,0)-1)</f>
        <v>0.10819759977672341</v>
      </c>
      <c r="BH61" s="1008">
        <f ca="1">OFFSET(Income!$C$6,MATCH(Charts!$E60,Income!$C$6:$C$122,0)+0,MATCH(Charts!BH$3,Income!$C$5:$ET$5,0)-1)</f>
        <v>0.115</v>
      </c>
      <c r="BI61" s="1008">
        <f ca="1">OFFSET(Income!$C$6,MATCH(Charts!$E60,Income!$C$6:$C$122,0)+0,MATCH(Charts!BI$3,Income!$C$5:$ET$5,0)-1)</f>
        <v>8.4000000000000005E-2</v>
      </c>
      <c r="BJ61" s="1008">
        <f ca="1">OFFSET(Income!$C$6,MATCH(Charts!$E60,Income!$C$6:$C$122,0)+0,MATCH(Charts!BJ$3,Income!$C$5:$ET$5,0)-1)</f>
        <v>0.11885488958990534</v>
      </c>
      <c r="BK61" s="1008">
        <f ca="1">OFFSET(Income!$C$6,MATCH(Charts!$E60,Income!$C$6:$C$122,0)+0,MATCH(Charts!BK$3,Income!$C$5:$ET$5,0)-1)</f>
        <v>0.10519759977672341</v>
      </c>
      <c r="BL61" s="1008">
        <f ca="1">OFFSET(Income!$C$6,MATCH(Charts!$E60,Income!$C$6:$C$122,0)+0,MATCH(Charts!BL$3,Income!$C$5:$ET$5,0)-1)</f>
        <v>0.112</v>
      </c>
      <c r="BM61" s="1008">
        <f ca="1">OFFSET(Income!$C$6,MATCH(Charts!$E60,Income!$C$6:$C$122,0)+0,MATCH(Charts!BM$3,Income!$C$5:$ET$5,0)-1)</f>
        <v>8.1000000000000003E-2</v>
      </c>
      <c r="BN61" s="889"/>
      <c r="BO61" s="889"/>
      <c r="BP61" s="889"/>
      <c r="BQ61" s="889"/>
      <c r="BR61" s="889"/>
      <c r="BS61" s="889"/>
      <c r="BT61" s="889"/>
      <c r="BU61" s="889"/>
      <c r="BV61" s="889"/>
      <c r="BW61" s="889"/>
      <c r="BX61" s="889"/>
      <c r="BY61" s="889"/>
      <c r="BZ61" s="889"/>
      <c r="CA61" s="889"/>
      <c r="CB61" s="889"/>
      <c r="CC61" s="889"/>
      <c r="CD61" s="889"/>
      <c r="CE61" s="889"/>
      <c r="CF61" s="889"/>
      <c r="CG61" s="889"/>
      <c r="CH61" s="889"/>
      <c r="CI61" s="889"/>
      <c r="CJ61" s="889"/>
      <c r="CK61" s="889"/>
      <c r="CL61" s="889"/>
      <c r="CM61" s="889"/>
      <c r="CN61" s="889"/>
      <c r="CO61" s="889"/>
      <c r="CP61" s="889"/>
      <c r="CQ61" s="889"/>
      <c r="CR61" s="889"/>
      <c r="CS61" s="1028" t="str">
        <f t="shared" si="64"/>
        <v>% of revenue</v>
      </c>
      <c r="CT61" s="1008">
        <f ca="1">OFFSET(Income!$C$6,MATCH(Charts!$E60,Income!$C$6:$C$122,0)+0,MATCH(Charts!CT$4,Income!$C$4:$ET$4,0)-1)</f>
        <v>0.19093314155086949</v>
      </c>
      <c r="CU61" s="1008">
        <f ca="1">OFFSET(Income!$C$6,MATCH(Charts!$E60,Income!$C$6:$C$122,0)+0,MATCH(Charts!CU$4,Income!$C$4:$ET$4,0)-1)</f>
        <v>0.20198454190083531</v>
      </c>
      <c r="CV61" s="1008">
        <f ca="1">OFFSET(Income!$C$6,MATCH(Charts!$E60,Income!$C$6:$C$122,0)+0,MATCH(Charts!CV$4,Income!$C$4:$ET$4,0)-1)</f>
        <v>0.21493455730324101</v>
      </c>
      <c r="CW61" s="1008">
        <f ca="1">OFFSET(Income!$C$6,MATCH(Charts!$E60,Income!$C$6:$C$122,0)+0,MATCH(Charts!CW$4,Income!$C$4:$ET$4,0)-1)</f>
        <v>0.22495315786038667</v>
      </c>
      <c r="CX61" s="1008">
        <f ca="1">OFFSET(Income!$C$6,MATCH(Charts!$E60,Income!$C$6:$C$122,0)+0,MATCH(Charts!CX$4,Income!$C$4:$ET$4,0)-1)</f>
        <v>0.18847199052668193</v>
      </c>
      <c r="CY61" s="1008">
        <f ca="1">OFFSET(Income!$C$6,MATCH(Charts!$E60,Income!$C$6:$C$122,0)+0,MATCH(Charts!CY$4,Income!$C$4:$ET$4,0)-1)</f>
        <v>0.1852579525466537</v>
      </c>
      <c r="CZ61" s="1008">
        <f ca="1">OFFSET(Income!$C$6,MATCH(Charts!$E60,Income!$C$6:$C$122,0)+0,MATCH(Charts!CZ$4,Income!$C$4:$ET$4,0)-1)</f>
        <v>0.26844116214250913</v>
      </c>
      <c r="DA61" s="1008">
        <f ca="1">OFFSET(Income!$C$6,MATCH(Charts!$E60,Income!$C$6:$C$122,0)+0,MATCH(Charts!DA$4,Income!$C$4:$ET$4,0)-1)</f>
        <v>0.24504249291784702</v>
      </c>
      <c r="DB61" s="1008">
        <f ca="1">OFFSET(Income!$C$6,MATCH(Charts!$E60,Income!$C$6:$C$122,0)+0,MATCH(Charts!DB$4,Income!$C$4:$ET$4,0)-1)</f>
        <v>0.15394144144144145</v>
      </c>
      <c r="DC61" s="1008" t="e">
        <f ca="1">OFFSET(Income!$C$6,MATCH(Charts!$E60,Income!$C$6:$C$122,0)+0,MATCH(Charts!DC$4,Income!$C$4:$ET$4,0)-1)</f>
        <v>#N/A</v>
      </c>
      <c r="DD61" s="1008">
        <f ca="1">OFFSET(Income!$C$6,MATCH(Charts!$E60,Income!$C$6:$C$122,0)+0,MATCH(Charts!DD$4,Income!$C$4:$ET$4,0)-1)</f>
        <v>0.12114667900448363</v>
      </c>
      <c r="DE61" s="1008">
        <f ca="1">OFFSET(Income!$C$6,MATCH(Charts!$E60,Income!$C$6:$C$122,0)+0,MATCH(Charts!DE$4,Income!$C$4:$ET$4,0)-1)</f>
        <v>0.11124670352485065</v>
      </c>
      <c r="DF61" s="1008">
        <f ca="1">OFFSET(Income!$C$6,MATCH(Charts!$E60,Income!$C$6:$C$122,0)+0,MATCH(Charts!DF$4,Income!$C$4:$ET$4,0)-1)</f>
        <v>0.10825386498171334</v>
      </c>
      <c r="DG61" s="1008">
        <f ca="1">OFFSET(Income!$C$6,MATCH(Charts!$E60,Income!$C$6:$C$122,0)+0,MATCH(Charts!DG$4,Income!$C$4:$ET$4,0)-1)</f>
        <v>0.10525018514786087</v>
      </c>
      <c r="DH61" s="1008">
        <f ca="1">OFFSET(Income!$C$6,MATCH(Charts!$E60,Income!$C$6:$C$122,0)+0,MATCH(Charts!DH$4,Income!$C$4:$ET$4,0)-1)</f>
        <v>0.10224927943139712</v>
      </c>
      <c r="DJ61" s="889"/>
      <c r="DK61" s="889"/>
      <c r="DL61" s="889"/>
      <c r="DM61" s="889"/>
      <c r="DN61" s="889"/>
      <c r="DO61" s="889"/>
      <c r="DP61" s="889"/>
      <c r="DQ61" s="889"/>
      <c r="DR61" s="889"/>
      <c r="DS61" s="889"/>
      <c r="DT61" s="889"/>
      <c r="DU61" s="889"/>
      <c r="DV61" s="889"/>
      <c r="DW61" s="889"/>
      <c r="DX61" s="889"/>
      <c r="DY61" s="889"/>
      <c r="DZ61" s="889"/>
      <c r="EA61" s="889"/>
      <c r="EB61" s="889"/>
      <c r="EC61" s="889"/>
      <c r="ED61" s="889"/>
      <c r="EF61" s="889"/>
      <c r="EG61" s="889"/>
      <c r="EH61" s="889"/>
      <c r="EI61" s="889"/>
      <c r="EJ61" s="889"/>
      <c r="EK61" s="889"/>
      <c r="EL61" s="889"/>
      <c r="EM61" s="889"/>
      <c r="EN61" s="889"/>
      <c r="EO61" s="889"/>
    </row>
    <row r="62" spans="1:145">
      <c r="E62" s="12" t="str">
        <f>Income!C35</f>
        <v>General and Administrative</v>
      </c>
      <c r="F62" s="1010">
        <f ca="1">-OFFSET(Income!$C$6,MATCH(Charts!$E62,Income!$C$6:$C$122,0)-1,MATCH(Charts!F$3,Income!$C$5:$ET$5,0)-1)</f>
        <v>8.1189999999999998</v>
      </c>
      <c r="G62" s="1010">
        <f ca="1">-OFFSET(Income!$C$6,MATCH(Charts!$E62,Income!$C$6:$C$122,0)-1,MATCH(Charts!G$3,Income!$C$5:$ET$5,0)-1)</f>
        <v>10.037000000000001</v>
      </c>
      <c r="H62" s="1010">
        <f ca="1">-OFFSET(Income!$C$6,MATCH(Charts!$E62,Income!$C$6:$C$122,0)-1,MATCH(Charts!H$3,Income!$C$5:$ET$5,0)-1)</f>
        <v>11.002000000000001</v>
      </c>
      <c r="I62" s="1010">
        <f ca="1">-OFFSET(Income!$C$6,MATCH(Charts!$E62,Income!$C$6:$C$122,0)-1,MATCH(Charts!I$3,Income!$C$5:$ET$5,0)-1)</f>
        <v>13.952</v>
      </c>
      <c r="J62" s="1010">
        <f ca="1">-OFFSET(Income!$C$6,MATCH(Charts!$E62,Income!$C$6:$C$122,0)-1,MATCH(Charts!J$3,Income!$C$5:$ET$5,0)-1)</f>
        <v>14.773999999999999</v>
      </c>
      <c r="K62" s="1010">
        <f ca="1">-OFFSET(Income!$C$6,MATCH(Charts!$E62,Income!$C$6:$C$122,0)-1,MATCH(Charts!K$3,Income!$C$5:$ET$5,0)-1)</f>
        <v>15.161</v>
      </c>
      <c r="L62" s="1010">
        <f ca="1">-OFFSET(Income!$C$6,MATCH(Charts!$E62,Income!$C$6:$C$122,0)-1,MATCH(Charts!L$3,Income!$C$5:$ET$5,0)-1)</f>
        <v>18.039000000000001</v>
      </c>
      <c r="M62" s="1010">
        <f ca="1">-OFFSET(Income!$C$6,MATCH(Charts!$E62,Income!$C$6:$C$122,0)-1,MATCH(Charts!M$3,Income!$C$5:$ET$5,0)-1)</f>
        <v>19.745000000000001</v>
      </c>
      <c r="N62" s="1010">
        <f ca="1">-OFFSET(Income!$C$6,MATCH(Charts!$E62,Income!$C$6:$C$122,0)-1,MATCH(Charts!N$3,Income!$C$5:$ET$5,0)-1)</f>
        <v>20.675000000000001</v>
      </c>
      <c r="O62" s="1010">
        <f ca="1">-OFFSET(Income!$C$6,MATCH(Charts!$E62,Income!$C$6:$C$122,0)-1,MATCH(Charts!O$3,Income!$C$5:$ET$5,0)-1)</f>
        <v>25.923999999999999</v>
      </c>
      <c r="P62" s="1010">
        <f ca="1">-OFFSET(Income!$C$6,MATCH(Charts!$E62,Income!$C$6:$C$122,0)-1,MATCH(Charts!P$3,Income!$C$5:$ET$5,0)-1)</f>
        <v>27.831</v>
      </c>
      <c r="Q62" s="1010">
        <f ca="1">-OFFSET(Income!$C$6,MATCH(Charts!$E62,Income!$C$6:$C$122,0)-1,MATCH(Charts!Q$3,Income!$C$5:$ET$5,0)-1)</f>
        <v>33.014000000000003</v>
      </c>
      <c r="R62" s="1010">
        <f ca="1">-OFFSET(Income!$C$6,MATCH(Charts!$E62,Income!$C$6:$C$122,0)-1,MATCH(Charts!R$3,Income!$C$5:$ET$5,0)-1)</f>
        <v>30.303000000000001</v>
      </c>
      <c r="S62" s="1010">
        <f ca="1">-OFFSET(Income!$C$6,MATCH(Charts!$E62,Income!$C$6:$C$122,0)-1,MATCH(Charts!S$3,Income!$C$5:$ET$5,0)-1)</f>
        <v>34.921999999999997</v>
      </c>
      <c r="T62" s="1010">
        <f ca="1">-OFFSET(Income!$C$6,MATCH(Charts!$E62,Income!$C$6:$C$122,0)-1,MATCH(Charts!T$3,Income!$C$5:$ET$5,0)-1)</f>
        <v>38.021999999999998</v>
      </c>
      <c r="U62" s="1010">
        <f ca="1">-OFFSET(Income!$C$6,MATCH(Charts!$E62,Income!$C$6:$C$122,0)-1,MATCH(Charts!U$3,Income!$C$5:$ET$5,0)-1)</f>
        <v>50.518000000000001</v>
      </c>
      <c r="V62" s="1010">
        <f ca="1">-OFFSET(Income!$C$6,MATCH(Charts!$E62,Income!$C$6:$C$122,0)-1,MATCH(Charts!V$3,Income!$C$5:$ET$5,0)-1)</f>
        <v>44.841999999999999</v>
      </c>
      <c r="W62" s="1010">
        <f ca="1">-OFFSET(Income!$C$6,MATCH(Charts!$E62,Income!$C$6:$C$122,0)-1,MATCH(Charts!W$3,Income!$C$5:$ET$5,0)-1)</f>
        <v>83.307000000000002</v>
      </c>
      <c r="X62" s="1010">
        <f ca="1">-OFFSET(Income!$C$6,MATCH(Charts!$E62,Income!$C$6:$C$122,0)-1,MATCH(Charts!X$3,Income!$C$5:$ET$5,0)-1)</f>
        <v>51.798999999999999</v>
      </c>
      <c r="Y62" s="1010">
        <f ca="1">-OFFSET(Income!$C$6,MATCH(Charts!$E62,Income!$C$6:$C$122,0)-1,MATCH(Charts!Y$3,Income!$C$5:$ET$5,0)-1)</f>
        <v>65.394999999999996</v>
      </c>
      <c r="Z62" s="1010">
        <f ca="1">-OFFSET(Income!$C$6,MATCH(Charts!$E62,Income!$C$6:$C$122,0)-1,MATCH(Charts!Z$3,Income!$C$5:$ET$5,0)-1)</f>
        <v>67.102000000000004</v>
      </c>
      <c r="AA62" s="1010">
        <f ca="1">-OFFSET(Income!$C$6,MATCH(Charts!$E62,Income!$C$6:$C$122,0)-1,MATCH(Charts!AA$3,Income!$C$5:$ET$5,0)-1)</f>
        <v>77.965999999999994</v>
      </c>
      <c r="AB62" s="1010">
        <f ca="1">-OFFSET(Income!$C$6,MATCH(Charts!$E62,Income!$C$6:$C$122,0)-1,MATCH(Charts!AB$3,Income!$C$5:$ET$5,0)-1)</f>
        <v>128.72200000000001</v>
      </c>
      <c r="AC62" s="1010">
        <f ca="1">-OFFSET(Income!$C$6,MATCH(Charts!$E62,Income!$C$6:$C$122,0)-1,MATCH(Charts!AC$3,Income!$C$5:$ET$5,0)-1)</f>
        <v>101.054</v>
      </c>
      <c r="AD62" s="1010">
        <f ca="1">-OFFSET(Income!$C$6,MATCH(Charts!$E62,Income!$C$6:$C$122,0)-1,MATCH(Charts!AD$3,Income!$C$5:$ET$5,0)-1)</f>
        <v>108.08799999999999</v>
      </c>
      <c r="AE62" s="1010">
        <f ca="1">-OFFSET(Income!$C$6,MATCH(Charts!$E62,Income!$C$6:$C$122,0)-1,MATCH(Charts!AE$3,Income!$C$5:$ET$5,0)-1)</f>
        <v>129.90100000000001</v>
      </c>
      <c r="AF62" s="1010">
        <f ca="1">-OFFSET(Income!$C$6,MATCH(Charts!$E62,Income!$C$6:$C$122,0)-1,MATCH(Charts!AF$3,Income!$C$5:$ET$5,0)-1)</f>
        <v>255.125</v>
      </c>
      <c r="AG62" s="1010">
        <f ca="1">-OFFSET(Income!$C$6,MATCH(Charts!$E62,Income!$C$6:$C$122,0)-1,MATCH(Charts!AG$3,Income!$C$5:$ET$5,0)-1)</f>
        <v>214.65100000000001</v>
      </c>
      <c r="AH62" s="1010">
        <f ca="1">-OFFSET(Income!$C$6,MATCH(Charts!$E62,Income!$C$6:$C$122,0)-1,MATCH(Charts!AH$3,Income!$C$5:$ET$5,0)-1)</f>
        <v>123</v>
      </c>
      <c r="AI62" s="1010">
        <f ca="1">-OFFSET(Income!$C$6,MATCH(Charts!$E62,Income!$C$6:$C$122,0)-1,MATCH(Charts!AI$3,Income!$C$5:$ET$5,0)-1)</f>
        <v>131</v>
      </c>
      <c r="AJ62" s="1010">
        <f ca="1">-OFFSET(Income!$C$6,MATCH(Charts!$E62,Income!$C$6:$C$122,0)-1,MATCH(Charts!AJ$3,Income!$C$5:$ET$5,0)-1)</f>
        <v>137</v>
      </c>
      <c r="AK62" s="1010">
        <f ca="1">-OFFSET(Income!$C$6,MATCH(Charts!$E62,Income!$C$6:$C$122,0)-1,MATCH(Charts!AK$3,Income!$C$5:$ET$5,0)-1)</f>
        <v>100</v>
      </c>
      <c r="AL62" s="1010">
        <f ca="1">-OFFSET(Income!$C$6,MATCH(Charts!$E62,Income!$C$6:$C$122,0)-1,MATCH(Charts!AL$3,Income!$C$5:$ET$5,0)-1)</f>
        <v>124</v>
      </c>
      <c r="AM62" s="1010">
        <f ca="1">-OFFSET(Income!$C$6,MATCH(Charts!$E62,Income!$C$6:$C$122,0)-1,MATCH(Charts!AM$3,Income!$C$5:$ET$5,0)-1)</f>
        <v>60</v>
      </c>
      <c r="AN62" s="1010">
        <f ca="1">-OFFSET(Income!$C$6,MATCH(Charts!$E62,Income!$C$6:$C$122,0)-1,MATCH(Charts!AN$3,Income!$C$5:$ET$5,0)-1)</f>
        <v>114</v>
      </c>
      <c r="AO62" s="1010">
        <f ca="1">-OFFSET(Income!$C$6,MATCH(Charts!$E62,Income!$C$6:$C$122,0)-1,MATCH(Charts!AO$3,Income!$C$5:$ET$5,0)-1)</f>
        <v>112</v>
      </c>
      <c r="AP62" s="1010">
        <f ca="1">-OFFSET(Income!$C$6,MATCH(Charts!$E62,Income!$C$6:$C$122,0)-1,MATCH(Charts!AP$3,Income!$C$5:$ET$5,0)-1)</f>
        <v>109</v>
      </c>
      <c r="AQ62" s="1010">
        <f ca="1">-OFFSET(Income!$C$6,MATCH(Charts!$E62,Income!$C$6:$C$122,0)-1,MATCH(Charts!AQ$3,Income!$C$5:$ET$5,0)-1)</f>
        <v>122</v>
      </c>
      <c r="AR62" s="1010">
        <f ca="1">-OFFSET(Income!$C$6,MATCH(Charts!$E62,Income!$C$6:$C$122,0)-1,MATCH(Charts!AR$3,Income!$C$5:$ET$5,0)-1)</f>
        <v>115</v>
      </c>
      <c r="AS62" s="1010">
        <f ca="1">-OFFSET(Income!$C$6,MATCH(Charts!$E62,Income!$C$6:$C$122,0)-1,MATCH(Charts!AS$3,Income!$C$5:$ET$5,0)-1)</f>
        <v>125</v>
      </c>
      <c r="AT62" s="1010">
        <f ca="1">-OFFSET(Income!$C$6,MATCH(Charts!$E62,Income!$C$6:$C$122,0)-1,MATCH(Charts!AT$3,Income!$C$5:$ET$5,0)-1)</f>
        <v>115</v>
      </c>
      <c r="AU62" s="1010">
        <f ca="1">-OFFSET(Income!$C$6,MATCH(Charts!$E62,Income!$C$6:$C$122,0)-1,MATCH(Charts!AU$3,Income!$C$5:$ET$5,0)-1)</f>
        <v>136</v>
      </c>
      <c r="AV62" s="1010">
        <f ca="1">-OFFSET(Income!$C$6,MATCH(Charts!$E62,Income!$C$6:$C$122,0)-1,MATCH(Charts!AV$3,Income!$C$5:$ET$5,0)-1)</f>
        <v>112.88481885681146</v>
      </c>
      <c r="AW62" s="1010">
        <f ca="1">-OFFSET(Income!$C$6,MATCH(Charts!$E62,Income!$C$6:$C$122,0)-1,MATCH(Charts!AW$3,Income!$C$5:$ET$5,0)-1)</f>
        <v>147.43923358817739</v>
      </c>
      <c r="AX62" s="1010">
        <f ca="1">-OFFSET(Income!$C$6,MATCH(Charts!$E62,Income!$C$6:$C$122,0)-1,MATCH(Charts!AX$3,Income!$C$5:$ET$5,0)-1)</f>
        <v>138.31429313757377</v>
      </c>
      <c r="AY62" s="1010">
        <f ca="1">-OFFSET(Income!$C$6,MATCH(Charts!$E62,Income!$C$6:$C$122,0)-1,MATCH(Charts!AY$3,Income!$C$5:$ET$5,0)-1)</f>
        <v>163.30761808105811</v>
      </c>
      <c r="AZ62" s="1010">
        <f ca="1">-OFFSET(Income!$C$6,MATCH(Charts!$E62,Income!$C$6:$C$122,0)-1,MATCH(Charts!AZ$3,Income!$C$5:$ET$5,0)-1)</f>
        <v>131.99072203521388</v>
      </c>
      <c r="BA62" s="1010">
        <f ca="1">-OFFSET(Income!$C$6,MATCH(Charts!$E62,Income!$C$6:$C$122,0)-1,MATCH(Charts!BA$3,Income!$C$5:$ET$5,0)-1)</f>
        <v>171.80125037519383</v>
      </c>
      <c r="BB62" s="1010">
        <f ca="1">-OFFSET(Income!$C$6,MATCH(Charts!$E62,Income!$C$6:$C$122,0)-1,MATCH(Charts!BB$3,Income!$C$5:$ET$5,0)-1)</f>
        <v>162.29840124021871</v>
      </c>
      <c r="BC62" s="1010">
        <f ca="1">-OFFSET(Income!$C$6,MATCH(Charts!$E62,Income!$C$6:$C$122,0)-1,MATCH(Charts!BC$3,Income!$C$5:$ET$5,0)-1)</f>
        <v>191.74094180428065</v>
      </c>
      <c r="BD62" s="1010">
        <f ca="1">-OFFSET(Income!$C$6,MATCH(Charts!$E62,Income!$C$6:$C$122,0)-1,MATCH(Charts!BD$3,Income!$C$5:$ET$5,0)-1)</f>
        <v>153.60608312156796</v>
      </c>
      <c r="BE62" s="1010">
        <f ca="1">-OFFSET(Income!$C$6,MATCH(Charts!$E62,Income!$C$6:$C$122,0)-1,MATCH(Charts!BE$3,Income!$C$5:$ET$5,0)-1)</f>
        <v>200.11610238500788</v>
      </c>
      <c r="BF62" s="1010">
        <f ca="1">-OFFSET(Income!$C$6,MATCH(Charts!$E62,Income!$C$6:$C$122,0)-1,MATCH(Charts!BF$3,Income!$C$5:$ET$5,0)-1)</f>
        <v>186.55985642239685</v>
      </c>
      <c r="BG62" s="1010">
        <f ca="1">-OFFSET(Income!$C$6,MATCH(Charts!$E62,Income!$C$6:$C$122,0)-1,MATCH(Charts!BG$3,Income!$C$5:$ET$5,0)-1)</f>
        <v>220.76672140769378</v>
      </c>
      <c r="BH62" s="1010">
        <f ca="1">-OFFSET(Income!$C$6,MATCH(Charts!$E62,Income!$C$6:$C$122,0)-1,MATCH(Charts!BH$3,Income!$C$5:$ET$5,0)-1)</f>
        <v>175.4209490672923</v>
      </c>
      <c r="BI62" s="1010">
        <f ca="1">-OFFSET(Income!$C$6,MATCH(Charts!$E62,Income!$C$6:$C$122,0)-1,MATCH(Charts!BI$3,Income!$C$5:$ET$5,0)-1)</f>
        <v>228.84029941088491</v>
      </c>
      <c r="BJ62" s="1010">
        <f ca="1">-OFFSET(Income!$C$6,MATCH(Charts!$E62,Income!$C$6:$C$122,0)-1,MATCH(Charts!BJ$3,Income!$C$5:$ET$5,0)-1)</f>
        <v>212.07601062980535</v>
      </c>
      <c r="BK62" s="1010">
        <f ca="1">-OFFSET(Income!$C$6,MATCH(Charts!$E62,Income!$C$6:$C$122,0)-1,MATCH(Charts!BK$3,Income!$C$5:$ET$5,0)-1)</f>
        <v>251.36315810889553</v>
      </c>
      <c r="BL62" s="1010">
        <f ca="1">-OFFSET(Income!$C$6,MATCH(Charts!$E62,Income!$C$6:$C$122,0)-1,MATCH(Charts!BL$3,Income!$C$5:$ET$5,0)-1)</f>
        <v>198.02124968380548</v>
      </c>
      <c r="BM62" s="1010">
        <f ca="1">-OFFSET(Income!$C$6,MATCH(Charts!$E62,Income!$C$6:$C$122,0)-1,MATCH(Charts!BM$3,Income!$C$5:$ET$5,0)-1)</f>
        <v>258.57265785769033</v>
      </c>
      <c r="BN62" s="889"/>
      <c r="BO62" s="889"/>
      <c r="BP62" s="889"/>
      <c r="BQ62" s="889"/>
      <c r="BR62" s="889"/>
      <c r="BS62" s="889"/>
      <c r="BT62" s="889"/>
      <c r="BU62" s="889"/>
      <c r="BV62" s="889"/>
      <c r="BW62" s="889"/>
      <c r="BX62" s="889"/>
      <c r="BY62" s="889"/>
      <c r="BZ62" s="889"/>
      <c r="CA62" s="889"/>
      <c r="CB62" s="889"/>
      <c r="CC62" s="889"/>
      <c r="CD62" s="889"/>
      <c r="CE62" s="889"/>
      <c r="CF62" s="889"/>
      <c r="CG62" s="889"/>
      <c r="CH62" s="889"/>
      <c r="CI62" s="889"/>
      <c r="CJ62" s="889"/>
      <c r="CK62" s="889"/>
      <c r="CL62" s="889"/>
      <c r="CM62" s="889"/>
      <c r="CN62" s="889"/>
      <c r="CO62" s="889"/>
      <c r="CP62" s="889"/>
      <c r="CQ62" s="889"/>
      <c r="CR62" s="889"/>
      <c r="CS62" s="1028" t="str">
        <f t="shared" si="64"/>
        <v>General and Administrative</v>
      </c>
      <c r="CT62" s="1015">
        <f ca="1">-OFFSET(Income!$C$6,MATCH(Charts!$E62,Income!$C$6:$C$122,0)-1,MATCH(Charts!CT$4,Income!$C$4:$ET$4,0)-1)</f>
        <v>43.11</v>
      </c>
      <c r="CU62" s="1015">
        <f ca="1">-OFFSET(Income!$C$6,MATCH(Charts!$E62,Income!$C$6:$C$122,0)-1,MATCH(Charts!CU$4,Income!$C$4:$ET$4,0)-1)</f>
        <v>67.719000000000008</v>
      </c>
      <c r="CV62" s="1015">
        <f ca="1">-OFFSET(Income!$C$6,MATCH(Charts!$E62,Income!$C$6:$C$122,0)-1,MATCH(Charts!CV$4,Income!$C$4:$ET$4,0)-1)</f>
        <v>107.44400000000002</v>
      </c>
      <c r="CW62" s="1015">
        <f ca="1">-OFFSET(Income!$C$6,MATCH(Charts!$E62,Income!$C$6:$C$122,0)-1,MATCH(Charts!CW$4,Income!$C$4:$ET$4,0)-1)</f>
        <v>153.76499999999999</v>
      </c>
      <c r="CX62" s="1015">
        <f ca="1">-OFFSET(Income!$C$6,MATCH(Charts!$E62,Income!$C$6:$C$122,0)-1,MATCH(Charts!CX$4,Income!$C$4:$ET$4,0)-1)</f>
        <v>245.34300000000002</v>
      </c>
      <c r="CY62" s="1015">
        <f ca="1">-OFFSET(Income!$C$6,MATCH(Charts!$E62,Income!$C$6:$C$122,0)-1,MATCH(Charts!CY$4,Income!$C$4:$ET$4,0)-1)</f>
        <v>374.84399999999994</v>
      </c>
      <c r="CZ62" s="1015">
        <f ca="1">-OFFSET(Income!$C$6,MATCH(Charts!$E62,Income!$C$6:$C$122,0)-1,MATCH(Charts!CZ$4,Income!$C$4:$ET$4,0)-1)</f>
        <v>707.7650000000001</v>
      </c>
      <c r="DA62" s="1015">
        <f ca="1">-OFFSET(Income!$C$6,MATCH(Charts!$E62,Income!$C$6:$C$122,0)-1,MATCH(Charts!DA$4,Income!$C$4:$ET$4,0)-1)</f>
        <v>491</v>
      </c>
      <c r="DB62" s="1015">
        <f ca="1">-OFFSET(Income!$C$6,MATCH(Charts!$E62,Income!$C$6:$C$122,0)-1,MATCH(Charts!DB$4,Income!$C$4:$ET$4,0)-1)</f>
        <v>410</v>
      </c>
      <c r="DC62" s="1015" t="e">
        <f ca="1">-OFFSET(Income!$C$6,MATCH(Charts!$E62,Income!$C$6:$C$122,0)-1,MATCH(Charts!DC$4,Income!$C$4:$ET$4,0)-1)</f>
        <v>#N/A</v>
      </c>
      <c r="DD62" s="1015">
        <f ca="1">-OFFSET(Income!$C$6,MATCH(Charts!$E62,Income!$C$6:$C$122,0)-1,MATCH(Charts!DD$4,Income!$C$4:$ET$4,0)-1)</f>
        <v>511.32405244498887</v>
      </c>
      <c r="DE62" s="1015">
        <f ca="1">-OFFSET(Income!$C$6,MATCH(Charts!$E62,Income!$C$6:$C$122,0)-1,MATCH(Charts!DE$4,Income!$C$4:$ET$4,0)-1)</f>
        <v>605.41388362903967</v>
      </c>
      <c r="DF62" s="1015">
        <f ca="1">-OFFSET(Income!$C$6,MATCH(Charts!$E62,Income!$C$6:$C$122,0)-1,MATCH(Charts!DF$4,Income!$C$4:$ET$4,0)-1)</f>
        <v>707.76152855107512</v>
      </c>
      <c r="DG62" s="1015">
        <f ca="1">-OFFSET(Income!$C$6,MATCH(Charts!$E62,Income!$C$6:$C$122,0)-1,MATCH(Charts!DG$4,Income!$C$4:$ET$4,0)-1)</f>
        <v>811.58782630826784</v>
      </c>
      <c r="DH62" s="1015">
        <f ca="1">-OFFSET(Income!$C$6,MATCH(Charts!$E62,Income!$C$6:$C$122,0)-1,MATCH(Charts!DH$4,Income!$C$4:$ET$4,0)-1)</f>
        <v>920.03307628019661</v>
      </c>
      <c r="DJ62" s="889"/>
      <c r="DK62" s="889"/>
      <c r="DL62" s="889"/>
      <c r="DM62" s="889"/>
      <c r="DN62" s="889"/>
      <c r="DO62" s="889"/>
      <c r="DP62" s="889"/>
      <c r="DQ62" s="889"/>
      <c r="DR62" s="889"/>
      <c r="DS62" s="889"/>
      <c r="DT62" s="889"/>
      <c r="DU62" s="889"/>
      <c r="DV62" s="889"/>
      <c r="DW62" s="889"/>
      <c r="DX62" s="889"/>
      <c r="DY62" s="889"/>
      <c r="DZ62" s="889"/>
      <c r="EA62" s="889"/>
      <c r="EB62" s="889"/>
      <c r="EC62" s="889"/>
      <c r="ED62" s="889"/>
      <c r="EF62" s="889"/>
      <c r="EG62" s="889"/>
      <c r="EH62" s="889"/>
      <c r="EI62" s="889"/>
      <c r="EJ62" s="889"/>
      <c r="EK62" s="889"/>
      <c r="EL62" s="889"/>
      <c r="EM62" s="889"/>
      <c r="EN62" s="889"/>
      <c r="EO62" s="889"/>
    </row>
    <row r="63" spans="1:145">
      <c r="E63" s="669" t="s">
        <v>189</v>
      </c>
      <c r="F63" s="1008">
        <f ca="1">OFFSET(Income!$C$6,MATCH(Charts!$E62,Income!$C$6:$C$122,0)+0,MATCH(Charts!F$3,Income!$C$5:$ET$5,0)-1)</f>
        <v>0.11164434421495557</v>
      </c>
      <c r="G63" s="1008">
        <f ca="1">OFFSET(Income!$C$6,MATCH(Charts!$E62,Income!$C$6:$C$122,0)+0,MATCH(Charts!G$3,Income!$C$5:$ET$5,0)-1)</f>
        <v>0.11583782473715191</v>
      </c>
      <c r="H63" s="1008">
        <f ca="1">OFFSET(Income!$C$6,MATCH(Charts!$E62,Income!$C$6:$C$122,0)+0,MATCH(Charts!H$3,Income!$C$5:$ET$5,0)-1)</f>
        <v>0.11048625198336982</v>
      </c>
      <c r="I63" s="1008">
        <f ca="1">OFFSET(Income!$C$6,MATCH(Charts!$E62,Income!$C$6:$C$122,0)+0,MATCH(Charts!I$3,Income!$C$5:$ET$5,0)-1)</f>
        <v>0.10700781543606147</v>
      </c>
      <c r="J63" s="1008">
        <f ca="1">OFFSET(Income!$C$6,MATCH(Charts!$E62,Income!$C$6:$C$122,0)+0,MATCH(Charts!J$3,Income!$C$5:$ET$5,0)-1)</f>
        <v>0.11598458144592122</v>
      </c>
      <c r="K63" s="1008">
        <f ca="1">OFFSET(Income!$C$6,MATCH(Charts!$E62,Income!$C$6:$C$122,0)+0,MATCH(Charts!K$3,Income!$C$5:$ET$5,0)-1)</f>
        <v>9.9970327387821037E-2</v>
      </c>
      <c r="L63" s="1008">
        <f ca="1">OFFSET(Income!$C$6,MATCH(Charts!$E62,Income!$C$6:$C$122,0)+0,MATCH(Charts!L$3,Income!$C$5:$ET$5,0)-1)</f>
        <v>0.10521066629339305</v>
      </c>
      <c r="M63" s="1008">
        <f ca="1">OFFSET(Income!$C$6,MATCH(Charts!$E62,Income!$C$6:$C$122,0)+0,MATCH(Charts!M$3,Income!$C$5:$ET$5,0)-1)</f>
        <v>8.8616514222625162E-2</v>
      </c>
      <c r="N63" s="1008">
        <f ca="1">OFFSET(Income!$C$6,MATCH(Charts!$E62,Income!$C$6:$C$122,0)+0,MATCH(Charts!N$3,Income!$C$5:$ET$5,0)-1)</f>
        <v>9.6458897079406566E-2</v>
      </c>
      <c r="O63" s="1008">
        <f ca="1">OFFSET(Income!$C$6,MATCH(Charts!$E62,Income!$C$6:$C$122,0)+0,MATCH(Charts!O$3,Income!$C$5:$ET$5,0)-1)</f>
        <v>0.10582822712001404</v>
      </c>
      <c r="P63" s="1008">
        <f ca="1">OFFSET(Income!$C$6,MATCH(Charts!$E62,Income!$C$6:$C$122,0)+0,MATCH(Charts!P$3,Income!$C$5:$ET$5,0)-1)</f>
        <v>0.10305335031696192</v>
      </c>
      <c r="Q63" s="1008">
        <f ca="1">OFFSET(Income!$C$6,MATCH(Charts!$E62,Income!$C$6:$C$122,0)+0,MATCH(Charts!Q$3,Income!$C$5:$ET$5,0)-1)</f>
        <v>9.6009445649708328E-2</v>
      </c>
      <c r="R63" s="1008">
        <f ca="1">OFFSET(Income!$C$6,MATCH(Charts!$E62,Income!$C$6:$C$122,0)+0,MATCH(Charts!R$3,Income!$C$5:$ET$5,0)-1)</f>
        <v>9.4554452356138574E-2</v>
      </c>
      <c r="S63" s="1008">
        <f ca="1">OFFSET(Income!$C$6,MATCH(Charts!$E62,Income!$C$6:$C$122,0)+0,MATCH(Charts!S$3,Income!$C$5:$ET$5,0)-1)</f>
        <v>9.6475209887866425E-2</v>
      </c>
      <c r="T63" s="1008">
        <f ca="1">OFFSET(Income!$C$6,MATCH(Charts!$E62,Income!$C$6:$C$122,0)+0,MATCH(Charts!T$3,Income!$C$5:$ET$5,0)-1)</f>
        <v>9.7354513611503712E-2</v>
      </c>
      <c r="U63" s="1008">
        <f ca="1">OFFSET(Income!$C$6,MATCH(Charts!$E62,Income!$C$6:$C$122,0)+0,MATCH(Charts!U$3,Income!$C$5:$ET$5,0)-1)</f>
        <v>0.10000395914165809</v>
      </c>
      <c r="V63" s="1008">
        <f ca="1">OFFSET(Income!$C$6,MATCH(Charts!$E62,Income!$C$6:$C$122,0)+0,MATCH(Charts!V$3,Income!$C$5:$ET$5,0)-1)</f>
        <v>9.5408307641898643E-2</v>
      </c>
      <c r="W63" s="1008">
        <f ca="1">OFFSET(Income!$C$6,MATCH(Charts!$E62,Income!$C$6:$C$122,0)+0,MATCH(Charts!W$3,Income!$C$5:$ET$5,0)-1)</f>
        <v>0.11662077355212706</v>
      </c>
      <c r="X63" s="1008">
        <f ca="1">OFFSET(Income!$C$6,MATCH(Charts!$E62,Income!$C$6:$C$122,0)+0,MATCH(Charts!X$3,Income!$C$5:$ET$5,0)-1)</f>
        <v>6.7498908659703802E-2</v>
      </c>
      <c r="Y63" s="1008">
        <f ca="1">OFFSET(Income!$C$6,MATCH(Charts!$E62,Income!$C$6:$C$122,0)+0,MATCH(Charts!Y$3,Income!$C$5:$ET$5,0)-1)</f>
        <v>6.6883560522999888E-2</v>
      </c>
      <c r="Z63" s="1008">
        <f ca="1">OFFSET(Income!$C$6,MATCH(Charts!$E62,Income!$C$6:$C$122,0)+0,MATCH(Charts!Z$3,Income!$C$5:$ET$5,0)-1)</f>
        <v>6.7872557141224324E-2</v>
      </c>
      <c r="AA63" s="1008">
        <f ca="1">OFFSET(Income!$C$6,MATCH(Charts!$E62,Income!$C$6:$C$122,0)+0,MATCH(Charts!AA$3,Income!$C$5:$ET$5,0)-1)</f>
        <v>6.9647012582127743E-2</v>
      </c>
      <c r="AB63" s="1008">
        <f ca="1">OFFSET(Income!$C$6,MATCH(Charts!$E62,Income!$C$6:$C$122,0)+0,MATCH(Charts!AB$3,Income!$C$5:$ET$5,0)-1)</f>
        <v>0.11454784914659975</v>
      </c>
      <c r="AC63" s="1008">
        <f ca="1">OFFSET(Income!$C$6,MATCH(Charts!$E62,Income!$C$6:$C$122,0)+0,MATCH(Charts!AC$3,Income!$C$5:$ET$5,0)-1)</f>
        <v>7.3226262731662634E-2</v>
      </c>
      <c r="AD63" s="1008">
        <f ca="1">OFFSET(Income!$C$6,MATCH(Charts!$E62,Income!$C$6:$C$122,0)+0,MATCH(Charts!AD$3,Income!$C$5:$ET$5,0)-1)</f>
        <v>8.9802205507870811E-2</v>
      </c>
      <c r="AE63" s="1008">
        <f ca="1">OFFSET(Income!$C$6,MATCH(Charts!$E62,Income!$C$6:$C$122,0)+0,MATCH(Charts!AE$3,Income!$C$5:$ET$5,0)-1)</f>
        <v>0.1003047728180019</v>
      </c>
      <c r="AF63" s="1008">
        <f ca="1">OFFSET(Income!$C$6,MATCH(Charts!$E62,Income!$C$6:$C$122,0)+0,MATCH(Charts!AF$3,Income!$C$5:$ET$5,0)-1)</f>
        <v>0.18674059434929</v>
      </c>
      <c r="AG63" s="1008">
        <f ca="1">OFFSET(Income!$C$6,MATCH(Charts!$E62,Income!$C$6:$C$122,0)+0,MATCH(Charts!AG$3,Income!$C$5:$ET$5,0)-1)</f>
        <v>0.12371972439996358</v>
      </c>
      <c r="AH63" s="1008">
        <f ca="1">OFFSET(Income!$C$6,MATCH(Charts!$E62,Income!$C$6:$C$122,0)+0,MATCH(Charts!AH$3,Income!$C$5:$ET$5,0)-1)</f>
        <v>8.1564986737400536E-2</v>
      </c>
      <c r="AI63" s="1008">
        <f ca="1">OFFSET(Income!$C$6,MATCH(Charts!$E62,Income!$C$6:$C$122,0)+0,MATCH(Charts!AI$3,Income!$C$5:$ET$5,0)-1)</f>
        <v>7.7331759149940962E-2</v>
      </c>
      <c r="AJ63" s="1008">
        <f ca="1">OFFSET(Income!$C$6,MATCH(Charts!$E62,Income!$C$6:$C$122,0)+0,MATCH(Charts!AJ$3,Income!$C$5:$ET$5,0)-1)</f>
        <v>7.9929988331388563E-2</v>
      </c>
      <c r="AK63" s="1008">
        <f ca="1">OFFSET(Income!$C$6,MATCH(Charts!$E62,Income!$C$6:$C$122,0)+0,MATCH(Charts!AK$3,Income!$C$5:$ET$5,0)-1)</f>
        <v>4.6641791044776122E-2</v>
      </c>
      <c r="AL63" s="1008">
        <f ca="1">OFFSET(Income!$C$6,MATCH(Charts!$E62,Income!$C$6:$C$122,0)+0,MATCH(Charts!AL$3,Income!$C$5:$ET$5,0)-1)</f>
        <v>6.6630843632455666E-2</v>
      </c>
      <c r="AM63" s="1008">
        <f ca="1">OFFSET(Income!$C$6,MATCH(Charts!$E62,Income!$C$6:$C$122,0)+0,MATCH(Charts!AM$3,Income!$C$5:$ET$5,0)-1)</f>
        <v>2.9339853300733496E-2</v>
      </c>
      <c r="AN63" s="1008">
        <f ca="1">OFFSET(Income!$C$6,MATCH(Charts!$E62,Income!$C$6:$C$122,0)+0,MATCH(Charts!AN$3,Income!$C$5:$ET$5,0)-1)</f>
        <v>5.2728954671600367E-2</v>
      </c>
      <c r="AO63" s="1008">
        <f ca="1">OFFSET(Income!$C$6,MATCH(Charts!$E62,Income!$C$6:$C$122,0)+0,MATCH(Charts!AO$3,Income!$C$5:$ET$5,0)-1)</f>
        <v>3.9829302987197723E-2</v>
      </c>
      <c r="AP63" s="1008">
        <f ca="1">OFFSET(Income!$C$6,MATCH(Charts!$E62,Income!$C$6:$C$122,0)+0,MATCH(Charts!AP$3,Income!$C$5:$ET$5,0)-1)</f>
        <v>4.6186440677966102E-2</v>
      </c>
      <c r="AQ63" s="1008">
        <f ca="1">OFFSET(Income!$C$6,MATCH(Charts!$E62,Income!$C$6:$C$122,0)+0,MATCH(Charts!AQ$3,Income!$C$5:$ET$5,0)-1)</f>
        <v>4.5522388059701491E-2</v>
      </c>
      <c r="AR63" s="1008">
        <f ca="1">OFFSET(Income!$C$6,MATCH(Charts!$E62,Income!$C$6:$C$122,0)+0,MATCH(Charts!AR$3,Income!$C$5:$ET$5,0)-1)</f>
        <v>4.0436005625879047E-2</v>
      </c>
      <c r="AS63" s="1008">
        <f ca="1">OFFSET(Income!$C$6,MATCH(Charts!$E62,Income!$C$6:$C$122,0)+0,MATCH(Charts!AS$3,Income!$C$5:$ET$5,0)-1)</f>
        <v>3.4041394335511982E-2</v>
      </c>
      <c r="AT63" s="1008">
        <f ca="1">OFFSET(Income!$C$6,MATCH(Charts!$E62,Income!$C$6:$C$122,0)+0,MATCH(Charts!AT$3,Income!$C$5:$ET$5,0)-1)</f>
        <v>3.6277602523659309E-2</v>
      </c>
      <c r="AU63" s="1008">
        <f ca="1">OFFSET(Income!$C$6,MATCH(Charts!$E62,Income!$C$6:$C$122,0)+0,MATCH(Charts!AU$3,Income!$C$5:$ET$5,0)-1)</f>
        <v>3.7957019257605355E-2</v>
      </c>
      <c r="AV63" s="1008">
        <f ca="1">OFFSET(Income!$C$6,MATCH(Charts!$E62,Income!$C$6:$C$122,0)+0,MATCH(Charts!AV$3,Income!$C$5:$ET$5,0)-1)</f>
        <v>3.0436005625879045E-2</v>
      </c>
      <c r="AW63" s="1008">
        <f ca="1">OFFSET(Income!$C$6,MATCH(Charts!$E62,Income!$C$6:$C$122,0)+0,MATCH(Charts!AW$3,Income!$C$5:$ET$5,0)-1)</f>
        <v>3.1041394335511983E-2</v>
      </c>
      <c r="AX63" s="1008">
        <f ca="1">OFFSET(Income!$C$6,MATCH(Charts!$E62,Income!$C$6:$C$122,0)+0,MATCH(Charts!AX$3,Income!$C$5:$ET$5,0)-1)</f>
        <v>3.4277602523659308E-2</v>
      </c>
      <c r="AY63" s="1008">
        <f ca="1">OFFSET(Income!$C$6,MATCH(Charts!$E62,Income!$C$6:$C$122,0)+0,MATCH(Charts!AY$3,Income!$C$5:$ET$5,0)-1)</f>
        <v>3.5957019257605354E-2</v>
      </c>
      <c r="AZ63" s="1008">
        <f ca="1">OFFSET(Income!$C$6,MATCH(Charts!$E62,Income!$C$6:$C$122,0)+0,MATCH(Charts!AZ$3,Income!$C$5:$ET$5,0)-1)</f>
        <v>2.8436005625879043E-2</v>
      </c>
      <c r="BA63" s="1008">
        <f ca="1">OFFSET(Income!$C$6,MATCH(Charts!$E62,Income!$C$6:$C$122,0)+0,MATCH(Charts!BA$3,Income!$C$5:$ET$5,0)-1)</f>
        <v>2.9041394335511984E-2</v>
      </c>
      <c r="BB63" s="1008">
        <f ca="1">OFFSET(Income!$C$6,MATCH(Charts!$E62,Income!$C$6:$C$122,0)+0,MATCH(Charts!BB$3,Income!$C$5:$ET$5,0)-1)</f>
        <v>3.3277602523659307E-2</v>
      </c>
      <c r="BC63" s="1008">
        <f ca="1">OFFSET(Income!$C$6,MATCH(Charts!$E62,Income!$C$6:$C$122,0)+0,MATCH(Charts!BC$3,Income!$C$5:$ET$5,0)-1)</f>
        <v>3.4957019257605353E-2</v>
      </c>
      <c r="BD63" s="1008">
        <f ca="1">OFFSET(Income!$C$6,MATCH(Charts!$E62,Income!$C$6:$C$122,0)+0,MATCH(Charts!BD$3,Income!$C$5:$ET$5,0)-1)</f>
        <v>2.7436005625879042E-2</v>
      </c>
      <c r="BE63" s="1008">
        <f ca="1">OFFSET(Income!$C$6,MATCH(Charts!$E62,Income!$C$6:$C$122,0)+0,MATCH(Charts!BE$3,Income!$C$5:$ET$5,0)-1)</f>
        <v>2.8041394335511984E-2</v>
      </c>
      <c r="BF63" s="1008">
        <f ca="1">OFFSET(Income!$C$6,MATCH(Charts!$E62,Income!$C$6:$C$122,0)+0,MATCH(Charts!BF$3,Income!$C$5:$ET$5,0)-1)</f>
        <v>3.2277602523659306E-2</v>
      </c>
      <c r="BG63" s="1008">
        <f ca="1">OFFSET(Income!$C$6,MATCH(Charts!$E62,Income!$C$6:$C$122,0)+0,MATCH(Charts!BG$3,Income!$C$5:$ET$5,0)-1)</f>
        <v>3.3957019257605352E-2</v>
      </c>
      <c r="BH63" s="1008">
        <f ca="1">OFFSET(Income!$C$6,MATCH(Charts!$E62,Income!$C$6:$C$122,0)+0,MATCH(Charts!BH$3,Income!$C$5:$ET$5,0)-1)</f>
        <v>2.6436005625879042E-2</v>
      </c>
      <c r="BI63" s="1008">
        <f ca="1">OFFSET(Income!$C$6,MATCH(Charts!$E62,Income!$C$6:$C$122,0)+0,MATCH(Charts!BI$3,Income!$C$5:$ET$5,0)-1)</f>
        <v>2.7041394335511983E-2</v>
      </c>
      <c r="BJ63" s="1008">
        <f ca="1">OFFSET(Income!$C$6,MATCH(Charts!$E62,Income!$C$6:$C$122,0)+0,MATCH(Charts!BJ$3,Income!$C$5:$ET$5,0)-1)</f>
        <v>3.1277602523659305E-2</v>
      </c>
      <c r="BK63" s="1008">
        <f ca="1">OFFSET(Income!$C$6,MATCH(Charts!$E62,Income!$C$6:$C$122,0)+0,MATCH(Charts!BK$3,Income!$C$5:$ET$5,0)-1)</f>
        <v>3.2957019257605351E-2</v>
      </c>
      <c r="BL63" s="1008">
        <f ca="1">OFFSET(Income!$C$6,MATCH(Charts!$E62,Income!$C$6:$C$122,0)+0,MATCH(Charts!BL$3,Income!$C$5:$ET$5,0)-1)</f>
        <v>2.5436005625879041E-2</v>
      </c>
      <c r="BM63" s="1008">
        <f ca="1">OFFSET(Income!$C$6,MATCH(Charts!$E62,Income!$C$6:$C$122,0)+0,MATCH(Charts!BM$3,Income!$C$5:$ET$5,0)-1)</f>
        <v>2.6041394335511982E-2</v>
      </c>
      <c r="BN63" s="889"/>
      <c r="BO63" s="889"/>
      <c r="BP63" s="889"/>
      <c r="BQ63" s="889"/>
      <c r="BR63" s="889"/>
      <c r="BS63" s="889"/>
      <c r="BT63" s="889"/>
      <c r="BU63" s="889"/>
      <c r="BV63" s="889"/>
      <c r="BW63" s="889"/>
      <c r="BX63" s="889"/>
      <c r="BY63" s="889"/>
      <c r="BZ63" s="889"/>
      <c r="CA63" s="889"/>
      <c r="CB63" s="889"/>
      <c r="CC63" s="889"/>
      <c r="CD63" s="889"/>
      <c r="CE63" s="889"/>
      <c r="CF63" s="889"/>
      <c r="CG63" s="889"/>
      <c r="CH63" s="889"/>
      <c r="CI63" s="889"/>
      <c r="CJ63" s="889"/>
      <c r="CK63" s="889"/>
      <c r="CL63" s="889"/>
      <c r="CM63" s="889"/>
      <c r="CN63" s="889"/>
      <c r="CO63" s="889"/>
      <c r="CP63" s="889"/>
      <c r="CQ63" s="889"/>
      <c r="CR63" s="889"/>
      <c r="CS63" s="1028" t="str">
        <f t="shared" si="64"/>
        <v>% of revenue</v>
      </c>
      <c r="CT63" s="1008">
        <f ca="1">OFFSET(Income!$C$6,MATCH(Charts!$E62,Income!$C$6:$C$122,0)+0,MATCH(Charts!CT$4,Income!$C$4:$ET$4,0)-1)</f>
        <v>0.11072868774561426</v>
      </c>
      <c r="CU63" s="1008">
        <f ca="1">OFFSET(Income!$C$6,MATCH(Charts!$E62,Income!$C$6:$C$122,0)+0,MATCH(Charts!CU$4,Income!$C$4:$ET$4,0)-1)</f>
        <v>0.10057715385620761</v>
      </c>
      <c r="CV63" s="1008">
        <f ca="1">OFFSET(Income!$C$6,MATCH(Charts!$E62,Income!$C$6:$C$122,0)+0,MATCH(Charts!CV$4,Income!$C$4:$ET$4,0)-1)</f>
        <v>0.10011283705527901</v>
      </c>
      <c r="CW63" s="1008">
        <f ca="1">OFFSET(Income!$C$6,MATCH(Charts!$E62,Income!$C$6:$C$122,0)+0,MATCH(Charts!CW$4,Income!$C$4:$ET$4,0)-1)</f>
        <v>9.7432284039835934E-2</v>
      </c>
      <c r="CX63" s="1008">
        <f ca="1">OFFSET(Income!$C$6,MATCH(Charts!$E62,Income!$C$6:$C$122,0)+0,MATCH(Charts!CX$4,Income!$C$4:$ET$4,0)-1)</f>
        <v>8.37493612371569E-2</v>
      </c>
      <c r="CY63" s="1008">
        <f ca="1">OFFSET(Income!$C$6,MATCH(Charts!$E62,Income!$C$6:$C$122,0)+0,MATCH(Charts!CY$4,Income!$C$4:$ET$4,0)-1)</f>
        <v>8.1278340000208144E-2</v>
      </c>
      <c r="CZ63" s="1008">
        <f ca="1">OFFSET(Income!$C$6,MATCH(Charts!$E62,Income!$C$6:$C$122,0)+0,MATCH(Charts!CZ$4,Income!$C$4:$ET$4,0)-1)</f>
        <v>0.12638967660643188</v>
      </c>
      <c r="DA63" s="1008">
        <f ca="1">OFFSET(Income!$C$6,MATCH(Charts!$E62,Income!$C$6:$C$122,0)+0,MATCH(Charts!DA$4,Income!$C$4:$ET$4,0)-1)</f>
        <v>6.9546742209631723E-2</v>
      </c>
      <c r="DB63" s="1008">
        <f ca="1">OFFSET(Income!$C$6,MATCH(Charts!$E62,Income!$C$6:$C$122,0)+0,MATCH(Charts!DB$4,Income!$C$4:$ET$4,0)-1)</f>
        <v>4.6171171171171171E-2</v>
      </c>
      <c r="DC63" s="1008" t="e">
        <f ca="1">OFFSET(Income!$C$6,MATCH(Charts!$E62,Income!$C$6:$C$122,0)+0,MATCH(Charts!DC$4,Income!$C$4:$ET$4,0)-1)</f>
        <v>#N/A</v>
      </c>
      <c r="DD63" s="1008">
        <f ca="1">OFFSET(Income!$C$6,MATCH(Charts!$E62,Income!$C$6:$C$122,0)+0,MATCH(Charts!DD$4,Income!$C$4:$ET$4,0)-1)</f>
        <v>3.3613898449714665E-2</v>
      </c>
      <c r="DE63" s="1008">
        <f ca="1">OFFSET(Income!$C$6,MATCH(Charts!$E62,Income!$C$6:$C$122,0)+0,MATCH(Charts!DE$4,Income!$C$4:$ET$4,0)-1)</f>
        <v>3.1640275789565811E-2</v>
      </c>
      <c r="DF63" s="1008">
        <f ca="1">OFFSET(Income!$C$6,MATCH(Charts!$E62,Income!$C$6:$C$122,0)+0,MATCH(Charts!DF$4,Income!$C$4:$ET$4,0)-1)</f>
        <v>3.0642592589821143E-2</v>
      </c>
      <c r="DG63" s="1008">
        <f ca="1">OFFSET(Income!$C$6,MATCH(Charts!$E62,Income!$C$6:$C$122,0)+0,MATCH(Charts!DG$4,Income!$C$4:$ET$4,0)-1)</f>
        <v>2.9642184626431565E-2</v>
      </c>
      <c r="DH63" s="1008">
        <f ca="1">OFFSET(Income!$C$6,MATCH(Charts!$E62,Income!$C$6:$C$122,0)+0,MATCH(Charts!DH$4,Income!$C$4:$ET$4,0)-1)</f>
        <v>2.8642003496348649E-2</v>
      </c>
      <c r="DJ63" s="889"/>
      <c r="DK63" s="889"/>
      <c r="DL63" s="889"/>
      <c r="DM63" s="889"/>
      <c r="DN63" s="889"/>
      <c r="DO63" s="889"/>
      <c r="DP63" s="889"/>
      <c r="DQ63" s="889"/>
      <c r="DR63" s="889"/>
      <c r="DS63" s="889"/>
      <c r="DT63" s="889"/>
      <c r="DU63" s="889"/>
      <c r="DV63" s="889"/>
      <c r="DW63" s="889"/>
      <c r="DX63" s="889"/>
      <c r="DY63" s="889"/>
      <c r="DZ63" s="889"/>
      <c r="EA63" s="889"/>
      <c r="EB63" s="889"/>
      <c r="EC63" s="889"/>
      <c r="ED63" s="889"/>
    </row>
    <row r="64" spans="1:145">
      <c r="E64" s="13" t="str">
        <f>Income!C37</f>
        <v>Transaction and loan losses</v>
      </c>
      <c r="F64" s="1018">
        <f ca="1">-OFFSET(Income!$C$6,MATCH(Charts!$E64,Income!$C$6:$C$122,0)-1,MATCH(Charts!F$3,Income!$C$5:$ET$5,0)-1)</f>
        <v>0</v>
      </c>
      <c r="G64" s="1010">
        <f ca="1">-OFFSET(Income!$C$6,MATCH(Charts!$E64,Income!$C$6:$C$122,0)-1,MATCH(Charts!G$3,Income!$C$5:$ET$5,0)-1)</f>
        <v>0</v>
      </c>
      <c r="H64" s="1010">
        <f ca="1">-OFFSET(Income!$C$6,MATCH(Charts!$E64,Income!$C$6:$C$122,0)-1,MATCH(Charts!H$3,Income!$C$5:$ET$5,0)-1)</f>
        <v>0</v>
      </c>
      <c r="I64" s="1010">
        <f ca="1">-OFFSET(Income!$C$6,MATCH(Charts!$E64,Income!$C$6:$C$122,0)-1,MATCH(Charts!I$3,Income!$C$5:$ET$5,0)-1)</f>
        <v>0</v>
      </c>
      <c r="J64" s="1010">
        <f ca="1">-OFFSET(Income!$C$6,MATCH(Charts!$E64,Income!$C$6:$C$122,0)-1,MATCH(Charts!J$3,Income!$C$5:$ET$5,0)-1)</f>
        <v>0</v>
      </c>
      <c r="K64" s="1010">
        <f ca="1">-OFFSET(Income!$C$6,MATCH(Charts!$E64,Income!$C$6:$C$122,0)-1,MATCH(Charts!K$3,Income!$C$5:$ET$5,0)-1)</f>
        <v>0</v>
      </c>
      <c r="L64" s="1010">
        <f ca="1">-OFFSET(Income!$C$6,MATCH(Charts!$E64,Income!$C$6:$C$122,0)-1,MATCH(Charts!L$3,Income!$C$5:$ET$5,0)-1)</f>
        <v>0</v>
      </c>
      <c r="M64" s="1010">
        <f ca="1">-OFFSET(Income!$C$6,MATCH(Charts!$E64,Income!$C$6:$C$122,0)-1,MATCH(Charts!M$3,Income!$C$5:$ET$5,0)-1)</f>
        <v>0</v>
      </c>
      <c r="N64" s="1010">
        <f ca="1">-OFFSET(Income!$C$6,MATCH(Charts!$E64,Income!$C$6:$C$122,0)-1,MATCH(Charts!N$3,Income!$C$5:$ET$5,0)-1)</f>
        <v>0</v>
      </c>
      <c r="O64" s="1010">
        <f ca="1">-OFFSET(Income!$C$6,MATCH(Charts!$E64,Income!$C$6:$C$122,0)-1,MATCH(Charts!O$3,Income!$C$5:$ET$5,0)-1)</f>
        <v>0</v>
      </c>
      <c r="P64" s="1010">
        <f ca="1">-OFFSET(Income!$C$6,MATCH(Charts!$E64,Income!$C$6:$C$122,0)-1,MATCH(Charts!P$3,Income!$C$5:$ET$5,0)-1)</f>
        <v>0</v>
      </c>
      <c r="Q64" s="1010">
        <f ca="1">-OFFSET(Income!$C$6,MATCH(Charts!$E64,Income!$C$6:$C$122,0)-1,MATCH(Charts!Q$3,Income!$C$5:$ET$5,0)-1)</f>
        <v>0</v>
      </c>
      <c r="R64" s="1010">
        <f ca="1">-OFFSET(Income!$C$6,MATCH(Charts!$E64,Income!$C$6:$C$122,0)-1,MATCH(Charts!R$3,Income!$C$5:$ET$5,0)-1)</f>
        <v>4.4009999999999998</v>
      </c>
      <c r="S64" s="1010">
        <f ca="1">-OFFSET(Income!$C$6,MATCH(Charts!$E64,Income!$C$6:$C$122,0)-1,MATCH(Charts!S$3,Income!$C$5:$ET$5,0)-1)</f>
        <v>4.7329999999999997</v>
      </c>
      <c r="T64" s="1010">
        <f ca="1">-OFFSET(Income!$C$6,MATCH(Charts!$E64,Income!$C$6:$C$122,0)-1,MATCH(Charts!T$3,Income!$C$5:$ET$5,0)-1)</f>
        <v>7.399</v>
      </c>
      <c r="U64" s="1010">
        <f ca="1">-OFFSET(Income!$C$6,MATCH(Charts!$E64,Income!$C$6:$C$122,0)-1,MATCH(Charts!U$3,Income!$C$5:$ET$5,0)-1)</f>
        <v>8.6359999999999992</v>
      </c>
      <c r="V64" s="1010">
        <f ca="1">-OFFSET(Income!$C$6,MATCH(Charts!$E64,Income!$C$6:$C$122,0)-1,MATCH(Charts!V$3,Income!$C$5:$ET$5,0)-1)</f>
        <v>14.083</v>
      </c>
      <c r="W64" s="1010">
        <f ca="1">-OFFSET(Income!$C$6,MATCH(Charts!$E64,Income!$C$6:$C$122,0)-1,MATCH(Charts!W$3,Income!$C$5:$ET$5,0)-1)</f>
        <v>13.366</v>
      </c>
      <c r="X64" s="1010">
        <f ca="1">-OFFSET(Income!$C$6,MATCH(Charts!$E64,Income!$C$6:$C$122,0)-1,MATCH(Charts!X$3,Income!$C$5:$ET$5,0)-1)</f>
        <v>11.753</v>
      </c>
      <c r="Y64" s="1010">
        <f ca="1">-OFFSET(Income!$C$6,MATCH(Charts!$E64,Income!$C$6:$C$122,0)-1,MATCH(Charts!Y$3,Income!$C$5:$ET$5,0)-1)</f>
        <v>12.647</v>
      </c>
      <c r="Z64" s="1010">
        <f ca="1">-OFFSET(Income!$C$6,MATCH(Charts!$E64,Income!$C$6:$C$122,0)-1,MATCH(Charts!Z$3,Income!$C$5:$ET$5,0)-1)</f>
        <v>10.606</v>
      </c>
      <c r="AA64" s="1010">
        <f ca="1">-OFFSET(Income!$C$6,MATCH(Charts!$E64,Income!$C$6:$C$122,0)-1,MATCH(Charts!AA$3,Income!$C$5:$ET$5,0)-1)</f>
        <v>17.986000000000001</v>
      </c>
      <c r="AB64" s="1010">
        <f ca="1">-OFFSET(Income!$C$6,MATCH(Charts!$E64,Income!$C$6:$C$122,0)-1,MATCH(Charts!AB$3,Income!$C$5:$ET$5,0)-1)</f>
        <v>25.311</v>
      </c>
      <c r="AC64" s="1010">
        <f ca="1">-OFFSET(Income!$C$6,MATCH(Charts!$E64,Income!$C$6:$C$122,0)-1,MATCH(Charts!AC$3,Income!$C$5:$ET$5,0)-1)</f>
        <v>27.814</v>
      </c>
      <c r="AD64" s="1010">
        <f ca="1">-OFFSET(Income!$C$6,MATCH(Charts!$E64,Income!$C$6:$C$122,0)-1,MATCH(Charts!AD$3,Income!$C$5:$ET$5,0)-1)</f>
        <v>20.492999999999999</v>
      </c>
      <c r="AE64" s="1010">
        <f ca="1">-OFFSET(Income!$C$6,MATCH(Charts!$E64,Income!$C$6:$C$122,0)-1,MATCH(Charts!AE$3,Income!$C$5:$ET$5,0)-1)</f>
        <v>42.38</v>
      </c>
      <c r="AF64" s="1010">
        <f ca="1">-OFFSET(Income!$C$6,MATCH(Charts!$E64,Income!$C$6:$C$122,0)-1,MATCH(Charts!AF$3,Income!$C$5:$ET$5,0)-1)</f>
        <v>37.738</v>
      </c>
      <c r="AG64" s="1010">
        <f ca="1">-OFFSET(Income!$C$6,MATCH(Charts!$E64,Income!$C$6:$C$122,0)-1,MATCH(Charts!AG$3,Income!$C$5:$ET$5,0)-1)</f>
        <v>34.317999999999998</v>
      </c>
      <c r="AH64" s="1010">
        <f ca="1">-OFFSET(Income!$C$6,MATCH(Charts!$E64,Income!$C$6:$C$122,0)-1,MATCH(Charts!AH$3,Income!$C$5:$ET$5,0)-1)</f>
        <v>42</v>
      </c>
      <c r="AI64" s="1010">
        <f ca="1">-OFFSET(Income!$C$6,MATCH(Charts!$E64,Income!$C$6:$C$122,0)-1,MATCH(Charts!AI$3,Income!$C$5:$ET$5,0)-1)</f>
        <v>31</v>
      </c>
      <c r="AJ64" s="1010">
        <f ca="1">-OFFSET(Income!$C$6,MATCH(Charts!$E64,Income!$C$6:$C$122,0)-1,MATCH(Charts!AJ$3,Income!$C$5:$ET$5,0)-1)</f>
        <v>34</v>
      </c>
      <c r="AK64" s="1010">
        <f ca="1">-OFFSET(Income!$C$6,MATCH(Charts!$E64,Income!$C$6:$C$122,0)-1,MATCH(Charts!AK$3,Income!$C$5:$ET$5,0)-1)</f>
        <v>45</v>
      </c>
      <c r="AL64" s="1010">
        <f ca="1">-OFFSET(Income!$C$6,MATCH(Charts!$E64,Income!$C$6:$C$122,0)-1,MATCH(Charts!AL$3,Income!$C$5:$ET$5,0)-1)</f>
        <v>51</v>
      </c>
      <c r="AM64" s="1010">
        <f ca="1">-OFFSET(Income!$C$6,MATCH(Charts!$E64,Income!$C$6:$C$122,0)-1,MATCH(Charts!AM$3,Income!$C$5:$ET$5,0)-1)</f>
        <v>42</v>
      </c>
      <c r="AN64" s="1010">
        <f ca="1">-OFFSET(Income!$C$6,MATCH(Charts!$E64,Income!$C$6:$C$122,0)-1,MATCH(Charts!AN$3,Income!$C$5:$ET$5,0)-1)</f>
        <v>58</v>
      </c>
      <c r="AO64" s="1010">
        <f ca="1">-OFFSET(Income!$C$6,MATCH(Charts!$E64,Income!$C$6:$C$122,0)-1,MATCH(Charts!AO$3,Income!$C$5:$ET$5,0)-1)</f>
        <v>76</v>
      </c>
      <c r="AP64" s="1010">
        <f ca="1">-OFFSET(Income!$C$6,MATCH(Charts!$E64,Income!$C$6:$C$122,0)-1,MATCH(Charts!AP$3,Income!$C$5:$ET$5,0)-1)</f>
        <v>75</v>
      </c>
      <c r="AQ64" s="1010">
        <f ca="1">-OFFSET(Income!$C$6,MATCH(Charts!$E64,Income!$C$6:$C$122,0)-1,MATCH(Charts!AQ$3,Income!$C$5:$ET$5,0)-1)</f>
        <v>80</v>
      </c>
      <c r="AR64" s="1010">
        <f ca="1">-OFFSET(Income!$C$6,MATCH(Charts!$E64,Income!$C$6:$C$122,0)-1,MATCH(Charts!AR$3,Income!$C$5:$ET$5,0)-1)</f>
        <v>148</v>
      </c>
      <c r="AS64" s="1010">
        <f ca="1">-OFFSET(Income!$C$6,MATCH(Charts!$E64,Income!$C$6:$C$122,0)-1,MATCH(Charts!AS$3,Income!$C$5:$ET$5,0)-1)</f>
        <v>114</v>
      </c>
      <c r="AT64" s="1010">
        <f ca="1">-OFFSET(Income!$C$6,MATCH(Charts!$E64,Income!$C$6:$C$122,0)-1,MATCH(Charts!AT$3,Income!$C$5:$ET$5,0)-1)</f>
        <v>116</v>
      </c>
      <c r="AU64" s="1010">
        <f ca="1">-OFFSET(Income!$C$6,MATCH(Charts!$E64,Income!$C$6:$C$122,0)-1,MATCH(Charts!AU$3,Income!$C$5:$ET$5,0)-1)</f>
        <v>141</v>
      </c>
      <c r="AV64" s="1010">
        <f ca="1">-OFFSET(Income!$C$6,MATCH(Charts!$E64,Income!$C$6:$C$122,0)-1,MATCH(Charts!AV$3,Income!$C$5:$ET$5,0)-1)</f>
        <v>145.9554073019672</v>
      </c>
      <c r="AW64" s="1010">
        <f ca="1">-OFFSET(Income!$C$6,MATCH(Charts!$E64,Income!$C$6:$C$122,0)-1,MATCH(Charts!AW$3,Income!$C$5:$ET$5,0)-1)</f>
        <v>186.91499706630685</v>
      </c>
      <c r="AX64" s="1010">
        <f ca="1">-OFFSET(Income!$C$6,MATCH(Charts!$E64,Income!$C$6:$C$122,0)-1,MATCH(Charts!AX$3,Income!$C$5:$ET$5,0)-1)</f>
        <v>158.79211293781401</v>
      </c>
      <c r="AY64" s="1010">
        <f ca="1">-OFFSET(Income!$C$6,MATCH(Charts!$E64,Income!$C$6:$C$122,0)-1,MATCH(Charts!AY$3,Income!$C$5:$ET$5,0)-1)</f>
        <v>178.72901679237773</v>
      </c>
      <c r="AZ64" s="1010">
        <f ca="1">-OFFSET(Income!$C$6,MATCH(Charts!$E64,Income!$C$6:$C$122,0)-1,MATCH(Charts!AZ$3,Income!$C$5:$ET$5,0)-1)</f>
        <v>182.66154117926803</v>
      </c>
      <c r="BA64" s="1010">
        <f ca="1">-OFFSET(Income!$C$6,MATCH(Charts!$E64,Income!$C$6:$C$122,0)-1,MATCH(Charts!BA$3,Income!$C$5:$ET$5,0)-1)</f>
        <v>232.79902705997813</v>
      </c>
      <c r="BB64" s="1010">
        <f ca="1">-OFFSET(Income!$C$6,MATCH(Charts!$E64,Income!$C$6:$C$122,0)-1,MATCH(Charts!BB$3,Income!$C$5:$ET$5,0)-1)</f>
        <v>191.92631111387703</v>
      </c>
      <c r="BC64" s="1010">
        <f ca="1">-OFFSET(Income!$C$6,MATCH(Charts!$E64,Income!$C$6:$C$122,0)-1,MATCH(Charts!BC$3,Income!$C$5:$ET$5,0)-1)</f>
        <v>215.85035484270446</v>
      </c>
      <c r="BD64" s="1010">
        <f ca="1">-OFFSET(Income!$C$6,MATCH(Charts!$E64,Income!$C$6:$C$122,0)-1,MATCH(Charts!BD$3,Income!$C$5:$ET$5,0)-1)</f>
        <v>220.32299989065248</v>
      </c>
      <c r="BE64" s="1010">
        <f ca="1">-OFFSET(Income!$C$6,MATCH(Charts!$E64,Income!$C$6:$C$122,0)-1,MATCH(Charts!BE$3,Income!$C$5:$ET$5,0)-1)</f>
        <v>280.83726529412667</v>
      </c>
      <c r="BF64" s="1010">
        <f ca="1">-OFFSET(Income!$C$6,MATCH(Charts!$E64,Income!$C$6:$C$122,0)-1,MATCH(Charts!BF$3,Income!$C$5:$ET$5,0)-1)</f>
        <v>227.45172458117287</v>
      </c>
      <c r="BG64" s="1010">
        <f ca="1">-OFFSET(Income!$C$6,MATCH(Charts!$E64,Income!$C$6:$C$122,0)-1,MATCH(Charts!BG$3,Income!$C$5:$ET$5,0)-1)</f>
        <v>255.84465692281313</v>
      </c>
      <c r="BH64" s="1010">
        <f ca="1">-OFFSET(Income!$C$6,MATCH(Charts!$E64,Income!$C$6:$C$122,0)-1,MATCH(Charts!BH$3,Income!$C$5:$ET$5,0)-1)</f>
        <v>261.13069533539982</v>
      </c>
      <c r="BI64" s="1010">
        <f ca="1">-OFFSET(Income!$C$6,MATCH(Charts!$E64,Income!$C$6:$C$122,0)-1,MATCH(Charts!BI$3,Income!$C$5:$ET$5,0)-1)</f>
        <v>333.0241514849651</v>
      </c>
      <c r="BJ64" s="1010">
        <f ca="1">-OFFSET(Income!$C$6,MATCH(Charts!$E64,Income!$C$6:$C$122,0)-1,MATCH(Charts!BJ$3,Income!$C$5:$ET$5,0)-1)</f>
        <v>266.82738096934213</v>
      </c>
      <c r="BK64" s="1010">
        <f ca="1">-OFFSET(Income!$C$6,MATCH(Charts!$E64,Income!$C$6:$C$122,0)-1,MATCH(Charts!BK$3,Income!$C$5:$ET$5,0)-1)</f>
        <v>300.1414683774762</v>
      </c>
      <c r="BL64" s="1010">
        <f ca="1">-OFFSET(Income!$C$6,MATCH(Charts!$E64,Income!$C$6:$C$122,0)-1,MATCH(Charts!BL$3,Income!$C$5:$ET$5,0)-1)</f>
        <v>306.3622067197515</v>
      </c>
      <c r="BM64" s="1010">
        <f ca="1">-OFFSET(Income!$C$6,MATCH(Charts!$E64,Income!$C$6:$C$122,0)-1,MATCH(Charts!BM$3,Income!$C$5:$ET$5,0)-1)</f>
        <v>390.74251731673917</v>
      </c>
      <c r="BN64" s="889"/>
      <c r="BO64" s="889"/>
      <c r="BP64" s="889"/>
      <c r="BQ64" s="889"/>
      <c r="BR64" s="889"/>
      <c r="BS64" s="889"/>
      <c r="BT64" s="889"/>
      <c r="BU64" s="889"/>
      <c r="BV64" s="889"/>
      <c r="BW64" s="889"/>
      <c r="BX64" s="889"/>
      <c r="BY64" s="889"/>
      <c r="BZ64" s="889"/>
      <c r="CA64" s="889"/>
      <c r="CB64" s="889"/>
      <c r="CC64" s="889"/>
      <c r="CD64" s="889"/>
      <c r="CE64" s="889"/>
      <c r="CF64" s="889"/>
      <c r="CG64" s="889"/>
      <c r="CH64" s="889"/>
      <c r="CI64" s="889"/>
      <c r="CJ64" s="889"/>
      <c r="CK64" s="889"/>
      <c r="CL64" s="889"/>
      <c r="CM64" s="889"/>
      <c r="CN64" s="889"/>
      <c r="CO64" s="889"/>
      <c r="CP64" s="889"/>
      <c r="CQ64" s="889"/>
      <c r="CR64" s="889"/>
      <c r="CS64" s="1028" t="str">
        <f t="shared" si="64"/>
        <v>Transaction and loan losses</v>
      </c>
      <c r="CT64" s="1015">
        <f ca="1">-OFFSET(Income!$C$6,MATCH(Charts!$E64,Income!$C$6:$C$122,0)-1,MATCH(Charts!CT$4,Income!$C$4:$ET$4,0)-1)</f>
        <v>0</v>
      </c>
      <c r="CU64" s="1015">
        <f ca="1">-OFFSET(Income!$C$6,MATCH(Charts!$E64,Income!$C$6:$C$122,0)-1,MATCH(Charts!CU$4,Income!$C$4:$ET$4,0)-1)</f>
        <v>0</v>
      </c>
      <c r="CV64" s="1015">
        <f ca="1">-OFFSET(Income!$C$6,MATCH(Charts!$E64,Income!$C$6:$C$122,0)-1,MATCH(Charts!CV$4,Income!$C$4:$ET$4,0)-1)</f>
        <v>0</v>
      </c>
      <c r="CW64" s="1015">
        <f ca="1">-OFFSET(Income!$C$6,MATCH(Charts!$E64,Income!$C$6:$C$122,0)-1,MATCH(Charts!CW$4,Income!$C$4:$ET$4,0)-1)</f>
        <v>25.169</v>
      </c>
      <c r="CX64" s="1015">
        <f ca="1">-OFFSET(Income!$C$6,MATCH(Charts!$E64,Income!$C$6:$C$122,0)-1,MATCH(Charts!CX$4,Income!$C$4:$ET$4,0)-1)</f>
        <v>51.848999999999997</v>
      </c>
      <c r="CY64" s="1015">
        <f ca="1">-OFFSET(Income!$C$6,MATCH(Charts!$E64,Income!$C$6:$C$122,0)-1,MATCH(Charts!CY$4,Income!$C$4:$ET$4,0)-1)</f>
        <v>81.716999999999999</v>
      </c>
      <c r="CZ64" s="1015">
        <f ca="1">-OFFSET(Income!$C$6,MATCH(Charts!$E64,Income!$C$6:$C$122,0)-1,MATCH(Charts!CZ$4,Income!$C$4:$ET$4,0)-1)</f>
        <v>134.929</v>
      </c>
      <c r="DA64" s="1015">
        <f ca="1">-OFFSET(Income!$C$6,MATCH(Charts!$E64,Income!$C$6:$C$122,0)-1,MATCH(Charts!DA$4,Income!$C$4:$ET$4,0)-1)</f>
        <v>152</v>
      </c>
      <c r="DB64" s="1015">
        <f ca="1">-OFFSET(Income!$C$6,MATCH(Charts!$E64,Income!$C$6:$C$122,0)-1,MATCH(Charts!DB$4,Income!$C$4:$ET$4,0)-1)</f>
        <v>227</v>
      </c>
      <c r="DC64" s="1015" t="e">
        <f ca="1">-OFFSET(Income!$C$6,MATCH(Charts!$E64,Income!$C$6:$C$122,0)-1,MATCH(Charts!DC$4,Income!$C$4:$ET$4,0)-1)</f>
        <v>#N/A</v>
      </c>
      <c r="DD64" s="1015">
        <f ca="1">-OFFSET(Income!$C$6,MATCH(Charts!$E64,Income!$C$6:$C$122,0)-1,MATCH(Charts!DD$4,Income!$C$4:$ET$4,0)-1)</f>
        <v>589.87040436827397</v>
      </c>
      <c r="DE64" s="1015">
        <f ca="1">-OFFSET(Income!$C$6,MATCH(Charts!$E64,Income!$C$6:$C$122,0)-1,MATCH(Charts!DE$4,Income!$C$4:$ET$4,0)-1)</f>
        <v>752.98169796943796</v>
      </c>
      <c r="DF64" s="1015">
        <f ca="1">-OFFSET(Income!$C$6,MATCH(Charts!$E64,Income!$C$6:$C$122,0)-1,MATCH(Charts!DF$4,Income!$C$4:$ET$4,0)-1)</f>
        <v>908.93693114136067</v>
      </c>
      <c r="DG64" s="1015">
        <f ca="1">-OFFSET(Income!$C$6,MATCH(Charts!$E64,Income!$C$6:$C$122,0)-1,MATCH(Charts!DG$4,Income!$C$4:$ET$4,0)-1)</f>
        <v>1077.451228324351</v>
      </c>
      <c r="DH64" s="1015">
        <f ca="1">-OFFSET(Income!$C$6,MATCH(Charts!$E64,Income!$C$6:$C$122,0)-1,MATCH(Charts!DH$4,Income!$C$4:$ET$4,0)-1)</f>
        <v>1264.0735733833089</v>
      </c>
    </row>
    <row r="65" spans="2:112">
      <c r="E65" s="671" t="s">
        <v>189</v>
      </c>
      <c r="F65" s="1019">
        <f ca="1">OFFSET(Income!$C$6,MATCH(Charts!$E64,Income!$C$6:$C$122,0)+0,MATCH(Charts!F$3,Income!$C$5:$ET$5,0)-1)</f>
        <v>0</v>
      </c>
      <c r="G65" s="1008">
        <f ca="1">OFFSET(Income!$C$6,MATCH(Charts!$E64,Income!$C$6:$C$122,0)+0,MATCH(Charts!G$3,Income!$C$5:$ET$5,0)-1)</f>
        <v>0</v>
      </c>
      <c r="H65" s="1008">
        <f ca="1">OFFSET(Income!$C$6,MATCH(Charts!$E64,Income!$C$6:$C$122,0)+0,MATCH(Charts!H$3,Income!$C$5:$ET$5,0)-1)</f>
        <v>0</v>
      </c>
      <c r="I65" s="1008">
        <f ca="1">OFFSET(Income!$C$6,MATCH(Charts!$E64,Income!$C$6:$C$122,0)+0,MATCH(Charts!I$3,Income!$C$5:$ET$5,0)-1)</f>
        <v>0</v>
      </c>
      <c r="J65" s="1008">
        <f ca="1">OFFSET(Income!$C$6,MATCH(Charts!$E64,Income!$C$6:$C$122,0)+0,MATCH(Charts!J$3,Income!$C$5:$ET$5,0)-1)</f>
        <v>0</v>
      </c>
      <c r="K65" s="1008">
        <f ca="1">OFFSET(Income!$C$6,MATCH(Charts!$E64,Income!$C$6:$C$122,0)+0,MATCH(Charts!K$3,Income!$C$5:$ET$5,0)-1)</f>
        <v>0</v>
      </c>
      <c r="L65" s="1008">
        <f ca="1">OFFSET(Income!$C$6,MATCH(Charts!$E64,Income!$C$6:$C$122,0)+0,MATCH(Charts!L$3,Income!$C$5:$ET$5,0)-1)</f>
        <v>0</v>
      </c>
      <c r="M65" s="1008">
        <f ca="1">OFFSET(Income!$C$6,MATCH(Charts!$E64,Income!$C$6:$C$122,0)+0,MATCH(Charts!M$3,Income!$C$5:$ET$5,0)-1)</f>
        <v>0</v>
      </c>
      <c r="N65" s="1008">
        <f ca="1">OFFSET(Income!$C$6,MATCH(Charts!$E64,Income!$C$6:$C$122,0)+0,MATCH(Charts!N$3,Income!$C$5:$ET$5,0)-1)</f>
        <v>0</v>
      </c>
      <c r="O65" s="1008">
        <f ca="1">OFFSET(Income!$C$6,MATCH(Charts!$E64,Income!$C$6:$C$122,0)+0,MATCH(Charts!O$3,Income!$C$5:$ET$5,0)-1)</f>
        <v>0</v>
      </c>
      <c r="P65" s="1008">
        <f ca="1">OFFSET(Income!$C$6,MATCH(Charts!$E64,Income!$C$6:$C$122,0)+0,MATCH(Charts!P$3,Income!$C$5:$ET$5,0)-1)</f>
        <v>0</v>
      </c>
      <c r="Q65" s="1008">
        <f ca="1">OFFSET(Income!$C$6,MATCH(Charts!$E64,Income!$C$6:$C$122,0)+0,MATCH(Charts!Q$3,Income!$C$5:$ET$5,0)-1)</f>
        <v>0</v>
      </c>
      <c r="R65" s="1008">
        <f ca="1">OFFSET(Income!$C$6,MATCH(Charts!$E64,Income!$C$6:$C$122,0)+0,MATCH(Charts!R$3,Income!$C$5:$ET$5,0)-1)</f>
        <v>1.3732440511479585E-2</v>
      </c>
      <c r="S65" s="1008">
        <f ca="1">OFFSET(Income!$C$6,MATCH(Charts!$E64,Income!$C$6:$C$122,0)+0,MATCH(Charts!S$3,Income!$C$5:$ET$5,0)-1)</f>
        <v>1.3075344149798745E-2</v>
      </c>
      <c r="T65" s="1008">
        <f ca="1">OFFSET(Income!$C$6,MATCH(Charts!$E64,Income!$C$6:$C$122,0)+0,MATCH(Charts!T$3,Income!$C$5:$ET$5,0)-1)</f>
        <v>1.8944980437944244E-2</v>
      </c>
      <c r="U65" s="1008">
        <f ca="1">OFFSET(Income!$C$6,MATCH(Charts!$E64,Income!$C$6:$C$122,0)+0,MATCH(Charts!U$3,Income!$C$5:$ET$5,0)-1)</f>
        <v>1.7095573679626254E-2</v>
      </c>
      <c r="V65" s="1008">
        <f ca="1">OFFSET(Income!$C$6,MATCH(Charts!$E64,Income!$C$6:$C$122,0)+0,MATCH(Charts!V$3,Income!$C$5:$ET$5,0)-1)</f>
        <v>2.9963766034540353E-2</v>
      </c>
      <c r="W65" s="1008">
        <f ca="1">OFFSET(Income!$C$6,MATCH(Charts!$E64,Income!$C$6:$C$122,0)+0,MATCH(Charts!W$3,Income!$C$5:$ET$5,0)-1)</f>
        <v>1.8710951772332819E-2</v>
      </c>
      <c r="X65" s="1008">
        <f ca="1">OFFSET(Income!$C$6,MATCH(Charts!$E64,Income!$C$6:$C$122,0)+0,MATCH(Charts!X$3,Income!$C$5:$ET$5,0)-1)</f>
        <v>1.5315250747649547E-2</v>
      </c>
      <c r="Y65" s="1008">
        <f ca="1">OFFSET(Income!$C$6,MATCH(Charts!$E64,Income!$C$6:$C$122,0)+0,MATCH(Charts!Y$3,Income!$C$5:$ET$5,0)-1)</f>
        <v>1.29348786594446E-2</v>
      </c>
      <c r="Z65" s="1008">
        <f ca="1">OFFSET(Income!$C$6,MATCH(Charts!$E64,Income!$C$6:$C$122,0)+0,MATCH(Charts!Z$3,Income!$C$5:$ET$5,0)-1)</f>
        <v>1.0727792629725272E-2</v>
      </c>
      <c r="AA65" s="1008">
        <f ca="1">OFFSET(Income!$C$6,MATCH(Charts!$E64,Income!$C$6:$C$122,0)+0,MATCH(Charts!AA$3,Income!$C$5:$ET$5,0)-1)</f>
        <v>1.6066890289384472E-2</v>
      </c>
      <c r="AB65" s="1008">
        <f ca="1">OFFSET(Income!$C$6,MATCH(Charts!$E64,Income!$C$6:$C$122,0)+0,MATCH(Charts!AB$3,Income!$C$5:$ET$5,0)-1)</f>
        <v>2.252389342730525E-2</v>
      </c>
      <c r="AC65" s="1008">
        <f ca="1">OFFSET(Income!$C$6,MATCH(Charts!$E64,Income!$C$6:$C$122,0)+0,MATCH(Charts!AC$3,Income!$C$5:$ET$5,0)-1)</f>
        <v>2.0154721946864691E-2</v>
      </c>
      <c r="AD65" s="1008">
        <f ca="1">OFFSET(Income!$C$6,MATCH(Charts!$E64,Income!$C$6:$C$122,0)+0,MATCH(Charts!AD$3,Income!$C$5:$ET$5,0)-1)</f>
        <v>1.7026095380364117E-2</v>
      </c>
      <c r="AE65" s="1008">
        <f ca="1">OFFSET(Income!$C$6,MATCH(Charts!$E64,Income!$C$6:$C$122,0)+0,MATCH(Charts!AE$3,Income!$C$5:$ET$5,0)-1)</f>
        <v>3.2724276734027613E-2</v>
      </c>
      <c r="AF65" s="1008">
        <f ca="1">OFFSET(Income!$C$6,MATCH(Charts!$E64,Income!$C$6:$C$122,0)+0,MATCH(Charts!AF$3,Income!$C$5:$ET$5,0)-1)</f>
        <v>2.7622602839994143E-2</v>
      </c>
      <c r="AG65" s="1008">
        <f ca="1">OFFSET(Income!$C$6,MATCH(Charts!$E64,Income!$C$6:$C$122,0)+0,MATCH(Charts!AG$3,Income!$C$5:$ET$5,0)-1)</f>
        <v>1.9780077903005108E-2</v>
      </c>
      <c r="AH65" s="1008">
        <f ca="1">OFFSET(Income!$C$6,MATCH(Charts!$E64,Income!$C$6:$C$122,0)+0,MATCH(Charts!AH$3,Income!$C$5:$ET$5,0)-1)</f>
        <v>2.7851458885941646E-2</v>
      </c>
      <c r="AI65" s="1008">
        <f ca="1">OFFSET(Income!$C$6,MATCH(Charts!$E64,Income!$C$6:$C$122,0)+0,MATCH(Charts!AI$3,Income!$C$5:$ET$5,0)-1)</f>
        <v>1.8299881936245571E-2</v>
      </c>
      <c r="AJ65" s="1008">
        <f ca="1">OFFSET(Income!$C$6,MATCH(Charts!$E64,Income!$C$6:$C$122,0)+0,MATCH(Charts!AJ$3,Income!$C$5:$ET$5,0)-1)</f>
        <v>1.9836639439906652E-2</v>
      </c>
      <c r="AK65" s="1008">
        <f ca="1">OFFSET(Income!$C$6,MATCH(Charts!$E64,Income!$C$6:$C$122,0)+0,MATCH(Charts!AK$3,Income!$C$5:$ET$5,0)-1)</f>
        <v>2.0988805970149255E-2</v>
      </c>
      <c r="AL65" s="1008">
        <f ca="1">OFFSET(Income!$C$6,MATCH(Charts!$E64,Income!$C$6:$C$122,0)+0,MATCH(Charts!AL$3,Income!$C$5:$ET$5,0)-1)</f>
        <v>2.7404621171413217E-2</v>
      </c>
      <c r="AM65" s="1008">
        <f ca="1">OFFSET(Income!$C$6,MATCH(Charts!$E64,Income!$C$6:$C$122,0)+0,MATCH(Charts!AM$3,Income!$C$5:$ET$5,0)-1)</f>
        <v>2.0537897310513448E-2</v>
      </c>
      <c r="AN65" s="1008">
        <f ca="1">OFFSET(Income!$C$6,MATCH(Charts!$E64,Income!$C$6:$C$122,0)+0,MATCH(Charts!AN$3,Income!$C$5:$ET$5,0)-1)</f>
        <v>2.6827012025901941E-2</v>
      </c>
      <c r="AO65" s="1008">
        <f ca="1">OFFSET(Income!$C$6,MATCH(Charts!$E64,Income!$C$6:$C$122,0)+0,MATCH(Charts!AO$3,Income!$C$5:$ET$5,0)-1)</f>
        <v>2.7027027027027029E-2</v>
      </c>
      <c r="AP65" s="1008">
        <f ca="1">OFFSET(Income!$C$6,MATCH(Charts!$E64,Income!$C$6:$C$122,0)+0,MATCH(Charts!AP$3,Income!$C$5:$ET$5,0)-1)</f>
        <v>3.1779661016949151E-2</v>
      </c>
      <c r="AQ65" s="1008">
        <f ca="1">OFFSET(Income!$C$6,MATCH(Charts!$E64,Income!$C$6:$C$122,0)+0,MATCH(Charts!AQ$3,Income!$C$5:$ET$5,0)-1)</f>
        <v>2.9850746268656716E-2</v>
      </c>
      <c r="AR65" s="1008">
        <f ca="1">OFFSET(Income!$C$6,MATCH(Charts!$E64,Income!$C$6:$C$122,0)+0,MATCH(Charts!AR$3,Income!$C$5:$ET$5,0)-1)</f>
        <v>5.2039381153305204E-2</v>
      </c>
      <c r="AS65" s="1008">
        <f ca="1">OFFSET(Income!$C$6,MATCH(Charts!$E64,Income!$C$6:$C$122,0)+0,MATCH(Charts!AS$3,Income!$C$5:$ET$5,0)-1)</f>
        <v>3.1045751633986929E-2</v>
      </c>
      <c r="AT65" s="1008">
        <f ca="1">OFFSET(Income!$C$6,MATCH(Charts!$E64,Income!$C$6:$C$122,0)+0,MATCH(Charts!AT$3,Income!$C$5:$ET$5,0)-1)</f>
        <v>3.659305993690852E-2</v>
      </c>
      <c r="AU65" s="1008">
        <f ca="1">OFFSET(Income!$C$6,MATCH(Charts!$E64,Income!$C$6:$C$122,0)+0,MATCH(Charts!AU$3,Income!$C$5:$ET$5,0)-1)</f>
        <v>3.9352497906782025E-2</v>
      </c>
      <c r="AV65" s="1008">
        <f ca="1">OFFSET(Income!$C$6,MATCH(Charts!$E64,Income!$C$6:$C$122,0)+0,MATCH(Charts!AV$3,Income!$C$5:$ET$5,0)-1)</f>
        <v>3.9352497906782025E-2</v>
      </c>
      <c r="AW65" s="1008">
        <f ca="1">OFFSET(Income!$C$6,MATCH(Charts!$E64,Income!$C$6:$C$122,0)+0,MATCH(Charts!AW$3,Income!$C$5:$ET$5,0)-1)</f>
        <v>3.9352497906782025E-2</v>
      </c>
      <c r="AX65" s="1008">
        <f ca="1">OFFSET(Income!$C$6,MATCH(Charts!$E64,Income!$C$6:$C$122,0)+0,MATCH(Charts!AX$3,Income!$C$5:$ET$5,0)-1)</f>
        <v>3.9352497906782025E-2</v>
      </c>
      <c r="AY65" s="1008">
        <f ca="1">OFFSET(Income!$C$6,MATCH(Charts!$E64,Income!$C$6:$C$122,0)+0,MATCH(Charts!AY$3,Income!$C$5:$ET$5,0)-1)</f>
        <v>3.9352497906782025E-2</v>
      </c>
      <c r="AZ65" s="1008">
        <f ca="1">OFFSET(Income!$C$6,MATCH(Charts!$E64,Income!$C$6:$C$122,0)+0,MATCH(Charts!AZ$3,Income!$C$5:$ET$5,0)-1)</f>
        <v>3.9352497906782025E-2</v>
      </c>
      <c r="BA65" s="1008">
        <f ca="1">OFFSET(Income!$C$6,MATCH(Charts!$E64,Income!$C$6:$C$122,0)+0,MATCH(Charts!BA$3,Income!$C$5:$ET$5,0)-1)</f>
        <v>3.9352497906782025E-2</v>
      </c>
      <c r="BB65" s="1008">
        <f ca="1">OFFSET(Income!$C$6,MATCH(Charts!$E64,Income!$C$6:$C$122,0)+0,MATCH(Charts!BB$3,Income!$C$5:$ET$5,0)-1)</f>
        <v>3.9352497906782025E-2</v>
      </c>
      <c r="BC65" s="1008">
        <f ca="1">OFFSET(Income!$C$6,MATCH(Charts!$E64,Income!$C$6:$C$122,0)+0,MATCH(Charts!BC$3,Income!$C$5:$ET$5,0)-1)</f>
        <v>3.9352497906782025E-2</v>
      </c>
      <c r="BD65" s="1008">
        <f ca="1">OFFSET(Income!$C$6,MATCH(Charts!$E64,Income!$C$6:$C$122,0)+0,MATCH(Charts!BD$3,Income!$C$5:$ET$5,0)-1)</f>
        <v>3.9352497906782025E-2</v>
      </c>
      <c r="BE65" s="1008">
        <f ca="1">OFFSET(Income!$C$6,MATCH(Charts!$E64,Income!$C$6:$C$122,0)+0,MATCH(Charts!BE$3,Income!$C$5:$ET$5,0)-1)</f>
        <v>3.9352497906782025E-2</v>
      </c>
      <c r="BF65" s="1008">
        <f ca="1">OFFSET(Income!$C$6,MATCH(Charts!$E64,Income!$C$6:$C$122,0)+0,MATCH(Charts!BF$3,Income!$C$5:$ET$5,0)-1)</f>
        <v>3.9352497906782025E-2</v>
      </c>
      <c r="BG65" s="1008">
        <f ca="1">OFFSET(Income!$C$6,MATCH(Charts!$E64,Income!$C$6:$C$122,0)+0,MATCH(Charts!BG$3,Income!$C$5:$ET$5,0)-1)</f>
        <v>3.9352497906782025E-2</v>
      </c>
      <c r="BH65" s="1008">
        <f ca="1">OFFSET(Income!$C$6,MATCH(Charts!$E64,Income!$C$6:$C$122,0)+0,MATCH(Charts!BH$3,Income!$C$5:$ET$5,0)-1)</f>
        <v>3.9352497906782025E-2</v>
      </c>
      <c r="BI65" s="1008">
        <f ca="1">OFFSET(Income!$C$6,MATCH(Charts!$E64,Income!$C$6:$C$122,0)+0,MATCH(Charts!BI$3,Income!$C$5:$ET$5,0)-1)</f>
        <v>3.9352497906782025E-2</v>
      </c>
      <c r="BJ65" s="1008">
        <f ca="1">OFFSET(Income!$C$6,MATCH(Charts!$E64,Income!$C$6:$C$122,0)+0,MATCH(Charts!BJ$3,Income!$C$5:$ET$5,0)-1)</f>
        <v>3.9352497906782025E-2</v>
      </c>
      <c r="BK65" s="1008">
        <f ca="1">OFFSET(Income!$C$6,MATCH(Charts!$E64,Income!$C$6:$C$122,0)+0,MATCH(Charts!BK$3,Income!$C$5:$ET$5,0)-1)</f>
        <v>3.9352497906782025E-2</v>
      </c>
      <c r="BL65" s="1008">
        <f ca="1">OFFSET(Income!$C$6,MATCH(Charts!$E64,Income!$C$6:$C$122,0)+0,MATCH(Charts!BL$3,Income!$C$5:$ET$5,0)-1)</f>
        <v>3.9352497906782025E-2</v>
      </c>
      <c r="BM65" s="1008">
        <f ca="1">OFFSET(Income!$C$6,MATCH(Charts!$E64,Income!$C$6:$C$122,0)+0,MATCH(Charts!BM$3,Income!$C$5:$ET$5,0)-1)</f>
        <v>3.9352497906782025E-2</v>
      </c>
      <c r="BN65" s="889"/>
      <c r="BO65" s="889"/>
      <c r="BP65" s="889"/>
      <c r="BQ65" s="889"/>
      <c r="BR65" s="889"/>
      <c r="BS65" s="889"/>
      <c r="BT65" s="889"/>
      <c r="BU65" s="889"/>
      <c r="BV65" s="889"/>
      <c r="BW65" s="889"/>
      <c r="BX65" s="889"/>
      <c r="BY65" s="889"/>
      <c r="BZ65" s="889"/>
      <c r="CA65" s="889"/>
      <c r="CB65" s="889"/>
      <c r="CC65" s="889"/>
      <c r="CD65" s="889"/>
      <c r="CE65" s="889"/>
      <c r="CF65" s="889"/>
      <c r="CG65" s="889"/>
      <c r="CH65" s="889"/>
      <c r="CI65" s="889"/>
      <c r="CJ65" s="889"/>
      <c r="CK65" s="889"/>
      <c r="CL65" s="889"/>
      <c r="CM65" s="889"/>
      <c r="CN65" s="889"/>
      <c r="CO65" s="889"/>
      <c r="CP65" s="889"/>
      <c r="CQ65" s="889"/>
      <c r="CR65" s="889"/>
      <c r="CS65" s="1028" t="str">
        <f t="shared" si="64"/>
        <v>% of revenue</v>
      </c>
      <c r="CT65" s="1008">
        <f ca="1">OFFSET(Income!$C$6,MATCH(Charts!$E64,Income!$C$6:$C$122,0)+0,MATCH(Charts!CT$4,Income!$C$4:$ET$4,0)-1)</f>
        <v>0</v>
      </c>
      <c r="CU65" s="1008">
        <f ca="1">OFFSET(Income!$C$6,MATCH(Charts!$E64,Income!$C$6:$C$122,0)+0,MATCH(Charts!CU$4,Income!$C$4:$ET$4,0)-1)</f>
        <v>0</v>
      </c>
      <c r="CV65" s="1008">
        <f ca="1">OFFSET(Income!$C$6,MATCH(Charts!$E64,Income!$C$6:$C$122,0)+0,MATCH(Charts!CV$4,Income!$C$4:$ET$4,0)-1)</f>
        <v>0</v>
      </c>
      <c r="CW65" s="1008">
        <f ca="1">OFFSET(Income!$C$6,MATCH(Charts!$E64,Income!$C$6:$C$122,0)+0,MATCH(Charts!CW$4,Income!$C$4:$ET$4,0)-1)</f>
        <v>1.5948188189761198E-2</v>
      </c>
      <c r="CX65" s="1008">
        <f ca="1">OFFSET(Income!$C$6,MATCH(Charts!$E64,Income!$C$6:$C$122,0)+0,MATCH(Charts!CX$4,Income!$C$4:$ET$4,0)-1)</f>
        <v>1.7698979105926591E-2</v>
      </c>
      <c r="CY65" s="1008">
        <f ca="1">OFFSET(Income!$C$6,MATCH(Charts!$E64,Income!$C$6:$C$122,0)+0,MATCH(Charts!CY$4,Income!$C$4:$ET$4,0)-1)</f>
        <v>1.7718896687147215E-2</v>
      </c>
      <c r="CZ65" s="1008">
        <f ca="1">OFFSET(Income!$C$6,MATCH(Charts!$E64,Income!$C$6:$C$122,0)+0,MATCH(Charts!CZ$4,Income!$C$4:$ET$4,0)-1)</f>
        <v>2.4095049451200955E-2</v>
      </c>
      <c r="DA65" s="1008">
        <f ca="1">OFFSET(Income!$C$6,MATCH(Charts!$E64,Income!$C$6:$C$122,0)+0,MATCH(Charts!DA$4,Income!$C$4:$ET$4,0)-1)</f>
        <v>2.1529745042492918E-2</v>
      </c>
      <c r="DB65" s="1008">
        <f ca="1">OFFSET(Income!$C$6,MATCH(Charts!$E64,Income!$C$6:$C$122,0)+0,MATCH(Charts!DB$4,Income!$C$4:$ET$4,0)-1)</f>
        <v>2.5563063063063062E-2</v>
      </c>
      <c r="DC65" s="1008" t="e">
        <f ca="1">OFFSET(Income!$C$6,MATCH(Charts!$E64,Income!$C$6:$C$122,0)+0,MATCH(Charts!DC$4,Income!$C$4:$ET$4,0)-1)</f>
        <v>#N/A</v>
      </c>
      <c r="DD65" s="1008">
        <f ca="1">OFFSET(Income!$C$6,MATCH(Charts!$E64,Income!$C$6:$C$122,0)+0,MATCH(Charts!DD$4,Income!$C$4:$ET$4,0)-1)</f>
        <v>3.8777451942886017E-2</v>
      </c>
      <c r="DE65" s="1008">
        <f ca="1">OFFSET(Income!$C$6,MATCH(Charts!$E64,Income!$C$6:$C$122,0)+0,MATCH(Charts!DE$4,Income!$C$4:$ET$4,0)-1)</f>
        <v>3.9352497906782032E-2</v>
      </c>
      <c r="DF65" s="1008">
        <f ca="1">OFFSET(Income!$C$6,MATCH(Charts!$E64,Income!$C$6:$C$122,0)+0,MATCH(Charts!DF$4,Income!$C$4:$ET$4,0)-1)</f>
        <v>3.9352497906782025E-2</v>
      </c>
      <c r="DG65" s="1008">
        <f ca="1">OFFSET(Income!$C$6,MATCH(Charts!$E64,Income!$C$6:$C$122,0)+0,MATCH(Charts!DG$4,Income!$C$4:$ET$4,0)-1)</f>
        <v>3.9352497906782025E-2</v>
      </c>
      <c r="DH65" s="1008">
        <f ca="1">OFFSET(Income!$C$6,MATCH(Charts!$E64,Income!$C$6:$C$122,0)+0,MATCH(Charts!DH$4,Income!$C$4:$ET$4,0)-1)</f>
        <v>3.9352497906782025E-2</v>
      </c>
    </row>
    <row r="66" spans="2:112">
      <c r="E66" s="13" t="str">
        <f>Income!C41</f>
        <v>Total operating costs</v>
      </c>
      <c r="F66" s="1018">
        <f ca="1">-OFFSET(Income!$C$6,MATCH(Charts!$E66,Income!$C$6:$C$122,0)-1,MATCH(Charts!F$3,Income!$C$5:$ET$5,0)-1)</f>
        <v>49.796999999999997</v>
      </c>
      <c r="G66" s="1010">
        <f ca="1">-OFFSET(Income!$C$6,MATCH(Charts!$E66,Income!$C$6:$C$122,0)-1,MATCH(Charts!G$3,Income!$C$5:$ET$5,0)-1)</f>
        <v>56.181999999999995</v>
      </c>
      <c r="H66" s="1010">
        <f ca="1">-OFFSET(Income!$C$6,MATCH(Charts!$E66,Income!$C$6:$C$122,0)-1,MATCH(Charts!H$3,Income!$C$5:$ET$5,0)-1)</f>
        <v>63.241000000000007</v>
      </c>
      <c r="I66" s="1010">
        <f ca="1">-OFFSET(Income!$C$6,MATCH(Charts!$E66,Income!$C$6:$C$122,0)-1,MATCH(Charts!I$3,Income!$C$5:$ET$5,0)-1)</f>
        <v>77.44</v>
      </c>
      <c r="J66" s="1010">
        <f ca="1">-OFFSET(Income!$C$6,MATCH(Charts!$E66,Income!$C$6:$C$122,0)-1,MATCH(Charts!J$3,Income!$C$5:$ET$5,0)-1)</f>
        <v>86.701999999999998</v>
      </c>
      <c r="K66" s="1010">
        <f ca="1">-OFFSET(Income!$C$6,MATCH(Charts!$E66,Income!$C$6:$C$122,0)-1,MATCH(Charts!K$3,Income!$C$5:$ET$5,0)-1)</f>
        <v>102.747</v>
      </c>
      <c r="L66" s="1010">
        <f ca="1">-OFFSET(Income!$C$6,MATCH(Charts!$E66,Income!$C$6:$C$122,0)-1,MATCH(Charts!L$3,Income!$C$5:$ET$5,0)-1)</f>
        <v>112.703</v>
      </c>
      <c r="M66" s="1010">
        <f ca="1">-OFFSET(Income!$C$6,MATCH(Charts!$E66,Income!$C$6:$C$122,0)-1,MATCH(Charts!M$3,Income!$C$5:$ET$5,0)-1)</f>
        <v>127.25800000000001</v>
      </c>
      <c r="N66" s="1010">
        <f ca="1">-OFFSET(Income!$C$6,MATCH(Charts!$E66,Income!$C$6:$C$122,0)-1,MATCH(Charts!N$3,Income!$C$5:$ET$5,0)-1)</f>
        <v>144.17500000000001</v>
      </c>
      <c r="O66" s="1010">
        <f ca="1">-OFFSET(Income!$C$6,MATCH(Charts!$E66,Income!$C$6:$C$122,0)-1,MATCH(Charts!O$3,Income!$C$5:$ET$5,0)-1)</f>
        <v>167.71600000000001</v>
      </c>
      <c r="P66" s="1010">
        <f ca="1">-OFFSET(Income!$C$6,MATCH(Charts!$E66,Income!$C$6:$C$122,0)-1,MATCH(Charts!P$3,Income!$C$5:$ET$5,0)-1)</f>
        <v>181.095</v>
      </c>
      <c r="Q66" s="1010">
        <f ca="1">-OFFSET(Income!$C$6,MATCH(Charts!$E66,Income!$C$6:$C$122,0)-1,MATCH(Charts!Q$3,Income!$C$5:$ET$5,0)-1)</f>
        <v>195.20100000000002</v>
      </c>
      <c r="R66" s="1010">
        <f ca="1">-OFFSET(Income!$C$6,MATCH(Charts!$E66,Income!$C$6:$C$122,0)-1,MATCH(Charts!R$3,Income!$C$5:$ET$5,0)-1)</f>
        <v>216.08100000000002</v>
      </c>
      <c r="S66" s="1010">
        <f ca="1">-OFFSET(Income!$C$6,MATCH(Charts!$E66,Income!$C$6:$C$122,0)-1,MATCH(Charts!S$3,Income!$C$5:$ET$5,0)-1)</f>
        <v>244.38499999999999</v>
      </c>
      <c r="T66" s="1010">
        <f ca="1">-OFFSET(Income!$C$6,MATCH(Charts!$E66,Income!$C$6:$C$122,0)-1,MATCH(Charts!T$3,Income!$C$5:$ET$5,0)-1)</f>
        <v>252.35399999999998</v>
      </c>
      <c r="U66" s="1010">
        <f ca="1">-OFFSET(Income!$C$6,MATCH(Charts!$E66,Income!$C$6:$C$122,0)-1,MATCH(Charts!U$3,Income!$C$5:$ET$5,0)-1)</f>
        <v>293.96999999999997</v>
      </c>
      <c r="V66" s="1010">
        <f ca="1">-OFFSET(Income!$C$6,MATCH(Charts!$E66,Income!$C$6:$C$122,0)-1,MATCH(Charts!V$3,Income!$C$5:$ET$5,0)-1)</f>
        <v>330.18299999999999</v>
      </c>
      <c r="W66" s="1010">
        <f ca="1">-OFFSET(Income!$C$6,MATCH(Charts!$E66,Income!$C$6:$C$122,0)-1,MATCH(Charts!W$3,Income!$C$5:$ET$5,0)-1)</f>
        <v>374.75</v>
      </c>
      <c r="X66" s="1010">
        <f ca="1">-OFFSET(Income!$C$6,MATCH(Charts!$E66,Income!$C$6:$C$122,0)-1,MATCH(Charts!X$3,Income!$C$5:$ET$5,0)-1)</f>
        <v>354.58699999999993</v>
      </c>
      <c r="Y66" s="1010">
        <f ca="1">-OFFSET(Income!$C$6,MATCH(Charts!$E66,Income!$C$6:$C$122,0)-1,MATCH(Charts!Y$3,Income!$C$5:$ET$5,0)-1)</f>
        <v>391.84699999999998</v>
      </c>
      <c r="Z66" s="1010">
        <f ca="1">-OFFSET(Income!$C$6,MATCH(Charts!$E66,Income!$C$6:$C$122,0)-1,MATCH(Charts!Z$3,Income!$C$5:$ET$5,0)-1)</f>
        <v>439.81700000000001</v>
      </c>
      <c r="AA66" s="1010">
        <f ca="1">-OFFSET(Income!$C$6,MATCH(Charts!$E66,Income!$C$6:$C$122,0)-1,MATCH(Charts!AA$3,Income!$C$5:$ET$5,0)-1)</f>
        <v>481.41899999999998</v>
      </c>
      <c r="AB66" s="1010">
        <f ca="1">-OFFSET(Income!$C$6,MATCH(Charts!$E66,Income!$C$6:$C$122,0)-1,MATCH(Charts!AB$3,Income!$C$5:$ET$5,0)-1)</f>
        <v>613.01</v>
      </c>
      <c r="AC66" s="1010">
        <f ca="1">-OFFSET(Income!$C$6,MATCH(Charts!$E66,Income!$C$6:$C$122,0)-1,MATCH(Charts!AC$3,Income!$C$5:$ET$5,0)-1)</f>
        <v>678.25499999999988</v>
      </c>
      <c r="AD66" s="1010">
        <f ca="1">-OFFSET(Income!$C$6,MATCH(Charts!$E66,Income!$C$6:$C$122,0)-1,MATCH(Charts!AD$3,Income!$C$5:$ET$5,0)-1)</f>
        <v>735.61299999999994</v>
      </c>
      <c r="AE66" s="1010">
        <f ca="1">-OFFSET(Income!$C$6,MATCH(Charts!$E66,Income!$C$6:$C$122,0)-1,MATCH(Charts!AE$3,Income!$C$5:$ET$5,0)-1)</f>
        <v>845.85</v>
      </c>
      <c r="AF66" s="1010">
        <f ca="1">-OFFSET(Income!$C$6,MATCH(Charts!$E66,Income!$C$6:$C$122,0)-1,MATCH(Charts!AF$3,Income!$C$5:$ET$5,0)-1)</f>
        <v>1007.6980000000001</v>
      </c>
      <c r="AG66" s="1010">
        <f ca="1">-OFFSET(Income!$C$6,MATCH(Charts!$E66,Income!$C$6:$C$122,0)-1,MATCH(Charts!AG$3,Income!$C$5:$ET$5,0)-1)</f>
        <v>987.25700000000006</v>
      </c>
      <c r="AH66" s="1010">
        <f ca="1">-OFFSET(Income!$C$6,MATCH(Charts!$E66,Income!$C$6:$C$122,0)-1,MATCH(Charts!AH$3,Income!$C$5:$ET$5,0)-1)</f>
        <v>910</v>
      </c>
      <c r="AI66" s="1010">
        <f ca="1">-OFFSET(Income!$C$6,MATCH(Charts!$E66,Income!$C$6:$C$122,0)-1,MATCH(Charts!AI$3,Income!$C$5:$ET$5,0)-1)</f>
        <v>2471</v>
      </c>
      <c r="AJ66" s="1010">
        <f ca="1">-OFFSET(Income!$C$6,MATCH(Charts!$E66,Income!$C$6:$C$122,0)-1,MATCH(Charts!AJ$3,Income!$C$5:$ET$5,0)-1)</f>
        <v>779</v>
      </c>
      <c r="AK66" s="1010">
        <f ca="1">-OFFSET(Income!$C$6,MATCH(Charts!$E66,Income!$C$6:$C$122,0)-1,MATCH(Charts!AK$3,Income!$C$5:$ET$5,0)-1)</f>
        <v>773</v>
      </c>
      <c r="AL66" s="1010">
        <f ca="1">-OFFSET(Income!$C$6,MATCH(Charts!$E66,Income!$C$6:$C$122,0)-1,MATCH(Charts!AL$3,Income!$C$5:$ET$5,0)-1)</f>
        <v>871</v>
      </c>
      <c r="AM66" s="1010">
        <f ca="1">-OFFSET(Income!$C$6,MATCH(Charts!$E66,Income!$C$6:$C$122,0)-1,MATCH(Charts!AM$3,Income!$C$5:$ET$5,0)-1)</f>
        <v>804</v>
      </c>
      <c r="AN66" s="1010">
        <f ca="1">-OFFSET(Income!$C$6,MATCH(Charts!$E66,Income!$C$6:$C$122,0)-1,MATCH(Charts!AN$3,Income!$C$5:$ET$5,0)-1)</f>
        <v>835</v>
      </c>
      <c r="AO66" s="1010">
        <f ca="1">-OFFSET(Income!$C$6,MATCH(Charts!$E66,Income!$C$6:$C$122,0)-1,MATCH(Charts!AO$3,Income!$C$5:$ET$5,0)-1)</f>
        <v>887</v>
      </c>
      <c r="AP66" s="1010">
        <f ca="1">-OFFSET(Income!$C$6,MATCH(Charts!$E66,Income!$C$6:$C$122,0)-1,MATCH(Charts!AP$3,Income!$C$5:$ET$5,0)-1)</f>
        <v>966</v>
      </c>
      <c r="AQ66" s="1010">
        <f ca="1">-OFFSET(Income!$C$6,MATCH(Charts!$E66,Income!$C$6:$C$122,0)-1,MATCH(Charts!AQ$3,Income!$C$5:$ET$5,0)-1)</f>
        <v>1011</v>
      </c>
      <c r="AR66" s="1010">
        <f ca="1">-OFFSET(Income!$C$6,MATCH(Charts!$E66,Income!$C$6:$C$122,0)-1,MATCH(Charts!AR$3,Income!$C$5:$ET$5,0)-1)</f>
        <v>1048</v>
      </c>
      <c r="AS66" s="1010">
        <f ca="1">-OFFSET(Income!$C$6,MATCH(Charts!$E66,Income!$C$6:$C$122,0)-1,MATCH(Charts!AS$3,Income!$C$5:$ET$5,0)-1)</f>
        <v>1062</v>
      </c>
      <c r="AT66" s="1010">
        <f ca="1">-OFFSET(Income!$C$6,MATCH(Charts!$E66,Income!$C$6:$C$122,0)-1,MATCH(Charts!AT$3,Income!$C$5:$ET$5,0)-1)</f>
        <v>1164</v>
      </c>
      <c r="AU66" s="1010">
        <f ca="1">-OFFSET(Income!$C$6,MATCH(Charts!$E66,Income!$C$6:$C$122,0)-1,MATCH(Charts!AU$3,Income!$C$5:$ET$5,0)-1)</f>
        <v>1220</v>
      </c>
      <c r="AV66" s="1010">
        <f ca="1">-OFFSET(Income!$C$6,MATCH(Charts!$E66,Income!$C$6:$C$122,0)-1,MATCH(Charts!AV$3,Income!$C$5:$ET$5,0)-1)</f>
        <v>1246.0190103593661</v>
      </c>
      <c r="AW66" s="1010">
        <f ca="1">-OFFSET(Income!$C$6,MATCH(Charts!$E66,Income!$C$6:$C$122,0)-1,MATCH(Charts!AW$3,Income!$C$5:$ET$5,0)-1)</f>
        <v>1326.6715991065253</v>
      </c>
      <c r="AX66" s="1010">
        <f ca="1">-OFFSET(Income!$C$6,MATCH(Charts!$E66,Income!$C$6:$C$122,0)-1,MATCH(Charts!AX$3,Income!$C$5:$ET$5,0)-1)</f>
        <v>1412.0983251893795</v>
      </c>
      <c r="AY66" s="1010">
        <f ca="1">-OFFSET(Income!$C$6,MATCH(Charts!$E66,Income!$C$6:$C$122,0)-1,MATCH(Charts!AY$3,Income!$C$5:$ET$5,0)-1)</f>
        <v>1455.6147456975818</v>
      </c>
      <c r="AZ66" s="1010">
        <f ca="1">-OFFSET(Income!$C$6,MATCH(Charts!$E66,Income!$C$6:$C$122,0)-1,MATCH(Charts!AZ$3,Income!$C$5:$ET$5,0)-1)</f>
        <v>1466.5451783782603</v>
      </c>
      <c r="BA66" s="1010">
        <f ca="1">-OFFSET(Income!$C$6,MATCH(Charts!$E66,Income!$C$6:$C$122,0)-1,MATCH(Charts!BA$3,Income!$C$5:$ET$5,0)-1)</f>
        <v>1534.0291726248934</v>
      </c>
      <c r="BB66" s="1010">
        <f ca="1">-OFFSET(Income!$C$6,MATCH(Charts!$E66,Income!$C$6:$C$122,0)-1,MATCH(Charts!BB$3,Income!$C$5:$ET$5,0)-1)</f>
        <v>1677.4897794002584</v>
      </c>
      <c r="BC66" s="1010">
        <f ca="1">-OFFSET(Income!$C$6,MATCH(Charts!$E66,Income!$C$6:$C$122,0)-1,MATCH(Charts!BC$3,Income!$C$5:$ET$5,0)-1)</f>
        <v>1725.0301102954807</v>
      </c>
      <c r="BD66" s="1010">
        <f ca="1">-OFFSET(Income!$C$6,MATCH(Charts!$E66,Income!$C$6:$C$122,0)-1,MATCH(Charts!BD$3,Income!$C$5:$ET$5,0)-1)</f>
        <v>1735.3276632554544</v>
      </c>
      <c r="BE66" s="1010">
        <f ca="1">-OFFSET(Income!$C$6,MATCH(Charts!$E66,Income!$C$6:$C$122,0)-1,MATCH(Charts!BE$3,Income!$C$5:$ET$5,0)-1)</f>
        <v>1807.7584200627425</v>
      </c>
      <c r="BF66" s="1010">
        <f ca="1">-OFFSET(Income!$C$6,MATCH(Charts!$E66,Income!$C$6:$C$122,0)-1,MATCH(Charts!BF$3,Income!$C$5:$ET$5,0)-1)</f>
        <v>1953.312726293291</v>
      </c>
      <c r="BG66" s="1010">
        <f ca="1">-OFFSET(Income!$C$6,MATCH(Charts!$E66,Income!$C$6:$C$122,0)-1,MATCH(Charts!BG$3,Income!$C$5:$ET$5,0)-1)</f>
        <v>2005.6479181680138</v>
      </c>
      <c r="BH66" s="1010">
        <f ca="1">-OFFSET(Income!$C$6,MATCH(Charts!$E66,Income!$C$6:$C$122,0)-1,MATCH(Charts!BH$3,Income!$C$5:$ET$5,0)-1)</f>
        <v>2016.9267768436835</v>
      </c>
      <c r="BI66" s="1010">
        <f ca="1">-OFFSET(Income!$C$6,MATCH(Charts!$E66,Income!$C$6:$C$122,0)-1,MATCH(Charts!BI$3,Income!$C$5:$ET$5,0)-1)</f>
        <v>2092.9115137123745</v>
      </c>
      <c r="BJ66" s="1010">
        <f ca="1">-OFFSET(Income!$C$6,MATCH(Charts!$E66,Income!$C$6:$C$122,0)-1,MATCH(Charts!BJ$3,Income!$C$5:$ET$5,0)-1)</f>
        <v>2250.7808141470487</v>
      </c>
      <c r="BK66" s="1010">
        <f ca="1">-OFFSET(Income!$C$6,MATCH(Charts!$E66,Income!$C$6:$C$122,0)-1,MATCH(Charts!BK$3,Income!$C$5:$ET$5,0)-1)</f>
        <v>2307.1427654968375</v>
      </c>
      <c r="BL66" s="1010">
        <f ca="1">-OFFSET(Income!$C$6,MATCH(Charts!$E66,Income!$C$6:$C$122,0)-1,MATCH(Charts!BL$3,Income!$C$5:$ET$5,0)-1)</f>
        <v>2319.5764202593264</v>
      </c>
      <c r="BM66" s="1010">
        <f ca="1">-OFFSET(Income!$C$6,MATCH(Charts!$E66,Income!$C$6:$C$122,0)-1,MATCH(Charts!BM$3,Income!$C$5:$ET$5,0)-1)</f>
        <v>2396.0705005350019</v>
      </c>
      <c r="BN66" s="889"/>
      <c r="BO66" s="889"/>
      <c r="BP66" s="889"/>
      <c r="BQ66" s="889"/>
      <c r="BR66" s="889"/>
      <c r="BS66" s="889"/>
      <c r="BT66" s="889"/>
      <c r="BU66" s="889"/>
      <c r="BV66" s="889"/>
      <c r="BW66" s="889"/>
      <c r="BX66" s="889"/>
      <c r="BY66" s="889"/>
      <c r="BZ66" s="889"/>
      <c r="CA66" s="889"/>
      <c r="CB66" s="889"/>
      <c r="CC66" s="889"/>
      <c r="CD66" s="889"/>
      <c r="CE66" s="889"/>
      <c r="CF66" s="889"/>
      <c r="CG66" s="889"/>
      <c r="CH66" s="889"/>
      <c r="CI66" s="889"/>
      <c r="CJ66" s="889"/>
      <c r="CK66" s="889"/>
      <c r="CL66" s="889"/>
      <c r="CM66" s="889"/>
      <c r="CN66" s="889"/>
      <c r="CO66" s="889"/>
      <c r="CP66" s="889"/>
      <c r="CQ66" s="889"/>
      <c r="CR66" s="889"/>
      <c r="CS66" s="1028" t="str">
        <f t="shared" si="64"/>
        <v>Total operating costs</v>
      </c>
      <c r="CT66" s="1015">
        <f ca="1">-OFFSET(Income!$C$6,MATCH(Charts!$E66,Income!$C$6:$C$122,0)-1,MATCH(Charts!CT$4,Income!$C$4:$ET$4,0)-1)</f>
        <v>246.66</v>
      </c>
      <c r="CU66" s="1015">
        <f ca="1">-OFFSET(Income!$C$6,MATCH(Charts!$E66,Income!$C$6:$C$122,0)-1,MATCH(Charts!CU$4,Income!$C$4:$ET$4,0)-1)</f>
        <v>429.41000000000008</v>
      </c>
      <c r="CV66" s="1015">
        <f ca="1">-OFFSET(Income!$C$6,MATCH(Charts!$E66,Income!$C$6:$C$122,0)-1,MATCH(Charts!CV$4,Income!$C$4:$ET$4,0)-1)</f>
        <v>688.18700000000001</v>
      </c>
      <c r="CW66" s="1015">
        <f ca="1">-OFFSET(Income!$C$6,MATCH(Charts!$E66,Income!$C$6:$C$122,0)-1,MATCH(Charts!CW$4,Income!$C$4:$ET$4,0)-1)</f>
        <v>1006.79</v>
      </c>
      <c r="CX66" s="1015">
        <f ca="1">-OFFSET(Income!$C$6,MATCH(Charts!$E66,Income!$C$6:$C$122,0)-1,MATCH(Charts!CX$4,Income!$C$4:$ET$4,0)-1)</f>
        <v>1451.367</v>
      </c>
      <c r="CY66" s="1015">
        <f ca="1">-OFFSET(Income!$C$6,MATCH(Charts!$E66,Income!$C$6:$C$122,0)-1,MATCH(Charts!CY$4,Income!$C$4:$ET$4,0)-1)</f>
        <v>2212.5010000000002</v>
      </c>
      <c r="CZ66" s="1015">
        <f ca="1">-OFFSET(Income!$C$6,MATCH(Charts!$E66,Income!$C$6:$C$122,0)-1,MATCH(Charts!CZ$4,Income!$C$4:$ET$4,0)-1)</f>
        <v>3576.4180000000001</v>
      </c>
      <c r="DA66" s="1015">
        <f ca="1">-OFFSET(Income!$C$6,MATCH(Charts!$E66,Income!$C$6:$C$122,0)-1,MATCH(Charts!DA$4,Income!$C$4:$ET$4,0)-1)</f>
        <v>4933</v>
      </c>
      <c r="DB66" s="1015">
        <f ca="1">-OFFSET(Income!$C$6,MATCH(Charts!$E66,Income!$C$6:$C$122,0)-1,MATCH(Charts!DB$4,Income!$C$4:$ET$4,0)-1)</f>
        <v>3397</v>
      </c>
      <c r="DC66" s="1015" t="e">
        <f ca="1">-OFFSET(Income!$C$6,MATCH(Charts!$E66,Income!$C$6:$C$122,0)-1,MATCH(Charts!DC$4,Income!$C$4:$ET$4,0)-1)</f>
        <v>#N/A</v>
      </c>
      <c r="DD66" s="1015">
        <f ca="1">-OFFSET(Income!$C$6,MATCH(Charts!$E66,Income!$C$6:$C$122,0)-1,MATCH(Charts!DD$4,Income!$C$4:$ET$4,0)-1)</f>
        <v>4956.6906094658916</v>
      </c>
      <c r="DE66" s="1015">
        <f ca="1">-OFFSET(Income!$C$6,MATCH(Charts!$E66,Income!$C$6:$C$122,0)-1,MATCH(Charts!DE$4,Income!$C$4:$ET$4,0)-1)</f>
        <v>5868.2874218901152</v>
      </c>
      <c r="DF66" s="1015">
        <f ca="1">-OFFSET(Income!$C$6,MATCH(Charts!$E66,Income!$C$6:$C$122,0)-1,MATCH(Charts!DF$4,Income!$C$4:$ET$4,0)-1)</f>
        <v>6945.6059730139359</v>
      </c>
      <c r="DG66" s="1015">
        <f ca="1">-OFFSET(Income!$C$6,MATCH(Charts!$E66,Income!$C$6:$C$122,0)-1,MATCH(Charts!DG$4,Income!$C$4:$ET$4,0)-1)</f>
        <v>8068.7989350173621</v>
      </c>
      <c r="DH66" s="1015">
        <f ca="1">-OFFSET(Income!$C$6,MATCH(Charts!$E66,Income!$C$6:$C$122,0)-1,MATCH(Charts!DH$4,Income!$C$4:$ET$4,0)-1)</f>
        <v>9273.5705004382144</v>
      </c>
    </row>
    <row r="67" spans="2:112">
      <c r="E67" s="13"/>
      <c r="F67" s="1019"/>
      <c r="G67" s="1008"/>
      <c r="H67" s="1008"/>
      <c r="I67" s="1008"/>
      <c r="J67" s="1008"/>
      <c r="K67" s="1008"/>
      <c r="L67" s="1008"/>
      <c r="M67" s="1008"/>
      <c r="N67" s="1008"/>
      <c r="O67" s="1008"/>
      <c r="P67" s="1008"/>
      <c r="Q67" s="1008"/>
      <c r="R67" s="1008"/>
      <c r="S67" s="1008"/>
      <c r="T67" s="1008"/>
      <c r="U67" s="1008"/>
      <c r="V67" s="1008"/>
      <c r="W67" s="1008"/>
      <c r="X67" s="1008"/>
      <c r="Y67" s="1008"/>
      <c r="Z67" s="1008"/>
      <c r="AA67" s="1008"/>
      <c r="AB67" s="1008"/>
      <c r="AC67" s="1008"/>
      <c r="AD67" s="1008"/>
      <c r="AE67" s="1008"/>
      <c r="AF67" s="1008"/>
      <c r="AG67" s="1008"/>
      <c r="AH67" s="1008"/>
      <c r="AI67" s="1008"/>
      <c r="AJ67" s="1008"/>
      <c r="AK67" s="1008"/>
      <c r="AL67" s="1008"/>
      <c r="AM67" s="1008"/>
      <c r="AN67" s="1008"/>
      <c r="AO67" s="1008"/>
      <c r="AP67" s="1008"/>
      <c r="AQ67" s="1008"/>
      <c r="AR67" s="1008"/>
      <c r="AS67" s="1008"/>
      <c r="AT67" s="1008"/>
      <c r="AU67" s="1008"/>
      <c r="AV67" s="1008"/>
      <c r="AW67" s="1008"/>
      <c r="AX67" s="1008"/>
      <c r="AY67" s="1008"/>
      <c r="AZ67" s="1008"/>
      <c r="BA67" s="1008"/>
      <c r="BB67" s="1008"/>
      <c r="BC67" s="1008"/>
      <c r="BD67" s="1008"/>
      <c r="BE67" s="1008"/>
      <c r="BF67" s="1008"/>
      <c r="BG67" s="1008"/>
      <c r="BH67" s="1008"/>
      <c r="BI67" s="1008"/>
      <c r="BJ67" s="1008"/>
      <c r="BK67" s="1008"/>
      <c r="BL67" s="1008"/>
      <c r="BM67" s="1008"/>
      <c r="BN67" s="889"/>
      <c r="BO67" s="889"/>
      <c r="BP67" s="889"/>
      <c r="BQ67" s="889"/>
      <c r="BR67" s="889"/>
      <c r="BS67" s="889"/>
      <c r="BT67" s="889"/>
      <c r="BU67" s="889"/>
      <c r="BV67" s="889"/>
      <c r="BW67" s="889"/>
      <c r="BX67" s="889"/>
      <c r="BY67" s="889"/>
      <c r="BZ67" s="889"/>
      <c r="CA67" s="889"/>
      <c r="CB67" s="889"/>
      <c r="CC67" s="889"/>
      <c r="CD67" s="889"/>
      <c r="CE67" s="889"/>
      <c r="CF67" s="889"/>
      <c r="CG67" s="889"/>
      <c r="CH67" s="889"/>
      <c r="CI67" s="889"/>
      <c r="CJ67" s="889"/>
      <c r="CK67" s="889"/>
      <c r="CL67" s="889"/>
      <c r="CM67" s="889"/>
      <c r="CN67" s="889"/>
      <c r="CO67" s="889"/>
      <c r="CP67" s="889"/>
      <c r="CQ67" s="889"/>
      <c r="CR67" s="889"/>
      <c r="CS67" s="889" t="s">
        <v>646</v>
      </c>
      <c r="CT67" s="1008">
        <f t="shared" ref="CT67:DE67" ca="1" si="65">CT59+CT61+CT63+CT65</f>
        <v>0.6335499447769245</v>
      </c>
      <c r="CU67" s="1008">
        <f t="shared" ca="1" si="65"/>
        <v>0.63776540760191536</v>
      </c>
      <c r="CV67" s="1008">
        <f t="shared" ca="1" si="65"/>
        <v>0.64123034319795691</v>
      </c>
      <c r="CW67" s="1008">
        <f t="shared" ca="1" si="65"/>
        <v>0.63794653691325343</v>
      </c>
      <c r="CX67" s="1008">
        <f t="shared" ca="1" si="65"/>
        <v>0.49543316569328938</v>
      </c>
      <c r="CY67" s="1008">
        <f t="shared" ca="1" si="65"/>
        <v>0.47974199541356022</v>
      </c>
      <c r="CZ67" s="1008">
        <f t="shared" ca="1" si="65"/>
        <v>0.63866158178127175</v>
      </c>
      <c r="DA67" s="1008">
        <f t="shared" ca="1" si="65"/>
        <v>0.5089235127478754</v>
      </c>
      <c r="DB67" s="1008">
        <f t="shared" ca="1" si="65"/>
        <v>0.38254504504504511</v>
      </c>
      <c r="DC67" s="1008" t="e">
        <f t="shared" ca="1" si="65"/>
        <v>#N/A</v>
      </c>
      <c r="DD67" s="1008">
        <f t="shared" ca="1" si="65"/>
        <v>0.32584755987234926</v>
      </c>
      <c r="DE67" s="1008">
        <f t="shared" ca="1" si="65"/>
        <v>0.30668974970982515</v>
      </c>
      <c r="DF67" s="1008">
        <f t="shared" ref="DF67:DH67" ca="1" si="66">DF59+DF61+DF63+DF65</f>
        <v>0.30071057204281976</v>
      </c>
      <c r="DG67" s="1008">
        <f t="shared" ca="1" si="66"/>
        <v>0.2947023353384946</v>
      </c>
      <c r="DH67" s="1008">
        <f t="shared" ca="1" si="66"/>
        <v>0.28870009736073254</v>
      </c>
    </row>
    <row r="68" spans="2:112">
      <c r="E68" s="13"/>
      <c r="F68" s="1019"/>
      <c r="G68" s="1008"/>
      <c r="H68" s="1008"/>
      <c r="I68" s="1008"/>
      <c r="J68" s="1008"/>
      <c r="K68" s="1008"/>
      <c r="L68" s="1008"/>
      <c r="M68" s="1008"/>
      <c r="N68" s="1008"/>
      <c r="O68" s="1008"/>
      <c r="P68" s="1008"/>
      <c r="Q68" s="1008"/>
      <c r="R68" s="1008"/>
      <c r="S68" s="1008"/>
      <c r="T68" s="1008"/>
      <c r="U68" s="1008"/>
      <c r="V68" s="1008"/>
      <c r="W68" s="1008"/>
      <c r="X68" s="1008"/>
      <c r="Y68" s="1008"/>
      <c r="Z68" s="1008"/>
      <c r="AA68" s="1008"/>
      <c r="AB68" s="1008"/>
      <c r="AC68" s="1008"/>
      <c r="AD68" s="1008"/>
      <c r="AE68" s="1008"/>
      <c r="AF68" s="1008"/>
      <c r="AG68" s="1008"/>
      <c r="AH68" s="1008"/>
      <c r="AI68" s="1008"/>
      <c r="AJ68" s="1008"/>
      <c r="AK68" s="1008"/>
      <c r="AL68" s="1008"/>
      <c r="AM68" s="1008"/>
      <c r="AN68" s="1008"/>
      <c r="AO68" s="1008"/>
      <c r="AP68" s="1008"/>
      <c r="AQ68" s="1008"/>
      <c r="AR68" s="1008"/>
      <c r="AS68" s="1008"/>
      <c r="AT68" s="1008"/>
      <c r="AU68" s="1008"/>
      <c r="AV68" s="1008"/>
      <c r="AW68" s="1008"/>
      <c r="AX68" s="1008"/>
      <c r="AY68" s="1008"/>
      <c r="AZ68" s="1008"/>
      <c r="BA68" s="1008"/>
      <c r="BB68" s="1008"/>
      <c r="BC68" s="1008"/>
      <c r="BD68" s="1008"/>
      <c r="BE68" s="1008"/>
      <c r="BF68" s="1008"/>
      <c r="BG68" s="1008"/>
      <c r="BH68" s="1008"/>
      <c r="BI68" s="1008"/>
      <c r="BJ68" s="1008"/>
      <c r="BK68" s="1008"/>
      <c r="BL68" s="1008"/>
      <c r="BM68" s="1008"/>
      <c r="BN68" s="889"/>
      <c r="BO68" s="889"/>
      <c r="BP68" s="889"/>
      <c r="BQ68" s="889"/>
      <c r="BR68" s="889"/>
      <c r="BS68" s="889"/>
      <c r="BT68" s="889"/>
      <c r="BU68" s="889"/>
      <c r="BV68" s="889"/>
      <c r="BW68" s="889"/>
      <c r="BX68" s="889"/>
      <c r="BY68" s="889"/>
      <c r="BZ68" s="889"/>
      <c r="CA68" s="889"/>
      <c r="CB68" s="889"/>
      <c r="CC68" s="889"/>
      <c r="CD68" s="889"/>
      <c r="CE68" s="889"/>
      <c r="CF68" s="889"/>
      <c r="CG68" s="889"/>
      <c r="CH68" s="889"/>
      <c r="CI68" s="889"/>
      <c r="CJ68" s="889"/>
      <c r="CK68" s="889"/>
      <c r="CL68" s="889"/>
      <c r="CM68" s="889"/>
      <c r="CN68" s="889"/>
      <c r="CO68" s="889"/>
      <c r="CP68" s="889"/>
      <c r="CQ68" s="889"/>
      <c r="CR68" s="889"/>
      <c r="CS68" s="889"/>
      <c r="CT68" s="1008">
        <f>CT38</f>
        <v>0</v>
      </c>
      <c r="CU68" s="1008">
        <f t="shared" ref="CU68:DE68" si="67">CU38</f>
        <v>0</v>
      </c>
      <c r="CV68" s="1008">
        <f t="shared" si="67"/>
        <v>0</v>
      </c>
      <c r="CW68" s="1008">
        <f t="shared" si="67"/>
        <v>0</v>
      </c>
      <c r="CX68" s="1008">
        <f t="shared" si="67"/>
        <v>0</v>
      </c>
      <c r="CY68" s="1008">
        <f t="shared" si="67"/>
        <v>0</v>
      </c>
      <c r="CZ68" s="1008">
        <f t="shared" si="67"/>
        <v>0</v>
      </c>
      <c r="DA68" s="1008">
        <f t="shared" si="67"/>
        <v>0</v>
      </c>
      <c r="DB68" s="1008">
        <f t="shared" si="67"/>
        <v>0</v>
      </c>
      <c r="DC68" s="1008">
        <f t="shared" si="67"/>
        <v>0</v>
      </c>
      <c r="DD68" s="1008">
        <f t="shared" si="67"/>
        <v>0</v>
      </c>
      <c r="DE68" s="1008">
        <f t="shared" si="67"/>
        <v>0</v>
      </c>
      <c r="DF68" s="1008">
        <f t="shared" ref="DF68:DH68" si="68">DF38</f>
        <v>0</v>
      </c>
      <c r="DG68" s="1008">
        <f t="shared" si="68"/>
        <v>0</v>
      </c>
      <c r="DH68" s="1008">
        <f t="shared" si="68"/>
        <v>0</v>
      </c>
    </row>
    <row r="69" spans="2:112">
      <c r="E69" s="13" t="s">
        <v>88</v>
      </c>
      <c r="F69" s="1029">
        <f ca="1">OFFSET(Income!$C$4,MATCH(Charts!$E69,Income!$C$4:$C$134,0)-1,MATCH(Charts!F$3,Income!$C$5:$ET$5,0)-1)</f>
        <v>-2.8619999999999894</v>
      </c>
      <c r="G69" s="1012">
        <f ca="1">OFFSET(Income!$C$4,MATCH(Charts!$E69,Income!$C$4:$C$134,0)-1,MATCH(Charts!G$3,Income!$C$5:$ET$5,0)-1)</f>
        <v>-0.43500000000000583</v>
      </c>
      <c r="H69" s="1012">
        <f ca="1">OFFSET(Income!$C$4,MATCH(Charts!$E69,Income!$C$4:$C$134,0)-1,MATCH(Charts!H$3,Income!$C$5:$ET$5,0)-1)</f>
        <v>1.4869999999999957</v>
      </c>
      <c r="I69" s="1012">
        <f ca="1">OFFSET(Income!$C$4,MATCH(Charts!$E69,Income!$C$4:$C$134,0)-1,MATCH(Charts!I$3,Income!$C$5:$ET$5,0)-1)</f>
        <v>3.6329999999999814</v>
      </c>
      <c r="J69" s="1012">
        <f ca="1">OFFSET(Income!$C$4,MATCH(Charts!$E69,Income!$C$4:$C$134,0)-1,MATCH(Charts!J$3,Income!$C$5:$ET$5,0)-1)</f>
        <v>0.22000000000001485</v>
      </c>
      <c r="K69" s="1012">
        <f ca="1">OFFSET(Income!$C$4,MATCH(Charts!$E69,Income!$C$4:$C$134,0)-1,MATCH(Charts!K$3,Income!$C$5:$ET$5,0)-1)</f>
        <v>2.4150000000000045</v>
      </c>
      <c r="L69" s="1012">
        <f ca="1">OFFSET(Income!$C$4,MATCH(Charts!$E69,Income!$C$4:$C$134,0)-1,MATCH(Charts!L$3,Income!$C$5:$ET$5,0)-1)</f>
        <v>7.4500000000000144</v>
      </c>
      <c r="M69" s="1012">
        <f ca="1">OFFSET(Income!$C$4,MATCH(Charts!$E69,Income!$C$4:$C$134,0)-1,MATCH(Charts!M$3,Income!$C$5:$ET$5,0)-1)</f>
        <v>19.34199999999997</v>
      </c>
      <c r="N69" s="1012">
        <f ca="1">OFFSET(Income!$C$4,MATCH(Charts!$E69,Income!$C$4:$C$134,0)-1,MATCH(Charts!N$3,Income!$C$5:$ET$5,0)-1)</f>
        <v>7.3639999999999759</v>
      </c>
      <c r="O69" s="1012">
        <f ca="1">OFFSET(Income!$C$4,MATCH(Charts!$E69,Income!$C$4:$C$134,0)-1,MATCH(Charts!O$3,Income!$C$5:$ET$5,0)-1)</f>
        <v>3.1579999999999764</v>
      </c>
      <c r="P69" s="1012">
        <f ca="1">OFFSET(Income!$C$4,MATCH(Charts!$E69,Income!$C$4:$C$134,0)-1,MATCH(Charts!P$3,Income!$C$5:$ET$5,0)-1)</f>
        <v>2.5559999999999796</v>
      </c>
      <c r="Q69" s="1012">
        <f ca="1">OFFSET(Income!$C$4,MATCH(Charts!$E69,Income!$C$4:$C$134,0)-1,MATCH(Charts!Q$3,Income!$C$5:$ET$5,0)-1)</f>
        <v>25.815999999999946</v>
      </c>
      <c r="R69" s="1012">
        <f ca="1">OFFSET(Income!$C$4,MATCH(Charts!$E69,Income!$C$4:$C$134,0)-1,MATCH(Charts!R$3,Income!$C$5:$ET$5,0)-1)</f>
        <v>5.4549999999999486</v>
      </c>
      <c r="S69" s="1012">
        <f ca="1">OFFSET(Income!$C$4,MATCH(Charts!$E69,Income!$C$4:$C$134,0)-1,MATCH(Charts!S$3,Income!$C$5:$ET$5,0)-1)</f>
        <v>12.183999999999997</v>
      </c>
      <c r="T69" s="1012">
        <f ca="1">OFFSET(Income!$C$4,MATCH(Charts!$E69,Income!$C$4:$C$134,0)-1,MATCH(Charts!T$3,Income!$C$5:$ET$5,0)-1)</f>
        <v>17.584000000000042</v>
      </c>
      <c r="U69" s="1012">
        <f ca="1">OFFSET(Income!$C$4,MATCH(Charts!$E69,Income!$C$4:$C$134,0)-1,MATCH(Charts!U$3,Income!$C$5:$ET$5,0)-1)</f>
        <v>36.044000000000054</v>
      </c>
      <c r="V69" s="1012">
        <f ca="1">OFFSET(Income!$C$4,MATCH(Charts!$E69,Income!$C$4:$C$134,0)-1,MATCH(Charts!V$3,Income!$C$5:$ET$5,0)-1)</f>
        <v>1.0790000000000006</v>
      </c>
      <c r="W69" s="1012">
        <f ca="1">OFFSET(Income!$C$4,MATCH(Charts!$E69,Income!$C$4:$C$134,0)-1,MATCH(Charts!W$3,Income!$C$5:$ET$5,0)-1)</f>
        <v>128.30500000000004</v>
      </c>
      <c r="X69" s="1012">
        <f ca="1">OFFSET(Income!$C$4,MATCH(Charts!$E69,Income!$C$4:$C$134,0)-1,MATCH(Charts!X$3,Income!$C$5:$ET$5,0)-1)</f>
        <v>143.83300000000003</v>
      </c>
      <c r="Y69" s="1012">
        <f ca="1">OFFSET(Income!$C$4,MATCH(Charts!$E69,Income!$C$4:$C$134,0)-1,MATCH(Charts!Y$3,Income!$C$5:$ET$5,0)-1)</f>
        <v>212.92499999999995</v>
      </c>
      <c r="Z69" s="1012">
        <f ca="1">OFFSET(Income!$C$4,MATCH(Charts!$E69,Income!$C$4:$C$134,0)-1,MATCH(Charts!Z$3,Income!$C$5:$ET$5,0)-1)</f>
        <v>221.66699999999992</v>
      </c>
      <c r="AA69" s="1012">
        <f ca="1">OFFSET(Income!$C$4,MATCH(Charts!$E69,Income!$C$4:$C$134,0)-1,MATCH(Charts!AA$3,Income!$C$5:$ET$5,0)-1)</f>
        <v>246.64999999999992</v>
      </c>
      <c r="AB69" s="1012">
        <f ca="1">OFFSET(Income!$C$4,MATCH(Charts!$E69,Income!$C$4:$C$134,0)-1,MATCH(Charts!AB$3,Income!$C$5:$ET$5,0)-1)</f>
        <v>147.786</v>
      </c>
      <c r="AC69" s="1012">
        <f ca="1">OFFSET(Income!$C$4,MATCH(Charts!$E69,Income!$C$4:$C$134,0)-1,MATCH(Charts!AC$3,Income!$C$5:$ET$5,0)-1)</f>
        <v>146.04730000000023</v>
      </c>
      <c r="AD69" s="1012">
        <f ca="1">OFFSET(Income!$C$4,MATCH(Charts!$E69,Income!$C$4:$C$134,0)-1,MATCH(Charts!AD$3,Income!$C$5:$ET$5,0)-1)</f>
        <v>41.888000000000105</v>
      </c>
      <c r="AE69" s="1012">
        <f ca="1">OFFSET(Income!$C$4,MATCH(Charts!$E69,Income!$C$4:$C$134,0)-1,MATCH(Charts!AE$3,Income!$C$5:$ET$5,0)-1)</f>
        <v>-32.69399999999996</v>
      </c>
      <c r="AF69" s="1012">
        <f ca="1">OFFSET(Income!$C$4,MATCH(Charts!$E69,Income!$C$4:$C$134,0)-1,MATCH(Charts!AF$3,Income!$C$5:$ET$5,0)-1)</f>
        <v>-36.609000000000009</v>
      </c>
      <c r="AG69" s="1012">
        <f ca="1">OFFSET(Income!$C$4,MATCH(Charts!$E69,Income!$C$4:$C$134,0)-1,MATCH(Charts!AG$3,Income!$C$5:$ET$5,0)-1)</f>
        <v>70.292000000000087</v>
      </c>
      <c r="AH69" s="1012">
        <f ca="1">OFFSET(Income!$C$4,MATCH(Charts!$E69,Income!$C$4:$C$134,0)-1,MATCH(Charts!AH$3,Income!$C$5:$ET$5,0)-1)</f>
        <v>-17</v>
      </c>
      <c r="AI69" s="1012">
        <f ca="1">OFFSET(Income!$C$4,MATCH(Charts!$E69,Income!$C$4:$C$134,0)-1,MATCH(Charts!AI$3,Income!$C$5:$ET$5,0)-1)</f>
        <v>319</v>
      </c>
      <c r="AJ69" s="1012">
        <f ca="1">OFFSET(Income!$C$4,MATCH(Charts!$E69,Income!$C$4:$C$134,0)-1,MATCH(Charts!AJ$3,Income!$C$5:$ET$5,0)-1)</f>
        <v>284</v>
      </c>
      <c r="AK69" s="1012">
        <f ca="1">OFFSET(Income!$C$4,MATCH(Charts!$E69,Income!$C$4:$C$134,0)-1,MATCH(Charts!AK$3,Income!$C$5:$ET$5,0)-1)</f>
        <v>402</v>
      </c>
      <c r="AL69" s="1012">
        <f ca="1">OFFSET(Income!$C$4,MATCH(Charts!$E69,Income!$C$4:$C$134,0)-1,MATCH(Charts!AL$3,Income!$C$5:$ET$5,0)-1)</f>
        <v>207</v>
      </c>
      <c r="AM69" s="1012">
        <f ca="1">OFFSET(Income!$C$4,MATCH(Charts!$E69,Income!$C$4:$C$134,0)-1,MATCH(Charts!AM$3,Income!$C$5:$ET$5,0)-1)</f>
        <v>305</v>
      </c>
      <c r="AN69" s="1012">
        <f ca="1">OFFSET(Income!$C$4,MATCH(Charts!$E69,Income!$C$4:$C$134,0)-1,MATCH(Charts!AN$3,Income!$C$5:$ET$5,0)-1)</f>
        <v>406</v>
      </c>
      <c r="AO69" s="1012">
        <f ca="1">OFFSET(Income!$C$4,MATCH(Charts!$E69,Income!$C$4:$C$134,0)-1,MATCH(Charts!AO$3,Income!$C$5:$ET$5,0)-1)</f>
        <v>590</v>
      </c>
      <c r="AP69" s="1012">
        <f ca="1">OFFSET(Income!$C$4,MATCH(Charts!$E69,Income!$C$4:$C$134,0)-1,MATCH(Charts!AP$3,Income!$C$5:$ET$5,0)-1)</f>
        <v>334</v>
      </c>
      <c r="AQ69" s="1012">
        <f ca="1">OFFSET(Income!$C$4,MATCH(Charts!$E69,Income!$C$4:$C$134,0)-1,MATCH(Charts!AQ$3,Income!$C$5:$ET$5,0)-1)</f>
        <v>429</v>
      </c>
      <c r="AR69" s="1012">
        <f ca="1">OFFSET(Income!$C$4,MATCH(Charts!$E69,Income!$C$4:$C$134,0)-1,MATCH(Charts!AR$3,Income!$C$5:$ET$5,0)-1)</f>
        <v>470</v>
      </c>
      <c r="AS69" s="1012">
        <f ca="1">OFFSET(Income!$C$4,MATCH(Charts!$E69,Income!$C$4:$C$134,0)-1,MATCH(Charts!AS$3,Income!$C$5:$ET$5,0)-1)</f>
        <v>763</v>
      </c>
      <c r="AT69" s="1012">
        <f ca="1">OFFSET(Income!$C$4,MATCH(Charts!$E69,Income!$C$4:$C$134,0)-1,MATCH(Charts!AT$3,Income!$C$5:$ET$5,0)-1)</f>
        <v>527</v>
      </c>
      <c r="AU69" s="1012">
        <f ca="1">OFFSET(Income!$C$4,MATCH(Charts!$E69,Income!$C$4:$C$134,0)-1,MATCH(Charts!AU$3,Income!$C$5:$ET$5,0)-1)</f>
        <v>628</v>
      </c>
      <c r="AV69" s="1012">
        <f ca="1">OFFSET(Income!$C$4,MATCH(Charts!$E69,Income!$C$4:$C$134,0)-1,MATCH(Charts!AV$3,Income!$C$5:$ET$5,0)-1)</f>
        <v>713.19016923632353</v>
      </c>
      <c r="AW69" s="1012">
        <f ca="1">OFFSET(Income!$C$4,MATCH(Charts!$E69,Income!$C$4:$C$134,0)-1,MATCH(Charts!AW$3,Income!$C$5:$ET$5,0)-1)</f>
        <v>1043.9812119789015</v>
      </c>
      <c r="AX69" s="1012">
        <f ca="1">OFFSET(Income!$C$4,MATCH(Charts!$E69,Income!$C$4:$C$134,0)-1,MATCH(Charts!AX$3,Income!$C$5:$ET$5,0)-1)</f>
        <v>697.90777529370177</v>
      </c>
      <c r="AY69" s="1012">
        <f ca="1">OFFSET(Income!$C$4,MATCH(Charts!$E69,Income!$C$4:$C$134,0)-1,MATCH(Charts!AY$3,Income!$C$5:$ET$5,0)-1)</f>
        <v>845.7965496673371</v>
      </c>
      <c r="AZ69" s="1012">
        <f ca="1">OFFSET(Income!$C$4,MATCH(Charts!$E69,Income!$C$4:$C$134,0)-1,MATCH(Charts!AZ$3,Income!$C$5:$ET$5,0)-1)</f>
        <v>946.71253609877147</v>
      </c>
      <c r="BA69" s="1012">
        <f ca="1">OFFSET(Income!$C$4,MATCH(Charts!$E69,Income!$C$4:$C$134,0)-1,MATCH(Charts!BA$3,Income!$C$5:$ET$5,0)-1)</f>
        <v>1376.083163038558</v>
      </c>
      <c r="BB69" s="1012">
        <f ca="1">OFFSET(Income!$C$4,MATCH(Charts!$E69,Income!$C$4:$C$134,0)-1,MATCH(Charts!BB$3,Income!$C$5:$ET$5,0)-1)</f>
        <v>841.20990240183312</v>
      </c>
      <c r="BC69" s="1012">
        <f ca="1">OFFSET(Income!$C$4,MATCH(Charts!$E69,Income!$C$4:$C$134,0)-1,MATCH(Charts!BC$3,Income!$C$5:$ET$5,0)-1)</f>
        <v>1031.8071915027801</v>
      </c>
      <c r="BD69" s="1012">
        <f ca="1">OFFSET(Income!$C$4,MATCH(Charts!$E69,Income!$C$4:$C$134,0)-1,MATCH(Charts!BD$3,Income!$C$5:$ET$5,0)-1)</f>
        <v>1102.1152700184587</v>
      </c>
      <c r="BE69" s="1012">
        <f ca="1">OFFSET(Income!$C$4,MATCH(Charts!$E69,Income!$C$4:$C$134,0)-1,MATCH(Charts!BE$3,Income!$C$5:$ET$5,0)-1)</f>
        <v>1583.8399278869306</v>
      </c>
      <c r="BF69" s="1012">
        <f ca="1">OFFSET(Income!$C$4,MATCH(Charts!$E69,Income!$C$4:$C$134,0)-1,MATCH(Charts!BF$3,Income!$C$5:$ET$5,0)-1)</f>
        <v>1024.1889857509766</v>
      </c>
      <c r="BG69" s="1012">
        <f ca="1">OFFSET(Income!$C$4,MATCH(Charts!$E69,Income!$C$4:$C$134,0)-1,MATCH(Charts!BG$3,Income!$C$5:$ET$5,0)-1)</f>
        <v>1254.4545649413419</v>
      </c>
      <c r="BH69" s="1012">
        <f ca="1">OFFSET(Income!$C$4,MATCH(Charts!$E69,Income!$C$4:$C$134,0)-1,MATCH(Charts!BH$3,Income!$C$5:$ET$5,0)-1)</f>
        <v>1336.9149482130601</v>
      </c>
      <c r="BI69" s="1012">
        <f ca="1">OFFSET(Income!$C$4,MATCH(Charts!$E69,Income!$C$4:$C$134,0)-1,MATCH(Charts!BI$3,Income!$C$5:$ET$5,0)-1)</f>
        <v>1919.1912303750505</v>
      </c>
      <c r="BJ69" s="1012">
        <f ca="1">OFFSET(Income!$C$4,MATCH(Charts!$E69,Income!$C$4:$C$134,0)-1,MATCH(Charts!BJ$3,Income!$C$5:$ET$5,0)-1)</f>
        <v>1240.0785529838788</v>
      </c>
      <c r="BK69" s="1012">
        <f ca="1">OFFSET(Income!$C$4,MATCH(Charts!$E69,Income!$C$4:$C$134,0)-1,MATCH(Charts!BK$3,Income!$C$5:$ET$5,0)-1)</f>
        <v>1515.6371406693697</v>
      </c>
      <c r="BL69" s="1012">
        <f ca="1">OFFSET(Income!$C$4,MATCH(Charts!$E69,Income!$C$4:$C$134,0)-1,MATCH(Charts!BL$3,Income!$C$5:$ET$5,0)-1)</f>
        <v>1612.4066958555377</v>
      </c>
      <c r="BM69" s="1012">
        <f ca="1">OFFSET(Income!$C$4,MATCH(Charts!$E69,Income!$C$4:$C$134,0)-1,MATCH(Charts!BM$3,Income!$C$5:$ET$5,0)-1)</f>
        <v>2309.0338325685034</v>
      </c>
      <c r="BN69" s="889"/>
      <c r="BO69" s="889"/>
      <c r="BP69" s="889"/>
      <c r="BQ69" s="889"/>
      <c r="BR69" s="889"/>
      <c r="BS69" s="889"/>
      <c r="BT69" s="889"/>
      <c r="BU69" s="889"/>
      <c r="BV69" s="889"/>
      <c r="BW69" s="889"/>
      <c r="BX69" s="889"/>
      <c r="BY69" s="889"/>
      <c r="BZ69" s="889"/>
      <c r="CA69" s="889"/>
      <c r="CB69" s="889"/>
      <c r="CC69" s="889"/>
      <c r="CD69" s="889"/>
      <c r="CE69" s="889"/>
      <c r="CF69" s="889"/>
      <c r="CG69" s="889"/>
      <c r="CH69" s="889"/>
      <c r="CI69" s="889"/>
      <c r="CJ69" s="889"/>
      <c r="CK69" s="889"/>
      <c r="CL69" s="889"/>
      <c r="CM69" s="889"/>
      <c r="CN69" s="889"/>
      <c r="CO69" s="889"/>
      <c r="CP69" s="889"/>
      <c r="CQ69" s="889"/>
      <c r="CR69" s="889"/>
      <c r="CS69" s="1028" t="str">
        <f>E69</f>
        <v>Adjusted EBITDA</v>
      </c>
      <c r="CT69" s="1012">
        <f ca="1">OFFSET(Income!$C$4,MATCH(Charts!$E69,Income!$C$4:$C$134,0)-1,MATCH(Charts!CT$4,Income!$C$4:$ET$4,0)-1)</f>
        <v>1.8229999999999817</v>
      </c>
      <c r="CU69" s="1012">
        <f ca="1">OFFSET(Income!$C$4,MATCH(Charts!$E69,Income!$C$4:$C$134,0)-1,MATCH(Charts!CU$4,Income!$C$4:$ET$4,0)-1)</f>
        <v>29.427000000000003</v>
      </c>
      <c r="CV69" s="1012">
        <f ca="1">OFFSET(Income!$C$4,MATCH(Charts!$E69,Income!$C$4:$C$134,0)-1,MATCH(Charts!CV$4,Income!$C$4:$ET$4,0)-1)</f>
        <v>38.893999999999878</v>
      </c>
      <c r="CW69" s="1012">
        <f ca="1">OFFSET(Income!$C$4,MATCH(Charts!$E69,Income!$C$4:$C$134,0)-1,MATCH(Charts!CW$4,Income!$C$4:$ET$4,0)-1)</f>
        <v>71.267000000000039</v>
      </c>
      <c r="CX69" s="1012">
        <f ca="1">OFFSET(Income!$C$4,MATCH(Charts!$E69,Income!$C$4:$C$134,0)-1,MATCH(Charts!CX$4,Income!$C$4:$ET$4,0)-1)</f>
        <v>486.14200000000005</v>
      </c>
      <c r="CY69" s="1012">
        <f ca="1">OFFSET(Income!$C$4,MATCH(Charts!$E69,Income!$C$4:$C$134,0)-1,MATCH(Charts!CY$4,Income!$C$4:$ET$4,0)-1)</f>
        <v>762.15030000000002</v>
      </c>
      <c r="CZ69" s="1012">
        <f ca="1">OFFSET(Income!$C$4,MATCH(Charts!$E69,Income!$C$4:$C$134,0)-1,MATCH(Charts!CZ$4,Income!$C$4:$ET$4,0)-1)</f>
        <v>42.877000000000223</v>
      </c>
      <c r="DA69" s="1012">
        <f ca="1">OFFSET(Income!$C$4,MATCH(Charts!$E69,Income!$C$4:$C$134,0)-1,MATCH(Charts!DA$4,Income!$C$4:$ET$4,0)-1)</f>
        <v>988</v>
      </c>
      <c r="DB69" s="1012">
        <f ca="1">OFFSET(Income!$C$4,MATCH(Charts!$E69,Income!$C$4:$C$134,0)-1,MATCH(Charts!DB$4,Income!$C$4:$ET$4,0)-1)</f>
        <v>1508</v>
      </c>
      <c r="DC69" s="1012" t="e">
        <f ca="1">OFFSET(Income!$C$4,MATCH(Charts!$E69,Income!$C$4:$C$134,0)-1,MATCH(Charts!DC$4,Income!$C$4:$ET$4,0)-1)</f>
        <v>#N/A</v>
      </c>
      <c r="DD69" s="1012">
        <f ca="1">OFFSET(Income!$C$4,MATCH(Charts!$E69,Income!$C$4:$C$134,0)-1,MATCH(Charts!DD$4,Income!$C$4:$ET$4,0)-1)</f>
        <v>2912.1713812152248</v>
      </c>
      <c r="DE69" s="1012">
        <f ca="1">OFFSET(Income!$C$4,MATCH(Charts!$E69,Income!$C$4:$C$134,0)-1,MATCH(Charts!DE$4,Income!$C$4:$ET$4,0)-1)</f>
        <v>3866.5000240983682</v>
      </c>
      <c r="DF69" s="1012">
        <f ca="1">OFFSET(Income!$C$4,MATCH(Charts!$E69,Income!$C$4:$C$134,0)-1,MATCH(Charts!DF$4,Income!$C$4:$ET$4,0)-1)</f>
        <v>4558.9722918100033</v>
      </c>
      <c r="DG69" s="1012">
        <f ca="1">OFFSET(Income!$C$4,MATCH(Charts!$E69,Income!$C$4:$C$134,0)-1,MATCH(Charts!DG$4,Income!$C$4:$ET$4,0)-1)</f>
        <v>5534.7497292804292</v>
      </c>
      <c r="DH69" s="1012">
        <f ca="1">OFFSET(Income!$C$4,MATCH(Charts!$E69,Income!$C$4:$C$134,0)-1,MATCH(Charts!DH$4,Income!$C$4:$ET$4,0)-1)</f>
        <v>6677.1562220772894</v>
      </c>
    </row>
    <row r="70" spans="2:112">
      <c r="E70" s="9" t="s">
        <v>155</v>
      </c>
      <c r="F70" s="1019">
        <f ca="1">OFFSET(Income!$C$4,MATCH(Charts!$E69,Income!$C$4:$C$134,0)+2,MATCH(Charts!F$3,Income!$C$5:$ET$5,0)-1)</f>
        <v>-3.9355353263111424E-2</v>
      </c>
      <c r="G70" s="1008">
        <f ca="1">OFFSET(Income!$C$4,MATCH(Charts!$E69,Income!$C$4:$C$134,0)+2,MATCH(Charts!G$3,Income!$C$5:$ET$5,0)-1)</f>
        <v>-5.0203700070401269E-3</v>
      </c>
      <c r="H70" s="1008">
        <f ca="1">OFFSET(Income!$C$4,MATCH(Charts!$E69,Income!$C$4:$C$134,0)+2,MATCH(Charts!H$3,Income!$C$5:$ET$5,0)-1)</f>
        <v>1.4933017333145832E-2</v>
      </c>
      <c r="I70" s="1008">
        <f ca="1">OFFSET(Income!$C$4,MATCH(Charts!$E69,Income!$C$4:$C$134,0)+2,MATCH(Charts!I$3,Income!$C$5:$ET$5,0)-1)</f>
        <v>2.7864062032626813E-2</v>
      </c>
      <c r="J70" s="1008">
        <f ca="1">OFFSET(Income!$C$4,MATCH(Charts!$E69,Income!$C$4:$C$134,0)+2,MATCH(Charts!J$3,Income!$C$5:$ET$5,0)-1)</f>
        <v>1.7271292756263971E-3</v>
      </c>
      <c r="K70" s="1008">
        <f ca="1">OFFSET(Income!$C$4,MATCH(Charts!$E69,Income!$C$4:$C$134,0)+2,MATCH(Charts!K$3,Income!$C$5:$ET$5,0)-1)</f>
        <v>1.5924301869374595E-2</v>
      </c>
      <c r="L70" s="1008">
        <f ca="1">OFFSET(Income!$C$4,MATCH(Charts!$E69,Income!$C$4:$C$134,0)+2,MATCH(Charts!L$3,Income!$C$5:$ET$5,0)-1)</f>
        <v>4.3451381112355435E-2</v>
      </c>
      <c r="M70" s="1008">
        <f ca="1">OFFSET(Income!$C$4,MATCH(Charts!$E69,Income!$C$4:$C$134,0)+2,MATCH(Charts!M$3,Income!$C$5:$ET$5,0)-1)</f>
        <v>8.6807830746721354E-2</v>
      </c>
      <c r="N70" s="1008">
        <f ca="1">OFFSET(Income!$C$4,MATCH(Charts!$E69,Income!$C$4:$C$134,0)+2,MATCH(Charts!N$3,Income!$C$5:$ET$5,0)-1)</f>
        <v>3.4356629653820921E-2</v>
      </c>
      <c r="O70" s="1008">
        <f ca="1">OFFSET(Income!$C$4,MATCH(Charts!$E69,Income!$C$4:$C$134,0)+2,MATCH(Charts!O$3,Income!$C$5:$ET$5,0)-1)</f>
        <v>1.2891742834632073E-2</v>
      </c>
      <c r="P70" s="1008">
        <f ca="1">OFFSET(Income!$C$4,MATCH(Charts!$E69,Income!$C$4:$C$134,0)+2,MATCH(Charts!P$3,Income!$C$5:$ET$5,0)-1)</f>
        <v>9.4644232478226648E-3</v>
      </c>
      <c r="Q70" s="1008">
        <f ca="1">OFFSET(Income!$C$4,MATCH(Charts!$E69,Income!$C$4:$C$134,0)+2,MATCH(Charts!Q$3,Income!$C$5:$ET$5,0)-1)</f>
        <v>7.5076629578144566E-2</v>
      </c>
      <c r="R70" s="1008">
        <f ca="1">OFFSET(Income!$C$4,MATCH(Charts!$E69,Income!$C$4:$C$134,0)+2,MATCH(Charts!R$3,Income!$C$5:$ET$5,0)-1)</f>
        <v>1.7021236762126888E-2</v>
      </c>
      <c r="S70" s="1008">
        <f ca="1">OFFSET(Income!$C$4,MATCH(Charts!$E69,Income!$C$4:$C$134,0)+2,MATCH(Charts!S$3,Income!$C$5:$ET$5,0)-1)</f>
        <v>3.3659411181311619E-2</v>
      </c>
      <c r="T70" s="1008">
        <f ca="1">OFFSET(Income!$C$4,MATCH(Charts!$E69,Income!$C$4:$C$134,0)+2,MATCH(Charts!T$3,Income!$C$5:$ET$5,0)-1)</f>
        <v>4.5023453983080462E-2</v>
      </c>
      <c r="U70" s="1008">
        <f ca="1">OFFSET(Income!$C$4,MATCH(Charts!$E69,Income!$C$4:$C$134,0)+2,MATCH(Charts!U$3,Income!$C$5:$ET$5,0)-1)</f>
        <v>7.1351650962071522E-2</v>
      </c>
      <c r="V70" s="1008">
        <f ca="1">OFFSET(Income!$C$4,MATCH(Charts!$E69,Income!$C$4:$C$134,0)+2,MATCH(Charts!V$3,Income!$C$5:$ET$5,0)-1)</f>
        <v>2.295739796298307E-3</v>
      </c>
      <c r="W70" s="1008">
        <f ca="1">OFFSET(Income!$C$4,MATCH(Charts!$E69,Income!$C$4:$C$134,0)+2,MATCH(Charts!W$3,Income!$C$5:$ET$5,0)-1)</f>
        <v>0.17961309794621902</v>
      </c>
      <c r="X70" s="1008">
        <f ca="1">OFFSET(Income!$C$4,MATCH(Charts!$E69,Income!$C$4:$C$134,0)+2,MATCH(Charts!X$3,Income!$C$5:$ET$5,0)-1)</f>
        <v>0.18742775978785653</v>
      </c>
      <c r="Y70" s="1008">
        <f ca="1">OFFSET(Income!$C$4,MATCH(Charts!$E69,Income!$C$4:$C$134,0)+2,MATCH(Charts!Y$3,Income!$C$5:$ET$5,0)-1)</f>
        <v>0.21777172756877053</v>
      </c>
      <c r="Z70" s="1008">
        <f ca="1">OFFSET(Income!$C$4,MATCH(Charts!$E69,Income!$C$4:$C$134,0)+2,MATCH(Charts!Z$3,Income!$C$5:$ET$5,0)-1)</f>
        <v>0.22421248433465121</v>
      </c>
      <c r="AA70" s="1008">
        <f ca="1">OFFSET(Income!$C$4,MATCH(Charts!$E69,Income!$C$4:$C$134,0)+2,MATCH(Charts!AA$3,Income!$C$5:$ET$5,0)-1)</f>
        <v>0.22033239685737122</v>
      </c>
      <c r="AB70" s="1008">
        <f ca="1">OFFSET(Income!$C$4,MATCH(Charts!$E69,Income!$C$4:$C$134,0)+2,MATCH(Charts!AB$3,Income!$C$5:$ET$5,0)-1)</f>
        <v>0.13151262747610656</v>
      </c>
      <c r="AC70" s="1008">
        <f ca="1">OFFSET(Income!$C$4,MATCH(Charts!$E69,Income!$C$4:$C$134,0)+2,MATCH(Charts!AC$3,Income!$C$5:$ET$5,0)-1)</f>
        <v>0.10582953629791962</v>
      </c>
      <c r="AD70" s="1008">
        <f ca="1">OFFSET(Income!$C$4,MATCH(Charts!$E69,Income!$C$4:$C$134,0)+2,MATCH(Charts!AD$3,Income!$C$5:$ET$5,0)-1)</f>
        <v>3.4801594851544132E-2</v>
      </c>
      <c r="AE70" s="1008">
        <f ca="1">OFFSET(Income!$C$4,MATCH(Charts!$E69,Income!$C$4:$C$134,0)+2,MATCH(Charts!AE$3,Income!$C$5:$ET$5,0)-1)</f>
        <v>-2.5245103906141986E-2</v>
      </c>
      <c r="AF70" s="1008">
        <f ca="1">OFFSET(Income!$C$4,MATCH(Charts!$E69,Income!$C$4:$C$134,0)+2,MATCH(Charts!AF$3,Income!$C$5:$ET$5,0)-1)</f>
        <v>-2.6796223100570931E-2</v>
      </c>
      <c r="AG70" s="1008">
        <f ca="1">OFFSET(Income!$C$4,MATCH(Charts!$E69,Income!$C$4:$C$134,0)+2,MATCH(Charts!AG$3,Income!$C$5:$ET$5,0)-1)</f>
        <v>4.0514634767703152E-2</v>
      </c>
      <c r="AH70" s="1008">
        <f ca="1">OFFSET(Income!$C$4,MATCH(Charts!$E69,Income!$C$4:$C$134,0)+2,MATCH(Charts!AH$3,Income!$C$5:$ET$5,0)-1)</f>
        <v>-1.1273209549071617E-2</v>
      </c>
      <c r="AI70" s="1008">
        <f ca="1">OFFSET(Income!$C$4,MATCH(Charts!$E69,Income!$C$4:$C$134,0)+2,MATCH(Charts!AI$3,Income!$C$5:$ET$5,0)-1)</f>
        <v>0.18831168831168832</v>
      </c>
      <c r="AJ70" s="1008">
        <f ca="1">OFFSET(Income!$C$4,MATCH(Charts!$E69,Income!$C$4:$C$134,0)+2,MATCH(Charts!AJ$3,Income!$C$5:$ET$5,0)-1)</f>
        <v>0.16569428238039674</v>
      </c>
      <c r="AK70" s="1008">
        <f ca="1">OFFSET(Income!$C$4,MATCH(Charts!$E69,Income!$C$4:$C$134,0)+2,MATCH(Charts!AK$3,Income!$C$5:$ET$5,0)-1)</f>
        <v>0.1875</v>
      </c>
      <c r="AL70" s="1008">
        <f ca="1">OFFSET(Income!$C$4,MATCH(Charts!$E69,Income!$C$4:$C$134,0)+2,MATCH(Charts!AL$3,Income!$C$5:$ET$5,0)-1)</f>
        <v>0.11123052122514777</v>
      </c>
      <c r="AM70" s="1008">
        <f ca="1">OFFSET(Income!$C$4,MATCH(Charts!$E69,Income!$C$4:$C$134,0)+2,MATCH(Charts!AM$3,Income!$C$5:$ET$5,0)-1)</f>
        <v>0.1491442542787286</v>
      </c>
      <c r="AN70" s="1008">
        <f ca="1">OFFSET(Income!$C$4,MATCH(Charts!$E69,Income!$C$4:$C$134,0)+2,MATCH(Charts!AN$3,Income!$C$5:$ET$5,0)-1)</f>
        <v>0.1877890841813136</v>
      </c>
      <c r="AO70" s="1008">
        <f ca="1">OFFSET(Income!$C$4,MATCH(Charts!$E69,Income!$C$4:$C$134,0)+2,MATCH(Charts!AO$3,Income!$C$5:$ET$5,0)-1)</f>
        <v>0.20981507823613088</v>
      </c>
      <c r="AP70" s="1008">
        <f ca="1">OFFSET(Income!$C$4,MATCH(Charts!$E69,Income!$C$4:$C$134,0)+2,MATCH(Charts!AP$3,Income!$C$5:$ET$5,0)-1)</f>
        <v>0.14152542372881355</v>
      </c>
      <c r="AQ70" s="1008">
        <f ca="1">OFFSET(Income!$C$4,MATCH(Charts!$E69,Income!$C$4:$C$134,0)+2,MATCH(Charts!AQ$3,Income!$C$5:$ET$5,0)-1)</f>
        <v>0.16007462686567164</v>
      </c>
      <c r="AR70" s="1008">
        <f ca="1">OFFSET(Income!$C$4,MATCH(Charts!$E69,Income!$C$4:$C$134,0)+2,MATCH(Charts!AR$3,Income!$C$5:$ET$5,0)-1)</f>
        <v>0.16526019690576652</v>
      </c>
      <c r="AS70" s="1008">
        <f ca="1">OFFSET(Income!$C$4,MATCH(Charts!$E69,Income!$C$4:$C$134,0)+2,MATCH(Charts!AS$3,Income!$C$5:$ET$5,0)-1)</f>
        <v>0.20778867102396514</v>
      </c>
      <c r="AT70" s="1008">
        <f ca="1">OFFSET(Income!$C$4,MATCH(Charts!$E69,Income!$C$4:$C$134,0)+2,MATCH(Charts!AT$3,Income!$C$5:$ET$5,0)-1)</f>
        <v>0.16624605678233439</v>
      </c>
      <c r="AU70" s="1008">
        <f ca="1">OFFSET(Income!$C$4,MATCH(Charts!$E69,Income!$C$4:$C$134,0)+2,MATCH(Charts!AU$3,Income!$C$5:$ET$5,0)-1)</f>
        <v>0.17527211833658946</v>
      </c>
      <c r="AV70" s="1008">
        <f ca="1">OFFSET(Income!$C$4,MATCH(Charts!$E69,Income!$C$4:$C$134,0)+2,MATCH(Charts!AV$3,Income!$C$5:$ET$5,0)-1)</f>
        <v>0.19229033826711583</v>
      </c>
      <c r="AW70" s="1008">
        <f ca="1">OFFSET(Income!$C$4,MATCH(Charts!$E69,Income!$C$4:$C$134,0)+2,MATCH(Charts!AW$3,Income!$C$5:$ET$5,0)-1)</f>
        <v>0.21979653373958785</v>
      </c>
      <c r="AX70" s="1008">
        <f ca="1">OFFSET(Income!$C$4,MATCH(Charts!$E69,Income!$C$4:$C$134,0)+2,MATCH(Charts!AX$3,Income!$C$5:$ET$5,0)-1)</f>
        <v>0.17295830226232886</v>
      </c>
      <c r="AY70" s="1008">
        <f ca="1">OFFSET(Income!$C$4,MATCH(Charts!$E69,Income!$C$4:$C$134,0)+2,MATCH(Charts!AY$3,Income!$C$5:$ET$5,0)-1)</f>
        <v>0.1862272145155493</v>
      </c>
      <c r="AZ70" s="1008">
        <f ca="1">OFFSET(Income!$C$4,MATCH(Charts!$E69,Income!$C$4:$C$134,0)+2,MATCH(Charts!AZ$3,Income!$C$5:$ET$5,0)-1)</f>
        <v>0.20395920703739076</v>
      </c>
      <c r="BA70" s="1008">
        <f ca="1">OFFSET(Income!$C$4,MATCH(Charts!$E69,Income!$C$4:$C$134,0)+2,MATCH(Charts!BA$3,Income!$C$5:$ET$5,0)-1)</f>
        <v>0.23261398673750081</v>
      </c>
      <c r="BB70" s="1008">
        <f ca="1">OFFSET(Income!$C$4,MATCH(Charts!$E69,Income!$C$4:$C$134,0)+2,MATCH(Charts!BB$3,Income!$C$5:$ET$5,0)-1)</f>
        <v>0.17248135876373294</v>
      </c>
      <c r="BC70" s="1008">
        <f ca="1">OFFSET(Income!$C$4,MATCH(Charts!$E69,Income!$C$4:$C$134,0)+2,MATCH(Charts!BC$3,Income!$C$5:$ET$5,0)-1)</f>
        <v>0.18811268748390561</v>
      </c>
      <c r="BD70" s="1008">
        <f ca="1">OFFSET(Income!$C$4,MATCH(Charts!$E69,Income!$C$4:$C$134,0)+2,MATCH(Charts!BD$3,Income!$C$5:$ET$5,0)-1)</f>
        <v>0.19685184423759283</v>
      </c>
      <c r="BE70" s="1008">
        <f ca="1">OFFSET(Income!$C$4,MATCH(Charts!$E69,Income!$C$4:$C$134,0)+2,MATCH(Charts!BE$3,Income!$C$5:$ET$5,0)-1)</f>
        <v>0.22193656308955567</v>
      </c>
      <c r="BF70" s="1008">
        <f ca="1">OFFSET(Income!$C$4,MATCH(Charts!$E69,Income!$C$4:$C$134,0)+2,MATCH(Charts!BF$3,Income!$C$5:$ET$5,0)-1)</f>
        <v>0.17719977719285526</v>
      </c>
      <c r="BG70" s="1008">
        <f ca="1">OFFSET(Income!$C$4,MATCH(Charts!$E69,Income!$C$4:$C$134,0)+2,MATCH(Charts!BG$3,Income!$C$5:$ET$5,0)-1)</f>
        <v>0.1929527129265034</v>
      </c>
      <c r="BH70" s="1008">
        <f ca="1">OFFSET(Income!$C$4,MATCH(Charts!$E69,Income!$C$4:$C$134,0)+2,MATCH(Charts!BH$3,Income!$C$5:$ET$5,0)-1)</f>
        <v>0.20147360551974111</v>
      </c>
      <c r="BI70" s="1008">
        <f ca="1">OFFSET(Income!$C$4,MATCH(Charts!$E69,Income!$C$4:$C$134,0)+2,MATCH(Charts!BI$3,Income!$C$5:$ET$5,0)-1)</f>
        <v>0.22678526028601947</v>
      </c>
      <c r="BJ70" s="1008">
        <f ca="1">OFFSET(Income!$C$4,MATCH(Charts!$E69,Income!$C$4:$C$134,0)+2,MATCH(Charts!BJ$3,Income!$C$5:$ET$5,0)-1)</f>
        <v>0.18289048329020779</v>
      </c>
      <c r="BK70" s="1008">
        <f ca="1">OFFSET(Income!$C$4,MATCH(Charts!$E69,Income!$C$4:$C$134,0)+2,MATCH(Charts!BK$3,Income!$C$5:$ET$5,0)-1)</f>
        <v>0.19871998270702268</v>
      </c>
      <c r="BL70" s="1008">
        <f ca="1">OFFSET(Income!$C$4,MATCH(Charts!$E69,Income!$C$4:$C$134,0)+2,MATCH(Charts!BL$3,Income!$C$5:$ET$5,0)-1)</f>
        <v>0.20711507402602064</v>
      </c>
      <c r="BM70" s="1008">
        <f ca="1">OFFSET(Income!$C$4,MATCH(Charts!$E69,Income!$C$4:$C$134,0)+2,MATCH(Charts!BM$3,Income!$C$5:$ET$5,0)-1)</f>
        <v>0.23254763696263941</v>
      </c>
      <c r="BN70" s="889"/>
      <c r="BO70" s="889"/>
      <c r="BP70" s="889"/>
      <c r="BQ70" s="889"/>
      <c r="BR70" s="889"/>
      <c r="BS70" s="889"/>
      <c r="BT70" s="889"/>
      <c r="BU70" s="889"/>
      <c r="BV70" s="889"/>
      <c r="BW70" s="889"/>
      <c r="BX70" s="889"/>
      <c r="BY70" s="889"/>
      <c r="BZ70" s="889"/>
      <c r="CA70" s="889"/>
      <c r="CB70" s="889"/>
      <c r="CC70" s="889"/>
      <c r="CD70" s="889"/>
      <c r="CE70" s="889"/>
      <c r="CF70" s="889"/>
      <c r="CG70" s="889"/>
      <c r="CH70" s="889"/>
      <c r="CI70" s="889"/>
      <c r="CJ70" s="889"/>
      <c r="CK70" s="889"/>
      <c r="CL70" s="889"/>
      <c r="CM70" s="889"/>
      <c r="CN70" s="889"/>
      <c r="CO70" s="889"/>
      <c r="CP70" s="889"/>
      <c r="CQ70" s="889"/>
      <c r="CR70" s="889"/>
      <c r="CS70" s="1028" t="str">
        <f>E70</f>
        <v>Adjusted EBITDA margin</v>
      </c>
      <c r="CT70" s="1008">
        <f ca="1">OFFSET(Income!$C$4,MATCH(Charts!$E69,Income!$C$4:$C$134,0)+2,MATCH(Charts!CT$4,Income!$C$4:$ET$4,0)-1)</f>
        <v>4.6824031027662442E-3</v>
      </c>
      <c r="CU70" s="1008">
        <f ca="1">OFFSET(Income!$C$4,MATCH(Charts!$E69,Income!$C$4:$C$134,0)+2,MATCH(Charts!CU$4,Income!$C$4:$ET$4,0)-1)</f>
        <v>4.3705369342822861E-2</v>
      </c>
      <c r="CV70" s="1008">
        <f ca="1">OFFSET(Income!$C$4,MATCH(Charts!$E69,Income!$C$4:$C$134,0)+2,MATCH(Charts!CV$4,Income!$C$4:$ET$4,0)-1)</f>
        <v>3.6240168687204581E-2</v>
      </c>
      <c r="CW70" s="1008">
        <f ca="1">OFFSET(Income!$C$4,MATCH(Charts!$E69,Income!$C$4:$C$134,0)+2,MATCH(Charts!CW$4,Income!$C$4:$ET$4,0)-1)</f>
        <v>4.5157913612766179E-2</v>
      </c>
      <c r="CX70" s="1008">
        <f ca="1">OFFSET(Income!$C$4,MATCH(Charts!$E69,Income!$C$4:$C$134,0)+2,MATCH(Charts!CX$4,Income!$C$4:$ET$4,0)-1)</f>
        <v>0.16594759977074516</v>
      </c>
      <c r="CY70" s="1008">
        <f ca="1">OFFSET(Income!$C$4,MATCH(Charts!$E69,Income!$C$4:$C$134,0)+2,MATCH(Charts!CY$4,Income!$C$4:$ET$4,0)-1)</f>
        <v>0.16525891094604864</v>
      </c>
      <c r="CZ70" s="1008">
        <f ca="1">OFFSET(Income!$C$4,MATCH(Charts!$E69,Income!$C$4:$C$134,0)+2,MATCH(Charts!CZ$4,Income!$C$4:$ET$4,0)-1)</f>
        <v>7.656793093546597E-3</v>
      </c>
      <c r="DA70" s="1008">
        <f ca="1">OFFSET(Income!$C$4,MATCH(Charts!$E69,Income!$C$4:$C$134,0)+2,MATCH(Charts!DA$4,Income!$C$4:$ET$4,0)-1)</f>
        <v>0.13994334277620396</v>
      </c>
      <c r="DB70" s="1008">
        <f ca="1">OFFSET(Income!$C$4,MATCH(Charts!$E69,Income!$C$4:$C$134,0)+2,MATCH(Charts!DB$4,Income!$C$4:$ET$4,0)-1)</f>
        <v>0.16981981981981981</v>
      </c>
      <c r="DC70" s="1008" t="e">
        <f ca="1">OFFSET(Income!$C$4,MATCH(Charts!$E69,Income!$C$4:$C$134,0)+2,MATCH(Charts!DC$4,Income!$C$4:$ET$4,0)-1)</f>
        <v>#N/A</v>
      </c>
      <c r="DD70" s="1008">
        <f ca="1">OFFSET(Income!$C$4,MATCH(Charts!$E69,Income!$C$4:$C$134,0)+2,MATCH(Charts!DD$4,Income!$C$4:$ET$4,0)-1)</f>
        <v>0.19144304401143999</v>
      </c>
      <c r="DE70" s="1008">
        <f ca="1">OFFSET(Income!$C$4,MATCH(Charts!$E69,Income!$C$4:$C$134,0)+2,MATCH(Charts!DE$4,Income!$C$4:$ET$4,0)-1)</f>
        <v>0.20207188901831638</v>
      </c>
      <c r="DF70" s="1008">
        <f ca="1">OFFSET(Income!$C$4,MATCH(Charts!$E69,Income!$C$4:$C$134,0)+2,MATCH(Charts!DF$4,Income!$C$4:$ET$4,0)-1)</f>
        <v>0.19738107389392509</v>
      </c>
      <c r="DG70" s="1008">
        <f ca="1">OFFSET(Income!$C$4,MATCH(Charts!$E69,Income!$C$4:$C$134,0)+2,MATCH(Charts!DG$4,Income!$C$4:$ET$4,0)-1)</f>
        <v>0.20214950005189752</v>
      </c>
      <c r="DH70" s="1008">
        <f ca="1">OFFSET(Income!$C$4,MATCH(Charts!$E69,Income!$C$4:$C$134,0)+2,MATCH(Charts!DH$4,Income!$C$4:$ET$4,0)-1)</f>
        <v>0.20786984380131071</v>
      </c>
    </row>
    <row r="71" spans="2:112">
      <c r="E71" s="13"/>
      <c r="F71" s="1019"/>
      <c r="G71" s="1008"/>
      <c r="H71" s="1008"/>
      <c r="I71" s="1008"/>
      <c r="J71" s="1008"/>
      <c r="K71" s="1008"/>
      <c r="L71" s="1008"/>
      <c r="M71" s="1008"/>
      <c r="N71" s="1008"/>
      <c r="O71" s="1008"/>
      <c r="P71" s="1008"/>
      <c r="Q71" s="1008"/>
      <c r="R71" s="1008"/>
      <c r="S71" s="1008"/>
      <c r="T71" s="1008"/>
      <c r="U71" s="1008"/>
      <c r="V71" s="1008"/>
      <c r="W71" s="1008"/>
      <c r="X71" s="1008"/>
      <c r="Y71" s="1008"/>
      <c r="Z71" s="1008"/>
      <c r="AA71" s="1008"/>
      <c r="AB71" s="1008"/>
      <c r="AC71" s="1008"/>
      <c r="AD71" s="1008"/>
      <c r="AE71" s="1008"/>
      <c r="AF71" s="1008"/>
      <c r="AG71" s="1008"/>
      <c r="AH71" s="1008"/>
      <c r="AI71" s="1008"/>
      <c r="AJ71" s="1008"/>
      <c r="AK71" s="1008"/>
      <c r="AL71" s="1008"/>
      <c r="AM71" s="1008"/>
      <c r="AN71" s="1008"/>
      <c r="AO71" s="1008"/>
      <c r="AP71" s="1008"/>
      <c r="AQ71" s="1008"/>
      <c r="AR71" s="1008"/>
      <c r="AS71" s="1008"/>
      <c r="AT71" s="1008"/>
      <c r="AU71" s="1008"/>
      <c r="AV71" s="1008"/>
      <c r="AW71" s="1008"/>
      <c r="AX71" s="1008"/>
      <c r="AY71" s="1008"/>
      <c r="AZ71" s="1008"/>
      <c r="BA71" s="1008"/>
      <c r="BB71" s="1008"/>
      <c r="BC71" s="1008"/>
      <c r="BD71" s="1008"/>
      <c r="BE71" s="1008"/>
      <c r="BF71" s="1008"/>
      <c r="BG71" s="1008"/>
      <c r="BH71" s="1008"/>
      <c r="BI71" s="1008"/>
      <c r="BJ71" s="1008"/>
      <c r="BK71" s="1008"/>
      <c r="BL71" s="1008"/>
      <c r="BM71" s="1008"/>
      <c r="BN71" s="889"/>
      <c r="BO71" s="889"/>
      <c r="BP71" s="889"/>
      <c r="BQ71" s="889"/>
      <c r="BR71" s="889"/>
      <c r="BS71" s="889"/>
      <c r="BT71" s="889"/>
      <c r="BU71" s="889"/>
      <c r="BV71" s="889"/>
      <c r="BW71" s="889"/>
      <c r="BX71" s="889"/>
      <c r="BY71" s="889"/>
      <c r="BZ71" s="889"/>
      <c r="CA71" s="889"/>
      <c r="CB71" s="889"/>
      <c r="CC71" s="889"/>
      <c r="CD71" s="889"/>
      <c r="CE71" s="889"/>
      <c r="CF71" s="889"/>
      <c r="CG71" s="889"/>
      <c r="CH71" s="889"/>
      <c r="CI71" s="889"/>
      <c r="CJ71" s="889"/>
      <c r="CK71" s="889"/>
      <c r="CL71" s="889"/>
      <c r="CM71" s="889"/>
      <c r="CN71" s="889"/>
      <c r="CO71" s="889"/>
      <c r="CP71" s="889"/>
      <c r="CQ71" s="889"/>
      <c r="CR71" s="889"/>
      <c r="CS71" s="889"/>
      <c r="CT71" s="1008"/>
      <c r="CU71" s="1008"/>
      <c r="CV71" s="1008"/>
      <c r="CW71" s="1008"/>
      <c r="CX71" s="1008"/>
      <c r="CY71" s="1008"/>
      <c r="CZ71" s="1008"/>
      <c r="DA71" s="1008"/>
      <c r="DB71" s="1008"/>
      <c r="DC71" s="1008"/>
      <c r="DD71" s="1008"/>
      <c r="DE71" s="1008"/>
      <c r="DF71" s="1008"/>
      <c r="DG71" s="1008"/>
      <c r="DH71" s="1008"/>
    </row>
    <row r="72" spans="2:112">
      <c r="E72" s="13" t="str">
        <f>Income!C86</f>
        <v>Total Stock-based compensation</v>
      </c>
      <c r="F72" s="1029">
        <f ca="1">OFFSET(Income!$C$4,MATCH(Charts!$E72,Income!$C$4:$C$134,0)-1,MATCH(Charts!F$3,Income!$C$5:$ET$5,0)-1)</f>
        <v>3.46</v>
      </c>
      <c r="G72" s="1012">
        <f ca="1">OFFSET(Income!$C$4,MATCH(Charts!$E72,Income!$C$4:$C$134,0)-1,MATCH(Charts!G$3,Income!$C$5:$ET$5,0)-1)</f>
        <v>5.0860000000000003</v>
      </c>
      <c r="H72" s="1012">
        <f ca="1">OFFSET(Income!$C$4,MATCH(Charts!$E72,Income!$C$4:$C$134,0)-1,MATCH(Charts!H$3,Income!$C$5:$ET$5,0)-1)</f>
        <v>6.4870000000000001</v>
      </c>
      <c r="I72" s="1012">
        <f ca="1">OFFSET(Income!$C$4,MATCH(Charts!$E72,Income!$C$4:$C$134,0)-1,MATCH(Charts!I$3,Income!$C$5:$ET$5,0)-1)</f>
        <v>8.0620000000000012</v>
      </c>
      <c r="J72" s="1012">
        <f ca="1">OFFSET(Income!$C$4,MATCH(Charts!$E72,Income!$C$4:$C$134,0)-1,MATCH(Charts!J$3,Income!$C$5:$ET$5,0)-1)</f>
        <v>9.2070000000000007</v>
      </c>
      <c r="K72" s="1012">
        <f ca="1">OFFSET(Income!$C$4,MATCH(Charts!$E72,Income!$C$4:$C$134,0)-1,MATCH(Charts!K$3,Income!$C$5:$ET$5,0)-1)</f>
        <v>11.600999999999999</v>
      </c>
      <c r="L72" s="1012">
        <f ca="1">OFFSET(Income!$C$4,MATCH(Charts!$E72,Income!$C$4:$C$134,0)-1,MATCH(Charts!L$3,Income!$C$5:$ET$5,0)-1)</f>
        <v>13.376000000000001</v>
      </c>
      <c r="M72" s="1012">
        <f ca="1">OFFSET(Income!$C$4,MATCH(Charts!$E72,Income!$C$4:$C$134,0)-1,MATCH(Charts!M$3,Income!$C$5:$ET$5,0)-1)</f>
        <v>14.978</v>
      </c>
      <c r="N72" s="1012">
        <f ca="1">OFFSET(Income!$C$4,MATCH(Charts!$E72,Income!$C$4:$C$134,0)-1,MATCH(Charts!N$3,Income!$C$5:$ET$5,0)-1)</f>
        <v>17.925000000000001</v>
      </c>
      <c r="O72" s="1012">
        <f ca="1">OFFSET(Income!$C$4,MATCH(Charts!$E72,Income!$C$4:$C$134,0)-1,MATCH(Charts!O$3,Income!$C$5:$ET$5,0)-1)</f>
        <v>24.191000000000003</v>
      </c>
      <c r="P72" s="1012">
        <f ca="1">OFFSET(Income!$C$4,MATCH(Charts!$E72,Income!$C$4:$C$134,0)-1,MATCH(Charts!P$3,Income!$C$5:$ET$5,0)-1)</f>
        <v>26.185000000000002</v>
      </c>
      <c r="Q72" s="1012">
        <f ca="1">OFFSET(Income!$C$4,MATCH(Charts!$E72,Income!$C$4:$C$134,0)-1,MATCH(Charts!Q$3,Income!$C$5:$ET$5,0)-1)</f>
        <v>27.419</v>
      </c>
      <c r="R72" s="1012">
        <f ca="1">OFFSET(Income!$C$4,MATCH(Charts!$E72,Income!$C$4:$C$134,0)-1,MATCH(Charts!R$3,Income!$C$5:$ET$5,0)-1)</f>
        <v>31.163999999999998</v>
      </c>
      <c r="S72" s="1012">
        <f ca="1">OFFSET(Income!$C$4,MATCH(Charts!$E72,Income!$C$4:$C$134,0)-1,MATCH(Charts!S$3,Income!$C$5:$ET$5,0)-1)</f>
        <v>39.268000000000001</v>
      </c>
      <c r="T72" s="1012">
        <f ca="1">OFFSET(Income!$C$4,MATCH(Charts!$E72,Income!$C$4:$C$134,0)-1,MATCH(Charts!T$3,Income!$C$5:$ET$5,0)-1)</f>
        <v>40.032000000000004</v>
      </c>
      <c r="U72" s="1012">
        <f ca="1">OFFSET(Income!$C$4,MATCH(Charts!$E72,Income!$C$4:$C$134,0)-1,MATCH(Charts!U$3,Income!$C$5:$ET$5,0)-1)</f>
        <v>47.991999999999997</v>
      </c>
      <c r="V72" s="1012">
        <f ca="1">OFFSET(Income!$C$4,MATCH(Charts!$E72,Income!$C$4:$C$134,0)-1,MATCH(Charts!V$3,Income!$C$5:$ET$5,0)-1)</f>
        <v>53.752000000000002</v>
      </c>
      <c r="W72" s="1012">
        <f ca="1">OFFSET(Income!$C$4,MATCH(Charts!$E72,Income!$C$4:$C$134,0)-1,MATCH(Charts!W$3,Income!$C$5:$ET$5,0)-1)</f>
        <v>62.323999999999998</v>
      </c>
      <c r="X72" s="1012">
        <f ca="1">OFFSET(Income!$C$4,MATCH(Charts!$E72,Income!$C$4:$C$134,0)-1,MATCH(Charts!X$3,Income!$C$5:$ET$5,0)-1)</f>
        <v>63.806999999999988</v>
      </c>
      <c r="Y72" s="1012">
        <f ca="1">OFFSET(Income!$C$4,MATCH(Charts!$E72,Income!$C$4:$C$134,0)-1,MATCH(Charts!Y$3,Income!$C$5:$ET$5,0)-1)</f>
        <v>67.057000000000002</v>
      </c>
      <c r="Z72" s="1012">
        <f ca="1">OFFSET(Income!$C$4,MATCH(Charts!$E72,Income!$C$4:$C$134,0)-1,MATCH(Charts!Z$3,Income!$C$5:$ET$5,0)-1)</f>
        <v>69.156000000000006</v>
      </c>
      <c r="AA72" s="1012">
        <f ca="1">OFFSET(Income!$C$4,MATCH(Charts!$E72,Income!$C$4:$C$134,0)-1,MATCH(Charts!AA$3,Income!$C$5:$ET$5,0)-1)</f>
        <v>81.957999999999998</v>
      </c>
      <c r="AB72" s="1012">
        <f ca="1">OFFSET(Income!$C$4,MATCH(Charts!$E72,Income!$C$4:$C$134,0)-1,MATCH(Charts!AB$3,Income!$C$5:$ET$5,0)-1)</f>
        <v>81.34</v>
      </c>
      <c r="AC72" s="1012">
        <f ca="1">OFFSET(Income!$C$4,MATCH(Charts!$E72,Income!$C$4:$C$134,0)-1,MATCH(Charts!AC$3,Income!$C$5:$ET$5,0)-1)</f>
        <v>98.314300000000003</v>
      </c>
      <c r="AD72" s="1012">
        <f ca="1">OFFSET(Income!$C$4,MATCH(Charts!$E72,Income!$C$4:$C$134,0)-1,MATCH(Charts!AD$3,Income!$C$5:$ET$5,0)-1)</f>
        <v>117.98899999999999</v>
      </c>
      <c r="AE72" s="1012">
        <f ca="1">OFFSET(Income!$C$4,MATCH(Charts!$E72,Income!$C$4:$C$134,0)-1,MATCH(Charts!AE$3,Income!$C$5:$ET$5,0)-1)</f>
        <v>139.41900000000001</v>
      </c>
      <c r="AF72" s="1012">
        <f ca="1">OFFSET(Income!$C$4,MATCH(Charts!$E72,Income!$C$4:$C$134,0)-1,MATCH(Charts!AF$3,Income!$C$5:$ET$5,0)-1)</f>
        <v>149.98999999999998</v>
      </c>
      <c r="AG72" s="1012">
        <f ca="1">OFFSET(Income!$C$4,MATCH(Charts!$E72,Income!$C$4:$C$134,0)-1,MATCH(Charts!AG$3,Income!$C$5:$ET$5,0)-1)</f>
        <v>141.744</v>
      </c>
      <c r="AH72" s="1012">
        <f ca="1">OFFSET(Income!$C$4,MATCH(Charts!$E72,Income!$C$4:$C$134,0)-1,MATCH(Charts!AH$3,Income!$C$5:$ET$5,0)-1)</f>
        <v>135</v>
      </c>
      <c r="AI72" s="1012">
        <f ca="1">OFFSET(Income!$C$4,MATCH(Charts!$E72,Income!$C$4:$C$134,0)-1,MATCH(Charts!AI$3,Income!$C$5:$ET$5,0)-1)</f>
        <v>280</v>
      </c>
      <c r="AJ72" s="1012">
        <f ca="1">OFFSET(Income!$C$4,MATCH(Charts!$E72,Income!$C$4:$C$134,0)-1,MATCH(Charts!AJ$3,Income!$C$5:$ET$5,0)-1)</f>
        <v>102</v>
      </c>
      <c r="AK72" s="1012">
        <f ca="1">OFFSET(Income!$C$4,MATCH(Charts!$E72,Income!$C$4:$C$134,0)-1,MATCH(Charts!AK$3,Income!$C$5:$ET$5,0)-1)</f>
        <v>98</v>
      </c>
      <c r="AL72" s="1012">
        <f ca="1">OFFSET(Income!$C$4,MATCH(Charts!$E72,Income!$C$4:$C$134,0)-1,MATCH(Charts!AL$3,Income!$C$5:$ET$5,0)-1)</f>
        <v>105</v>
      </c>
      <c r="AM72" s="1012">
        <f ca="1">OFFSET(Income!$C$4,MATCH(Charts!$E72,Income!$C$4:$C$134,0)-1,MATCH(Charts!AM$3,Income!$C$5:$ET$5,0)-1)</f>
        <v>106</v>
      </c>
      <c r="AN72" s="1012">
        <f ca="1">OFFSET(Income!$C$4,MATCH(Charts!$E72,Income!$C$4:$C$134,0)-1,MATCH(Charts!AN$3,Income!$C$5:$ET$5,0)-1)</f>
        <v>110</v>
      </c>
      <c r="AO72" s="1012">
        <f ca="1">OFFSET(Income!$C$4,MATCH(Charts!$E72,Income!$C$4:$C$134,0)-1,MATCH(Charts!AO$3,Income!$C$5:$ET$5,0)-1)</f>
        <v>109</v>
      </c>
      <c r="AP72" s="1012">
        <f ca="1">OFFSET(Income!$C$4,MATCH(Charts!$E72,Income!$C$4:$C$134,0)-1,MATCH(Charts!AP$3,Income!$C$5:$ET$5,0)-1)</f>
        <v>114</v>
      </c>
      <c r="AQ72" s="1012">
        <f ca="1">OFFSET(Income!$C$4,MATCH(Charts!$E72,Income!$C$4:$C$134,0)-1,MATCH(Charts!AQ$3,Income!$C$5:$ET$5,0)-1)</f>
        <v>113</v>
      </c>
      <c r="AR72" s="1012">
        <f ca="1">OFFSET(Income!$C$4,MATCH(Charts!$E72,Income!$C$4:$C$134,0)-1,MATCH(Charts!AR$3,Income!$C$5:$ET$5,0)-1)</f>
        <v>107</v>
      </c>
      <c r="AS72" s="1012">
        <f ca="1">OFFSET(Income!$C$4,MATCH(Charts!$E72,Income!$C$4:$C$134,0)-1,MATCH(Charts!AS$3,Income!$C$5:$ET$5,0)-1)</f>
        <v>115</v>
      </c>
      <c r="AT72" s="1012">
        <f ca="1">OFFSET(Income!$C$4,MATCH(Charts!$E72,Income!$C$4:$C$134,0)-1,MATCH(Charts!AT$3,Income!$C$5:$ET$5,0)-1)</f>
        <v>132</v>
      </c>
      <c r="AU72" s="1012">
        <f ca="1">OFFSET(Income!$C$4,MATCH(Charts!$E72,Income!$C$4:$C$134,0)-1,MATCH(Charts!AU$3,Income!$C$5:$ET$5,0)-1)</f>
        <v>128</v>
      </c>
      <c r="AV72" s="1012">
        <f ca="1">OFFSET(Income!$C$4,MATCH(Charts!$E72,Income!$C$4:$C$134,0)-1,MATCH(Charts!AV$3,Income!$C$5:$ET$5,0)-1)</f>
        <v>147.06481879190784</v>
      </c>
      <c r="AW72" s="1012">
        <f ca="1">OFFSET(Income!$C$4,MATCH(Charts!$E72,Income!$C$4:$C$134,0)-1,MATCH(Charts!AW$3,Income!$C$5:$ET$5,0)-1)</f>
        <v>187.95915266181763</v>
      </c>
      <c r="AX72" s="1012">
        <f ca="1">OFFSET(Income!$C$4,MATCH(Charts!$E72,Income!$C$4:$C$134,0)-1,MATCH(Charts!AX$3,Income!$C$5:$ET$5,0)-1)</f>
        <v>152.89228358629512</v>
      </c>
      <c r="AY72" s="1012">
        <f ca="1">OFFSET(Income!$C$4,MATCH(Charts!$E72,Income!$C$4:$C$134,0)-1,MATCH(Charts!AY$3,Income!$C$5:$ET$5,0)-1)</f>
        <v>145.21891062090612</v>
      </c>
      <c r="AZ72" s="1012">
        <f ca="1">OFFSET(Income!$C$4,MATCH(Charts!$E72,Income!$C$4:$C$134,0)-1,MATCH(Charts!AZ$3,Income!$C$5:$ET$5,0)-1)</f>
        <v>166.64367248031317</v>
      </c>
      <c r="BA72" s="1012">
        <f ca="1">OFFSET(Income!$C$4,MATCH(Charts!$E72,Income!$C$4:$C$134,0)-1,MATCH(Charts!BA$3,Income!$C$5:$ET$5,0)-1)</f>
        <v>211.9154890646366</v>
      </c>
      <c r="BB72" s="1012">
        <f ca="1">OFFSET(Income!$C$4,MATCH(Charts!$E72,Income!$C$4:$C$134,0)-1,MATCH(Charts!BB$3,Income!$C$5:$ET$5,0)-1)</f>
        <v>162.35902933138379</v>
      </c>
      <c r="BC72" s="1012">
        <f ca="1">OFFSET(Income!$C$4,MATCH(Charts!$E72,Income!$C$4:$C$134,0)-1,MATCH(Charts!BC$3,Income!$C$5:$ET$5,0)-1)</f>
        <v>164.05197039640046</v>
      </c>
      <c r="BD72" s="1012">
        <f ca="1">OFFSET(Income!$C$4,MATCH(Charts!$E72,Income!$C$4:$C$134,0)-1,MATCH(Charts!BD$3,Income!$C$5:$ET$5,0)-1)</f>
        <v>142.87720178393857</v>
      </c>
      <c r="BE72" s="1012">
        <f ca="1">OFFSET(Income!$C$4,MATCH(Charts!$E72,Income!$C$4:$C$134,0)-1,MATCH(Charts!BE$3,Income!$C$5:$ET$5,0)-1)</f>
        <v>155.79701685564225</v>
      </c>
      <c r="BF72" s="1012">
        <f ca="1">OFFSET(Income!$C$4,MATCH(Charts!$E72,Income!$C$4:$C$134,0)-1,MATCH(Charts!BF$3,Income!$C$5:$ET$5,0)-1)</f>
        <v>192.4115615437282</v>
      </c>
      <c r="BG72" s="1012">
        <f ca="1">OFFSET(Income!$C$4,MATCH(Charts!$E72,Income!$C$4:$C$134,0)-1,MATCH(Charts!BG$3,Income!$C$5:$ET$5,0)-1)</f>
        <v>194.44869624682568</v>
      </c>
      <c r="BH72" s="1012">
        <f ca="1">OFFSET(Income!$C$4,MATCH(Charts!$E72,Income!$C$4:$C$134,0)-1,MATCH(Charts!BH$3,Income!$C$5:$ET$5,0)-1)</f>
        <v>169.34057301295408</v>
      </c>
      <c r="BI72" s="1012">
        <f ca="1">OFFSET(Income!$C$4,MATCH(Charts!$E72,Income!$C$4:$C$134,0)-1,MATCH(Charts!BI$3,Income!$C$5:$ET$5,0)-1)</f>
        <v>184.74816469922433</v>
      </c>
      <c r="BJ72" s="1012">
        <f ca="1">OFFSET(Income!$C$4,MATCH(Charts!$E72,Income!$C$4:$C$134,0)-1,MATCH(Charts!BJ$3,Income!$C$5:$ET$5,0)-1)</f>
        <v>225.72118602078109</v>
      </c>
      <c r="BK72" s="1012">
        <f ca="1">OFFSET(Income!$C$4,MATCH(Charts!$E72,Income!$C$4:$C$134,0)-1,MATCH(Charts!BK$3,Income!$C$5:$ET$5,0)-1)</f>
        <v>228.11544285333903</v>
      </c>
      <c r="BL72" s="1012">
        <f ca="1">OFFSET(Income!$C$4,MATCH(Charts!$E72,Income!$C$4:$C$134,0)-1,MATCH(Charts!BL$3,Income!$C$5:$ET$5,0)-1)</f>
        <v>198.67274342758134</v>
      </c>
      <c r="BM72" s="1012">
        <f ca="1">OFFSET(Income!$C$4,MATCH(Charts!$E72,Income!$C$4:$C$134,0)-1,MATCH(Charts!BM$3,Income!$C$5:$ET$5,0)-1)</f>
        <v>216.76795097992022</v>
      </c>
      <c r="BN72" s="889"/>
      <c r="BO72" s="889"/>
      <c r="BP72" s="889"/>
      <c r="BQ72" s="889"/>
      <c r="BR72" s="889"/>
      <c r="BS72" s="889"/>
      <c r="BT72" s="889"/>
      <c r="BU72" s="889"/>
      <c r="BV72" s="889"/>
      <c r="BW72" s="889"/>
      <c r="BX72" s="889"/>
      <c r="BY72" s="889"/>
      <c r="BZ72" s="889"/>
      <c r="CA72" s="889"/>
      <c r="CB72" s="889"/>
      <c r="CC72" s="889"/>
      <c r="CD72" s="889"/>
      <c r="CE72" s="889"/>
      <c r="CF72" s="889"/>
      <c r="CG72" s="889"/>
      <c r="CH72" s="889"/>
      <c r="CI72" s="889"/>
      <c r="CJ72" s="889"/>
      <c r="CK72" s="889"/>
      <c r="CL72" s="889"/>
      <c r="CM72" s="889"/>
      <c r="CN72" s="889"/>
      <c r="CO72" s="889"/>
      <c r="CP72" s="889"/>
      <c r="CQ72" s="889"/>
      <c r="CR72" s="889"/>
      <c r="CS72" s="889"/>
      <c r="CT72" s="1008"/>
      <c r="CU72" s="1008"/>
      <c r="CV72" s="1008"/>
      <c r="CW72" s="1008"/>
      <c r="CX72" s="1008"/>
      <c r="CY72" s="1008"/>
      <c r="CZ72" s="1008"/>
      <c r="DA72" s="1008"/>
      <c r="DB72" s="1008"/>
      <c r="DC72" s="1008"/>
      <c r="DD72" s="1008"/>
      <c r="DE72" s="1008"/>
      <c r="DF72" s="1008"/>
      <c r="DG72" s="1008"/>
      <c r="DH72" s="1008"/>
    </row>
    <row r="73" spans="2:112">
      <c r="E73" s="9" t="s">
        <v>319</v>
      </c>
      <c r="F73" s="1019">
        <f t="shared" ref="F73:BA73" ca="1" si="69">F72/F69</f>
        <v>-1.2089447938504587</v>
      </c>
      <c r="G73" s="1008">
        <f t="shared" ca="1" si="69"/>
        <v>-11.69195402298835</v>
      </c>
      <c r="H73" s="1008">
        <f t="shared" ca="1" si="69"/>
        <v>4.3624747814391522</v>
      </c>
      <c r="I73" s="1008">
        <f t="shared" ca="1" si="69"/>
        <v>2.2191026699697338</v>
      </c>
      <c r="J73" s="1008">
        <f t="shared" ca="1" si="69"/>
        <v>41.849999999997181</v>
      </c>
      <c r="K73" s="1008">
        <f t="shared" ca="1" si="69"/>
        <v>4.8037267080745245</v>
      </c>
      <c r="L73" s="1008">
        <f t="shared" ca="1" si="69"/>
        <v>1.795436241610735</v>
      </c>
      <c r="M73" s="1008">
        <f t="shared" ca="1" si="69"/>
        <v>0.77437700341226468</v>
      </c>
      <c r="N73" s="1008">
        <f t="shared" ca="1" si="69"/>
        <v>2.4341390548614963</v>
      </c>
      <c r="O73" s="1008">
        <f t="shared" ca="1" si="69"/>
        <v>7.6602279924003112</v>
      </c>
      <c r="P73" s="1008">
        <f t="shared" ca="1" si="69"/>
        <v>10.244522691705873</v>
      </c>
      <c r="Q73" s="1008">
        <f t="shared" ca="1" si="69"/>
        <v>1.0620932754880716</v>
      </c>
      <c r="R73" s="1008">
        <f t="shared" ca="1" si="69"/>
        <v>5.7129239230064695</v>
      </c>
      <c r="S73" s="1008">
        <f t="shared" ca="1" si="69"/>
        <v>3.2229152987524627</v>
      </c>
      <c r="T73" s="1008">
        <f t="shared" ca="1" si="69"/>
        <v>2.2766151046405771</v>
      </c>
      <c r="U73" s="1008">
        <f t="shared" ca="1" si="69"/>
        <v>1.3314837420929955</v>
      </c>
      <c r="V73" s="1008">
        <f t="shared" ca="1" si="69"/>
        <v>49.816496756255766</v>
      </c>
      <c r="W73" s="1008">
        <f t="shared" ca="1" si="69"/>
        <v>0.48574880168348844</v>
      </c>
      <c r="X73" s="1008">
        <f t="shared" ca="1" si="69"/>
        <v>0.44361864106289917</v>
      </c>
      <c r="Y73" s="1008">
        <f t="shared" ca="1" si="69"/>
        <v>0.31493248796524603</v>
      </c>
      <c r="Z73" s="1008">
        <f t="shared" ca="1" si="69"/>
        <v>0.31198148574212686</v>
      </c>
      <c r="AA73" s="1008">
        <f t="shared" ca="1" si="69"/>
        <v>0.33228461382525859</v>
      </c>
      <c r="AB73" s="1008">
        <f t="shared" ca="1" si="69"/>
        <v>0.55039042940467975</v>
      </c>
      <c r="AC73" s="1008">
        <f t="shared" ca="1" si="69"/>
        <v>0.67316752860203399</v>
      </c>
      <c r="AD73" s="1008">
        <f t="shared" ca="1" si="69"/>
        <v>2.8167733002291753</v>
      </c>
      <c r="AE73" s="1008">
        <f t="shared" ca="1" si="69"/>
        <v>-4.2643604331069973</v>
      </c>
      <c r="AF73" s="1008">
        <f t="shared" ca="1" si="69"/>
        <v>-4.0970799530170163</v>
      </c>
      <c r="AG73" s="1008">
        <f t="shared" ca="1" si="69"/>
        <v>2.0165025891993373</v>
      </c>
      <c r="AH73" s="1008">
        <f t="shared" ca="1" si="69"/>
        <v>-7.9411764705882355</v>
      </c>
      <c r="AI73" s="1008">
        <f t="shared" ca="1" si="69"/>
        <v>0.87774294670846398</v>
      </c>
      <c r="AJ73" s="1008">
        <f t="shared" ca="1" si="69"/>
        <v>0.35915492957746481</v>
      </c>
      <c r="AK73" s="1008">
        <f t="shared" ca="1" si="69"/>
        <v>0.24378109452736318</v>
      </c>
      <c r="AL73" s="1008">
        <f t="shared" ca="1" si="69"/>
        <v>0.50724637681159424</v>
      </c>
      <c r="AM73" s="1008">
        <f t="shared" ca="1" si="69"/>
        <v>0.34754098360655739</v>
      </c>
      <c r="AN73" s="1008">
        <f t="shared" ca="1" si="69"/>
        <v>0.27093596059113301</v>
      </c>
      <c r="AO73" s="1008">
        <f t="shared" ca="1" si="69"/>
        <v>0.18474576271186441</v>
      </c>
      <c r="AP73" s="1008">
        <f t="shared" ca="1" si="69"/>
        <v>0.3413173652694611</v>
      </c>
      <c r="AQ73" s="1008">
        <f t="shared" ca="1" si="69"/>
        <v>0.26340326340326342</v>
      </c>
      <c r="AR73" s="1008">
        <f t="shared" ca="1" si="69"/>
        <v>0.2276595744680851</v>
      </c>
      <c r="AS73" s="1008">
        <f t="shared" ca="1" si="69"/>
        <v>0.15072083879423329</v>
      </c>
      <c r="AT73" s="1008">
        <f t="shared" ca="1" si="69"/>
        <v>0.25047438330170779</v>
      </c>
      <c r="AU73" s="1008">
        <f t="shared" ca="1" si="69"/>
        <v>0.20382165605095542</v>
      </c>
      <c r="AV73" s="1008">
        <f t="shared" ca="1" si="69"/>
        <v>0.20620701901904129</v>
      </c>
      <c r="AW73" s="1008">
        <f t="shared" ca="1" si="69"/>
        <v>0.1800407425968277</v>
      </c>
      <c r="AX73" s="1008">
        <f t="shared" ca="1" si="69"/>
        <v>0.21907233161566825</v>
      </c>
      <c r="AY73" s="1008">
        <f t="shared" ca="1" si="69"/>
        <v>0.17169484869384088</v>
      </c>
      <c r="AZ73" s="1008">
        <f t="shared" ca="1" si="69"/>
        <v>0.17602351941701452</v>
      </c>
      <c r="BA73" s="1008">
        <f t="shared" ca="1" si="69"/>
        <v>0.15399904217758292</v>
      </c>
      <c r="BB73" s="1008">
        <f t="shared" ref="BB73:BM73" ca="1" si="70">BB72/BB69</f>
        <v>0.19300655979894465</v>
      </c>
      <c r="BC73" s="1008">
        <f t="shared" ca="1" si="70"/>
        <v>0.15899479258083699</v>
      </c>
      <c r="BD73" s="1008">
        <f t="shared" ca="1" si="70"/>
        <v>0.12963907285446249</v>
      </c>
      <c r="BE73" s="1008">
        <f t="shared" ca="1" si="70"/>
        <v>9.8366643063164727E-2</v>
      </c>
      <c r="BF73" s="1008">
        <f t="shared" ca="1" si="70"/>
        <v>0.18786724346839592</v>
      </c>
      <c r="BG73" s="1008">
        <f t="shared" ca="1" si="70"/>
        <v>0.15500656754030631</v>
      </c>
      <c r="BH73" s="1008">
        <f t="shared" ca="1" si="70"/>
        <v>0.1266651803387322</v>
      </c>
      <c r="BI73" s="1008">
        <f t="shared" ca="1" si="70"/>
        <v>9.6263551945847861E-2</v>
      </c>
      <c r="BJ73" s="1008">
        <f t="shared" ca="1" si="70"/>
        <v>0.18202168360838952</v>
      </c>
      <c r="BK73" s="1008">
        <f t="shared" ca="1" si="70"/>
        <v>0.15050795255162036</v>
      </c>
      <c r="BL73" s="1008">
        <f t="shared" ca="1" si="70"/>
        <v>0.12321503249660362</v>
      </c>
      <c r="BM73" s="1008">
        <f t="shared" ca="1" si="70"/>
        <v>9.3878204780912078E-2</v>
      </c>
      <c r="BN73" s="889"/>
      <c r="BO73" s="889"/>
      <c r="BP73" s="889"/>
      <c r="BQ73" s="889"/>
      <c r="BR73" s="889"/>
      <c r="BS73" s="889"/>
      <c r="BT73" s="889"/>
      <c r="BU73" s="889"/>
      <c r="BV73" s="889"/>
      <c r="BW73" s="889"/>
      <c r="BX73" s="889"/>
      <c r="BY73" s="889"/>
      <c r="BZ73" s="889"/>
      <c r="CA73" s="889"/>
      <c r="CB73" s="889"/>
      <c r="CC73" s="889"/>
      <c r="CD73" s="889"/>
      <c r="CE73" s="889"/>
      <c r="CF73" s="889"/>
      <c r="CG73" s="889"/>
      <c r="CH73" s="889"/>
      <c r="CI73" s="889"/>
      <c r="CJ73" s="889"/>
      <c r="CK73" s="889"/>
      <c r="CL73" s="889"/>
      <c r="CM73" s="889"/>
      <c r="CN73" s="889"/>
      <c r="CO73" s="889"/>
      <c r="CP73" s="889"/>
      <c r="CQ73" s="889"/>
      <c r="CR73" s="889"/>
      <c r="CS73" s="889"/>
    </row>
    <row r="74" spans="2:112">
      <c r="E74" s="9"/>
      <c r="F74" s="672"/>
      <c r="G74" s="670"/>
      <c r="H74" s="670"/>
      <c r="I74" s="670"/>
      <c r="J74" s="670"/>
      <c r="K74" s="670"/>
      <c r="L74" s="670"/>
      <c r="M74" s="670"/>
      <c r="N74" s="670"/>
      <c r="O74" s="670"/>
      <c r="P74" s="670"/>
      <c r="Q74" s="670"/>
      <c r="R74" s="670"/>
      <c r="S74" s="670"/>
      <c r="T74" s="670"/>
      <c r="U74" s="670"/>
      <c r="V74" s="670"/>
      <c r="W74" s="670"/>
      <c r="X74" s="670"/>
      <c r="Y74" s="670"/>
      <c r="Z74" s="670"/>
      <c r="AA74" s="670"/>
      <c r="AB74" s="670"/>
      <c r="AC74" s="670"/>
      <c r="AD74" s="670"/>
      <c r="AE74" s="670"/>
      <c r="AF74" s="670"/>
      <c r="AG74" s="670"/>
      <c r="AH74" s="670"/>
      <c r="AI74" s="670"/>
      <c r="AJ74" s="670"/>
      <c r="AK74" s="670"/>
      <c r="BN74" s="889"/>
      <c r="BO74" s="889"/>
      <c r="BP74" s="889"/>
      <c r="BQ74" s="889"/>
      <c r="BR74" s="889"/>
      <c r="BS74" s="889"/>
      <c r="BT74" s="889"/>
      <c r="BU74" s="889"/>
      <c r="BV74" s="889"/>
      <c r="BW74" s="889"/>
      <c r="BX74" s="889"/>
      <c r="BY74" s="889"/>
      <c r="BZ74" s="889"/>
      <c r="CA74" s="889"/>
      <c r="CB74" s="889"/>
      <c r="CC74" s="889"/>
      <c r="CD74" s="889"/>
      <c r="CE74" s="889"/>
      <c r="CF74" s="889"/>
      <c r="CG74" s="889"/>
      <c r="CH74" s="889"/>
      <c r="CI74" s="889"/>
      <c r="CJ74" s="889"/>
      <c r="CK74" s="889"/>
      <c r="CL74" s="889"/>
      <c r="CM74" s="889"/>
      <c r="CN74" s="889"/>
      <c r="CO74" s="889"/>
      <c r="CP74" s="889"/>
      <c r="CQ74" s="889"/>
      <c r="CR74" s="889"/>
      <c r="CS74" s="889"/>
      <c r="CT74" s="1008">
        <f>CT68</f>
        <v>0</v>
      </c>
      <c r="CU74" s="1008">
        <f t="shared" ref="CU74:DE74" si="71">CU68</f>
        <v>0</v>
      </c>
      <c r="CV74" s="1008">
        <f t="shared" si="71"/>
        <v>0</v>
      </c>
      <c r="CW74" s="1008">
        <f t="shared" si="71"/>
        <v>0</v>
      </c>
      <c r="CX74" s="1008">
        <f t="shared" si="71"/>
        <v>0</v>
      </c>
      <c r="CY74" s="1008">
        <f t="shared" si="71"/>
        <v>0</v>
      </c>
      <c r="CZ74" s="1008">
        <f t="shared" si="71"/>
        <v>0</v>
      </c>
      <c r="DA74" s="1008">
        <f t="shared" si="71"/>
        <v>0</v>
      </c>
      <c r="DB74" s="1008">
        <f t="shared" si="71"/>
        <v>0</v>
      </c>
      <c r="DC74" s="1008">
        <f t="shared" si="71"/>
        <v>0</v>
      </c>
      <c r="DD74" s="1008">
        <f t="shared" si="71"/>
        <v>0</v>
      </c>
      <c r="DE74" s="1008">
        <f t="shared" si="71"/>
        <v>0</v>
      </c>
      <c r="DF74" s="1008">
        <f t="shared" ref="DF74:DH74" si="72">DF68</f>
        <v>0</v>
      </c>
      <c r="DG74" s="1008">
        <f t="shared" si="72"/>
        <v>0</v>
      </c>
      <c r="DH74" s="1008">
        <f t="shared" si="72"/>
        <v>0</v>
      </c>
    </row>
    <row r="75" spans="2:112">
      <c r="B75" s="13"/>
      <c r="C75" s="13"/>
      <c r="D75" s="13"/>
      <c r="E75" s="476" t="s">
        <v>35</v>
      </c>
      <c r="F75" s="14"/>
      <c r="G75" s="13"/>
      <c r="H75" s="13"/>
      <c r="I75" s="13"/>
      <c r="J75" s="13"/>
      <c r="K75" s="13"/>
      <c r="L75" s="13"/>
      <c r="M75" s="13"/>
      <c r="N75" s="13"/>
      <c r="O75" s="13"/>
      <c r="P75" s="13"/>
      <c r="Q75" s="13"/>
      <c r="R75" s="15"/>
      <c r="S75" s="15"/>
      <c r="T75" s="15"/>
      <c r="U75" s="15"/>
      <c r="V75" s="15"/>
      <c r="W75" s="15"/>
      <c r="X75" s="673"/>
      <c r="Y75" s="15"/>
      <c r="Z75" s="15"/>
      <c r="AA75" s="15"/>
      <c r="AB75" s="15"/>
      <c r="AC75" s="15"/>
      <c r="AD75" s="15"/>
      <c r="AE75" s="15"/>
      <c r="AF75" s="15"/>
      <c r="AG75" s="15"/>
      <c r="AH75" s="15"/>
      <c r="AI75" s="15"/>
      <c r="AJ75" s="15"/>
      <c r="AK75" s="15"/>
      <c r="BN75" s="889"/>
      <c r="BO75" s="889"/>
      <c r="BP75" s="889"/>
      <c r="BQ75" s="889"/>
      <c r="BR75" s="889"/>
      <c r="BS75" s="889"/>
      <c r="BT75" s="889"/>
      <c r="BU75" s="889"/>
      <c r="BV75" s="889"/>
      <c r="BW75" s="889"/>
      <c r="BX75" s="889"/>
      <c r="BY75" s="889"/>
      <c r="BZ75" s="889"/>
      <c r="CA75" s="889"/>
      <c r="CB75" s="889"/>
      <c r="CC75" s="889"/>
      <c r="CD75" s="889"/>
      <c r="CE75" s="889"/>
      <c r="CF75" s="889"/>
      <c r="CG75" s="889"/>
      <c r="CH75" s="889"/>
      <c r="CI75" s="889"/>
      <c r="CJ75" s="889"/>
      <c r="CK75" s="889"/>
      <c r="CL75" s="889"/>
      <c r="CM75" s="889"/>
      <c r="CN75" s="889"/>
      <c r="CO75" s="889"/>
      <c r="CP75" s="889"/>
      <c r="CQ75" s="889"/>
      <c r="CR75" s="889"/>
      <c r="CS75" s="1120" t="s">
        <v>35</v>
      </c>
      <c r="CT75" s="1012">
        <f ca="1">OFFSET('Cash Flow'!$C$4,MATCH(Charts!$E75,'Cash Flow'!$C$4:$C$117,0)+3,MATCH(Charts!CT$4,'Cash Flow'!$C$4:$ET$4,0)-1)</f>
        <v>-2.5058433719466772E-2</v>
      </c>
      <c r="CU75" s="1012">
        <f ca="1">OFFSET('Cash Flow'!$C$4,MATCH(Charts!$E75,'Cash Flow'!$C$4:$C$117,0)+3,MATCH(Charts!CU$4,'Cash Flow'!$C$4:$ET$4,0)-1)</f>
        <v>-1.8033458883357292E-2</v>
      </c>
      <c r="CV75" s="1012">
        <f ca="1">OFFSET('Cash Flow'!$C$4,MATCH(Charts!$E75,'Cash Flow'!$C$4:$C$117,0)+3,MATCH(Charts!CV$4,'Cash Flow'!$C$4:$ET$4,0)-1)</f>
        <v>-1.7355103151331177E-2</v>
      </c>
      <c r="CW75" s="1012">
        <f ca="1">OFFSET('Cash Flow'!$C$4,MATCH(Charts!$E75,'Cash Flow'!$C$4:$C$117,0)+3,MATCH(Charts!CW$4,'Cash Flow'!$C$4:$ET$4,0)-1)</f>
        <v>8.7797725597890779E-3</v>
      </c>
      <c r="CX75" s="1012">
        <f ca="1">OFFSET('Cash Flow'!$C$4,MATCH(Charts!$E75,'Cash Flow'!$C$4:$C$117,0)+3,MATCH(Charts!CX$4,'Cash Flow'!$C$4:$ET$4,0)-1)</f>
        <v>0.13081624077356782</v>
      </c>
      <c r="CY75" s="1012">
        <f ca="1">OFFSET('Cash Flow'!$C$4,MATCH(Charts!$E75,'Cash Flow'!$C$4:$C$117,0)+3,MATCH(Charts!CY$4,'Cash Flow'!$C$4:$ET$4,0)-1)</f>
        <v>9.8363869123407138E-2</v>
      </c>
      <c r="CZ75" s="1012">
        <f ca="1">OFFSET('Cash Flow'!$C$4,MATCH(Charts!$E75,'Cash Flow'!$C$4:$C$117,0)+3,MATCH(Charts!CZ$4,'Cash Flow'!$C$4:$ET$4,0)-1)</f>
        <v>-3.3298308673210632E-2</v>
      </c>
      <c r="DA75" s="1012">
        <f ca="1">OFFSET('Cash Flow'!$C$4,MATCH(Charts!$E75,'Cash Flow'!$C$4:$C$117,0)+3,MATCH(Charts!DA$4,'Cash Flow'!$C$4:$ET$4,0)-1)</f>
        <v>0.1281869688385269</v>
      </c>
      <c r="DB75" s="1012">
        <f ca="1">OFFSET('Cash Flow'!$C$4,MATCH(Charts!$E75,'Cash Flow'!$C$4:$C$117,0)+3,MATCH(Charts!DB$4,'Cash Flow'!$C$4:$ET$4,0)-1)</f>
        <v>0.17984234234234234</v>
      </c>
      <c r="DC75" s="1012" t="e">
        <f ca="1">OFFSET('Cash Flow'!$C$4,MATCH(Charts!$E75,'Cash Flow'!$C$4:$C$117,0)+3,MATCH(Charts!DC$4,'Cash Flow'!$C$4:$ET$4,0)-1)</f>
        <v>#N/A</v>
      </c>
      <c r="DD75" s="1012">
        <f ca="1">OFFSET('Cash Flow'!$C$4,MATCH(Charts!$E75,'Cash Flow'!$C$4:$C$117,0)+3,MATCH(Charts!DD$4,'Cash Flow'!$C$4:$ET$4,0)-1)</f>
        <v>0.19344305176271998</v>
      </c>
      <c r="DE75" s="1012">
        <f ca="1">OFFSET('Cash Flow'!$C$4,MATCH(Charts!$E75,'Cash Flow'!$C$4:$C$117,0)+3,MATCH(Charts!DE$4,'Cash Flow'!$C$4:$ET$4,0)-1)</f>
        <v>0.19605241870131701</v>
      </c>
      <c r="DF75" s="1012">
        <f ca="1">OFFSET('Cash Flow'!$C$4,MATCH(Charts!$E75,'Cash Flow'!$C$4:$C$117,0)+3,MATCH(Charts!DF$4,'Cash Flow'!$C$4:$ET$4,0)-1)</f>
        <v>0.19351767799443115</v>
      </c>
      <c r="DG75" s="1012">
        <f ca="1">OFFSET('Cash Flow'!$C$4,MATCH(Charts!$E75,'Cash Flow'!$C$4:$C$117,0)+3,MATCH(Charts!DG$4,'Cash Flow'!$C$4:$ET$4,0)-1)</f>
        <v>0.19446530193359157</v>
      </c>
      <c r="DH75" s="1012">
        <f ca="1">OFFSET('Cash Flow'!$C$4,MATCH(Charts!$E75,'Cash Flow'!$C$4:$C$117,0)+3,MATCH(Charts!DH$4,'Cash Flow'!$C$4:$ET$4,0)-1)</f>
        <v>0.19807665862501816</v>
      </c>
    </row>
    <row r="76" spans="2:112">
      <c r="B76" s="13"/>
      <c r="C76" s="13"/>
      <c r="D76" s="13"/>
      <c r="E76" s="9" t="s">
        <v>320</v>
      </c>
      <c r="F76" s="14"/>
      <c r="G76" s="13"/>
      <c r="H76" s="13"/>
      <c r="I76" s="13"/>
      <c r="J76" s="13"/>
      <c r="K76" s="13"/>
      <c r="L76" s="13"/>
      <c r="M76" s="13"/>
      <c r="N76" s="13"/>
      <c r="O76" s="13"/>
      <c r="P76" s="13"/>
      <c r="Q76" s="13"/>
      <c r="R76" s="15"/>
      <c r="S76" s="15"/>
      <c r="T76" s="15"/>
      <c r="U76" s="15"/>
      <c r="V76" s="15"/>
      <c r="W76" s="15"/>
      <c r="X76" s="673"/>
      <c r="Y76" s="15"/>
      <c r="Z76" s="15"/>
      <c r="AA76" s="15"/>
      <c r="AB76" s="15"/>
      <c r="AC76" s="15"/>
      <c r="AD76" s="15"/>
      <c r="AE76" s="15"/>
      <c r="AF76" s="15"/>
      <c r="AG76" s="15"/>
      <c r="AH76" s="15"/>
      <c r="AI76" s="15"/>
      <c r="AJ76" s="15"/>
      <c r="AK76" s="15"/>
      <c r="BN76" s="889"/>
      <c r="BO76" s="889"/>
      <c r="BP76" s="889"/>
      <c r="BQ76" s="889"/>
      <c r="BR76" s="889"/>
      <c r="BS76" s="889"/>
      <c r="BT76" s="889"/>
      <c r="BU76" s="889"/>
      <c r="BV76" s="889"/>
      <c r="BW76" s="889"/>
      <c r="BX76" s="889"/>
      <c r="BY76" s="889"/>
      <c r="BZ76" s="889"/>
      <c r="CA76" s="889"/>
      <c r="CB76" s="889"/>
      <c r="CC76" s="889"/>
      <c r="CD76" s="889"/>
      <c r="CE76" s="889"/>
      <c r="CF76" s="889"/>
      <c r="CG76" s="889"/>
      <c r="CH76" s="889"/>
      <c r="CI76" s="889"/>
      <c r="CJ76" s="889"/>
      <c r="CK76" s="889"/>
      <c r="CL76" s="889"/>
      <c r="CM76" s="889"/>
      <c r="CN76" s="889"/>
      <c r="CO76" s="889"/>
      <c r="CP76" s="889"/>
      <c r="CQ76" s="889"/>
      <c r="CR76" s="889"/>
      <c r="CS76" s="1028" t="str">
        <f>E76</f>
        <v>FCF Margin</v>
      </c>
      <c r="CT76" s="1008">
        <f t="shared" ref="CT76:DE76" ca="1" si="73">CT75/CT5</f>
        <v>-6.43629664281375E-5</v>
      </c>
      <c r="CU76" s="1008">
        <f t="shared" ca="1" si="73"/>
        <v>-2.6783531485565649E-5</v>
      </c>
      <c r="CV76" s="1008">
        <f t="shared" ca="1" si="73"/>
        <v>-1.6170922656144384E-5</v>
      </c>
      <c r="CW76" s="1008">
        <f t="shared" ca="1" si="73"/>
        <v>5.5632510249440826E-6</v>
      </c>
      <c r="CX76" s="1008">
        <f t="shared" ca="1" si="73"/>
        <v>4.4654938613420497E-5</v>
      </c>
      <c r="CY76" s="1008">
        <f t="shared" ca="1" si="73"/>
        <v>2.1328477975766622E-5</v>
      </c>
      <c r="CZ76" s="1008">
        <f t="shared" ca="1" si="73"/>
        <v>-5.9462709582251693E-6</v>
      </c>
      <c r="DA76" s="1008">
        <f t="shared" ca="1" si="73"/>
        <v>1.8156794453049137E-5</v>
      </c>
      <c r="DB76" s="1008">
        <f t="shared" ca="1" si="73"/>
        <v>2.0252516029543056E-5</v>
      </c>
      <c r="DC76" s="1008" t="e">
        <f t="shared" ca="1" si="73"/>
        <v>#N/A</v>
      </c>
      <c r="DD76" s="1008">
        <f t="shared" ca="1" si="73"/>
        <v>1.2716740131160813E-5</v>
      </c>
      <c r="DE76" s="1008">
        <f t="shared" ca="1" si="73"/>
        <v>1.0246135354110923E-5</v>
      </c>
      <c r="DF76" s="1008">
        <f t="shared" ref="DF76:DH76" ca="1" si="74">DF75/DF5</f>
        <v>8.3783635115787789E-6</v>
      </c>
      <c r="DG76" s="1008">
        <f t="shared" ca="1" si="74"/>
        <v>7.1025909907633089E-6</v>
      </c>
      <c r="DH76" s="1008">
        <f t="shared" ca="1" si="74"/>
        <v>6.1664221593213867E-6</v>
      </c>
    </row>
    <row r="77" spans="2:112">
      <c r="E77" s="9"/>
      <c r="F77" s="672"/>
      <c r="G77" s="670"/>
      <c r="H77" s="670"/>
      <c r="I77" s="670"/>
      <c r="J77" s="670"/>
      <c r="K77" s="670"/>
      <c r="L77" s="670"/>
      <c r="M77" s="670"/>
      <c r="N77" s="670"/>
      <c r="O77" s="670"/>
      <c r="P77" s="670"/>
      <c r="Q77" s="670"/>
      <c r="R77" s="670"/>
      <c r="S77" s="670"/>
      <c r="T77" s="670"/>
      <c r="U77" s="670"/>
      <c r="V77" s="670"/>
      <c r="W77" s="670"/>
      <c r="X77" s="670"/>
      <c r="Y77" s="670"/>
      <c r="Z77" s="670"/>
      <c r="AA77" s="670"/>
      <c r="AB77" s="670"/>
      <c r="AC77" s="670"/>
      <c r="AD77" s="670"/>
      <c r="AE77" s="670"/>
      <c r="AF77" s="670"/>
      <c r="AG77" s="670"/>
      <c r="AH77" s="670"/>
      <c r="AI77" s="670"/>
      <c r="AJ77" s="670"/>
      <c r="AK77" s="670"/>
      <c r="BN77" s="889"/>
      <c r="BO77" s="889"/>
      <c r="BP77" s="889"/>
      <c r="BQ77" s="889"/>
      <c r="BR77" s="889"/>
      <c r="BS77" s="889"/>
      <c r="BT77" s="889"/>
      <c r="BU77" s="889"/>
      <c r="BV77" s="889"/>
      <c r="BW77" s="889"/>
      <c r="BX77" s="889"/>
      <c r="BY77" s="889"/>
      <c r="BZ77" s="889"/>
      <c r="CA77" s="889"/>
      <c r="CB77" s="889"/>
      <c r="CC77" s="889"/>
      <c r="CD77" s="889"/>
      <c r="CE77" s="889"/>
      <c r="CF77" s="889"/>
      <c r="CG77" s="889"/>
      <c r="CH77" s="889"/>
      <c r="CI77" s="889"/>
      <c r="CJ77" s="889"/>
      <c r="CK77" s="889"/>
      <c r="CL77" s="889"/>
      <c r="CM77" s="889"/>
      <c r="CN77" s="889"/>
      <c r="CO77" s="889"/>
      <c r="CP77" s="889"/>
      <c r="CQ77" s="889"/>
      <c r="CR77" s="889"/>
      <c r="CS77" s="889"/>
      <c r="CT77" s="1008"/>
      <c r="CU77" s="1008"/>
      <c r="CV77" s="1008"/>
      <c r="CW77" s="1008"/>
      <c r="CX77" s="1008"/>
      <c r="CY77" s="1008"/>
      <c r="CZ77" s="1008"/>
      <c r="DA77" s="1008"/>
      <c r="DB77" s="1008"/>
      <c r="DC77" s="1008"/>
      <c r="DD77" s="1008"/>
      <c r="DE77" s="1008"/>
      <c r="DF77" s="1008"/>
      <c r="DG77" s="1008"/>
      <c r="DH77" s="1008"/>
    </row>
    <row r="78" spans="2:112">
      <c r="F78" s="1110"/>
      <c r="BN78" s="889"/>
      <c r="BO78" s="889"/>
      <c r="BP78" s="889"/>
      <c r="BQ78" s="889"/>
      <c r="BR78" s="889"/>
      <c r="BS78" s="889"/>
      <c r="BT78" s="889"/>
      <c r="BU78" s="889"/>
      <c r="BV78" s="889"/>
      <c r="BW78" s="889"/>
      <c r="BX78" s="889"/>
      <c r="BY78" s="889"/>
      <c r="BZ78" s="889"/>
      <c r="CA78" s="889"/>
      <c r="CB78" s="889"/>
      <c r="CC78" s="889"/>
      <c r="CD78" s="889"/>
      <c r="CE78" s="889"/>
      <c r="CF78" s="889"/>
      <c r="CG78" s="889"/>
      <c r="CH78" s="889"/>
      <c r="CI78" s="889"/>
      <c r="CJ78" s="889"/>
      <c r="CK78" s="889"/>
      <c r="CL78" s="889"/>
      <c r="CM78" s="889"/>
      <c r="CN78" s="889"/>
      <c r="CO78" s="889"/>
      <c r="CP78" s="889"/>
      <c r="CQ78" s="889"/>
      <c r="CR78" s="889"/>
      <c r="CS78" s="889"/>
    </row>
    <row r="79" spans="2:112" ht="13.2">
      <c r="E79" s="1111"/>
      <c r="F79" s="1111"/>
      <c r="G79" s="1111"/>
      <c r="H79" s="1111"/>
      <c r="I79" s="1111"/>
      <c r="J79" s="1111"/>
      <c r="K79" s="1111"/>
      <c r="L79" s="1111"/>
      <c r="M79" s="1111"/>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s="889"/>
      <c r="BO79" s="889"/>
      <c r="BP79" s="889"/>
      <c r="BQ79" s="889"/>
      <c r="BR79" s="889"/>
      <c r="BS79" s="889"/>
      <c r="BT79" s="889"/>
      <c r="BU79" s="889"/>
      <c r="BV79" s="889"/>
      <c r="BW79" s="889"/>
      <c r="BX79" s="889"/>
      <c r="BY79" s="889"/>
      <c r="BZ79" s="889"/>
      <c r="CA79" s="889"/>
      <c r="CB79" s="889"/>
      <c r="CC79" s="889"/>
      <c r="CD79" s="889"/>
      <c r="CE79" s="889"/>
      <c r="CF79" s="889"/>
      <c r="CG79" s="889"/>
      <c r="CH79" s="889"/>
      <c r="CI79" s="889"/>
      <c r="CJ79" s="889"/>
      <c r="CK79" s="889"/>
      <c r="CL79" s="889"/>
      <c r="CM79" s="889"/>
      <c r="CN79" s="889"/>
      <c r="CO79" s="889"/>
      <c r="CP79" s="889"/>
      <c r="CQ79" s="889"/>
      <c r="CR79" s="889"/>
      <c r="CS79" s="889"/>
    </row>
    <row r="80" spans="2:112">
      <c r="E80" s="1112" t="str">
        <f>'Revenue Build'!C31</f>
        <v>MRR - Shopify Plus as %</v>
      </c>
      <c r="F80" s="1112"/>
      <c r="G80" s="1112"/>
      <c r="H80" s="1112"/>
      <c r="I80" s="1112"/>
      <c r="J80" s="1112"/>
      <c r="K80" s="1112"/>
      <c r="L80" s="1112"/>
      <c r="M80" s="1112"/>
      <c r="P80" s="1113">
        <f>'Revenue Build'!CH31</f>
        <v>0.22</v>
      </c>
      <c r="Q80" s="1113">
        <f>'Revenue Build'!CI31</f>
        <v>0.22</v>
      </c>
      <c r="R80" s="1113">
        <f>'Revenue Build'!CK31</f>
        <v>0.23</v>
      </c>
      <c r="S80" s="1113">
        <f>'Revenue Build'!CL31</f>
        <v>0.23</v>
      </c>
      <c r="T80" s="1113">
        <f>'Revenue Build'!CM31</f>
        <v>0.23</v>
      </c>
      <c r="U80" s="1113">
        <f>'Revenue Build'!CN31</f>
        <v>0.23</v>
      </c>
      <c r="V80" s="1113">
        <f>'Revenue Build'!CP31</f>
        <v>0.24</v>
      </c>
      <c r="W80" s="1113">
        <f>'Revenue Build'!CQ31</f>
        <v>0.24</v>
      </c>
      <c r="X80" s="1113">
        <f>'Revenue Build'!CR31</f>
        <v>0.22</v>
      </c>
      <c r="Y80" s="1113">
        <f>'Revenue Build'!CS31</f>
        <v>0.21</v>
      </c>
      <c r="Z80" s="1113">
        <f>'Revenue Build'!CU31</f>
        <v>0.21</v>
      </c>
      <c r="AA80" s="1113">
        <f>'Revenue Build'!CV31</f>
        <v>0.22</v>
      </c>
      <c r="AB80" s="1113">
        <f>'Revenue Build'!CW31</f>
        <v>0.23</v>
      </c>
      <c r="AC80" s="1113">
        <f>'Revenue Build'!CX31</f>
        <v>0.24</v>
      </c>
      <c r="AD80" s="1113">
        <f>'Revenue Build'!CZ31</f>
        <v>0.3</v>
      </c>
      <c r="AE80" s="1113">
        <f>'Revenue Build'!DA31</f>
        <v>0.31</v>
      </c>
      <c r="AF80" s="1113">
        <f>'Revenue Build'!DB31</f>
        <v>0.33</v>
      </c>
      <c r="AG80" s="1113">
        <f>'Revenue Build'!DC31</f>
        <v>0.34</v>
      </c>
      <c r="AH80" s="1113">
        <f>'Revenue Build'!DE31</f>
        <v>0.3</v>
      </c>
      <c r="AI80" s="1113">
        <f>'Revenue Build'!DF31</f>
        <v>0.27</v>
      </c>
      <c r="AJ80" s="1113">
        <f>'Revenue Build'!DG31</f>
        <v>0.26</v>
      </c>
      <c r="AK80" s="1113">
        <f>'Revenue Build'!DH31</f>
        <v>0.25</v>
      </c>
      <c r="AL80" s="1113">
        <f>'Revenue Build'!DJ31</f>
        <v>0.27</v>
      </c>
      <c r="AM80" s="1113">
        <f>'Revenue Build'!DK31</f>
        <v>0.26</v>
      </c>
      <c r="AN80" s="1113">
        <f>'Revenue Build'!DL31</f>
        <v>0.27</v>
      </c>
      <c r="AO80" s="1113">
        <f>'Revenue Build'!DM31</f>
        <v>0.26</v>
      </c>
      <c r="AP80" s="1113">
        <f>'Revenue Build'!DO31</f>
        <v>0.34</v>
      </c>
      <c r="AQ80" s="1113">
        <f>'Revenue Build'!DP31</f>
        <v>0.34</v>
      </c>
      <c r="AR80" s="1113">
        <f>'Revenue Build'!DQ31</f>
        <v>0.34</v>
      </c>
      <c r="AS80" s="1113">
        <f>'Revenue Build'!DR31</f>
        <v>0.35</v>
      </c>
      <c r="AT80" s="1113">
        <f>'Revenue Build'!DT31</f>
        <v>0.35</v>
      </c>
      <c r="AU80" s="1113">
        <f>'Revenue Build'!DU31</f>
        <v>0.34</v>
      </c>
      <c r="AV80" s="1113">
        <f>'Revenue Build'!DV31</f>
        <v>0.35</v>
      </c>
      <c r="AW80" s="1113">
        <f>'Revenue Build'!DW31</f>
        <v>0.36</v>
      </c>
      <c r="AX80" s="1113">
        <f>'Revenue Build'!DY31</f>
        <v>0.36</v>
      </c>
      <c r="AY80" s="1113">
        <f>'Revenue Build'!DZ31</f>
        <v>0.36</v>
      </c>
      <c r="AZ80" s="1113">
        <f>'Revenue Build'!EA31</f>
        <v>0.36</v>
      </c>
      <c r="BA80" s="1113">
        <f>'Revenue Build'!EB31</f>
        <v>0.36</v>
      </c>
      <c r="BB80" s="1113">
        <f>'Revenue Build'!EC31</f>
        <v>0</v>
      </c>
      <c r="BC80" s="1113">
        <f>'Revenue Build'!ED31</f>
        <v>0.36</v>
      </c>
      <c r="BD80" s="1113">
        <f>'Revenue Build'!EE31</f>
        <v>0.36</v>
      </c>
      <c r="BE80" s="1113">
        <f>'Revenue Build'!EF31</f>
        <v>0.36</v>
      </c>
      <c r="BF80" s="1113">
        <f>'Revenue Build'!EG31</f>
        <v>0.36</v>
      </c>
      <c r="BG80" s="1113">
        <f>'Revenue Build'!EH31</f>
        <v>0</v>
      </c>
      <c r="BH80" s="1113">
        <f>'Revenue Build'!EI31</f>
        <v>0.36</v>
      </c>
      <c r="BI80" s="1113">
        <f>'Revenue Build'!EJ31</f>
        <v>0.36</v>
      </c>
      <c r="BJ80" s="1113">
        <f>'Revenue Build'!EK31</f>
        <v>0.36</v>
      </c>
      <c r="BK80" s="1113">
        <f>'Revenue Build'!EL31</f>
        <v>0.36</v>
      </c>
      <c r="BL80" s="1113">
        <f>'Revenue Build'!EM31</f>
        <v>0</v>
      </c>
      <c r="BM80" s="1113">
        <f>'Revenue Build'!EN31</f>
        <v>0.36</v>
      </c>
      <c r="BN80" s="889"/>
      <c r="BO80" s="889"/>
      <c r="BP80" s="889"/>
      <c r="BQ80" s="889"/>
      <c r="BR80" s="889"/>
      <c r="BS80" s="889"/>
      <c r="BT80" s="889"/>
      <c r="BU80" s="889"/>
      <c r="BV80" s="889"/>
      <c r="BW80" s="889"/>
      <c r="BX80" s="889"/>
      <c r="BY80" s="889"/>
      <c r="BZ80" s="889"/>
      <c r="CA80" s="889"/>
      <c r="CB80" s="889"/>
      <c r="CC80" s="889"/>
      <c r="CD80" s="889"/>
      <c r="CE80" s="889"/>
      <c r="CF80" s="889"/>
      <c r="CG80" s="889"/>
      <c r="CH80" s="889"/>
      <c r="CI80" s="889"/>
      <c r="CJ80" s="889"/>
      <c r="CK80" s="889"/>
      <c r="CL80" s="889"/>
      <c r="CM80" s="889"/>
      <c r="CN80" s="889"/>
      <c r="CO80" s="889"/>
      <c r="CP80" s="889"/>
      <c r="CQ80" s="889"/>
      <c r="CR80" s="889"/>
    </row>
    <row r="81" spans="5:141" ht="10.8" thickBot="1">
      <c r="F81" s="889"/>
      <c r="G81" s="889"/>
      <c r="H81" s="889"/>
      <c r="I81" s="889"/>
      <c r="J81" s="889"/>
      <c r="K81" s="889"/>
      <c r="L81" s="889"/>
      <c r="M81" s="889"/>
      <c r="N81" s="889"/>
      <c r="O81" s="889"/>
      <c r="P81" s="889"/>
      <c r="Q81" s="889"/>
      <c r="R81" s="889"/>
      <c r="S81" s="889"/>
      <c r="T81" s="889"/>
      <c r="U81" s="889"/>
      <c r="V81" s="889"/>
      <c r="W81" s="889"/>
      <c r="X81" s="889"/>
      <c r="Y81" s="889"/>
      <c r="Z81" s="889"/>
      <c r="AA81" s="889"/>
      <c r="AB81" s="889"/>
      <c r="AC81" s="889"/>
      <c r="AD81" s="889"/>
      <c r="AE81" s="889"/>
      <c r="AF81" s="889"/>
      <c r="AG81" s="889"/>
      <c r="AH81" s="889"/>
      <c r="AI81" s="889"/>
      <c r="AJ81" s="889"/>
      <c r="AK81" s="889"/>
      <c r="AL81" s="889"/>
      <c r="BN81" s="889"/>
      <c r="BO81" s="889"/>
      <c r="BP81" s="889"/>
      <c r="BQ81" s="889"/>
      <c r="BR81" s="889"/>
      <c r="BS81" s="889"/>
      <c r="BT81" s="889"/>
      <c r="BU81" s="889"/>
      <c r="BV81" s="889"/>
      <c r="BW81" s="889"/>
      <c r="BX81" s="889"/>
      <c r="BY81" s="889"/>
      <c r="BZ81" s="889"/>
      <c r="CA81" s="889"/>
      <c r="CB81" s="889"/>
      <c r="CC81" s="889"/>
      <c r="CD81" s="889"/>
      <c r="CE81" s="889"/>
      <c r="CF81" s="889"/>
      <c r="CG81" s="889"/>
      <c r="CH81" s="889"/>
      <c r="CI81" s="889"/>
      <c r="CJ81" s="889"/>
      <c r="CK81" s="889"/>
      <c r="CL81" s="889"/>
      <c r="CM81" s="889"/>
      <c r="CN81" s="889"/>
      <c r="CO81" s="889"/>
      <c r="CP81" s="889"/>
      <c r="CQ81" s="889"/>
      <c r="CR81" s="889"/>
    </row>
    <row r="82" spans="5:141" ht="13.2">
      <c r="F82" s="889"/>
      <c r="G82" s="889"/>
      <c r="H82" s="889"/>
      <c r="I82" s="889"/>
      <c r="J82" s="889"/>
      <c r="K82" s="889"/>
      <c r="L82" s="889"/>
      <c r="M82" s="889"/>
      <c r="N82" s="889"/>
      <c r="O82" s="889"/>
      <c r="P82" s="889"/>
      <c r="Q82" s="889"/>
      <c r="R82" s="889"/>
      <c r="S82" s="889"/>
      <c r="T82" s="889"/>
      <c r="U82" s="889"/>
      <c r="V82" s="889"/>
      <c r="W82" s="889"/>
      <c r="X82" s="889"/>
      <c r="Y82" s="889"/>
      <c r="Z82" s="889"/>
      <c r="AA82" s="889"/>
      <c r="AB82" s="889"/>
      <c r="AC82" s="889"/>
      <c r="AD82"/>
      <c r="AE82"/>
      <c r="AF82"/>
      <c r="AG82"/>
      <c r="AH82"/>
      <c r="AI82"/>
      <c r="AJ82"/>
      <c r="AK82"/>
      <c r="AL82"/>
      <c r="AM82"/>
      <c r="AN82"/>
      <c r="BN82" s="889"/>
      <c r="BO82" s="889"/>
      <c r="BP82" s="889"/>
      <c r="BQ82" s="889"/>
      <c r="BR82" s="889"/>
      <c r="BS82" s="889"/>
      <c r="BT82" s="889"/>
      <c r="BU82" s="889"/>
      <c r="BV82" s="889"/>
      <c r="BW82" s="889"/>
      <c r="BX82" s="889"/>
      <c r="BY82" s="889"/>
      <c r="BZ82" s="889"/>
      <c r="CA82" s="889"/>
      <c r="CB82" s="889"/>
      <c r="CC82" s="889"/>
      <c r="CD82" s="889"/>
      <c r="CE82" s="889"/>
      <c r="CF82" s="889"/>
      <c r="CG82" s="889"/>
      <c r="CH82" s="889"/>
      <c r="CI82" s="889"/>
      <c r="CJ82" s="889"/>
      <c r="CK82" s="889"/>
      <c r="CL82" s="889"/>
      <c r="CM82" s="889"/>
      <c r="CN82" s="889"/>
      <c r="CO82" s="889"/>
      <c r="CP82" s="889"/>
      <c r="CQ82" s="889"/>
      <c r="CR82" s="889"/>
      <c r="CS82" s="1513" t="s">
        <v>648</v>
      </c>
      <c r="CT82" s="1514"/>
      <c r="CU82" s="1514"/>
      <c r="CV82" s="1514"/>
      <c r="CW82" s="1514"/>
      <c r="CX82" s="1514"/>
      <c r="CY82" s="1514"/>
      <c r="CZ82" s="1514"/>
      <c r="DA82" s="1514"/>
      <c r="DB82" s="1514"/>
      <c r="DC82" s="1514"/>
      <c r="DD82" s="1514"/>
      <c r="DE82" s="1515"/>
      <c r="DF82" s="1515"/>
      <c r="DG82" s="1515"/>
      <c r="DH82" s="1515"/>
      <c r="DL82" s="889"/>
      <c r="DM82" s="889"/>
      <c r="DN82" s="889"/>
      <c r="DO82" s="889"/>
      <c r="DP82" s="889"/>
      <c r="DQ82" s="889"/>
      <c r="DR82" s="889"/>
      <c r="DS82" s="889"/>
      <c r="DT82" s="889"/>
      <c r="DU82" s="889"/>
      <c r="DV82" s="889"/>
      <c r="DW82" s="889"/>
      <c r="DX82" s="889"/>
      <c r="DY82" s="889"/>
      <c r="DZ82" s="889"/>
      <c r="EA82" s="889"/>
      <c r="EB82" s="889"/>
      <c r="EC82" s="889"/>
      <c r="ED82" s="889"/>
      <c r="EE82" s="889"/>
      <c r="EF82" s="889"/>
      <c r="EG82" s="889"/>
      <c r="EH82" s="889"/>
      <c r="EI82" s="889"/>
      <c r="EJ82" s="889"/>
      <c r="EK82" s="889"/>
    </row>
    <row r="83" spans="5:141">
      <c r="E83" s="6" t="s">
        <v>657</v>
      </c>
      <c r="F83" s="889"/>
      <c r="G83" s="889"/>
      <c r="H83" s="889"/>
      <c r="I83" s="889"/>
      <c r="J83" s="889"/>
      <c r="K83" s="889"/>
      <c r="L83" s="889"/>
      <c r="M83" s="889"/>
      <c r="N83" s="889"/>
      <c r="O83" s="889"/>
      <c r="P83" s="889"/>
      <c r="Q83" s="889"/>
      <c r="R83" s="889"/>
      <c r="S83" s="889"/>
      <c r="T83" s="889"/>
      <c r="U83" s="889"/>
      <c r="V83" s="889"/>
      <c r="W83" s="889"/>
      <c r="X83" s="889"/>
      <c r="Y83" s="889"/>
      <c r="Z83" s="889"/>
      <c r="AA83" s="889"/>
      <c r="AB83" s="889"/>
      <c r="AC83" s="889"/>
      <c r="AD83" s="1126">
        <f t="shared" ref="AD83:AQ83" si="75">AD8</f>
        <v>0.15672166080995353</v>
      </c>
      <c r="AE83" s="1126">
        <f t="shared" si="75"/>
        <v>0.11036918571877075</v>
      </c>
      <c r="AF83" s="1126">
        <f t="shared" si="75"/>
        <v>0.10618947249056432</v>
      </c>
      <c r="AG83" s="1126">
        <f t="shared" si="75"/>
        <v>0.12844768516531557</v>
      </c>
      <c r="AH83" s="1126">
        <f t="shared" si="75"/>
        <v>0.14814942386973029</v>
      </c>
      <c r="AI83" s="1126">
        <f t="shared" si="75"/>
        <v>0.17395395739772312</v>
      </c>
      <c r="AJ83" s="1126">
        <f t="shared" si="75"/>
        <v>0.21645021645021645</v>
      </c>
      <c r="AK83" s="1126">
        <f t="shared" si="75"/>
        <v>0.23155737704918034</v>
      </c>
      <c r="AL83" s="1126">
        <f t="shared" si="75"/>
        <v>0.22691532258064506</v>
      </c>
      <c r="AM83" s="1126">
        <f t="shared" si="75"/>
        <v>0.22263636363636374</v>
      </c>
      <c r="AN83" s="1126">
        <f t="shared" si="75"/>
        <v>0.24048042704626327</v>
      </c>
      <c r="AO83" s="1126">
        <f t="shared" si="75"/>
        <v>0.2573710482529119</v>
      </c>
      <c r="AP83" s="1126">
        <f t="shared" si="75"/>
        <v>0.22832963602004774</v>
      </c>
      <c r="AQ83" s="1126">
        <f t="shared" si="75"/>
        <v>0.30622351104171308</v>
      </c>
      <c r="BN83" s="889"/>
      <c r="BO83" s="889"/>
      <c r="BP83" s="889"/>
      <c r="BQ83" s="889"/>
      <c r="BR83" s="889"/>
      <c r="BS83" s="889"/>
      <c r="BT83" s="889"/>
      <c r="BU83" s="889"/>
      <c r="BV83" s="889"/>
      <c r="BW83" s="889"/>
      <c r="BX83" s="889"/>
      <c r="BY83" s="889"/>
      <c r="BZ83" s="889"/>
      <c r="CA83" s="889"/>
      <c r="CB83" s="889"/>
      <c r="CC83" s="889"/>
      <c r="CD83" s="889"/>
      <c r="CE83" s="889"/>
      <c r="CF83" s="889"/>
      <c r="CG83" s="889"/>
      <c r="CH83" s="889"/>
      <c r="CI83" s="889"/>
      <c r="CJ83" s="889"/>
      <c r="CK83" s="889"/>
      <c r="CL83" s="889"/>
      <c r="CM83" s="889"/>
      <c r="CN83" s="889"/>
      <c r="CO83" s="889"/>
      <c r="CP83" s="889"/>
      <c r="CQ83" s="889"/>
      <c r="CR83" s="889"/>
      <c r="CS83" s="1516"/>
      <c r="CT83" s="1517"/>
      <c r="CU83" s="1517"/>
      <c r="CV83" s="1517"/>
      <c r="CW83" s="1517"/>
      <c r="CX83" s="1517"/>
      <c r="CY83" s="1517"/>
      <c r="CZ83" s="1517"/>
      <c r="DA83" s="1517"/>
      <c r="DB83" s="1517"/>
      <c r="DC83" s="1517"/>
      <c r="DD83" s="1517"/>
      <c r="DE83" s="1518"/>
      <c r="DF83" s="1518"/>
      <c r="DG83" s="1518"/>
      <c r="DH83" s="1518"/>
      <c r="DL83" s="889"/>
      <c r="DM83" s="889"/>
      <c r="DN83" s="889"/>
      <c r="DO83" s="889"/>
      <c r="DP83" s="889"/>
      <c r="DQ83" s="889"/>
      <c r="DR83" s="889"/>
      <c r="DS83" s="889"/>
      <c r="DT83" s="889"/>
      <c r="DU83" s="889"/>
      <c r="DV83" s="889"/>
      <c r="DW83" s="889"/>
      <c r="DX83" s="889"/>
      <c r="DY83" s="889"/>
      <c r="DZ83" s="889"/>
      <c r="EA83" s="889"/>
      <c r="EB83" s="889"/>
      <c r="EC83" s="889"/>
      <c r="ED83" s="889"/>
      <c r="EE83" s="889"/>
      <c r="EF83" s="889"/>
      <c r="EG83" s="889"/>
      <c r="EH83" s="889"/>
      <c r="EI83" s="889"/>
      <c r="EJ83" s="889"/>
      <c r="EK83" s="889"/>
    </row>
    <row r="84" spans="5:141">
      <c r="E84" s="6" t="s">
        <v>656</v>
      </c>
      <c r="F84" s="889"/>
      <c r="G84" s="889"/>
      <c r="H84" s="889"/>
      <c r="I84" s="889"/>
      <c r="J84" s="889"/>
      <c r="K84" s="889"/>
      <c r="L84" s="889"/>
      <c r="M84" s="889"/>
      <c r="N84" s="889"/>
      <c r="O84" s="889"/>
      <c r="P84" s="889"/>
      <c r="Q84" s="889"/>
      <c r="R84" s="889"/>
      <c r="S84" s="889"/>
      <c r="T84" s="889"/>
      <c r="U84" s="889"/>
      <c r="V84" s="889"/>
      <c r="W84" s="889"/>
      <c r="X84" s="889"/>
      <c r="Y84" s="889"/>
      <c r="Z84" s="889"/>
      <c r="AA84" s="889"/>
      <c r="AB84" s="889"/>
      <c r="AC84" s="889"/>
      <c r="AD84" s="1441">
        <f>'Revenue Build'!CZ114</f>
        <v>0.8</v>
      </c>
      <c r="AE84" s="1441">
        <f>'Revenue Build'!DA114</f>
        <v>0.47</v>
      </c>
      <c r="AF84" s="1441">
        <f>'Revenue Build'!DB114</f>
        <v>0.35</v>
      </c>
      <c r="AG84" s="1441">
        <f>'Revenue Build'!DC114</f>
        <v>0.25</v>
      </c>
      <c r="AH84" s="1441">
        <f>'Revenue Build'!DE114</f>
        <v>0.31</v>
      </c>
      <c r="AI84" s="1441">
        <f>'Revenue Build'!DF114</f>
        <v>0.23</v>
      </c>
      <c r="AJ84" s="1441">
        <f>'Revenue Build'!DG114</f>
        <v>0.26</v>
      </c>
      <c r="AK84" s="1441">
        <f>'Revenue Build'!DH114</f>
        <v>0.28000000000000003</v>
      </c>
      <c r="AL84" s="1441">
        <f>'Revenue Build'!DJ114</f>
        <v>0.32</v>
      </c>
      <c r="AM84" s="1442">
        <f>'Revenue Build'!DK114</f>
        <v>0.27</v>
      </c>
      <c r="AN84" s="1442">
        <f>'Revenue Build'!DL114</f>
        <v>0.27</v>
      </c>
      <c r="AO84" s="1442">
        <f>'Revenue Build'!DM114</f>
        <v>0.33</v>
      </c>
      <c r="AP84" s="1442">
        <f>'Revenue Build'!DO114</f>
        <v>0.23</v>
      </c>
      <c r="AQ84" s="1442">
        <f>'Revenue Build'!DP114</f>
        <v>0.28999999999999998</v>
      </c>
      <c r="BN84" s="889"/>
      <c r="BO84" s="889"/>
      <c r="BP84" s="889"/>
      <c r="BQ84" s="889"/>
      <c r="BR84" s="889"/>
      <c r="BS84" s="889"/>
      <c r="BT84" s="889"/>
      <c r="BU84" s="889"/>
      <c r="BV84" s="889"/>
      <c r="BW84" s="889"/>
      <c r="BX84" s="889"/>
      <c r="BY84" s="889"/>
      <c r="BZ84" s="889"/>
      <c r="CA84" s="889"/>
      <c r="CB84" s="889"/>
      <c r="CC84" s="889"/>
      <c r="CD84" s="889"/>
      <c r="CE84" s="889"/>
      <c r="CF84" s="889"/>
      <c r="CG84" s="889"/>
      <c r="CH84" s="889"/>
      <c r="CI84" s="889"/>
      <c r="CJ84" s="889"/>
      <c r="CK84" s="889"/>
      <c r="CL84" s="889"/>
      <c r="CM84" s="889"/>
      <c r="CN84" s="889"/>
      <c r="CO84" s="889"/>
      <c r="CP84" s="889"/>
      <c r="CQ84" s="889"/>
      <c r="CR84" s="889"/>
      <c r="CS84" s="1516"/>
      <c r="CT84" s="1517"/>
      <c r="CU84" s="1517"/>
      <c r="CV84" s="1517"/>
      <c r="CW84" s="1517"/>
      <c r="CX84" s="1517"/>
      <c r="CY84" s="1517"/>
      <c r="CZ84" s="1517"/>
      <c r="DA84" s="1517"/>
      <c r="DB84" s="1517"/>
      <c r="DC84" s="1517"/>
      <c r="DD84" s="1517"/>
      <c r="DE84" s="1518"/>
      <c r="DF84" s="1518"/>
      <c r="DG84" s="1518"/>
      <c r="DH84" s="1518"/>
      <c r="DL84" s="889"/>
      <c r="DM84" s="889"/>
      <c r="DN84" s="889"/>
      <c r="DO84" s="889"/>
      <c r="DP84" s="889"/>
      <c r="DQ84" s="889"/>
      <c r="DR84" s="889"/>
      <c r="DS84" s="889"/>
      <c r="DT84" s="889"/>
      <c r="DU84" s="889"/>
      <c r="DV84" s="889"/>
      <c r="DW84" s="889"/>
      <c r="DX84" s="889"/>
      <c r="DY84" s="889"/>
      <c r="DZ84" s="889"/>
      <c r="EA84" s="889"/>
      <c r="EB84" s="889"/>
      <c r="EC84" s="889"/>
      <c r="ED84" s="889"/>
      <c r="EE84" s="889"/>
      <c r="EF84" s="889"/>
      <c r="EG84" s="889"/>
      <c r="EH84" s="889"/>
      <c r="EI84" s="889"/>
      <c r="EJ84" s="889"/>
      <c r="EK84" s="889"/>
    </row>
    <row r="85" spans="5:141">
      <c r="F85" s="889"/>
      <c r="G85" s="889"/>
      <c r="H85" s="889"/>
      <c r="I85" s="889"/>
      <c r="J85" s="889"/>
      <c r="K85" s="889"/>
      <c r="L85" s="889"/>
      <c r="M85" s="889"/>
      <c r="N85" s="889"/>
      <c r="O85" s="889"/>
      <c r="P85" s="889"/>
      <c r="Q85" s="889"/>
      <c r="R85" s="889"/>
      <c r="S85" s="889"/>
      <c r="T85" s="889"/>
      <c r="U85" s="889"/>
      <c r="V85" s="889"/>
      <c r="W85" s="889"/>
      <c r="X85" s="889"/>
      <c r="Y85" s="889"/>
      <c r="Z85" s="889"/>
      <c r="AA85" s="889"/>
      <c r="AB85" s="889"/>
      <c r="AC85" s="889"/>
      <c r="AD85" s="889"/>
      <c r="AE85" s="889"/>
      <c r="AF85" s="889"/>
      <c r="AG85" s="889"/>
      <c r="AH85" s="889"/>
      <c r="AI85" s="889"/>
      <c r="AJ85" s="889"/>
      <c r="AK85" s="889"/>
      <c r="AL85" s="889"/>
      <c r="BN85" s="889"/>
      <c r="BO85" s="889"/>
      <c r="BP85" s="889"/>
      <c r="BQ85" s="889"/>
      <c r="BR85" s="889"/>
      <c r="BS85" s="889"/>
      <c r="BT85" s="889"/>
      <c r="BU85" s="889"/>
      <c r="BV85" s="889"/>
      <c r="BW85" s="889"/>
      <c r="BX85" s="889"/>
      <c r="BY85" s="889"/>
      <c r="BZ85" s="889"/>
      <c r="CA85" s="889"/>
      <c r="CB85" s="889"/>
      <c r="CC85" s="889"/>
      <c r="CD85" s="889"/>
      <c r="CE85" s="889"/>
      <c r="CF85" s="889"/>
      <c r="CG85" s="889"/>
      <c r="CH85" s="889"/>
      <c r="CI85" s="889"/>
      <c r="CJ85" s="889"/>
      <c r="CK85" s="889"/>
      <c r="CL85" s="889"/>
      <c r="CM85" s="889"/>
      <c r="CN85" s="889"/>
      <c r="CO85" s="889"/>
      <c r="CP85" s="889"/>
      <c r="CQ85" s="889"/>
      <c r="CR85" s="889"/>
      <c r="CS85" s="1516"/>
      <c r="CT85" s="1517"/>
      <c r="CU85" s="1517"/>
      <c r="CV85" s="1517"/>
      <c r="CW85" s="1517"/>
      <c r="CX85" s="1517"/>
      <c r="CY85" s="1517"/>
      <c r="CZ85" s="1517"/>
      <c r="DA85" s="1517"/>
      <c r="DB85" s="1517"/>
      <c r="DC85" s="1517"/>
      <c r="DD85" s="1517"/>
      <c r="DE85" s="1518"/>
      <c r="DF85" s="1518"/>
      <c r="DG85" s="1518"/>
      <c r="DH85" s="1518"/>
      <c r="DL85" s="889"/>
      <c r="DM85" s="889"/>
      <c r="DN85" s="889"/>
      <c r="DO85" s="889"/>
      <c r="DP85" s="889"/>
      <c r="DQ85" s="889"/>
      <c r="DR85" s="889"/>
      <c r="DS85" s="889"/>
      <c r="DT85" s="889"/>
      <c r="DU85" s="889"/>
      <c r="DV85" s="889"/>
      <c r="DW85" s="889"/>
      <c r="DX85" s="889"/>
      <c r="DY85" s="889"/>
      <c r="DZ85" s="889"/>
      <c r="EA85" s="889"/>
      <c r="EB85" s="889"/>
      <c r="EC85" s="889"/>
      <c r="ED85" s="889"/>
      <c r="EE85" s="889"/>
      <c r="EF85" s="889"/>
      <c r="EG85" s="889"/>
      <c r="EH85" s="889"/>
      <c r="EI85" s="889"/>
      <c r="EJ85" s="889"/>
      <c r="EK85" s="889"/>
    </row>
    <row r="86" spans="5:141" ht="13.2">
      <c r="F86" s="889"/>
      <c r="G86" s="889"/>
      <c r="H86" s="889"/>
      <c r="I86" s="889"/>
      <c r="J86" s="889"/>
      <c r="K86" s="889"/>
      <c r="L86" s="889"/>
      <c r="M86" s="889"/>
      <c r="N86" s="889"/>
      <c r="O86" s="889"/>
      <c r="P86" s="889"/>
      <c r="Q86" s="889"/>
      <c r="R86" s="889"/>
      <c r="S86" s="889"/>
      <c r="T86" s="889"/>
      <c r="U86" s="889"/>
      <c r="V86" s="889"/>
      <c r="W86" s="889"/>
      <c r="X86" s="889"/>
      <c r="Y86" s="889"/>
      <c r="Z86" s="889"/>
      <c r="AA86" s="889"/>
      <c r="AB86" s="889"/>
      <c r="AC86" s="889"/>
      <c r="AD86" s="889"/>
      <c r="AE86" s="889"/>
      <c r="AF86"/>
      <c r="AG86"/>
      <c r="AH86"/>
      <c r="AI86"/>
      <c r="AJ86"/>
      <c r="AK86"/>
      <c r="AL86"/>
      <c r="AM86"/>
      <c r="AN86"/>
      <c r="BN86" s="889"/>
      <c r="BO86" s="889"/>
      <c r="BP86" s="889"/>
      <c r="BQ86" s="889"/>
      <c r="BR86" s="889"/>
      <c r="BS86" s="889"/>
      <c r="BT86" s="889"/>
      <c r="BU86" s="889"/>
      <c r="BV86" s="889"/>
      <c r="BW86" s="889"/>
      <c r="BX86" s="889"/>
      <c r="BY86" s="889"/>
      <c r="BZ86" s="889"/>
      <c r="CA86" s="889"/>
      <c r="CB86" s="889"/>
      <c r="CC86" s="889"/>
      <c r="CD86" s="889"/>
      <c r="CE86" s="889"/>
      <c r="CF86" s="889"/>
      <c r="CG86" s="889"/>
      <c r="CH86" s="889"/>
      <c r="CI86" s="889"/>
      <c r="CJ86" s="889"/>
      <c r="CK86" s="889"/>
      <c r="CL86" s="889"/>
      <c r="CM86" s="889"/>
      <c r="CN86" s="889"/>
      <c r="CO86" s="889"/>
      <c r="CP86" s="889"/>
      <c r="CQ86" s="889"/>
      <c r="CR86" s="889"/>
      <c r="CS86" s="1516"/>
      <c r="CT86" s="1517"/>
      <c r="CU86" s="1517"/>
      <c r="CV86" s="1517"/>
      <c r="CW86" s="1517"/>
      <c r="CX86" s="1517"/>
      <c r="CY86" s="1517"/>
      <c r="CZ86" s="1517"/>
      <c r="DA86" s="1517"/>
      <c r="DB86" s="1517"/>
      <c r="DC86" s="1517"/>
      <c r="DD86" s="1517"/>
      <c r="DE86" s="1518"/>
      <c r="DF86" s="1518"/>
      <c r="DG86" s="1518"/>
      <c r="DH86" s="1518"/>
      <c r="DL86" s="889"/>
      <c r="DM86" s="889"/>
      <c r="DN86" s="889"/>
      <c r="DO86" s="889"/>
      <c r="DP86" s="889"/>
      <c r="DQ86" s="889"/>
      <c r="DR86" s="889"/>
      <c r="DS86" s="889"/>
      <c r="DT86" s="889"/>
      <c r="DU86" s="889"/>
      <c r="DV86" s="889"/>
      <c r="DW86" s="889"/>
      <c r="DX86" s="889"/>
      <c r="DY86" s="889"/>
      <c r="DZ86" s="889"/>
      <c r="EA86" s="889"/>
      <c r="EB86" s="889"/>
      <c r="EC86" s="889"/>
      <c r="ED86" s="889"/>
      <c r="EE86" s="889"/>
      <c r="EF86" s="889"/>
      <c r="EG86" s="889"/>
      <c r="EH86" s="889"/>
      <c r="EI86" s="889"/>
      <c r="EJ86" s="889"/>
      <c r="EK86" s="889"/>
    </row>
    <row r="87" spans="5:141">
      <c r="E87" s="889" t="s">
        <v>667</v>
      </c>
      <c r="F87" s="889"/>
      <c r="G87" s="889"/>
      <c r="H87" s="889"/>
      <c r="I87" s="889"/>
      <c r="J87" s="889"/>
      <c r="K87" s="889"/>
      <c r="L87" s="889"/>
      <c r="M87" s="889"/>
      <c r="N87" s="889"/>
      <c r="O87" s="889"/>
      <c r="P87" s="889"/>
      <c r="Q87" s="889"/>
      <c r="R87" s="889"/>
      <c r="S87" s="889"/>
      <c r="T87" s="889"/>
      <c r="U87" s="889"/>
      <c r="V87" s="889"/>
      <c r="W87" s="889"/>
      <c r="X87" s="889"/>
      <c r="Y87" s="889"/>
      <c r="Z87" s="889"/>
      <c r="AA87" s="889"/>
      <c r="AB87" s="889"/>
      <c r="AC87" s="889"/>
      <c r="AD87" s="889"/>
      <c r="AE87" s="889"/>
      <c r="AF87" s="889"/>
      <c r="AG87" s="889"/>
      <c r="AI87" s="1134">
        <f>'Revenue Build'!DF118</f>
        <v>0.61</v>
      </c>
      <c r="AJ87" s="1134">
        <f>'Revenue Build'!DG118</f>
        <v>1</v>
      </c>
      <c r="AK87" s="1134">
        <f>'Revenue Build'!DH118</f>
        <v>1.5</v>
      </c>
      <c r="AL87" s="1135">
        <f>'Revenue Build'!DJ118</f>
        <v>1.3</v>
      </c>
      <c r="AM87" s="1135">
        <f>'Revenue Build'!DK118</f>
        <v>1.4</v>
      </c>
      <c r="AN87" s="1135">
        <f>'Revenue Build'!DL118</f>
        <v>1.45</v>
      </c>
      <c r="AO87" s="1135">
        <f>'Revenue Build'!DM118</f>
        <v>1.4</v>
      </c>
      <c r="AP87" s="1135">
        <f>'Revenue Build'!DO118</f>
        <v>1.0900000000000001</v>
      </c>
      <c r="AQ87" s="1135">
        <f>'Revenue Build'!DP118</f>
        <v>1.01</v>
      </c>
      <c r="AR87" s="1135"/>
      <c r="AS87" s="1135"/>
      <c r="BN87" s="889"/>
      <c r="BO87" s="889"/>
      <c r="BP87" s="889"/>
      <c r="BQ87" s="889"/>
      <c r="BR87" s="889"/>
      <c r="BS87" s="889"/>
      <c r="BT87" s="889"/>
      <c r="BU87" s="889"/>
      <c r="BV87" s="889"/>
      <c r="BW87" s="889"/>
      <c r="BX87" s="889"/>
      <c r="BY87" s="889"/>
      <c r="BZ87" s="889"/>
      <c r="CA87" s="889"/>
      <c r="CB87" s="889"/>
      <c r="CC87" s="889"/>
      <c r="CD87" s="889"/>
      <c r="CE87" s="889"/>
      <c r="CF87" s="889"/>
      <c r="CG87" s="889"/>
      <c r="CH87" s="889"/>
      <c r="CI87" s="889"/>
      <c r="CJ87" s="889"/>
      <c r="CK87" s="889"/>
      <c r="CL87" s="889"/>
      <c r="CM87" s="889"/>
      <c r="CN87" s="889"/>
      <c r="CO87" s="889"/>
      <c r="CP87" s="889"/>
      <c r="CQ87" s="889"/>
      <c r="CR87" s="889"/>
      <c r="CS87" s="1516"/>
      <c r="CT87" s="1517"/>
      <c r="CU87" s="1517"/>
      <c r="CV87" s="1517"/>
      <c r="CW87" s="1517"/>
      <c r="CX87" s="1517"/>
      <c r="CY87" s="1517"/>
      <c r="CZ87" s="1517"/>
      <c r="DA87" s="1517"/>
      <c r="DB87" s="1517"/>
      <c r="DC87" s="1517"/>
      <c r="DD87" s="1517"/>
      <c r="DE87" s="1518"/>
      <c r="DF87" s="1518"/>
      <c r="DG87" s="1518"/>
      <c r="DH87" s="1518"/>
      <c r="DL87" s="889"/>
      <c r="DM87" s="889"/>
      <c r="DN87" s="889"/>
      <c r="DO87" s="889"/>
      <c r="DP87" s="889"/>
      <c r="DQ87" s="889"/>
      <c r="DR87" s="889"/>
      <c r="DS87" s="889"/>
      <c r="DT87" s="889"/>
      <c r="DU87" s="889"/>
      <c r="DV87" s="889"/>
      <c r="DW87" s="889"/>
      <c r="DX87" s="889"/>
      <c r="DY87" s="889"/>
      <c r="DZ87" s="889"/>
      <c r="EA87" s="889"/>
      <c r="EB87" s="889"/>
      <c r="EC87" s="889"/>
      <c r="ED87" s="889"/>
      <c r="EE87" s="889"/>
      <c r="EF87" s="889"/>
      <c r="EG87" s="889"/>
      <c r="EH87" s="889"/>
      <c r="EI87" s="889"/>
      <c r="EJ87" s="889"/>
      <c r="EK87" s="889"/>
    </row>
    <row r="88" spans="5:141">
      <c r="E88" s="889" t="s">
        <v>668</v>
      </c>
      <c r="F88" s="889"/>
      <c r="G88" s="889"/>
      <c r="H88" s="889"/>
      <c r="I88" s="889"/>
      <c r="J88" s="889"/>
      <c r="K88" s="889"/>
      <c r="L88" s="889"/>
      <c r="M88" s="889"/>
      <c r="N88" s="889"/>
      <c r="O88" s="889"/>
      <c r="P88" s="889"/>
      <c r="Q88" s="889"/>
      <c r="R88" s="889"/>
      <c r="S88" s="889"/>
      <c r="T88" s="889"/>
      <c r="U88" s="889"/>
      <c r="V88" s="889"/>
      <c r="W88" s="889"/>
      <c r="X88" s="889"/>
      <c r="Y88" s="889"/>
      <c r="Z88" s="889"/>
      <c r="AA88" s="889"/>
      <c r="AB88" s="889"/>
      <c r="AC88" s="889"/>
      <c r="AD88" s="889"/>
      <c r="AE88" s="889"/>
      <c r="AF88" s="889"/>
      <c r="AG88" s="889"/>
      <c r="AI88" s="1136">
        <f t="shared" ref="AI88:AQ88" si="76">AI83</f>
        <v>0.17395395739772312</v>
      </c>
      <c r="AJ88" s="1136">
        <f t="shared" si="76"/>
        <v>0.21645021645021645</v>
      </c>
      <c r="AK88" s="1136">
        <f t="shared" si="76"/>
        <v>0.23155737704918034</v>
      </c>
      <c r="AL88" s="1123">
        <f t="shared" si="76"/>
        <v>0.22691532258064506</v>
      </c>
      <c r="AM88" s="1123">
        <f t="shared" si="76"/>
        <v>0.22263636363636374</v>
      </c>
      <c r="AN88" s="1123">
        <f t="shared" si="76"/>
        <v>0.24048042704626327</v>
      </c>
      <c r="AO88" s="1123">
        <f t="shared" si="76"/>
        <v>0.2573710482529119</v>
      </c>
      <c r="AP88" s="1123">
        <f t="shared" si="76"/>
        <v>0.22832963602004774</v>
      </c>
      <c r="AQ88" s="1123">
        <f t="shared" si="76"/>
        <v>0.30622351104171308</v>
      </c>
      <c r="BN88" s="889"/>
      <c r="BO88" s="889"/>
      <c r="BP88" s="889"/>
      <c r="BQ88" s="889"/>
      <c r="BR88" s="889"/>
      <c r="BS88" s="889"/>
      <c r="BT88" s="889"/>
      <c r="BU88" s="889"/>
      <c r="BV88" s="889"/>
      <c r="BW88" s="889"/>
      <c r="BX88" s="889"/>
      <c r="BY88" s="889"/>
      <c r="BZ88" s="889"/>
      <c r="CA88" s="889"/>
      <c r="CB88" s="889"/>
      <c r="CC88" s="889"/>
      <c r="CD88" s="889"/>
      <c r="CE88" s="889"/>
      <c r="CF88" s="889"/>
      <c r="CG88" s="889"/>
      <c r="CH88" s="889"/>
      <c r="CI88" s="889"/>
      <c r="CJ88" s="889"/>
      <c r="CK88" s="889"/>
      <c r="CL88" s="889"/>
      <c r="CM88" s="889"/>
      <c r="CN88" s="889"/>
      <c r="CO88" s="889"/>
      <c r="CP88" s="889"/>
      <c r="CQ88" s="889"/>
      <c r="CR88" s="889"/>
      <c r="CS88" s="1516"/>
      <c r="CT88" s="1517"/>
      <c r="CU88" s="1517"/>
      <c r="CV88" s="1517"/>
      <c r="CW88" s="1517"/>
      <c r="CX88" s="1517"/>
      <c r="CY88" s="1517"/>
      <c r="CZ88" s="1517"/>
      <c r="DA88" s="1517"/>
      <c r="DB88" s="1517"/>
      <c r="DC88" s="1517"/>
      <c r="DD88" s="1517"/>
      <c r="DE88" s="1518"/>
      <c r="DF88" s="1518"/>
      <c r="DG88" s="1518"/>
      <c r="DH88" s="1518"/>
      <c r="DL88" s="889"/>
      <c r="DM88" s="889"/>
      <c r="DN88" s="889"/>
      <c r="DO88" s="889"/>
      <c r="DP88" s="889"/>
      <c r="DQ88" s="889"/>
      <c r="DR88" s="889"/>
      <c r="DS88" s="889"/>
      <c r="DT88" s="889"/>
      <c r="DU88" s="889"/>
      <c r="DV88" s="889"/>
      <c r="DW88" s="889"/>
      <c r="DX88" s="889"/>
      <c r="DY88" s="889"/>
      <c r="DZ88" s="889"/>
      <c r="EA88" s="889"/>
      <c r="EB88" s="889"/>
      <c r="EC88" s="889"/>
      <c r="ED88" s="889"/>
      <c r="EE88" s="889"/>
      <c r="EF88" s="889"/>
      <c r="EG88" s="889"/>
      <c r="EH88" s="889"/>
      <c r="EI88" s="889"/>
      <c r="EJ88" s="889"/>
      <c r="EK88" s="889"/>
    </row>
    <row r="89" spans="5:141">
      <c r="F89" s="889"/>
      <c r="G89" s="889"/>
      <c r="H89" s="889"/>
      <c r="I89" s="889"/>
      <c r="J89" s="889"/>
      <c r="K89" s="889"/>
      <c r="L89" s="889"/>
      <c r="M89" s="889"/>
      <c r="N89" s="889"/>
      <c r="O89" s="889"/>
      <c r="P89" s="889"/>
      <c r="Q89" s="889"/>
      <c r="R89" s="889"/>
      <c r="S89" s="889"/>
      <c r="T89" s="889"/>
      <c r="U89" s="889"/>
      <c r="V89" s="889"/>
      <c r="W89" s="889"/>
      <c r="X89" s="889"/>
      <c r="Y89" s="889"/>
      <c r="Z89" s="889"/>
      <c r="AA89" s="889"/>
      <c r="AB89" s="889"/>
      <c r="AC89" s="889"/>
      <c r="AD89" s="889"/>
      <c r="AE89" s="889"/>
      <c r="AF89" s="889"/>
      <c r="AG89" s="889"/>
      <c r="AH89" s="889"/>
      <c r="AI89" s="889"/>
      <c r="AJ89" s="889"/>
      <c r="AK89" s="889"/>
      <c r="AL89" s="889"/>
      <c r="BN89" s="889"/>
      <c r="BO89" s="889"/>
      <c r="BP89" s="889"/>
      <c r="BQ89" s="889"/>
      <c r="BR89" s="889"/>
      <c r="BS89" s="889"/>
      <c r="BT89" s="889"/>
      <c r="BU89" s="889"/>
      <c r="BV89" s="889"/>
      <c r="BW89" s="889"/>
      <c r="BX89" s="889"/>
      <c r="BY89" s="889"/>
      <c r="BZ89" s="889"/>
      <c r="CA89" s="889"/>
      <c r="CB89" s="889"/>
      <c r="CC89" s="889"/>
      <c r="CD89" s="889"/>
      <c r="CE89" s="889"/>
      <c r="CF89" s="889"/>
      <c r="CG89" s="889"/>
      <c r="CH89" s="889"/>
      <c r="CI89" s="889"/>
      <c r="CJ89" s="889"/>
      <c r="CK89" s="889"/>
      <c r="CL89" s="889"/>
      <c r="CM89" s="889"/>
      <c r="CN89" s="889"/>
      <c r="CO89" s="889"/>
      <c r="CP89" s="889"/>
      <c r="CQ89" s="889"/>
      <c r="CR89" s="889"/>
      <c r="CS89" s="1516"/>
      <c r="CT89" s="1517"/>
      <c r="CU89" s="1517"/>
      <c r="CV89" s="1517"/>
      <c r="CW89" s="1517"/>
      <c r="CX89" s="1517"/>
      <c r="CY89" s="1517"/>
      <c r="CZ89" s="1517"/>
      <c r="DA89" s="1517"/>
      <c r="DB89" s="1517"/>
      <c r="DC89" s="1517"/>
      <c r="DD89" s="1517"/>
      <c r="DE89" s="1518"/>
      <c r="DF89" s="1518"/>
      <c r="DG89" s="1518"/>
      <c r="DH89" s="1518"/>
      <c r="DL89" s="889"/>
      <c r="DM89" s="889"/>
      <c r="DN89" s="889"/>
      <c r="DO89" s="889"/>
      <c r="DP89" s="889"/>
      <c r="DQ89" s="889"/>
      <c r="DR89" s="889"/>
      <c r="DS89" s="889"/>
      <c r="DT89" s="889"/>
      <c r="DU89" s="889"/>
      <c r="DV89" s="889"/>
      <c r="DW89" s="889"/>
      <c r="DX89" s="889"/>
      <c r="DY89" s="889"/>
      <c r="DZ89" s="889"/>
      <c r="EA89" s="889"/>
      <c r="EB89" s="889"/>
      <c r="EC89" s="889"/>
      <c r="ED89" s="889"/>
      <c r="EE89" s="889"/>
      <c r="EF89" s="889"/>
      <c r="EG89" s="889"/>
      <c r="EH89" s="889"/>
      <c r="EI89" s="889"/>
      <c r="EJ89" s="889"/>
      <c r="EK89" s="889"/>
    </row>
    <row r="90" spans="5:141" ht="13.2">
      <c r="E90" s="1440" t="str">
        <f>'Revenue Build'!C46</f>
        <v>Subscription solutions revenue components</v>
      </c>
      <c r="F90" s="889"/>
      <c r="G90" s="889"/>
      <c r="H90" s="889"/>
      <c r="I90" s="889"/>
      <c r="J90" s="889"/>
      <c r="K90" s="889"/>
      <c r="L90" s="889"/>
      <c r="M90" s="889"/>
      <c r="N90" s="889"/>
      <c r="O90" s="889"/>
      <c r="P90" s="889"/>
      <c r="Q90" s="889"/>
      <c r="R90" s="889"/>
      <c r="S90" s="889"/>
      <c r="T90" s="889"/>
      <c r="U90" s="889"/>
      <c r="V90" s="889"/>
      <c r="W90" s="889"/>
      <c r="X90" s="889"/>
      <c r="Y90" s="889"/>
      <c r="Z90" s="889"/>
      <c r="AA90" s="889"/>
      <c r="AB90" s="889"/>
      <c r="AC90" s="889"/>
      <c r="AD90" s="889"/>
      <c r="AF90"/>
      <c r="AG90"/>
      <c r="AH90"/>
      <c r="AI90"/>
      <c r="AJ90"/>
      <c r="AK90"/>
      <c r="AL90"/>
      <c r="AM90"/>
      <c r="AN90"/>
      <c r="AT90" s="1137"/>
      <c r="AU90" s="1137"/>
      <c r="AV90" s="1137"/>
      <c r="AW90" s="1137"/>
      <c r="AX90" s="1137"/>
      <c r="AY90" s="1137"/>
      <c r="AZ90" s="1137"/>
      <c r="BA90" s="1137"/>
      <c r="BB90" s="1137"/>
      <c r="BC90" s="1137"/>
      <c r="BD90" s="1137"/>
      <c r="BE90" s="1137"/>
      <c r="BF90" s="1137"/>
      <c r="BG90" s="1137"/>
      <c r="BH90" s="1137"/>
      <c r="BI90" s="1137"/>
      <c r="BJ90" s="1137"/>
      <c r="BK90" s="1137"/>
      <c r="BL90" s="1137"/>
      <c r="BM90" s="1137"/>
      <c r="BN90" s="889"/>
      <c r="BO90" s="889"/>
      <c r="BP90" s="889"/>
      <c r="BQ90" s="889"/>
      <c r="BR90" s="889"/>
      <c r="BS90" s="889"/>
      <c r="BT90" s="889"/>
      <c r="BU90" s="889"/>
      <c r="BV90" s="889"/>
      <c r="BW90" s="889"/>
      <c r="BX90" s="889"/>
      <c r="BY90" s="889"/>
      <c r="BZ90" s="889"/>
      <c r="CA90" s="889"/>
      <c r="CB90" s="889"/>
      <c r="CC90" s="889"/>
      <c r="CD90" s="889"/>
      <c r="CE90" s="889"/>
      <c r="CF90" s="889"/>
      <c r="CG90" s="889"/>
      <c r="CH90" s="889"/>
      <c r="CI90" s="889"/>
      <c r="CJ90" s="889"/>
      <c r="CK90" s="889"/>
      <c r="CL90" s="889"/>
      <c r="CM90" s="889"/>
      <c r="CN90" s="889"/>
      <c r="CO90" s="889"/>
      <c r="CP90" s="889"/>
      <c r="CQ90" s="889"/>
      <c r="CR90" s="889"/>
      <c r="CS90" s="1516"/>
      <c r="CT90" s="1517"/>
      <c r="CU90" s="1517"/>
      <c r="CV90" s="1517"/>
      <c r="CW90" s="1517"/>
      <c r="CX90" s="1517"/>
      <c r="CY90" s="1517"/>
      <c r="CZ90" s="1517"/>
      <c r="DA90" s="1517"/>
      <c r="DB90" s="1517"/>
      <c r="DC90" s="1517"/>
      <c r="DD90" s="1517"/>
      <c r="DE90" s="1518"/>
      <c r="DF90" s="1518"/>
      <c r="DG90" s="1518"/>
      <c r="DH90" s="1518"/>
      <c r="DL90" s="889"/>
      <c r="DM90" s="889"/>
      <c r="DN90" s="889"/>
      <c r="DO90" s="889"/>
      <c r="DP90" s="889"/>
      <c r="DQ90" s="889"/>
      <c r="DR90" s="889"/>
      <c r="DS90" s="889"/>
      <c r="DT90" s="889"/>
      <c r="DU90" s="889"/>
      <c r="DV90" s="889"/>
      <c r="DW90" s="889"/>
      <c r="DX90" s="889"/>
      <c r="DY90" s="889"/>
      <c r="DZ90" s="889"/>
      <c r="EA90" s="889"/>
      <c r="EB90" s="889"/>
      <c r="EC90" s="889"/>
      <c r="ED90" s="889"/>
      <c r="EE90" s="889"/>
      <c r="EF90" s="889"/>
      <c r="EG90" s="889"/>
      <c r="EH90" s="889"/>
      <c r="EI90" s="889"/>
      <c r="EJ90" s="889"/>
      <c r="EK90" s="889"/>
    </row>
    <row r="91" spans="5:141">
      <c r="E91" s="1440" t="str">
        <f>'Revenue Build'!C47</f>
        <v>Standard revenue % subscription solutions revenue</v>
      </c>
      <c r="F91" s="889"/>
      <c r="G91" s="889"/>
      <c r="H91" s="889"/>
      <c r="I91" s="889"/>
      <c r="J91" s="889"/>
      <c r="K91" s="889"/>
      <c r="L91" s="889"/>
      <c r="M91" s="889"/>
      <c r="N91" s="889"/>
      <c r="O91" s="889"/>
      <c r="P91" s="889"/>
      <c r="Q91" s="889"/>
      <c r="R91" s="889"/>
      <c r="S91" s="889"/>
      <c r="T91" s="889"/>
      <c r="U91" s="889"/>
      <c r="V91" s="889"/>
      <c r="W91" s="889"/>
      <c r="X91" s="889"/>
      <c r="Y91" s="889"/>
      <c r="Z91" s="889"/>
      <c r="AA91" s="889"/>
      <c r="AB91" s="889"/>
      <c r="AC91" s="889"/>
      <c r="AD91" s="889"/>
      <c r="AF91" s="1137">
        <f>'Revenue Build'!DB47</f>
        <v>0.57999999999999996</v>
      </c>
      <c r="AG91" s="1137">
        <f>'Revenue Build'!DC47</f>
        <v>0.54</v>
      </c>
      <c r="AH91" s="1137">
        <f>'Revenue Build'!DE47</f>
        <v>0.59</v>
      </c>
      <c r="AI91" s="1137">
        <f>'Revenue Build'!DF47</f>
        <v>0.59</v>
      </c>
      <c r="AJ91" s="1137">
        <f>'Revenue Build'!DG47</f>
        <v>0.6</v>
      </c>
      <c r="AK91" s="1137">
        <f>'Revenue Build'!DH47</f>
        <v>0.56000000000000005</v>
      </c>
      <c r="AL91" s="1137">
        <f>'Revenue Build'!DJ47</f>
        <v>0.6</v>
      </c>
      <c r="AM91" s="1137">
        <f>'Revenue Build'!DK47</f>
        <v>0.6</v>
      </c>
      <c r="AN91" s="1137">
        <f>'Revenue Build'!DL47</f>
        <v>0.59</v>
      </c>
      <c r="AO91" s="1137">
        <f>'Revenue Build'!DM47</f>
        <v>0.55000000000000004</v>
      </c>
      <c r="AP91" s="1137">
        <f>'Revenue Build'!DO47</f>
        <v>0.57999999999999996</v>
      </c>
      <c r="AQ91" s="1137">
        <f>'Revenue Build'!DP47</f>
        <v>0.54</v>
      </c>
      <c r="AR91" s="1137">
        <f>'Revenue Build'!DQ47</f>
        <v>0.54</v>
      </c>
      <c r="AS91" s="1137">
        <f>'Revenue Build'!DR47</f>
        <v>0.51</v>
      </c>
      <c r="AT91" s="1137">
        <f>'Revenue Build'!DT47</f>
        <v>0.53</v>
      </c>
      <c r="AU91" s="1137">
        <f>'Revenue Build'!DU47</f>
        <v>0.52</v>
      </c>
      <c r="AV91" s="1137">
        <f>'Revenue Build'!DV47</f>
        <v>0.52</v>
      </c>
      <c r="AW91" s="1137">
        <f>'Revenue Build'!DW47</f>
        <v>0.50000000000000011</v>
      </c>
      <c r="AX91" s="1137">
        <f>'Revenue Build'!DY47</f>
        <v>0.5149999999999999</v>
      </c>
      <c r="AY91" s="1137">
        <f>'Revenue Build'!DZ47</f>
        <v>0.505</v>
      </c>
      <c r="AZ91" s="1137">
        <f>'Revenue Build'!EA47</f>
        <v>0.505</v>
      </c>
      <c r="BA91" s="1137">
        <f>'Revenue Build'!EB47</f>
        <v>0.48500000000000004</v>
      </c>
      <c r="BB91" s="1137">
        <f>'Revenue Build'!EC47</f>
        <v>0.50163814010641417</v>
      </c>
      <c r="BC91" s="1137">
        <f>'Revenue Build'!ED47</f>
        <v>0.5</v>
      </c>
      <c r="BD91" s="1137">
        <f>'Revenue Build'!EE47</f>
        <v>0.48999999999999994</v>
      </c>
      <c r="BE91" s="1137">
        <f>'Revenue Build'!EF47</f>
        <v>0.48999999999999994</v>
      </c>
      <c r="BF91" s="1137">
        <f>'Revenue Build'!EG47</f>
        <v>0.46999999999999992</v>
      </c>
      <c r="BG91" s="1137">
        <f>'Revenue Build'!EH47</f>
        <v>0.48669371472862338</v>
      </c>
      <c r="BH91" s="1137">
        <f>'Revenue Build'!EI47</f>
        <v>0.48499999999999993</v>
      </c>
      <c r="BI91" s="1137">
        <f>'Revenue Build'!EJ47</f>
        <v>0.47499999999999992</v>
      </c>
      <c r="BJ91" s="1137">
        <f>'Revenue Build'!EK47</f>
        <v>0.47500000000000003</v>
      </c>
      <c r="BK91" s="1137">
        <f>'Revenue Build'!EL47</f>
        <v>0.45500000000000002</v>
      </c>
      <c r="BL91" s="1137">
        <f>'Revenue Build'!EM47</f>
        <v>0.47169371472862337</v>
      </c>
      <c r="BM91" s="1137">
        <f>'Revenue Build'!EN47</f>
        <v>0.46999999999999992</v>
      </c>
      <c r="BN91" s="889"/>
      <c r="BO91" s="889"/>
      <c r="BP91" s="889"/>
      <c r="BQ91" s="889"/>
      <c r="BR91" s="889"/>
      <c r="BS91" s="889"/>
      <c r="BT91" s="889"/>
      <c r="BU91" s="889"/>
      <c r="BV91" s="889"/>
      <c r="BW91" s="889"/>
      <c r="BX91" s="889"/>
      <c r="BY91" s="889"/>
      <c r="BZ91" s="889"/>
      <c r="CA91" s="889"/>
      <c r="CB91" s="889"/>
      <c r="CC91" s="889"/>
      <c r="CD91" s="889"/>
      <c r="CE91" s="889"/>
      <c r="CF91" s="889"/>
      <c r="CG91" s="889"/>
      <c r="CH91" s="889"/>
      <c r="CI91" s="889"/>
      <c r="CJ91" s="889"/>
      <c r="CK91" s="889"/>
      <c r="CL91" s="889"/>
      <c r="CM91" s="889"/>
      <c r="CN91" s="889"/>
      <c r="CO91" s="889"/>
      <c r="CP91" s="889"/>
      <c r="CQ91" s="889"/>
      <c r="CR91" s="889"/>
      <c r="CS91" s="1516"/>
      <c r="CT91" s="1517"/>
      <c r="CU91" s="1517"/>
      <c r="CV91" s="1517"/>
      <c r="CW91" s="1517"/>
      <c r="CX91" s="1517"/>
      <c r="CY91" s="1517"/>
      <c r="CZ91" s="1517"/>
      <c r="DA91" s="1517"/>
      <c r="DB91" s="1517"/>
      <c r="DC91" s="1517"/>
      <c r="DD91" s="1517"/>
      <c r="DE91" s="1518"/>
      <c r="DF91" s="1518"/>
      <c r="DG91" s="1518"/>
      <c r="DH91" s="1518"/>
      <c r="DL91" s="889"/>
      <c r="DM91" s="889"/>
      <c r="DN91" s="889"/>
      <c r="DO91" s="889"/>
      <c r="DP91" s="889"/>
      <c r="DQ91" s="889"/>
      <c r="DR91" s="889"/>
      <c r="DS91" s="889"/>
      <c r="DT91" s="889"/>
      <c r="DU91" s="889"/>
      <c r="DV91" s="889"/>
      <c r="DW91" s="889"/>
      <c r="DX91" s="889"/>
      <c r="DY91" s="889"/>
      <c r="DZ91" s="889"/>
      <c r="EA91" s="889"/>
      <c r="EB91" s="889"/>
      <c r="EC91" s="889"/>
      <c r="ED91" s="889"/>
      <c r="EE91" s="889"/>
      <c r="EF91" s="889"/>
      <c r="EG91" s="889"/>
      <c r="EH91" s="889"/>
      <c r="EI91" s="889"/>
      <c r="EJ91" s="889"/>
      <c r="EK91" s="889"/>
    </row>
    <row r="92" spans="5:141">
      <c r="E92" s="1440" t="str">
        <f>'Revenue Build'!C49</f>
        <v>Plus revenue % subscription solutions revenue</v>
      </c>
      <c r="F92" s="889"/>
      <c r="G92" s="889"/>
      <c r="H92" s="889"/>
      <c r="I92" s="889"/>
      <c r="J92" s="889"/>
      <c r="K92" s="889"/>
      <c r="L92" s="889"/>
      <c r="M92" s="889"/>
      <c r="N92" s="889"/>
      <c r="O92" s="889"/>
      <c r="P92" s="889"/>
      <c r="Q92" s="889"/>
      <c r="R92" s="889"/>
      <c r="S92" s="889"/>
      <c r="T92" s="889"/>
      <c r="U92" s="889"/>
      <c r="V92" s="889"/>
      <c r="W92" s="889"/>
      <c r="X92" s="889"/>
      <c r="Y92" s="889"/>
      <c r="Z92" s="889"/>
      <c r="AA92" s="889"/>
      <c r="AB92" s="889"/>
      <c r="AC92" s="889"/>
      <c r="AD92" s="889"/>
      <c r="AF92" s="1137">
        <f>'Revenue Build'!DB49</f>
        <v>0.27</v>
      </c>
      <c r="AG92" s="1137">
        <f>'Revenue Build'!DC49</f>
        <v>0.27</v>
      </c>
      <c r="AH92" s="1137">
        <f>'Revenue Build'!DE49</f>
        <v>0.3</v>
      </c>
      <c r="AI92" s="1137">
        <f>'Revenue Build'!DF49</f>
        <v>0.27</v>
      </c>
      <c r="AJ92" s="1137">
        <f>'Revenue Build'!DG49</f>
        <v>0.26</v>
      </c>
      <c r="AK92" s="1137">
        <f>'Revenue Build'!DH49</f>
        <v>0.25</v>
      </c>
      <c r="AL92" s="1137">
        <f>'Revenue Build'!DJ49</f>
        <v>0.27</v>
      </c>
      <c r="AM92" s="1137">
        <f>'Revenue Build'!DK49</f>
        <v>0.26</v>
      </c>
      <c r="AN92" s="1137">
        <f>'Revenue Build'!DL49</f>
        <v>0.27</v>
      </c>
      <c r="AO92" s="1137">
        <f>'Revenue Build'!DM49</f>
        <v>0.26</v>
      </c>
      <c r="AP92" s="1137">
        <f>'Revenue Build'!DO49</f>
        <v>0.28000000000000003</v>
      </c>
      <c r="AQ92" s="1137">
        <f>'Revenue Build'!DP49</f>
        <v>0.28000000000000003</v>
      </c>
      <c r="AR92" s="1137">
        <f>'Revenue Build'!DQ49</f>
        <v>0.28000000000000003</v>
      </c>
      <c r="AS92" s="1137">
        <f>'Revenue Build'!DR49</f>
        <v>0.26</v>
      </c>
      <c r="AT92" s="1137">
        <f>'Revenue Build'!DT49</f>
        <v>0.28000000000000003</v>
      </c>
      <c r="AU92" s="1137">
        <f>'Revenue Build'!DU49</f>
        <v>0.27</v>
      </c>
      <c r="AV92" s="1137">
        <f>'Revenue Build'!DV49</f>
        <v>0.27</v>
      </c>
      <c r="AW92" s="1137">
        <f>'Revenue Build'!DW49</f>
        <v>0.25</v>
      </c>
      <c r="AX92" s="1137">
        <f>'Revenue Build'!DY49</f>
        <v>0.28000000000000003</v>
      </c>
      <c r="AY92" s="1137">
        <f>'Revenue Build'!DZ49</f>
        <v>0.27</v>
      </c>
      <c r="AZ92" s="1137">
        <f>'Revenue Build'!EA49</f>
        <v>0.27</v>
      </c>
      <c r="BA92" s="1137">
        <f>'Revenue Build'!EB49</f>
        <v>0.25</v>
      </c>
      <c r="BB92" s="1137">
        <f>'Revenue Build'!EC49</f>
        <v>0.26663814010641423</v>
      </c>
      <c r="BC92" s="1137">
        <f>'Revenue Build'!ED49</f>
        <v>0.28000000000000003</v>
      </c>
      <c r="BD92" s="1137">
        <f>'Revenue Build'!EE49</f>
        <v>0.27</v>
      </c>
      <c r="BE92" s="1137">
        <f>'Revenue Build'!EF49</f>
        <v>0.27</v>
      </c>
      <c r="BF92" s="1137">
        <f>'Revenue Build'!EG49</f>
        <v>0.25</v>
      </c>
      <c r="BG92" s="1137">
        <f>'Revenue Build'!EH49</f>
        <v>0.26669371472862341</v>
      </c>
      <c r="BH92" s="1137">
        <f>'Revenue Build'!EI49</f>
        <v>0.28000000000000003</v>
      </c>
      <c r="BI92" s="1137">
        <f>'Revenue Build'!EJ49</f>
        <v>0.27</v>
      </c>
      <c r="BJ92" s="1137">
        <f>'Revenue Build'!EK49</f>
        <v>0.27</v>
      </c>
      <c r="BK92" s="1137">
        <f>'Revenue Build'!EL49</f>
        <v>0.25</v>
      </c>
      <c r="BL92" s="1137">
        <f>'Revenue Build'!EM49</f>
        <v>0.26669371472862341</v>
      </c>
      <c r="BM92" s="1137">
        <f>'Revenue Build'!EN49</f>
        <v>0.28000000000000003</v>
      </c>
      <c r="BN92" s="889"/>
      <c r="BO92" s="889"/>
      <c r="BP92" s="889"/>
      <c r="BQ92" s="889"/>
      <c r="BR92" s="889"/>
      <c r="BS92" s="889"/>
      <c r="BT92" s="889"/>
      <c r="BU92" s="889"/>
      <c r="BV92" s="889"/>
      <c r="BW92" s="889"/>
      <c r="BX92" s="889"/>
      <c r="BY92" s="889"/>
      <c r="BZ92" s="889"/>
      <c r="CA92" s="889"/>
      <c r="CB92" s="889"/>
      <c r="CC92" s="889"/>
      <c r="CD92" s="889"/>
      <c r="CE92" s="889"/>
      <c r="CF92" s="889"/>
      <c r="CG92" s="889"/>
      <c r="CH92" s="889"/>
      <c r="CI92" s="889"/>
      <c r="CJ92" s="889"/>
      <c r="CK92" s="889"/>
      <c r="CL92" s="889"/>
      <c r="CM92" s="889"/>
      <c r="CN92" s="889"/>
      <c r="CO92" s="889"/>
      <c r="CP92" s="889"/>
      <c r="CQ92" s="889"/>
      <c r="CR92" s="889"/>
      <c r="CS92" s="1516"/>
      <c r="CT92" s="1517"/>
      <c r="CU92" s="1517"/>
      <c r="CV92" s="1517"/>
      <c r="CW92" s="1517"/>
      <c r="CX92" s="1517"/>
      <c r="CY92" s="1517"/>
      <c r="CZ92" s="1517"/>
      <c r="DA92" s="1517"/>
      <c r="DB92" s="1517"/>
      <c r="DC92" s="1517"/>
      <c r="DD92" s="1517"/>
      <c r="DE92" s="1518"/>
      <c r="DF92" s="1518"/>
      <c r="DG92" s="1518"/>
      <c r="DH92" s="1518"/>
      <c r="DL92" s="889"/>
      <c r="DM92" s="889"/>
      <c r="DN92" s="889"/>
      <c r="DO92" s="889"/>
      <c r="DP92" s="889"/>
      <c r="DQ92" s="889"/>
      <c r="DR92" s="889"/>
      <c r="DS92" s="889"/>
      <c r="DT92" s="889"/>
      <c r="DU92" s="889"/>
      <c r="DV92" s="889"/>
      <c r="DW92" s="889"/>
      <c r="DX92" s="889"/>
      <c r="DY92" s="889"/>
      <c r="DZ92" s="889"/>
      <c r="EA92" s="889"/>
      <c r="EB92" s="889"/>
      <c r="EC92" s="889"/>
      <c r="ED92" s="889"/>
      <c r="EE92" s="889"/>
      <c r="EF92" s="889"/>
      <c r="EG92" s="889"/>
      <c r="EH92" s="889"/>
      <c r="EI92" s="889"/>
      <c r="EJ92" s="889"/>
      <c r="EK92" s="889"/>
    </row>
    <row r="93" spans="5:141">
      <c r="E93" s="1440" t="str">
        <f>'Revenue Build'!C51</f>
        <v>Apps, Themes, Domains, Plus Platform Fees % SS revenue</v>
      </c>
      <c r="F93" s="889"/>
      <c r="G93" s="889"/>
      <c r="H93" s="889"/>
      <c r="I93" s="889"/>
      <c r="J93" s="889"/>
      <c r="K93" s="889"/>
      <c r="L93" s="889"/>
      <c r="M93" s="889"/>
      <c r="N93" s="889"/>
      <c r="O93" s="889"/>
      <c r="P93" s="889"/>
      <c r="Q93" s="889"/>
      <c r="R93" s="889"/>
      <c r="S93" s="889"/>
      <c r="T93" s="889"/>
      <c r="U93" s="889"/>
      <c r="V93" s="889"/>
      <c r="W93" s="889"/>
      <c r="X93" s="889"/>
      <c r="Y93" s="889"/>
      <c r="Z93" s="889"/>
      <c r="AA93" s="889"/>
      <c r="AB93" s="889"/>
      <c r="AC93" s="889"/>
      <c r="AD93" s="889"/>
      <c r="AF93" s="1137">
        <f>'Revenue Build'!DB51</f>
        <v>0.15</v>
      </c>
      <c r="AG93" s="1137">
        <f>'Revenue Build'!DC51</f>
        <v>0.19</v>
      </c>
      <c r="AH93" s="1137">
        <f>'Revenue Build'!DE51</f>
        <v>0.11</v>
      </c>
      <c r="AI93" s="1137">
        <f>'Revenue Build'!DF51</f>
        <v>0.14000000000000001</v>
      </c>
      <c r="AJ93" s="1137">
        <f>'Revenue Build'!DG51</f>
        <v>0.14000000000000001</v>
      </c>
      <c r="AK93" s="1137">
        <f>'Revenue Build'!DH51</f>
        <v>0.18</v>
      </c>
      <c r="AL93" s="1137">
        <f>'Revenue Build'!DJ51</f>
        <v>0.13</v>
      </c>
      <c r="AM93" s="1137">
        <f>'Revenue Build'!DK51</f>
        <v>0.14000000000000001</v>
      </c>
      <c r="AN93" s="1137">
        <f>'Revenue Build'!DL51</f>
        <v>0.15</v>
      </c>
      <c r="AO93" s="1137">
        <f>'Revenue Build'!DM51</f>
        <v>0.2</v>
      </c>
      <c r="AP93" s="1137">
        <f>'Revenue Build'!DO51</f>
        <v>0.14000000000000001</v>
      </c>
      <c r="AQ93" s="1137">
        <f>'Revenue Build'!DP51</f>
        <v>0.18</v>
      </c>
      <c r="AR93" s="1137">
        <f>'Revenue Build'!DQ51</f>
        <v>0.18</v>
      </c>
      <c r="AS93" s="1137">
        <f>'Revenue Build'!DR51</f>
        <v>0.23</v>
      </c>
      <c r="AT93" s="1137">
        <f>'Revenue Build'!DT51</f>
        <v>0.19</v>
      </c>
      <c r="AU93" s="1137">
        <f>'Revenue Build'!DU51</f>
        <v>0.21</v>
      </c>
      <c r="AV93" s="1137">
        <f>'Revenue Build'!DV51</f>
        <v>0.21</v>
      </c>
      <c r="AW93" s="1137">
        <f>'Revenue Build'!DW51</f>
        <v>0.25</v>
      </c>
      <c r="AX93" s="1137">
        <f>'Revenue Build'!DY51</f>
        <v>0.20500000000000002</v>
      </c>
      <c r="AY93" s="1137">
        <f>'Revenue Build'!DZ51</f>
        <v>0.22499999999999998</v>
      </c>
      <c r="AZ93" s="1137">
        <f>'Revenue Build'!EA51</f>
        <v>0.22499999999999998</v>
      </c>
      <c r="BA93" s="1137">
        <f>'Revenue Build'!EB51</f>
        <v>0.26500000000000001</v>
      </c>
      <c r="BB93" s="1137">
        <f>'Revenue Build'!EC51</f>
        <v>0.2317237197871716</v>
      </c>
      <c r="BC93" s="1137">
        <f>'Revenue Build'!ED51</f>
        <v>0.22000000000000003</v>
      </c>
      <c r="BD93" s="1137">
        <f>'Revenue Build'!EE51</f>
        <v>0.24</v>
      </c>
      <c r="BE93" s="1137">
        <f>'Revenue Build'!EF51</f>
        <v>0.24</v>
      </c>
      <c r="BF93" s="1137">
        <f>'Revenue Build'!EG51</f>
        <v>0.28000000000000003</v>
      </c>
      <c r="BG93" s="1137">
        <f>'Revenue Build'!EH51</f>
        <v>0.24661257054275318</v>
      </c>
      <c r="BH93" s="1137">
        <f>'Revenue Build'!EI51</f>
        <v>0.23500000000000004</v>
      </c>
      <c r="BI93" s="1137">
        <f>'Revenue Build'!EJ51</f>
        <v>0.255</v>
      </c>
      <c r="BJ93" s="1137">
        <f>'Revenue Build'!EK51</f>
        <v>0.255</v>
      </c>
      <c r="BK93" s="1137">
        <f>'Revenue Build'!EL51</f>
        <v>0.29500000000000004</v>
      </c>
      <c r="BL93" s="1137">
        <f>'Revenue Build'!EM51</f>
        <v>0.26161257054275316</v>
      </c>
      <c r="BM93" s="1137">
        <f>'Revenue Build'!EN51</f>
        <v>0.25000000000000006</v>
      </c>
      <c r="BN93" s="889"/>
      <c r="BO93" s="889"/>
      <c r="BP93" s="889"/>
      <c r="BQ93" s="889"/>
      <c r="BR93" s="889"/>
      <c r="BS93" s="889"/>
      <c r="BT93" s="889"/>
      <c r="BU93" s="889"/>
      <c r="BV93" s="889"/>
      <c r="BW93" s="889"/>
      <c r="BX93" s="889"/>
      <c r="BY93" s="889"/>
      <c r="BZ93" s="889"/>
      <c r="CA93" s="889"/>
      <c r="CB93" s="889"/>
      <c r="CC93" s="889"/>
      <c r="CD93" s="889"/>
      <c r="CE93" s="889"/>
      <c r="CF93" s="889"/>
      <c r="CG93" s="889"/>
      <c r="CH93" s="889"/>
      <c r="CI93" s="889"/>
      <c r="CJ93" s="889"/>
      <c r="CK93" s="889"/>
      <c r="CL93" s="889"/>
      <c r="CM93" s="889"/>
      <c r="CN93" s="889"/>
      <c r="CO93" s="889"/>
      <c r="CP93" s="889"/>
      <c r="CQ93" s="889"/>
      <c r="CR93" s="889"/>
      <c r="CS93" s="1516"/>
      <c r="CT93" s="1517"/>
      <c r="CU93" s="1517"/>
      <c r="CV93" s="1517"/>
      <c r="CW93" s="1517"/>
      <c r="CX93" s="1517"/>
      <c r="CY93" s="1517"/>
      <c r="CZ93" s="1517"/>
      <c r="DA93" s="1517"/>
      <c r="DB93" s="1517"/>
      <c r="DC93" s="1517"/>
      <c r="DD93" s="1517"/>
      <c r="DE93" s="1518"/>
      <c r="DF93" s="1518"/>
      <c r="DG93" s="1518"/>
      <c r="DH93" s="1518"/>
      <c r="DL93" s="889"/>
      <c r="DM93" s="889"/>
      <c r="DN93" s="889"/>
      <c r="DO93" s="889"/>
      <c r="DP93" s="889"/>
      <c r="DQ93" s="889"/>
      <c r="DR93" s="889"/>
      <c r="DS93" s="889"/>
      <c r="DT93" s="889"/>
      <c r="DU93" s="889"/>
      <c r="DV93" s="889"/>
      <c r="DW93" s="889"/>
      <c r="DX93" s="889"/>
      <c r="DY93" s="889"/>
      <c r="DZ93" s="889"/>
      <c r="EA93" s="889"/>
      <c r="EB93" s="889"/>
      <c r="EC93" s="889"/>
      <c r="ED93" s="889"/>
      <c r="EE93" s="889"/>
      <c r="EF93" s="889"/>
      <c r="EG93" s="889"/>
      <c r="EH93" s="889"/>
      <c r="EI93" s="889"/>
      <c r="EJ93" s="889"/>
      <c r="EK93" s="889"/>
    </row>
    <row r="94" spans="5:141">
      <c r="E94" s="889"/>
      <c r="F94" s="889"/>
      <c r="G94" s="889"/>
      <c r="H94" s="889"/>
      <c r="I94" s="889"/>
      <c r="J94" s="889"/>
      <c r="K94" s="889"/>
      <c r="L94" s="889"/>
      <c r="M94" s="889"/>
      <c r="N94" s="889"/>
      <c r="O94" s="889"/>
      <c r="P94" s="889"/>
      <c r="Q94" s="889"/>
      <c r="R94" s="889"/>
      <c r="S94" s="889"/>
      <c r="T94" s="889"/>
      <c r="U94" s="889"/>
      <c r="V94" s="889"/>
      <c r="W94" s="889"/>
      <c r="X94" s="889"/>
      <c r="Y94" s="889"/>
      <c r="Z94" s="889"/>
      <c r="AA94" s="889"/>
      <c r="AB94" s="889"/>
      <c r="AC94" s="889"/>
      <c r="AD94" s="889"/>
      <c r="AF94" s="889"/>
      <c r="AG94" s="889"/>
      <c r="AH94" s="889"/>
      <c r="AI94" s="889"/>
      <c r="AJ94" s="889"/>
      <c r="AK94" s="889"/>
      <c r="AL94" s="889"/>
      <c r="BN94" s="889"/>
      <c r="BO94" s="889"/>
      <c r="BP94" s="889"/>
      <c r="BQ94" s="889"/>
      <c r="BR94" s="889"/>
      <c r="BS94" s="889"/>
      <c r="BT94" s="889"/>
      <c r="BU94" s="889"/>
      <c r="BV94" s="889"/>
      <c r="BW94" s="889"/>
      <c r="BX94" s="889"/>
      <c r="BY94" s="889"/>
      <c r="BZ94" s="889"/>
      <c r="CA94" s="889"/>
      <c r="CB94" s="889"/>
      <c r="CC94" s="889"/>
      <c r="CD94" s="889"/>
      <c r="CE94" s="889"/>
      <c r="CF94" s="889"/>
      <c r="CG94" s="889"/>
      <c r="CH94" s="889"/>
      <c r="CI94" s="889"/>
      <c r="CJ94" s="889"/>
      <c r="CK94" s="889"/>
      <c r="CL94" s="889"/>
      <c r="CM94" s="889"/>
      <c r="CN94" s="889"/>
      <c r="CO94" s="889"/>
      <c r="CP94" s="889"/>
      <c r="CQ94" s="889"/>
      <c r="CR94" s="889"/>
      <c r="CS94" s="1516"/>
      <c r="CT94" s="1517"/>
      <c r="CU94" s="1517"/>
      <c r="CV94" s="1517"/>
      <c r="CW94" s="1517"/>
      <c r="CX94" s="1517"/>
      <c r="CY94" s="1517"/>
      <c r="CZ94" s="1517"/>
      <c r="DA94" s="1517"/>
      <c r="DB94" s="1517"/>
      <c r="DC94" s="1517"/>
      <c r="DD94" s="1517"/>
      <c r="DE94" s="1518"/>
      <c r="DF94" s="1518"/>
      <c r="DG94" s="1518"/>
      <c r="DH94" s="1518"/>
      <c r="DL94" s="889"/>
      <c r="DM94" s="889"/>
      <c r="DN94" s="889"/>
      <c r="DO94" s="889"/>
      <c r="DP94" s="889"/>
      <c r="DQ94" s="889"/>
      <c r="DR94" s="889"/>
      <c r="DS94" s="889"/>
      <c r="DT94" s="889"/>
      <c r="DU94" s="889"/>
      <c r="DV94" s="889"/>
      <c r="DW94" s="889"/>
      <c r="DX94" s="889"/>
      <c r="DY94" s="889"/>
      <c r="DZ94" s="889"/>
      <c r="EA94" s="889"/>
      <c r="EB94" s="889"/>
      <c r="EC94" s="889"/>
      <c r="ED94" s="889"/>
      <c r="EE94" s="889"/>
      <c r="EF94" s="889"/>
      <c r="EG94" s="889"/>
      <c r="EH94" s="889"/>
      <c r="EI94" s="889"/>
      <c r="EJ94" s="889"/>
      <c r="EK94" s="889"/>
    </row>
    <row r="95" spans="5:141" ht="13.2">
      <c r="E95" s="889"/>
      <c r="F95" s="889"/>
      <c r="G95" s="889"/>
      <c r="H95" s="889"/>
      <c r="I95" s="889"/>
      <c r="J95" s="889"/>
      <c r="K95" s="889"/>
      <c r="L95" s="889"/>
      <c r="M95" s="889"/>
      <c r="N95" s="889"/>
      <c r="O95" s="889"/>
      <c r="P95" s="889"/>
      <c r="Q95" s="889"/>
      <c r="R95" s="889"/>
      <c r="S95" s="889"/>
      <c r="T95" s="889"/>
      <c r="U95" s="889"/>
      <c r="V95" s="889"/>
      <c r="W95" s="889"/>
      <c r="X95" s="889"/>
      <c r="Y95" s="889"/>
      <c r="Z95" s="889"/>
      <c r="AA95" s="889"/>
      <c r="AB95" s="889"/>
      <c r="AC95" s="889"/>
      <c r="AD95" s="889"/>
      <c r="AF95"/>
      <c r="AG95"/>
      <c r="AH95"/>
      <c r="AI95"/>
      <c r="AJ95"/>
      <c r="AK95"/>
      <c r="AL95"/>
      <c r="AM95"/>
      <c r="AN95"/>
      <c r="BN95" s="889"/>
      <c r="BO95" s="889"/>
      <c r="BP95" s="889"/>
      <c r="BQ95" s="889"/>
      <c r="BR95" s="889"/>
      <c r="BS95" s="889"/>
      <c r="BT95" s="889"/>
      <c r="BU95" s="889"/>
      <c r="BV95" s="889"/>
      <c r="BW95" s="889"/>
      <c r="BX95" s="889"/>
      <c r="BY95" s="889"/>
      <c r="BZ95" s="889"/>
      <c r="CA95" s="889"/>
      <c r="CB95" s="889"/>
      <c r="CC95" s="889"/>
      <c r="CD95" s="889"/>
      <c r="CE95" s="889"/>
      <c r="CF95" s="889"/>
      <c r="CG95" s="889"/>
      <c r="CH95" s="889"/>
      <c r="CI95" s="889"/>
      <c r="CJ95" s="889"/>
      <c r="CK95" s="889"/>
      <c r="CL95" s="889"/>
      <c r="CM95" s="889"/>
      <c r="CN95" s="889"/>
      <c r="CO95" s="889"/>
      <c r="CP95" s="889"/>
      <c r="CQ95" s="889"/>
      <c r="CR95" s="889"/>
      <c r="CS95" s="1516"/>
      <c r="CT95" s="1517"/>
      <c r="CU95" s="1517"/>
      <c r="CV95" s="1517"/>
      <c r="CW95" s="1517"/>
      <c r="CX95" s="1517"/>
      <c r="CY95" s="1517"/>
      <c r="CZ95" s="1517"/>
      <c r="DA95" s="1517"/>
      <c r="DB95" s="1517"/>
      <c r="DC95" s="1517"/>
      <c r="DD95" s="1517"/>
      <c r="DE95" s="1518"/>
      <c r="DF95" s="1518"/>
      <c r="DG95" s="1518"/>
      <c r="DH95" s="1518"/>
      <c r="DL95" s="889"/>
      <c r="DM95" s="889"/>
      <c r="DN95" s="889"/>
      <c r="DO95" s="889"/>
      <c r="DP95" s="889"/>
      <c r="DQ95" s="889"/>
      <c r="DR95" s="889"/>
      <c r="DS95" s="889"/>
      <c r="DT95" s="889"/>
      <c r="DU95" s="889"/>
      <c r="DV95" s="889"/>
      <c r="DW95" s="889"/>
      <c r="DX95" s="889"/>
      <c r="DY95" s="889"/>
      <c r="DZ95" s="889"/>
      <c r="EA95" s="889"/>
      <c r="EB95" s="889"/>
      <c r="EC95" s="889"/>
      <c r="ED95" s="889"/>
      <c r="EE95" s="889"/>
      <c r="EF95" s="889"/>
      <c r="EG95" s="889"/>
      <c r="EH95" s="889"/>
      <c r="EI95" s="889"/>
      <c r="EJ95" s="889"/>
      <c r="EK95" s="889"/>
    </row>
    <row r="96" spans="5:141">
      <c r="E96" s="1440" t="str">
        <f>+'Revenue Build'!C54</f>
        <v>Standard revenue</v>
      </c>
      <c r="F96" s="889"/>
      <c r="G96" s="889"/>
      <c r="H96" s="889"/>
      <c r="I96" s="889"/>
      <c r="J96" s="889"/>
      <c r="K96" s="889"/>
      <c r="L96" s="889"/>
      <c r="M96" s="889"/>
      <c r="N96" s="889"/>
      <c r="O96" s="889"/>
      <c r="P96" s="889"/>
      <c r="Q96" s="889"/>
      <c r="R96" s="889"/>
      <c r="S96" s="889"/>
      <c r="T96" s="889"/>
      <c r="U96" s="889"/>
      <c r="V96" s="889"/>
      <c r="W96" s="889"/>
      <c r="X96" s="889"/>
      <c r="Y96" s="889"/>
      <c r="Z96" s="889"/>
      <c r="AA96" s="889"/>
      <c r="AB96" s="889"/>
      <c r="AC96" s="889"/>
      <c r="AD96" s="889"/>
      <c r="AF96" s="1139">
        <f>'Revenue Build'!DB54</f>
        <v>218.25457999999998</v>
      </c>
      <c r="AG96" s="1139">
        <f>'Revenue Build'!DC54</f>
        <v>216.13716000000002</v>
      </c>
      <c r="AH96" s="1139">
        <f>'Revenue Build'!DE54</f>
        <v>225.38</v>
      </c>
      <c r="AI96" s="1139">
        <f>'Revenue Build'!DF54</f>
        <v>261.95999999999998</v>
      </c>
      <c r="AJ96" s="1139">
        <f>'Revenue Build'!DG54</f>
        <v>291.59999999999997</v>
      </c>
      <c r="AK96" s="1139">
        <f>'Revenue Build'!DH54</f>
        <v>294</v>
      </c>
      <c r="AL96" s="1140">
        <f>'Revenue Build'!DJ54</f>
        <v>306.59999999999997</v>
      </c>
      <c r="AM96" s="1140">
        <f>'Revenue Build'!DK54</f>
        <v>337.8</v>
      </c>
      <c r="AN96" s="1140">
        <f>'Revenue Build'!DL54</f>
        <v>359.9</v>
      </c>
      <c r="BN96" s="889"/>
      <c r="BO96" s="889"/>
      <c r="BP96" s="889"/>
      <c r="BQ96" s="889"/>
      <c r="BR96" s="889"/>
      <c r="BS96" s="889"/>
      <c r="BT96" s="889"/>
      <c r="BU96" s="889"/>
      <c r="BV96" s="889"/>
      <c r="BW96" s="889"/>
      <c r="BX96" s="889"/>
      <c r="BY96" s="889"/>
      <c r="BZ96" s="889"/>
      <c r="CA96" s="889"/>
      <c r="CB96" s="889"/>
      <c r="CC96" s="889"/>
      <c r="CD96" s="889"/>
      <c r="CE96" s="889"/>
      <c r="CF96" s="889"/>
      <c r="CG96" s="889"/>
      <c r="CH96" s="889"/>
      <c r="CI96" s="889"/>
      <c r="CJ96" s="889"/>
      <c r="CK96" s="889"/>
      <c r="CL96" s="889"/>
      <c r="CM96" s="889"/>
      <c r="CN96" s="889"/>
      <c r="CO96" s="889"/>
      <c r="CP96" s="889"/>
      <c r="CQ96" s="889"/>
      <c r="CR96" s="889"/>
      <c r="CS96" s="1516"/>
      <c r="CT96" s="1517"/>
      <c r="CU96" s="1517"/>
      <c r="CV96" s="1517"/>
      <c r="CW96" s="1517"/>
      <c r="CX96" s="1517"/>
      <c r="CY96" s="1517"/>
      <c r="CZ96" s="1517"/>
      <c r="DA96" s="1517"/>
      <c r="DB96" s="1517"/>
      <c r="DC96" s="1517"/>
      <c r="DD96" s="1517"/>
      <c r="DE96" s="1518"/>
      <c r="DF96" s="1518"/>
      <c r="DG96" s="1518"/>
      <c r="DH96" s="1518"/>
      <c r="DL96" s="889"/>
      <c r="DM96" s="889"/>
      <c r="DN96" s="889"/>
      <c r="DO96" s="889"/>
      <c r="DP96" s="889"/>
      <c r="DQ96" s="889"/>
      <c r="DR96" s="889"/>
      <c r="DS96" s="889"/>
      <c r="DT96" s="889"/>
      <c r="DU96" s="889"/>
      <c r="DV96" s="889"/>
      <c r="DW96" s="889"/>
      <c r="DX96" s="889"/>
      <c r="DY96" s="889"/>
      <c r="DZ96" s="889"/>
      <c r="EA96" s="889"/>
      <c r="EB96" s="889"/>
      <c r="EC96" s="889"/>
      <c r="ED96" s="889"/>
      <c r="EE96" s="889"/>
      <c r="EF96" s="889"/>
      <c r="EG96" s="889"/>
      <c r="EH96" s="889"/>
      <c r="EI96" s="889"/>
      <c r="EJ96" s="889"/>
      <c r="EK96" s="889"/>
    </row>
    <row r="97" spans="5:168">
      <c r="E97" s="1440" t="str">
        <f>+'Revenue Build'!C56</f>
        <v>Plus revenue</v>
      </c>
      <c r="F97" s="889"/>
      <c r="G97" s="889"/>
      <c r="H97" s="889"/>
      <c r="I97" s="889"/>
      <c r="J97" s="889"/>
      <c r="K97" s="889"/>
      <c r="L97" s="889"/>
      <c r="M97" s="889"/>
      <c r="N97" s="889"/>
      <c r="O97" s="889"/>
      <c r="P97" s="889"/>
      <c r="Q97" s="889"/>
      <c r="R97" s="889"/>
      <c r="S97" s="889"/>
      <c r="T97" s="889"/>
      <c r="U97" s="889"/>
      <c r="V97" s="889"/>
      <c r="W97" s="889"/>
      <c r="X97" s="889"/>
      <c r="Y97" s="889"/>
      <c r="Z97" s="889"/>
      <c r="AA97" s="889"/>
      <c r="AB97" s="889"/>
      <c r="AC97" s="889"/>
      <c r="AD97" s="889"/>
      <c r="AF97" s="1139">
        <f>'Revenue Build'!DB56</f>
        <v>101.60127</v>
      </c>
      <c r="AG97" s="1139">
        <f>'Revenue Build'!DC56</f>
        <v>108.06858000000001</v>
      </c>
      <c r="AH97" s="1139">
        <f>'Revenue Build'!DE56</f>
        <v>114.6</v>
      </c>
      <c r="AI97" s="1139">
        <f>'Revenue Build'!DF56</f>
        <v>119.88000000000001</v>
      </c>
      <c r="AJ97" s="1139">
        <f>'Revenue Build'!DG56</f>
        <v>126.36</v>
      </c>
      <c r="AK97" s="1139">
        <f>'Revenue Build'!DH56</f>
        <v>131.25</v>
      </c>
      <c r="AL97" s="1140">
        <f>'Revenue Build'!DJ56</f>
        <v>137.97</v>
      </c>
      <c r="AM97" s="1140">
        <f>'Revenue Build'!DK56</f>
        <v>146.38</v>
      </c>
      <c r="AN97" s="1140">
        <f>'Revenue Build'!DL56</f>
        <v>164.70000000000002</v>
      </c>
      <c r="BN97" s="889"/>
      <c r="BO97" s="889"/>
      <c r="BP97" s="889"/>
      <c r="BQ97" s="889"/>
      <c r="BR97" s="889"/>
      <c r="BS97" s="889"/>
      <c r="BT97" s="889"/>
      <c r="BU97" s="889"/>
      <c r="BV97" s="889"/>
      <c r="BW97" s="889"/>
      <c r="BX97" s="889"/>
      <c r="BY97" s="889"/>
      <c r="BZ97" s="889"/>
      <c r="CA97" s="889"/>
      <c r="CB97" s="889"/>
      <c r="CC97" s="889"/>
      <c r="CD97" s="889"/>
      <c r="CE97" s="889"/>
      <c r="CF97" s="889"/>
      <c r="CG97" s="889"/>
      <c r="CH97" s="889"/>
      <c r="CI97" s="889"/>
      <c r="CJ97" s="889"/>
      <c r="CK97" s="889"/>
      <c r="CL97" s="889"/>
      <c r="CM97" s="889"/>
      <c r="CN97" s="889"/>
      <c r="CO97" s="889"/>
      <c r="CP97" s="889"/>
      <c r="CQ97" s="889"/>
      <c r="CR97" s="889"/>
      <c r="CS97" s="1516"/>
      <c r="CT97" s="1517"/>
      <c r="CU97" s="1517"/>
      <c r="CV97" s="1517"/>
      <c r="CW97" s="1517"/>
      <c r="CX97" s="1517"/>
      <c r="CY97" s="1517"/>
      <c r="CZ97" s="1517"/>
      <c r="DA97" s="1517"/>
      <c r="DB97" s="1517"/>
      <c r="DC97" s="1517"/>
      <c r="DD97" s="1517"/>
      <c r="DE97" s="1518"/>
      <c r="DF97" s="1518"/>
      <c r="DG97" s="1518"/>
      <c r="DH97" s="1518"/>
      <c r="DL97" s="889"/>
      <c r="DM97" s="889"/>
      <c r="DN97" s="889"/>
      <c r="DO97" s="889"/>
      <c r="DP97" s="889"/>
      <c r="DQ97" s="889"/>
      <c r="DR97" s="889"/>
      <c r="DS97" s="889"/>
      <c r="DT97" s="889"/>
      <c r="DU97" s="889"/>
      <c r="DV97" s="889"/>
      <c r="DW97" s="889"/>
      <c r="DX97" s="889"/>
      <c r="DY97" s="889"/>
      <c r="DZ97" s="889"/>
      <c r="EA97" s="889"/>
      <c r="EB97" s="889"/>
      <c r="EC97" s="889"/>
      <c r="ED97" s="889"/>
      <c r="EE97" s="889"/>
      <c r="EF97" s="889"/>
      <c r="EG97" s="889"/>
      <c r="EH97" s="889"/>
      <c r="EI97" s="889"/>
      <c r="EJ97" s="889"/>
      <c r="EK97" s="889"/>
    </row>
    <row r="98" spans="5:168">
      <c r="E98" s="1440" t="str">
        <f>+'Revenue Build'!C58</f>
        <v>Apps, Themes, Domains, and Plus Platform Fees</v>
      </c>
      <c r="F98" s="889"/>
      <c r="G98" s="889"/>
      <c r="H98" s="889"/>
      <c r="I98" s="889"/>
      <c r="J98" s="889"/>
      <c r="K98" s="889"/>
      <c r="L98" s="889"/>
      <c r="M98" s="889"/>
      <c r="N98" s="889"/>
      <c r="O98" s="889"/>
      <c r="P98" s="889"/>
      <c r="Q98" s="889"/>
      <c r="R98" s="889"/>
      <c r="S98" s="889"/>
      <c r="T98" s="889"/>
      <c r="U98" s="889"/>
      <c r="V98" s="889"/>
      <c r="W98" s="889"/>
      <c r="X98" s="889"/>
      <c r="Y98" s="889"/>
      <c r="Z98" s="889"/>
      <c r="AA98" s="889"/>
      <c r="AB98" s="889"/>
      <c r="AC98" s="889"/>
      <c r="AD98" s="889"/>
      <c r="AF98" s="1139">
        <f>'Revenue Build'!DB58</f>
        <v>56.445149999999998</v>
      </c>
      <c r="AG98" s="1139">
        <f>'Revenue Build'!DC58</f>
        <v>76.048259999999999</v>
      </c>
      <c r="AH98" s="1139">
        <f>'Revenue Build'!DE58</f>
        <v>42.02</v>
      </c>
      <c r="AI98" s="1139">
        <f>'Revenue Build'!DF58</f>
        <v>62.160000000000004</v>
      </c>
      <c r="AJ98" s="1139">
        <f>'Revenue Build'!DG58</f>
        <v>68.040000000000006</v>
      </c>
      <c r="AK98" s="1139">
        <f>'Revenue Build'!DH58</f>
        <v>94.5</v>
      </c>
      <c r="AL98" s="1139">
        <f>'Revenue Build'!DJ58</f>
        <v>66.430000000000007</v>
      </c>
      <c r="AM98" s="1139">
        <f>'Revenue Build'!DK58</f>
        <v>78.820000000000007</v>
      </c>
      <c r="AN98" s="1139">
        <f>'Revenue Build'!DL58</f>
        <v>91.5</v>
      </c>
      <c r="AQ98" s="889"/>
      <c r="AR98" s="889"/>
      <c r="AS98" s="889"/>
      <c r="AT98" s="889"/>
      <c r="AU98" s="889"/>
      <c r="AV98" s="889"/>
      <c r="AW98" s="889"/>
      <c r="AX98" s="889"/>
      <c r="AY98" s="889"/>
      <c r="AZ98" s="889"/>
      <c r="BA98" s="889"/>
      <c r="BB98" s="889"/>
      <c r="BC98" s="889"/>
      <c r="BD98" s="889"/>
      <c r="BE98" s="889"/>
      <c r="BF98" s="889"/>
      <c r="BG98" s="889"/>
      <c r="BH98" s="889"/>
      <c r="BI98" s="889"/>
      <c r="BJ98" s="889"/>
      <c r="BK98" s="889"/>
      <c r="BL98" s="889"/>
      <c r="BM98" s="889"/>
      <c r="BN98" s="889"/>
      <c r="BO98" s="889"/>
      <c r="BP98" s="889"/>
      <c r="BQ98" s="889"/>
      <c r="BR98" s="889"/>
      <c r="BS98" s="889"/>
      <c r="BT98" s="889"/>
      <c r="BU98" s="889"/>
      <c r="BV98" s="889"/>
      <c r="BW98" s="889"/>
      <c r="BX98" s="889"/>
      <c r="BY98" s="889"/>
      <c r="BZ98" s="889"/>
      <c r="CA98" s="889"/>
      <c r="CB98" s="889"/>
      <c r="CC98" s="889"/>
      <c r="CD98" s="889"/>
      <c r="CE98" s="889"/>
      <c r="CF98" s="889"/>
      <c r="CG98" s="889"/>
      <c r="CH98" s="889"/>
      <c r="CI98" s="889"/>
      <c r="CJ98" s="889"/>
      <c r="CK98" s="889"/>
      <c r="CL98" s="889"/>
      <c r="CM98" s="889"/>
      <c r="CN98" s="889"/>
      <c r="CO98" s="889"/>
      <c r="CP98" s="889"/>
      <c r="CQ98" s="889"/>
      <c r="CR98" s="889"/>
      <c r="CS98" s="1516"/>
      <c r="CT98" s="1517"/>
      <c r="CU98" s="1517"/>
      <c r="CV98" s="1517"/>
      <c r="CW98" s="1517"/>
      <c r="CX98" s="1517"/>
      <c r="CY98" s="1517"/>
      <c r="CZ98" s="1517"/>
      <c r="DA98" s="1517"/>
      <c r="DB98" s="1517"/>
      <c r="DC98" s="1517"/>
      <c r="DD98" s="1517"/>
      <c r="DE98" s="1518"/>
      <c r="DF98" s="1518"/>
      <c r="DG98" s="1518"/>
      <c r="DH98" s="1518"/>
      <c r="DL98" s="889"/>
      <c r="DM98" s="889"/>
      <c r="DN98" s="889"/>
      <c r="DO98" s="889"/>
      <c r="DP98" s="889"/>
      <c r="DQ98" s="889"/>
      <c r="DR98" s="889"/>
      <c r="DS98" s="889"/>
      <c r="DT98" s="889"/>
      <c r="DU98" s="889"/>
      <c r="DV98" s="889"/>
      <c r="DW98" s="889"/>
      <c r="DX98" s="889"/>
      <c r="DY98" s="889"/>
      <c r="DZ98" s="889"/>
      <c r="EA98" s="889"/>
      <c r="EB98" s="889"/>
      <c r="EC98" s="889"/>
      <c r="ED98" s="889"/>
      <c r="EE98" s="889"/>
      <c r="EF98" s="889"/>
      <c r="EG98" s="889"/>
      <c r="EH98" s="889"/>
      <c r="EI98" s="889"/>
      <c r="EJ98" s="889"/>
      <c r="EK98" s="889"/>
      <c r="EL98" s="889"/>
      <c r="EM98" s="889"/>
      <c r="EN98" s="889"/>
      <c r="EO98" s="889"/>
      <c r="EP98" s="889"/>
      <c r="EQ98" s="889"/>
      <c r="ER98" s="889"/>
      <c r="ES98" s="889"/>
      <c r="ET98" s="889"/>
      <c r="EU98" s="889"/>
      <c r="EV98" s="889"/>
      <c r="EW98" s="889"/>
      <c r="EX98" s="889"/>
      <c r="EY98" s="889"/>
      <c r="EZ98" s="889"/>
      <c r="FA98" s="889"/>
      <c r="FB98" s="889"/>
      <c r="FC98" s="889"/>
      <c r="FD98" s="889"/>
      <c r="FE98" s="889"/>
      <c r="FF98" s="889"/>
      <c r="FG98" s="889"/>
      <c r="FH98" s="889"/>
      <c r="FI98" s="889"/>
      <c r="FJ98" s="889"/>
      <c r="FK98" s="889"/>
      <c r="FL98" s="889"/>
    </row>
    <row r="99" spans="5:168">
      <c r="E99" s="1440" t="str">
        <f>+'Revenue Build'!C60</f>
        <v>Subscription solutions revenue</v>
      </c>
      <c r="F99" s="889"/>
      <c r="G99" s="889"/>
      <c r="H99" s="889"/>
      <c r="I99" s="889"/>
      <c r="J99" s="889"/>
      <c r="K99" s="889"/>
      <c r="L99" s="889"/>
      <c r="M99" s="889"/>
      <c r="N99" s="889"/>
      <c r="O99" s="889"/>
      <c r="P99" s="889"/>
      <c r="Q99" s="889"/>
      <c r="R99" s="889"/>
      <c r="S99" s="889"/>
      <c r="T99" s="889"/>
      <c r="U99" s="889"/>
      <c r="V99" s="889"/>
      <c r="W99" s="889"/>
      <c r="X99" s="889"/>
      <c r="Y99" s="889"/>
      <c r="Z99" s="889"/>
      <c r="AA99" s="889"/>
      <c r="AB99" s="889"/>
      <c r="AC99" s="889"/>
      <c r="AD99" s="889"/>
      <c r="AF99" s="1139">
        <f>'Revenue Build'!DB60</f>
        <v>376.30099999999999</v>
      </c>
      <c r="AG99" s="1139">
        <f>'Revenue Build'!DC60</f>
        <v>400.25400000000002</v>
      </c>
      <c r="AH99" s="1139">
        <f>'Revenue Build'!DE60</f>
        <v>382</v>
      </c>
      <c r="AI99" s="1139">
        <f>'Revenue Build'!DF60</f>
        <v>444</v>
      </c>
      <c r="AJ99" s="1139">
        <f>'Revenue Build'!DG60</f>
        <v>486</v>
      </c>
      <c r="AK99" s="1139">
        <f>'Revenue Build'!DH60</f>
        <v>525</v>
      </c>
      <c r="AL99" s="1139">
        <f>'Revenue Build'!DJ60</f>
        <v>511</v>
      </c>
      <c r="AM99" s="1139">
        <f>'Revenue Build'!DK60</f>
        <v>563</v>
      </c>
      <c r="AN99" s="1139">
        <f>'Revenue Build'!DL60</f>
        <v>610</v>
      </c>
      <c r="AQ99" s="889"/>
      <c r="AR99" s="889"/>
      <c r="AS99" s="889"/>
      <c r="AT99" s="889"/>
      <c r="AU99" s="889"/>
      <c r="AV99" s="889"/>
      <c r="AW99" s="889"/>
      <c r="AX99" s="889"/>
      <c r="AY99" s="889"/>
      <c r="AZ99" s="889"/>
      <c r="BA99" s="889"/>
      <c r="BB99" s="889"/>
      <c r="BC99" s="889"/>
      <c r="BD99" s="889"/>
      <c r="BE99" s="889"/>
      <c r="BF99" s="889"/>
      <c r="BG99" s="889"/>
      <c r="BH99" s="889"/>
      <c r="BI99" s="889"/>
      <c r="BJ99" s="889"/>
      <c r="BK99" s="889"/>
      <c r="BL99" s="889"/>
      <c r="BM99" s="889"/>
      <c r="BN99" s="889"/>
      <c r="BO99" s="889"/>
      <c r="BP99" s="889"/>
      <c r="BQ99" s="889"/>
      <c r="BR99" s="889"/>
      <c r="BS99" s="889"/>
      <c r="BT99" s="889"/>
      <c r="BU99" s="889"/>
      <c r="BV99" s="889"/>
      <c r="BW99" s="889"/>
      <c r="BX99" s="889"/>
      <c r="BY99" s="889"/>
      <c r="BZ99" s="889"/>
      <c r="CA99" s="889"/>
      <c r="CB99" s="889"/>
      <c r="CC99" s="889"/>
      <c r="CD99" s="889"/>
      <c r="CE99" s="889"/>
      <c r="CF99" s="889"/>
      <c r="CG99" s="889"/>
      <c r="CH99" s="889"/>
      <c r="CI99" s="889"/>
      <c r="CJ99" s="889"/>
      <c r="CK99" s="889"/>
      <c r="CL99" s="889"/>
      <c r="CM99" s="889"/>
      <c r="CN99" s="889"/>
      <c r="CO99" s="889"/>
      <c r="CP99" s="889"/>
      <c r="CQ99" s="889"/>
      <c r="CR99" s="889"/>
      <c r="CS99" s="1516"/>
      <c r="CT99" s="1517"/>
      <c r="CU99" s="1517"/>
      <c r="CV99" s="1517"/>
      <c r="CW99" s="1517"/>
      <c r="CX99" s="1517"/>
      <c r="CY99" s="1517"/>
      <c r="CZ99" s="1517"/>
      <c r="DA99" s="1517"/>
      <c r="DB99" s="1517"/>
      <c r="DC99" s="1517"/>
      <c r="DD99" s="1517"/>
      <c r="DE99" s="1518"/>
      <c r="DF99" s="1518"/>
      <c r="DG99" s="1518"/>
      <c r="DH99" s="1518"/>
      <c r="DL99" s="889"/>
      <c r="DM99" s="889"/>
      <c r="DN99" s="889"/>
      <c r="DO99" s="889"/>
      <c r="DP99" s="889"/>
      <c r="DQ99" s="889"/>
      <c r="DR99" s="889"/>
      <c r="DS99" s="889"/>
      <c r="DT99" s="889"/>
      <c r="DU99" s="889"/>
      <c r="DV99" s="889"/>
      <c r="DW99" s="889"/>
      <c r="DX99" s="889"/>
      <c r="DY99" s="889"/>
      <c r="DZ99" s="889"/>
      <c r="EA99" s="889"/>
      <c r="EB99" s="889"/>
      <c r="EC99" s="889"/>
      <c r="ED99" s="889"/>
      <c r="EE99" s="889"/>
      <c r="EF99" s="889"/>
      <c r="EG99" s="889"/>
      <c r="EH99" s="889"/>
      <c r="EI99" s="889"/>
      <c r="EJ99" s="889"/>
      <c r="EK99" s="889"/>
      <c r="EL99" s="889"/>
      <c r="EM99" s="889"/>
      <c r="EN99" s="889"/>
      <c r="EO99" s="889"/>
      <c r="EP99" s="889"/>
      <c r="EQ99" s="889"/>
      <c r="ER99" s="889"/>
      <c r="ES99" s="889"/>
      <c r="ET99" s="889"/>
      <c r="EU99" s="889"/>
      <c r="EV99" s="889"/>
      <c r="EW99" s="889"/>
      <c r="EX99" s="889"/>
      <c r="EY99" s="889"/>
      <c r="EZ99" s="889"/>
      <c r="FA99" s="889"/>
      <c r="FB99" s="889"/>
      <c r="FC99" s="889"/>
      <c r="FD99" s="889"/>
      <c r="FE99" s="889"/>
      <c r="FF99" s="889"/>
      <c r="FG99" s="889"/>
      <c r="FH99" s="889"/>
      <c r="FI99" s="889"/>
      <c r="FJ99" s="889"/>
      <c r="FK99" s="889"/>
      <c r="FL99" s="889"/>
    </row>
    <row r="100" spans="5:168">
      <c r="E100" s="889"/>
      <c r="F100" s="889"/>
      <c r="G100" s="889"/>
      <c r="H100" s="889"/>
      <c r="I100" s="889"/>
      <c r="J100" s="889"/>
      <c r="K100" s="889"/>
      <c r="L100" s="889"/>
      <c r="M100" s="889"/>
      <c r="N100" s="889"/>
      <c r="O100" s="889"/>
      <c r="P100" s="889"/>
      <c r="Q100" s="889"/>
      <c r="R100" s="889"/>
      <c r="S100" s="889"/>
      <c r="T100" s="889"/>
      <c r="U100" s="889"/>
      <c r="V100" s="889"/>
      <c r="W100" s="889"/>
      <c r="X100" s="889"/>
      <c r="Y100" s="889"/>
      <c r="Z100" s="889"/>
      <c r="AA100" s="889"/>
      <c r="AB100" s="889"/>
      <c r="AC100" s="889"/>
      <c r="AD100" s="889"/>
      <c r="AE100" s="889"/>
      <c r="AF100" s="889"/>
      <c r="AG100" s="889"/>
      <c r="AH100" s="889"/>
      <c r="AI100" s="889"/>
      <c r="AJ100" s="889"/>
      <c r="AK100" s="889"/>
      <c r="AL100" s="889"/>
      <c r="AM100" s="889"/>
      <c r="AN100" s="889"/>
      <c r="AO100" s="889"/>
      <c r="AP100" s="889"/>
      <c r="AQ100" s="889"/>
      <c r="AR100" s="889"/>
      <c r="AS100" s="889"/>
      <c r="AT100" s="889"/>
      <c r="AU100" s="889"/>
      <c r="AV100" s="889"/>
      <c r="AW100" s="889"/>
      <c r="AX100" s="889"/>
      <c r="AY100" s="889"/>
      <c r="AZ100" s="889"/>
      <c r="BA100" s="889"/>
      <c r="BB100" s="889"/>
      <c r="BC100" s="889"/>
      <c r="BD100" s="889"/>
      <c r="BE100" s="889"/>
      <c r="BF100" s="889"/>
      <c r="BG100" s="889"/>
      <c r="BH100" s="889"/>
      <c r="BI100" s="889"/>
      <c r="BJ100" s="889"/>
      <c r="BK100" s="889"/>
      <c r="BL100" s="889"/>
      <c r="BM100" s="889"/>
      <c r="BN100" s="889"/>
      <c r="BO100" s="889"/>
      <c r="BP100" s="889"/>
      <c r="BQ100" s="889"/>
      <c r="BR100" s="889"/>
      <c r="BS100" s="889"/>
      <c r="BT100" s="889"/>
      <c r="BU100" s="889"/>
      <c r="BV100" s="889"/>
      <c r="BW100" s="889"/>
      <c r="BX100" s="889"/>
      <c r="BY100" s="889"/>
      <c r="BZ100" s="889"/>
      <c r="CA100" s="889"/>
      <c r="CB100" s="889"/>
      <c r="CC100" s="889"/>
      <c r="CD100" s="889"/>
      <c r="CE100" s="889"/>
      <c r="CF100" s="889"/>
      <c r="CG100" s="889"/>
      <c r="CH100" s="889"/>
      <c r="CI100" s="889"/>
      <c r="CJ100" s="889"/>
      <c r="CK100" s="889"/>
      <c r="CL100" s="889"/>
      <c r="CM100" s="889"/>
      <c r="CN100" s="889"/>
      <c r="CO100" s="889"/>
      <c r="CP100" s="889"/>
      <c r="CQ100" s="889"/>
      <c r="CR100" s="889"/>
      <c r="CS100" s="1516"/>
      <c r="CT100" s="1517"/>
      <c r="CU100" s="1517"/>
      <c r="CV100" s="1517"/>
      <c r="CW100" s="1517"/>
      <c r="CX100" s="1517"/>
      <c r="CY100" s="1517"/>
      <c r="CZ100" s="1517"/>
      <c r="DA100" s="1517"/>
      <c r="DB100" s="1517"/>
      <c r="DC100" s="1517"/>
      <c r="DD100" s="1517"/>
      <c r="DE100" s="1518"/>
      <c r="DF100" s="1518"/>
      <c r="DG100" s="1518"/>
      <c r="DH100" s="1518"/>
      <c r="DL100" s="889"/>
      <c r="DM100" s="889"/>
      <c r="DN100" s="889"/>
      <c r="DO100" s="889"/>
      <c r="DP100" s="889"/>
      <c r="DQ100" s="889"/>
      <c r="DR100" s="889"/>
      <c r="DS100" s="889"/>
      <c r="DT100" s="889"/>
      <c r="DU100" s="889"/>
      <c r="DV100" s="889"/>
      <c r="DW100" s="889"/>
      <c r="DX100" s="889"/>
      <c r="DY100" s="889"/>
      <c r="DZ100" s="889"/>
      <c r="EA100" s="889"/>
      <c r="EB100" s="889"/>
      <c r="EC100" s="889"/>
      <c r="ED100" s="889"/>
      <c r="EE100" s="889"/>
      <c r="EF100" s="889"/>
      <c r="EG100" s="889"/>
      <c r="EH100" s="889"/>
      <c r="EI100" s="889"/>
      <c r="EJ100" s="889"/>
      <c r="EK100" s="889"/>
      <c r="EL100" s="889"/>
      <c r="EM100" s="889"/>
      <c r="EN100" s="889"/>
      <c r="EO100" s="889"/>
      <c r="EP100" s="889"/>
      <c r="EQ100" s="889"/>
      <c r="ER100" s="889"/>
      <c r="ES100" s="889"/>
      <c r="ET100" s="889"/>
      <c r="EU100" s="889"/>
      <c r="EV100" s="889"/>
      <c r="EW100" s="889"/>
      <c r="EX100" s="889"/>
      <c r="EY100" s="889"/>
      <c r="EZ100" s="889"/>
      <c r="FA100" s="889"/>
      <c r="FB100" s="889"/>
      <c r="FC100" s="889"/>
      <c r="FD100" s="889"/>
      <c r="FE100" s="889"/>
      <c r="FF100" s="889"/>
      <c r="FG100" s="889"/>
      <c r="FH100" s="889"/>
      <c r="FI100" s="889"/>
      <c r="FJ100" s="889"/>
      <c r="FK100" s="889"/>
      <c r="FL100" s="889"/>
    </row>
    <row r="101" spans="5:168">
      <c r="E101" s="889"/>
      <c r="F101" s="889"/>
      <c r="G101" s="889"/>
      <c r="H101" s="889"/>
      <c r="I101" s="889"/>
      <c r="J101" s="889"/>
      <c r="K101" s="889"/>
      <c r="L101" s="889"/>
      <c r="M101" s="889"/>
      <c r="N101" s="889"/>
      <c r="O101" s="889"/>
      <c r="P101" s="889"/>
      <c r="Q101" s="889"/>
      <c r="R101" s="889"/>
      <c r="S101" s="889"/>
      <c r="T101" s="889"/>
      <c r="U101" s="889"/>
      <c r="V101" s="889"/>
      <c r="W101" s="889"/>
      <c r="X101" s="889"/>
      <c r="Y101" s="889"/>
      <c r="Z101" s="889"/>
      <c r="AA101" s="889"/>
      <c r="AB101" s="889"/>
      <c r="AC101" s="889"/>
      <c r="AD101" s="889"/>
      <c r="AE101" s="889"/>
      <c r="AF101" s="889"/>
      <c r="AG101" s="889"/>
      <c r="AH101" s="889"/>
      <c r="AI101" s="889"/>
      <c r="AJ101" s="889"/>
      <c r="AK101" s="889"/>
      <c r="AL101" s="889"/>
      <c r="AM101" s="889"/>
      <c r="AN101" s="889"/>
      <c r="AO101" s="889"/>
      <c r="AP101" s="889"/>
      <c r="AQ101" s="889"/>
      <c r="AR101" s="889"/>
      <c r="AS101" s="889"/>
      <c r="AT101" s="889"/>
      <c r="AU101" s="889"/>
      <c r="AV101" s="889"/>
      <c r="AW101" s="889"/>
      <c r="AX101" s="889"/>
      <c r="AY101" s="889"/>
      <c r="AZ101" s="889"/>
      <c r="BA101" s="889"/>
      <c r="BB101" s="889"/>
      <c r="BC101" s="889"/>
      <c r="BD101" s="889"/>
      <c r="BE101" s="889"/>
      <c r="BF101" s="889"/>
      <c r="BG101" s="889"/>
      <c r="BH101" s="889"/>
      <c r="BI101" s="889"/>
      <c r="BJ101" s="889"/>
      <c r="BK101" s="889"/>
      <c r="BL101" s="889"/>
      <c r="BM101" s="889"/>
      <c r="BN101" s="889"/>
      <c r="BO101" s="889"/>
      <c r="BP101" s="889"/>
      <c r="BQ101" s="889"/>
      <c r="BR101" s="889"/>
      <c r="BS101" s="889"/>
      <c r="BT101" s="889"/>
      <c r="BU101" s="889"/>
      <c r="BV101" s="889"/>
      <c r="BW101" s="889"/>
      <c r="BX101" s="889"/>
      <c r="BY101" s="889"/>
      <c r="BZ101" s="889"/>
      <c r="CA101" s="889"/>
      <c r="CB101" s="889"/>
      <c r="CC101" s="889"/>
      <c r="CD101" s="889"/>
      <c r="CE101" s="889"/>
      <c r="CF101" s="889"/>
      <c r="CG101" s="889"/>
      <c r="CH101" s="889"/>
      <c r="CI101" s="889"/>
      <c r="CJ101" s="889"/>
      <c r="CK101" s="889"/>
      <c r="CL101" s="889"/>
      <c r="CM101" s="889"/>
      <c r="CN101" s="889"/>
      <c r="CO101" s="889"/>
      <c r="CP101" s="889"/>
      <c r="CQ101" s="889"/>
      <c r="CR101" s="889"/>
      <c r="CS101" s="1516"/>
      <c r="CT101" s="1517"/>
      <c r="CU101" s="1517"/>
      <c r="CV101" s="1517"/>
      <c r="CW101" s="1517"/>
      <c r="CX101" s="1517"/>
      <c r="CY101" s="1517"/>
      <c r="CZ101" s="1517"/>
      <c r="DA101" s="1517"/>
      <c r="DB101" s="1517"/>
      <c r="DC101" s="1517"/>
      <c r="DD101" s="1517"/>
      <c r="DE101" s="1518"/>
      <c r="DF101" s="1518"/>
      <c r="DG101" s="1518"/>
      <c r="DH101" s="1518"/>
      <c r="DL101" s="889"/>
      <c r="DM101" s="889"/>
      <c r="DN101" s="889"/>
      <c r="DO101" s="889"/>
      <c r="DP101" s="889"/>
      <c r="DQ101" s="889"/>
      <c r="DR101" s="889"/>
      <c r="DS101" s="889"/>
      <c r="DT101" s="889"/>
      <c r="DU101" s="889"/>
      <c r="DV101" s="889"/>
      <c r="DW101" s="889"/>
      <c r="DX101" s="889"/>
      <c r="DY101" s="889"/>
      <c r="DZ101" s="889"/>
      <c r="EA101" s="889"/>
      <c r="EB101" s="889"/>
      <c r="EC101" s="889"/>
      <c r="ED101" s="889"/>
      <c r="EE101" s="889"/>
      <c r="EF101" s="889"/>
      <c r="EG101" s="889"/>
      <c r="EH101" s="889"/>
      <c r="EI101" s="889"/>
      <c r="EJ101" s="889"/>
      <c r="EK101" s="889"/>
      <c r="EL101" s="889"/>
      <c r="EM101" s="889"/>
      <c r="EN101" s="889"/>
      <c r="EO101" s="889"/>
      <c r="EP101" s="889"/>
      <c r="EQ101" s="889"/>
      <c r="ER101" s="889"/>
      <c r="ES101" s="889"/>
      <c r="ET101" s="889"/>
      <c r="EU101" s="889"/>
      <c r="EV101" s="889"/>
      <c r="EW101" s="889"/>
      <c r="EX101" s="889"/>
      <c r="EY101" s="889"/>
      <c r="EZ101" s="889"/>
      <c r="FA101" s="889"/>
      <c r="FB101" s="889"/>
      <c r="FC101" s="889"/>
      <c r="FD101" s="889"/>
      <c r="FE101" s="889"/>
      <c r="FF101" s="889"/>
      <c r="FG101" s="889"/>
      <c r="FH101" s="889"/>
      <c r="FI101" s="889"/>
      <c r="FJ101" s="889"/>
      <c r="FK101" s="889"/>
      <c r="FL101" s="889"/>
    </row>
    <row r="102" spans="5:168">
      <c r="E102" s="889"/>
      <c r="F102" s="889"/>
      <c r="G102" s="889"/>
      <c r="H102" s="889"/>
      <c r="I102" s="889"/>
      <c r="J102" s="889"/>
      <c r="K102" s="889"/>
      <c r="L102" s="889"/>
      <c r="M102" s="889"/>
      <c r="N102" s="889"/>
      <c r="O102" s="889"/>
      <c r="P102" s="889"/>
      <c r="Q102" s="889"/>
      <c r="R102" s="889"/>
      <c r="S102" s="889"/>
      <c r="T102" s="889"/>
      <c r="U102" s="889"/>
      <c r="V102" s="889"/>
      <c r="W102" s="889"/>
      <c r="X102" s="889"/>
      <c r="Y102" s="889"/>
      <c r="Z102" s="889"/>
      <c r="AA102" s="889"/>
      <c r="AB102" s="889"/>
      <c r="AC102" s="889"/>
      <c r="AD102" s="889"/>
      <c r="AE102" s="889"/>
      <c r="AF102" s="889"/>
      <c r="AG102" s="889"/>
      <c r="AH102" s="889"/>
      <c r="AI102" s="889"/>
      <c r="AJ102" s="889"/>
      <c r="AK102" s="889"/>
      <c r="AL102" s="889"/>
      <c r="AM102" s="889"/>
      <c r="AN102" s="889"/>
      <c r="AO102" s="889"/>
      <c r="AP102" s="889"/>
      <c r="AQ102" s="889"/>
      <c r="AR102" s="889"/>
      <c r="AS102" s="889"/>
      <c r="AT102" s="889"/>
      <c r="AU102" s="889"/>
      <c r="AV102" s="889"/>
      <c r="AW102" s="889"/>
      <c r="AX102" s="889"/>
      <c r="AY102" s="889"/>
      <c r="AZ102" s="889"/>
      <c r="BA102" s="889"/>
      <c r="BB102" s="889"/>
      <c r="BC102" s="889"/>
      <c r="BD102" s="889"/>
      <c r="BE102" s="889"/>
      <c r="BF102" s="889"/>
      <c r="BG102" s="889"/>
      <c r="BH102" s="889"/>
      <c r="BI102" s="889"/>
      <c r="BJ102" s="889"/>
      <c r="BK102" s="889"/>
      <c r="BL102" s="889"/>
      <c r="BM102" s="889"/>
      <c r="BN102" s="889"/>
      <c r="BO102" s="889"/>
      <c r="BP102" s="889"/>
      <c r="BQ102" s="889"/>
      <c r="BR102" s="889"/>
      <c r="BS102" s="889"/>
      <c r="BT102" s="889"/>
      <c r="BU102" s="889"/>
      <c r="BV102" s="889"/>
      <c r="BW102" s="889"/>
      <c r="BX102" s="889"/>
      <c r="BY102" s="889"/>
      <c r="BZ102" s="889"/>
      <c r="CA102" s="889"/>
      <c r="CB102" s="889"/>
      <c r="CC102" s="889"/>
      <c r="CD102" s="889"/>
      <c r="CE102" s="889"/>
      <c r="CF102" s="889"/>
      <c r="CG102" s="889"/>
      <c r="CH102" s="889"/>
      <c r="CI102" s="889"/>
      <c r="CJ102" s="889"/>
      <c r="CK102" s="889"/>
      <c r="CL102" s="889"/>
      <c r="CM102" s="889"/>
      <c r="CN102" s="889"/>
      <c r="CO102" s="889"/>
      <c r="CP102" s="889"/>
      <c r="CQ102" s="889"/>
      <c r="CR102" s="889"/>
      <c r="CS102" s="1516"/>
      <c r="CT102" s="1517"/>
      <c r="CU102" s="1517"/>
      <c r="CV102" s="1517"/>
      <c r="CW102" s="1517"/>
      <c r="CX102" s="1517"/>
      <c r="CY102" s="1517"/>
      <c r="CZ102" s="1517"/>
      <c r="DA102" s="1517"/>
      <c r="DB102" s="1517"/>
      <c r="DC102" s="1517"/>
      <c r="DD102" s="1517"/>
      <c r="DE102" s="1518"/>
      <c r="DF102" s="1518"/>
      <c r="DG102" s="1518"/>
      <c r="DH102" s="1518"/>
      <c r="EB102" s="889"/>
      <c r="EC102" s="889"/>
      <c r="ED102" s="889"/>
      <c r="EE102" s="889"/>
      <c r="EF102" s="889"/>
      <c r="EG102" s="889"/>
      <c r="EH102" s="889"/>
      <c r="EI102" s="889"/>
      <c r="EJ102" s="889"/>
      <c r="EK102" s="889"/>
      <c r="EL102" s="889"/>
      <c r="EM102" s="889"/>
      <c r="EN102" s="889"/>
      <c r="EO102" s="889"/>
      <c r="EP102" s="889"/>
      <c r="EQ102" s="889"/>
      <c r="ER102" s="889"/>
      <c r="ES102" s="889"/>
      <c r="ET102" s="889"/>
      <c r="EU102" s="889"/>
      <c r="EV102" s="889"/>
      <c r="EW102" s="889"/>
      <c r="EX102" s="889"/>
      <c r="EY102" s="889"/>
      <c r="EZ102" s="889"/>
      <c r="FA102" s="889"/>
      <c r="FB102" s="889"/>
      <c r="FC102" s="889"/>
      <c r="FD102" s="889"/>
      <c r="FE102" s="889"/>
      <c r="FF102" s="889"/>
      <c r="FG102" s="889"/>
      <c r="FH102" s="889"/>
      <c r="FI102" s="889"/>
      <c r="FJ102" s="889"/>
      <c r="FK102" s="889"/>
      <c r="FL102" s="889"/>
    </row>
    <row r="103" spans="5:168">
      <c r="E103" s="889"/>
      <c r="F103" s="889"/>
      <c r="G103" s="889"/>
      <c r="H103" s="889"/>
      <c r="I103" s="889"/>
      <c r="J103" s="889"/>
      <c r="K103" s="889"/>
      <c r="L103" s="889"/>
      <c r="M103" s="889"/>
      <c r="N103" s="889"/>
      <c r="O103" s="889"/>
      <c r="P103" s="889"/>
      <c r="Q103" s="889"/>
      <c r="R103" s="889"/>
      <c r="S103" s="889"/>
      <c r="T103" s="889"/>
      <c r="U103" s="889"/>
      <c r="V103" s="889"/>
      <c r="W103" s="889"/>
      <c r="X103" s="889"/>
      <c r="Y103" s="889"/>
      <c r="Z103" s="889"/>
      <c r="AA103" s="889"/>
      <c r="AB103" s="889"/>
      <c r="AC103" s="889"/>
      <c r="AD103" s="889"/>
      <c r="AE103" s="889"/>
      <c r="AF103" s="889"/>
      <c r="AG103" s="889"/>
      <c r="AH103" s="889"/>
      <c r="AI103" s="889"/>
      <c r="AJ103" s="889"/>
      <c r="AK103" s="889"/>
      <c r="AL103" s="889"/>
      <c r="AM103" s="889"/>
      <c r="AN103" s="889"/>
      <c r="AO103" s="889"/>
      <c r="AP103" s="889"/>
      <c r="AQ103" s="889"/>
      <c r="AR103" s="889"/>
      <c r="AS103" s="889"/>
      <c r="AT103" s="889"/>
      <c r="AU103" s="889"/>
      <c r="AV103" s="889"/>
      <c r="AW103" s="889"/>
      <c r="AX103" s="889"/>
      <c r="AY103" s="889"/>
      <c r="AZ103" s="889"/>
      <c r="BA103" s="889"/>
      <c r="BB103" s="889"/>
      <c r="BC103" s="889"/>
      <c r="BD103" s="889"/>
      <c r="BE103" s="889"/>
      <c r="BF103" s="889"/>
      <c r="BG103" s="889"/>
      <c r="BH103" s="889"/>
      <c r="BI103" s="889"/>
      <c r="BJ103" s="889"/>
      <c r="BK103" s="889"/>
      <c r="BL103" s="889"/>
      <c r="BM103" s="889"/>
      <c r="BN103" s="889"/>
      <c r="BO103" s="889"/>
      <c r="BP103" s="889"/>
      <c r="BQ103" s="889"/>
      <c r="BR103" s="889"/>
      <c r="BS103" s="889"/>
      <c r="BT103" s="889"/>
      <c r="BU103" s="889"/>
      <c r="BV103" s="889"/>
      <c r="BW103" s="889"/>
      <c r="BX103" s="889"/>
      <c r="BY103" s="889"/>
      <c r="BZ103" s="889"/>
      <c r="CA103" s="889"/>
      <c r="CB103" s="889"/>
      <c r="CC103" s="889"/>
      <c r="CD103" s="889"/>
      <c r="CE103" s="889"/>
      <c r="CF103" s="889"/>
      <c r="CG103" s="889"/>
      <c r="CH103" s="889"/>
      <c r="CI103" s="889"/>
      <c r="CJ103" s="889"/>
      <c r="CK103" s="889"/>
      <c r="CL103" s="889"/>
      <c r="CM103" s="889"/>
      <c r="CN103" s="889"/>
      <c r="CO103" s="889"/>
      <c r="CP103" s="889"/>
      <c r="CQ103" s="889"/>
      <c r="CR103" s="889"/>
      <c r="CS103" s="1516"/>
      <c r="CT103" s="1517"/>
      <c r="CU103" s="1517"/>
      <c r="CV103" s="1517"/>
      <c r="CW103" s="1517"/>
      <c r="CX103" s="1517"/>
      <c r="CY103" s="1517"/>
      <c r="CZ103" s="1517"/>
      <c r="DA103" s="1517"/>
      <c r="DB103" s="1517"/>
      <c r="DC103" s="1517"/>
      <c r="DD103" s="1517"/>
      <c r="DE103" s="1518"/>
      <c r="DF103" s="1518"/>
      <c r="DG103" s="1518"/>
      <c r="DH103" s="1518"/>
      <c r="EB103" s="889"/>
      <c r="EC103" s="889"/>
      <c r="ED103" s="889"/>
      <c r="EE103" s="889"/>
      <c r="EF103" s="889"/>
      <c r="EG103" s="889"/>
      <c r="EH103" s="889"/>
      <c r="EI103" s="889"/>
      <c r="EJ103" s="889"/>
      <c r="EK103" s="889"/>
      <c r="EL103" s="889"/>
      <c r="EM103" s="889"/>
      <c r="EN103" s="889"/>
      <c r="EO103" s="889"/>
      <c r="EP103" s="889"/>
      <c r="EQ103" s="889"/>
      <c r="ER103" s="889"/>
      <c r="ES103" s="889"/>
      <c r="ET103" s="889"/>
      <c r="EU103" s="889"/>
      <c r="EV103" s="889"/>
      <c r="EW103" s="889"/>
      <c r="EX103" s="889"/>
      <c r="EY103" s="889"/>
      <c r="EZ103" s="889"/>
      <c r="FA103" s="889"/>
      <c r="FB103" s="889"/>
      <c r="FC103" s="889"/>
      <c r="FD103" s="889"/>
      <c r="FE103" s="889"/>
      <c r="FF103" s="889"/>
      <c r="FG103" s="889"/>
      <c r="FH103" s="889"/>
      <c r="FI103" s="889"/>
      <c r="FJ103" s="889"/>
      <c r="FK103" s="889"/>
      <c r="FL103" s="889"/>
    </row>
    <row r="104" spans="5:168">
      <c r="E104" s="889"/>
      <c r="F104" s="889"/>
      <c r="G104" s="889"/>
      <c r="H104" s="889"/>
      <c r="I104" s="889"/>
      <c r="J104" s="889"/>
      <c r="K104" s="889"/>
      <c r="L104" s="889"/>
      <c r="M104" s="889"/>
      <c r="N104" s="889"/>
      <c r="O104" s="889"/>
      <c r="P104" s="889"/>
      <c r="Q104" s="889"/>
      <c r="R104" s="889"/>
      <c r="S104" s="889"/>
      <c r="T104" s="889"/>
      <c r="U104" s="889"/>
      <c r="V104" s="889"/>
      <c r="W104" s="889"/>
      <c r="X104" s="889"/>
      <c r="Y104" s="889"/>
      <c r="Z104" s="889"/>
      <c r="AA104" s="889"/>
      <c r="AB104" s="889"/>
      <c r="AC104" s="889"/>
      <c r="AD104" s="889"/>
      <c r="AE104" s="889"/>
      <c r="AF104" s="889"/>
      <c r="AG104" s="889"/>
      <c r="AH104" s="889"/>
      <c r="AI104" s="889"/>
      <c r="AJ104" s="889"/>
      <c r="AK104" s="889"/>
      <c r="AL104" s="889"/>
      <c r="AM104" s="889"/>
      <c r="AN104" s="889"/>
      <c r="AO104" s="889"/>
      <c r="AP104" s="889"/>
      <c r="AQ104" s="889"/>
      <c r="AR104" s="889"/>
      <c r="AS104" s="889"/>
      <c r="AT104" s="889"/>
      <c r="AU104" s="889"/>
      <c r="AV104" s="889"/>
      <c r="AW104" s="889"/>
      <c r="AX104" s="889"/>
      <c r="AY104" s="889"/>
      <c r="AZ104" s="889"/>
      <c r="BA104" s="889"/>
      <c r="BB104" s="889"/>
      <c r="BC104" s="889"/>
      <c r="BD104" s="889"/>
      <c r="BE104" s="889"/>
      <c r="BF104" s="889"/>
      <c r="BG104" s="889"/>
      <c r="BH104" s="889"/>
      <c r="BI104" s="889"/>
      <c r="BJ104" s="889"/>
      <c r="BK104" s="889"/>
      <c r="BL104" s="889"/>
      <c r="BM104" s="889"/>
      <c r="BN104" s="889"/>
      <c r="BO104" s="889"/>
      <c r="BP104" s="889"/>
      <c r="BQ104" s="889"/>
      <c r="BR104" s="889"/>
      <c r="BS104" s="889"/>
      <c r="BT104" s="889"/>
      <c r="BU104" s="889"/>
      <c r="BV104" s="889"/>
      <c r="BW104" s="889"/>
      <c r="BX104" s="889"/>
      <c r="BY104" s="889"/>
      <c r="BZ104" s="889"/>
      <c r="CA104" s="889"/>
      <c r="CB104" s="889"/>
      <c r="CC104" s="889"/>
      <c r="CD104" s="889"/>
      <c r="CE104" s="889"/>
      <c r="CF104" s="889"/>
      <c r="CG104" s="889"/>
      <c r="CH104" s="889"/>
      <c r="CI104" s="889"/>
      <c r="CJ104" s="889"/>
      <c r="CK104" s="889"/>
      <c r="CL104" s="889"/>
      <c r="CM104" s="889"/>
      <c r="CN104" s="889"/>
      <c r="CO104" s="889"/>
      <c r="CP104" s="889"/>
      <c r="CQ104" s="889"/>
      <c r="CR104" s="889"/>
      <c r="CS104" s="1516"/>
      <c r="CT104" s="1517"/>
      <c r="CU104" s="1517"/>
      <c r="CV104" s="1517"/>
      <c r="CW104" s="1517"/>
      <c r="CX104" s="1517"/>
      <c r="CY104" s="1517"/>
      <c r="CZ104" s="1517"/>
      <c r="DA104" s="1517"/>
      <c r="DB104" s="1517"/>
      <c r="DC104" s="1517"/>
      <c r="DD104" s="1517"/>
      <c r="DE104" s="1518"/>
      <c r="DF104" s="1518"/>
      <c r="DG104" s="1518"/>
      <c r="DH104" s="1518"/>
      <c r="EB104" s="889"/>
      <c r="EC104" s="889"/>
      <c r="ED104" s="889"/>
      <c r="EE104" s="889"/>
      <c r="EF104" s="889"/>
      <c r="EG104" s="889"/>
      <c r="EH104" s="889"/>
      <c r="EI104" s="889"/>
      <c r="EJ104" s="889"/>
      <c r="EK104" s="889"/>
      <c r="EL104" s="889"/>
      <c r="EM104" s="889"/>
      <c r="EN104" s="889"/>
      <c r="EO104" s="889"/>
      <c r="EP104" s="889"/>
      <c r="EQ104" s="889"/>
      <c r="ER104" s="889"/>
      <c r="ES104" s="889"/>
      <c r="ET104" s="889"/>
      <c r="EU104" s="889"/>
      <c r="EV104" s="889"/>
      <c r="EW104" s="889"/>
      <c r="EX104" s="889"/>
      <c r="EY104" s="889"/>
      <c r="EZ104" s="889"/>
      <c r="FA104" s="889"/>
      <c r="FB104" s="889"/>
      <c r="FC104" s="889"/>
      <c r="FD104" s="889"/>
      <c r="FE104" s="889"/>
      <c r="FF104" s="889"/>
      <c r="FG104" s="889"/>
      <c r="FH104" s="889"/>
      <c r="FI104" s="889"/>
      <c r="FJ104" s="889"/>
      <c r="FK104" s="889"/>
      <c r="FL104" s="889"/>
    </row>
    <row r="105" spans="5:168" ht="13.2">
      <c r="E105" s="889"/>
      <c r="F105" s="889"/>
      <c r="G105" s="889"/>
      <c r="H105" s="889"/>
      <c r="I105" s="889"/>
      <c r="J105" s="889"/>
      <c r="K105" s="889"/>
      <c r="L105" s="889"/>
      <c r="M105" s="889"/>
      <c r="N105" s="889"/>
      <c r="O105" s="889"/>
      <c r="P105" s="889"/>
      <c r="Q105" s="889"/>
      <c r="R105" s="889"/>
      <c r="S105" s="889"/>
      <c r="T105" s="889"/>
      <c r="U105" s="889"/>
      <c r="V105" s="889"/>
      <c r="W105" s="889"/>
      <c r="X105" s="889"/>
      <c r="Y105" s="889"/>
      <c r="Z105" s="889"/>
      <c r="AA105" s="889"/>
      <c r="AB105" s="889"/>
      <c r="AC105" s="889"/>
      <c r="AD105" s="889"/>
      <c r="AE105"/>
      <c r="AF105"/>
      <c r="AG105"/>
      <c r="AH105"/>
      <c r="AI105"/>
      <c r="AJ105"/>
      <c r="AK105"/>
      <c r="AL105"/>
      <c r="AM105"/>
      <c r="AN105"/>
      <c r="AO105" s="889"/>
      <c r="AP105" s="889"/>
      <c r="AQ105" s="889"/>
      <c r="AR105" s="889"/>
      <c r="AS105" s="889"/>
      <c r="AT105" s="889"/>
      <c r="AU105" s="889"/>
      <c r="AV105" s="889"/>
      <c r="AW105" s="889"/>
      <c r="AX105" s="889"/>
      <c r="AY105" s="889"/>
      <c r="AZ105" s="889"/>
      <c r="BA105" s="889"/>
      <c r="BB105" s="889"/>
      <c r="BC105" s="889"/>
      <c r="BD105" s="889"/>
      <c r="BE105" s="889"/>
      <c r="BF105" s="889"/>
      <c r="BG105" s="889"/>
      <c r="BH105" s="889"/>
      <c r="BI105" s="889"/>
      <c r="BJ105" s="889"/>
      <c r="BK105" s="889"/>
      <c r="BL105" s="889"/>
      <c r="BM105" s="889"/>
      <c r="BN105" s="889"/>
      <c r="BO105" s="889"/>
      <c r="BP105" s="889"/>
      <c r="BQ105" s="889"/>
      <c r="BR105" s="889"/>
      <c r="BS105" s="889"/>
      <c r="BT105" s="889"/>
      <c r="BU105" s="889"/>
      <c r="BV105" s="889"/>
      <c r="BW105" s="889"/>
      <c r="BX105" s="889"/>
      <c r="BY105" s="889"/>
      <c r="BZ105" s="889"/>
      <c r="CA105" s="889"/>
      <c r="CB105" s="889"/>
      <c r="CC105" s="889"/>
      <c r="CD105" s="889"/>
      <c r="CE105" s="889"/>
      <c r="CF105" s="889"/>
      <c r="CG105" s="889"/>
      <c r="CH105" s="889"/>
      <c r="CI105" s="889"/>
      <c r="CJ105" s="889"/>
      <c r="CK105" s="889"/>
      <c r="CL105" s="889"/>
      <c r="CM105" s="889"/>
      <c r="CN105" s="889"/>
      <c r="CO105" s="889"/>
      <c r="CP105" s="889"/>
      <c r="CQ105" s="889"/>
      <c r="CR105" s="889"/>
      <c r="CS105" s="1516"/>
      <c r="CT105" s="1517"/>
      <c r="CU105" s="1517"/>
      <c r="CV105" s="1517"/>
      <c r="CW105" s="1517"/>
      <c r="CX105" s="1517"/>
      <c r="CY105" s="1517"/>
      <c r="CZ105" s="1517"/>
      <c r="DA105" s="1517"/>
      <c r="DB105" s="1517"/>
      <c r="DC105" s="1517"/>
      <c r="DD105" s="1517"/>
      <c r="DE105" s="1518"/>
      <c r="DF105" s="1518"/>
      <c r="DG105" s="1518"/>
      <c r="DH105" s="1518"/>
      <c r="EB105" s="889"/>
      <c r="EC105" s="889"/>
      <c r="ED105" s="889"/>
      <c r="EE105" s="889"/>
      <c r="EF105" s="889"/>
      <c r="EG105" s="889"/>
      <c r="EH105" s="889"/>
      <c r="EI105" s="889"/>
      <c r="EJ105" s="889"/>
      <c r="EK105" s="889"/>
      <c r="EL105" s="889"/>
      <c r="EM105" s="889"/>
      <c r="EN105" s="889"/>
      <c r="EO105" s="889"/>
      <c r="EP105" s="889"/>
      <c r="EQ105" s="889"/>
      <c r="ER105" s="889"/>
      <c r="ES105" s="889"/>
      <c r="ET105" s="889"/>
      <c r="EU105" s="889"/>
      <c r="EV105" s="889"/>
      <c r="EW105" s="889"/>
      <c r="EX105" s="889"/>
      <c r="EY105" s="889"/>
      <c r="EZ105" s="889"/>
      <c r="FA105" s="889"/>
      <c r="FB105" s="889"/>
      <c r="FC105" s="889"/>
      <c r="FD105" s="889"/>
      <c r="FE105" s="889"/>
      <c r="FF105" s="889"/>
      <c r="FG105" s="889"/>
      <c r="FH105" s="889"/>
      <c r="FI105" s="889"/>
      <c r="FJ105" s="889"/>
      <c r="FK105" s="889"/>
      <c r="FL105" s="889"/>
    </row>
    <row r="106" spans="5:168">
      <c r="E106" s="889" t="s">
        <v>629</v>
      </c>
      <c r="F106" s="889"/>
      <c r="G106" s="889"/>
      <c r="H106" s="889"/>
      <c r="I106" s="889"/>
      <c r="J106" s="889"/>
      <c r="K106" s="889"/>
      <c r="L106" s="889"/>
      <c r="M106" s="889"/>
      <c r="N106" s="889"/>
      <c r="O106" s="889"/>
      <c r="P106" s="889"/>
      <c r="Q106" s="889"/>
      <c r="R106" s="889"/>
      <c r="S106" s="889"/>
      <c r="T106" s="889"/>
      <c r="U106" s="889"/>
      <c r="V106" s="889"/>
      <c r="W106" s="889"/>
      <c r="X106" s="889"/>
      <c r="Y106" s="889"/>
      <c r="Z106" s="889"/>
      <c r="AA106" s="889"/>
      <c r="AB106" s="889"/>
      <c r="AC106" s="889"/>
      <c r="AE106" s="1141">
        <f>'Revenue Build'!DA122</f>
        <v>8029.1970802919705</v>
      </c>
      <c r="AF106" s="1141">
        <f>'Revenue Build'!DB122</f>
        <v>8000</v>
      </c>
      <c r="AG106" s="1141">
        <f>'Revenue Build'!DC122</f>
        <v>11392.405063291139</v>
      </c>
      <c r="AH106" s="1141">
        <f>'Revenue Build'!DE122</f>
        <v>8974.3589743589746</v>
      </c>
      <c r="AI106" s="1141">
        <f>'Revenue Build'!DF122</f>
        <v>11000</v>
      </c>
      <c r="AJ106" s="1141">
        <f>'Revenue Build'!DG122</f>
        <v>12000</v>
      </c>
      <c r="AK106" s="1141">
        <f>'Revenue Build'!DH122</f>
        <v>18000</v>
      </c>
      <c r="AL106" s="1141">
        <f>'Revenue Build'!DJ122</f>
        <v>14000</v>
      </c>
      <c r="AM106" s="1141">
        <f>'Revenue Build'!DK122</f>
        <v>16200</v>
      </c>
      <c r="AN106" s="1141">
        <f>'Revenue Build'!DL122</f>
        <v>17200</v>
      </c>
      <c r="AO106" s="889"/>
      <c r="AP106" s="889"/>
      <c r="AQ106" s="889"/>
      <c r="AR106" s="889"/>
      <c r="AS106" s="889"/>
      <c r="AT106" s="889"/>
      <c r="AU106" s="889"/>
      <c r="AV106" s="889"/>
      <c r="AW106" s="889"/>
      <c r="AX106" s="889"/>
      <c r="AY106" s="889"/>
      <c r="AZ106" s="889"/>
      <c r="BA106" s="889"/>
      <c r="BB106" s="889"/>
      <c r="BC106" s="889"/>
      <c r="BD106" s="889"/>
      <c r="BE106" s="889"/>
      <c r="BF106" s="889"/>
      <c r="BG106" s="889"/>
      <c r="BH106" s="889"/>
      <c r="BI106" s="889"/>
      <c r="BJ106" s="889"/>
      <c r="BK106" s="889"/>
      <c r="BL106" s="889"/>
      <c r="BM106" s="889"/>
      <c r="BN106" s="889"/>
      <c r="BO106" s="889"/>
      <c r="BP106" s="889"/>
      <c r="BQ106" s="889"/>
      <c r="BR106" s="889"/>
      <c r="BS106" s="889"/>
      <c r="BT106" s="889"/>
      <c r="BU106" s="889"/>
      <c r="BV106" s="889"/>
      <c r="BW106" s="889"/>
      <c r="BX106" s="889"/>
      <c r="BY106" s="889"/>
      <c r="BZ106" s="889"/>
      <c r="CA106" s="889"/>
      <c r="CB106" s="889"/>
      <c r="CC106" s="889"/>
      <c r="CD106" s="889"/>
      <c r="CE106" s="889"/>
      <c r="CF106" s="889"/>
      <c r="CG106" s="889"/>
      <c r="CH106" s="889"/>
      <c r="CI106" s="889"/>
      <c r="CJ106" s="889"/>
      <c r="CK106" s="889"/>
      <c r="CL106" s="889"/>
      <c r="CM106" s="889"/>
      <c r="CN106" s="889"/>
      <c r="CO106" s="889"/>
      <c r="CP106" s="889"/>
      <c r="CQ106" s="889"/>
      <c r="CR106" s="889"/>
      <c r="CS106" s="1516"/>
      <c r="CT106" s="1517"/>
      <c r="CU106" s="1517"/>
      <c r="CV106" s="1517"/>
      <c r="CW106" s="1517"/>
      <c r="CX106" s="1517"/>
      <c r="CY106" s="1517"/>
      <c r="CZ106" s="1517"/>
      <c r="DA106" s="1517"/>
      <c r="DB106" s="1517"/>
      <c r="DC106" s="1517"/>
      <c r="DD106" s="1517"/>
      <c r="DE106" s="1518"/>
      <c r="DF106" s="1518"/>
      <c r="DG106" s="1518"/>
      <c r="DH106" s="1518"/>
      <c r="EB106" s="889"/>
      <c r="EC106" s="889"/>
      <c r="ED106" s="889"/>
      <c r="EE106" s="889"/>
      <c r="EF106" s="889"/>
      <c r="EG106" s="889"/>
      <c r="EH106" s="889"/>
      <c r="EI106" s="889"/>
      <c r="EJ106" s="889"/>
      <c r="EK106" s="889"/>
      <c r="EL106" s="889"/>
      <c r="EM106" s="889"/>
      <c r="EN106" s="889"/>
      <c r="EO106" s="889"/>
      <c r="EP106" s="889"/>
      <c r="EQ106" s="889"/>
      <c r="ER106" s="889"/>
      <c r="ES106" s="889"/>
      <c r="ET106" s="889"/>
      <c r="EU106" s="889"/>
      <c r="EV106" s="889"/>
      <c r="EW106" s="889"/>
      <c r="EX106" s="889"/>
      <c r="EY106" s="889"/>
      <c r="EZ106" s="889"/>
      <c r="FA106" s="889"/>
      <c r="FB106" s="889"/>
      <c r="FC106" s="889"/>
      <c r="FD106" s="889"/>
      <c r="FE106" s="889"/>
      <c r="FF106" s="889"/>
      <c r="FG106" s="889"/>
      <c r="FH106" s="889"/>
      <c r="FI106" s="889"/>
      <c r="FJ106" s="889"/>
      <c r="FK106" s="889"/>
      <c r="FL106" s="889"/>
    </row>
    <row r="107" spans="5:168" ht="10.8" thickBot="1">
      <c r="E107" s="889"/>
      <c r="F107" s="889"/>
      <c r="G107" s="889"/>
      <c r="H107" s="889"/>
      <c r="I107" s="889"/>
      <c r="J107" s="889"/>
      <c r="K107" s="889"/>
      <c r="L107" s="889"/>
      <c r="M107" s="889"/>
      <c r="N107" s="889"/>
      <c r="O107" s="889"/>
      <c r="P107" s="889"/>
      <c r="Q107" s="889"/>
      <c r="R107" s="889"/>
      <c r="S107" s="889"/>
      <c r="T107" s="889"/>
      <c r="U107" s="889"/>
      <c r="V107" s="889"/>
      <c r="W107" s="889"/>
      <c r="X107" s="889"/>
      <c r="Y107" s="889"/>
      <c r="Z107" s="889"/>
      <c r="AA107" s="889"/>
      <c r="AB107" s="889"/>
      <c r="AC107" s="889"/>
      <c r="AD107" s="889"/>
      <c r="AE107" s="889"/>
      <c r="AF107" s="889"/>
      <c r="AG107" s="889"/>
      <c r="AH107" s="889"/>
      <c r="AI107" s="889"/>
      <c r="AJ107" s="889"/>
      <c r="AK107" s="889"/>
      <c r="AL107" s="889"/>
      <c r="AM107" s="889"/>
      <c r="AN107" s="889"/>
      <c r="AO107" s="889"/>
      <c r="AP107" s="889"/>
      <c r="AQ107" s="889"/>
      <c r="AR107" s="889"/>
      <c r="AS107" s="889"/>
      <c r="AT107" s="889"/>
      <c r="AU107" s="889"/>
      <c r="AV107" s="889"/>
      <c r="AW107" s="889"/>
      <c r="AX107" s="889"/>
      <c r="AY107" s="889"/>
      <c r="AZ107" s="889"/>
      <c r="BA107" s="889"/>
      <c r="BB107" s="889"/>
      <c r="BC107" s="889"/>
      <c r="BD107" s="889"/>
      <c r="BE107" s="889"/>
      <c r="BF107" s="889"/>
      <c r="BG107" s="889"/>
      <c r="BH107" s="889"/>
      <c r="BI107" s="889"/>
      <c r="BJ107" s="889"/>
      <c r="BK107" s="889"/>
      <c r="BL107" s="889"/>
      <c r="BM107" s="889"/>
      <c r="BN107" s="889"/>
      <c r="BO107" s="889"/>
      <c r="BP107" s="889"/>
      <c r="BQ107" s="889"/>
      <c r="BR107" s="889"/>
      <c r="BS107" s="889"/>
      <c r="BT107" s="889"/>
      <c r="BU107" s="889"/>
      <c r="BV107" s="889"/>
      <c r="BW107" s="889"/>
      <c r="BX107" s="889"/>
      <c r="BY107" s="889"/>
      <c r="BZ107" s="889"/>
      <c r="CA107" s="889"/>
      <c r="CB107" s="889"/>
      <c r="CC107" s="889"/>
      <c r="CD107" s="889"/>
      <c r="CE107" s="889"/>
      <c r="CF107" s="889"/>
      <c r="CG107" s="889"/>
      <c r="CH107" s="889"/>
      <c r="CI107" s="889"/>
      <c r="CJ107" s="889"/>
      <c r="CK107" s="889"/>
      <c r="CL107" s="889"/>
      <c r="CM107" s="889"/>
      <c r="CN107" s="889"/>
      <c r="CO107" s="889"/>
      <c r="CP107" s="889"/>
      <c r="CQ107" s="889"/>
      <c r="CR107" s="889"/>
      <c r="CS107" s="1519"/>
      <c r="CT107" s="1520"/>
      <c r="CU107" s="1520"/>
      <c r="CV107" s="1520"/>
      <c r="CW107" s="1520"/>
      <c r="CX107" s="1520"/>
      <c r="CY107" s="1520"/>
      <c r="CZ107" s="1520"/>
      <c r="DA107" s="1520"/>
      <c r="DB107" s="1520"/>
      <c r="DC107" s="1520"/>
      <c r="DD107" s="1520"/>
      <c r="DE107" s="1521"/>
      <c r="DF107" s="1521"/>
      <c r="DG107" s="1521"/>
      <c r="DH107" s="1521"/>
      <c r="EB107" s="889"/>
      <c r="EC107" s="889"/>
      <c r="ED107" s="889"/>
      <c r="EE107" s="889"/>
      <c r="EF107" s="889"/>
      <c r="EG107" s="889"/>
      <c r="EH107" s="889"/>
      <c r="EI107" s="889"/>
      <c r="EJ107" s="889"/>
      <c r="EK107" s="889"/>
      <c r="EL107" s="889"/>
      <c r="EM107" s="889"/>
      <c r="EN107" s="889"/>
      <c r="EO107" s="889"/>
      <c r="EP107" s="889"/>
      <c r="EQ107" s="889"/>
      <c r="ER107" s="889"/>
      <c r="ES107" s="889"/>
      <c r="ET107" s="889"/>
      <c r="EU107" s="889"/>
      <c r="EV107" s="889"/>
      <c r="EW107" s="889"/>
      <c r="EX107" s="889"/>
      <c r="EY107" s="889"/>
      <c r="EZ107" s="889"/>
      <c r="FA107" s="889"/>
      <c r="FB107" s="889"/>
      <c r="FC107" s="889"/>
      <c r="FD107" s="889"/>
      <c r="FE107" s="889"/>
      <c r="FF107" s="889"/>
      <c r="FG107" s="889"/>
      <c r="FH107" s="889"/>
      <c r="FI107" s="889"/>
      <c r="FJ107" s="889"/>
      <c r="FK107" s="889"/>
      <c r="FL107" s="889"/>
    </row>
    <row r="108" spans="5:168">
      <c r="E108" s="889"/>
      <c r="F108" s="889"/>
      <c r="G108" s="889"/>
      <c r="H108" s="889"/>
      <c r="I108" s="889"/>
      <c r="J108" s="889"/>
      <c r="K108" s="889"/>
      <c r="L108" s="889"/>
      <c r="M108" s="889"/>
      <c r="N108" s="889"/>
      <c r="O108" s="889"/>
      <c r="P108" s="889"/>
      <c r="Q108" s="889"/>
      <c r="R108" s="889"/>
      <c r="S108" s="889"/>
      <c r="T108" s="889"/>
      <c r="U108" s="889"/>
      <c r="V108" s="889"/>
      <c r="W108" s="889"/>
      <c r="X108" s="889"/>
      <c r="Y108" s="889"/>
      <c r="Z108" s="889"/>
      <c r="AA108" s="889"/>
      <c r="AB108" s="889"/>
      <c r="AC108" s="889"/>
      <c r="AD108" s="889"/>
      <c r="AE108" s="889"/>
      <c r="AF108" s="889"/>
      <c r="AG108" s="889"/>
      <c r="AH108" s="889"/>
      <c r="AI108" s="889"/>
      <c r="AJ108" s="889"/>
      <c r="AK108" s="889"/>
      <c r="AL108" s="889"/>
      <c r="AM108" s="889"/>
      <c r="AN108" s="889"/>
      <c r="AO108" s="889"/>
      <c r="AP108" s="889"/>
      <c r="AQ108" s="889"/>
      <c r="AR108" s="889"/>
      <c r="AS108" s="889"/>
      <c r="AT108" s="889"/>
      <c r="AU108" s="889"/>
      <c r="AV108" s="889"/>
      <c r="AW108" s="889"/>
      <c r="AX108" s="889"/>
      <c r="AY108" s="889"/>
      <c r="AZ108" s="889"/>
      <c r="BA108" s="889"/>
      <c r="BB108" s="889"/>
      <c r="BC108" s="889"/>
      <c r="BD108" s="889"/>
      <c r="BE108" s="889"/>
      <c r="BF108" s="889"/>
      <c r="BG108" s="889"/>
      <c r="BH108" s="889"/>
      <c r="BI108" s="889"/>
      <c r="BJ108" s="889"/>
      <c r="BK108" s="889"/>
      <c r="BL108" s="889"/>
      <c r="BM108" s="889"/>
      <c r="BN108" s="889"/>
      <c r="BO108" s="889"/>
      <c r="BP108" s="889"/>
      <c r="BQ108" s="889"/>
      <c r="BR108" s="889"/>
      <c r="BS108" s="889"/>
      <c r="BT108" s="889"/>
      <c r="BU108" s="889"/>
      <c r="BV108" s="889"/>
      <c r="BW108" s="889"/>
      <c r="BX108" s="889"/>
      <c r="BY108" s="889"/>
      <c r="BZ108" s="889"/>
      <c r="CA108" s="889"/>
      <c r="CB108" s="889"/>
      <c r="CC108" s="889"/>
      <c r="CD108" s="889"/>
      <c r="CE108" s="889"/>
      <c r="CF108" s="889"/>
      <c r="CG108" s="889"/>
      <c r="CH108" s="889"/>
      <c r="CI108" s="889"/>
      <c r="CJ108" s="889"/>
      <c r="CK108" s="889"/>
      <c r="CL108" s="889"/>
      <c r="CM108" s="889"/>
      <c r="CN108" s="889"/>
      <c r="CO108" s="889"/>
      <c r="CP108" s="889"/>
      <c r="CQ108" s="889"/>
      <c r="CR108" s="889"/>
      <c r="EB108" s="889"/>
      <c r="EC108" s="889"/>
      <c r="ED108" s="889"/>
      <c r="EE108" s="889"/>
      <c r="EF108" s="889"/>
      <c r="EG108" s="889"/>
      <c r="EH108" s="889"/>
      <c r="EI108" s="889"/>
      <c r="EJ108" s="889"/>
      <c r="EK108" s="889"/>
      <c r="EL108" s="889"/>
      <c r="EM108" s="889"/>
      <c r="EN108" s="889"/>
      <c r="EO108" s="889"/>
      <c r="EP108" s="889"/>
      <c r="EQ108" s="889"/>
      <c r="ER108" s="889"/>
      <c r="ES108" s="889"/>
      <c r="ET108" s="889"/>
      <c r="EU108" s="889"/>
      <c r="EV108" s="889"/>
      <c r="EW108" s="889"/>
      <c r="EX108" s="889"/>
      <c r="EY108" s="889"/>
      <c r="EZ108" s="889"/>
      <c r="FA108" s="889"/>
      <c r="FB108" s="889"/>
      <c r="FC108" s="889"/>
      <c r="FD108" s="889"/>
      <c r="FE108" s="889"/>
      <c r="FF108" s="889"/>
      <c r="FG108" s="889"/>
      <c r="FH108" s="889"/>
      <c r="FI108" s="889"/>
      <c r="FJ108" s="889"/>
      <c r="FK108" s="889"/>
      <c r="FL108" s="889"/>
    </row>
    <row r="109" spans="5:168">
      <c r="E109" s="889"/>
      <c r="F109" s="889"/>
      <c r="G109" s="889"/>
      <c r="H109" s="889"/>
      <c r="I109" s="889"/>
      <c r="J109" s="889"/>
      <c r="K109" s="889"/>
      <c r="L109" s="889"/>
      <c r="M109" s="889"/>
      <c r="N109" s="889"/>
      <c r="O109" s="889"/>
      <c r="P109" s="889"/>
      <c r="Q109" s="889"/>
      <c r="R109" s="889"/>
      <c r="S109" s="889"/>
      <c r="T109" s="889"/>
      <c r="U109" s="889"/>
      <c r="V109" s="889"/>
      <c r="W109" s="889"/>
      <c r="X109" s="889"/>
      <c r="Y109" s="889"/>
      <c r="Z109" s="889"/>
      <c r="AA109" s="889"/>
      <c r="AB109" s="889"/>
      <c r="AC109" s="889"/>
      <c r="AD109" s="889"/>
      <c r="AE109" s="889"/>
      <c r="AF109" s="889"/>
      <c r="AG109" s="889"/>
      <c r="AH109" s="889"/>
      <c r="AI109" s="889"/>
      <c r="AJ109" s="889"/>
      <c r="AK109" s="889"/>
      <c r="AL109" s="889"/>
      <c r="AM109" s="889"/>
      <c r="AN109" s="889"/>
      <c r="AO109" s="889"/>
      <c r="AP109" s="889"/>
      <c r="AQ109" s="889"/>
      <c r="AR109" s="889"/>
      <c r="AS109" s="889"/>
      <c r="AT109" s="889"/>
      <c r="AU109" s="889"/>
      <c r="AV109" s="889"/>
      <c r="AW109" s="889"/>
      <c r="AX109" s="889"/>
      <c r="AY109" s="889"/>
      <c r="AZ109" s="889"/>
      <c r="BA109" s="889"/>
      <c r="BB109" s="889"/>
      <c r="BC109" s="889"/>
      <c r="BD109" s="889"/>
      <c r="BE109" s="889"/>
      <c r="BF109" s="889"/>
      <c r="BG109" s="889"/>
      <c r="BH109" s="889"/>
      <c r="BI109" s="889"/>
      <c r="BJ109" s="889"/>
      <c r="BK109" s="889"/>
      <c r="BL109" s="889"/>
      <c r="BM109" s="889"/>
      <c r="BN109" s="889"/>
      <c r="BO109" s="889"/>
      <c r="BP109" s="889"/>
      <c r="BQ109" s="889"/>
      <c r="BR109" s="889"/>
      <c r="BS109" s="889"/>
      <c r="BT109" s="889"/>
      <c r="BU109" s="889"/>
      <c r="BV109" s="889"/>
      <c r="BW109" s="889"/>
      <c r="BX109" s="889"/>
      <c r="BY109" s="889"/>
      <c r="BZ109" s="889"/>
      <c r="CA109" s="889"/>
      <c r="CB109" s="889"/>
      <c r="CC109" s="889"/>
      <c r="CD109" s="889"/>
      <c r="CE109" s="889"/>
      <c r="CF109" s="889"/>
      <c r="CG109" s="889"/>
      <c r="CH109" s="889"/>
      <c r="CI109" s="889"/>
      <c r="CJ109" s="889"/>
      <c r="CK109" s="889"/>
      <c r="CL109" s="889"/>
      <c r="CM109" s="889"/>
      <c r="CN109" s="889"/>
      <c r="CO109" s="889"/>
      <c r="CP109" s="889"/>
      <c r="CQ109" s="889"/>
      <c r="CR109" s="889"/>
      <c r="EB109" s="889"/>
      <c r="EC109" s="889"/>
      <c r="ED109" s="889"/>
      <c r="EE109" s="889"/>
      <c r="EF109" s="889"/>
      <c r="EG109" s="889"/>
      <c r="EH109" s="889"/>
      <c r="EI109" s="889"/>
      <c r="EJ109" s="889"/>
      <c r="EK109" s="889"/>
      <c r="EL109" s="889"/>
      <c r="EM109" s="889"/>
      <c r="EN109" s="889"/>
      <c r="EO109" s="889"/>
      <c r="EP109" s="889"/>
      <c r="EQ109" s="889"/>
      <c r="ER109" s="889"/>
      <c r="ES109" s="889"/>
      <c r="ET109" s="889"/>
      <c r="EU109" s="889"/>
      <c r="EV109" s="889"/>
      <c r="EW109" s="889"/>
      <c r="EX109" s="889"/>
      <c r="EY109" s="889"/>
      <c r="EZ109" s="889"/>
      <c r="FA109" s="889"/>
      <c r="FB109" s="889"/>
      <c r="FC109" s="889"/>
      <c r="FD109" s="889"/>
      <c r="FE109" s="889"/>
      <c r="FF109" s="889"/>
      <c r="FG109" s="889"/>
      <c r="FH109" s="889"/>
      <c r="FI109" s="889"/>
      <c r="FJ109" s="889"/>
      <c r="FK109" s="889"/>
      <c r="FL109" s="889"/>
    </row>
    <row r="110" spans="5:168">
      <c r="BN110" s="889"/>
      <c r="BO110" s="889"/>
      <c r="BP110" s="889"/>
      <c r="BQ110" s="889"/>
      <c r="BR110" s="889"/>
      <c r="BS110" s="889"/>
      <c r="BT110" s="889"/>
      <c r="BU110" s="889"/>
      <c r="BV110" s="889"/>
      <c r="BW110" s="889"/>
      <c r="BX110" s="889"/>
      <c r="BY110" s="889"/>
      <c r="BZ110" s="889"/>
      <c r="CA110" s="889"/>
      <c r="CB110" s="889"/>
      <c r="CC110" s="889"/>
      <c r="CD110" s="889"/>
      <c r="CE110" s="889"/>
      <c r="CF110" s="889"/>
      <c r="CG110" s="889"/>
      <c r="CH110" s="889"/>
      <c r="CI110" s="889"/>
      <c r="CJ110" s="889"/>
      <c r="CK110" s="889"/>
      <c r="CL110" s="889"/>
      <c r="CM110" s="889"/>
      <c r="CN110" s="889"/>
      <c r="CO110" s="889"/>
      <c r="CP110" s="889"/>
      <c r="CQ110" s="889"/>
      <c r="CR110" s="889"/>
    </row>
    <row r="111" spans="5:168">
      <c r="BN111" s="889"/>
      <c r="BO111" s="889"/>
      <c r="BP111" s="889"/>
      <c r="BQ111" s="889"/>
      <c r="BR111" s="889"/>
      <c r="BS111" s="889"/>
      <c r="BT111" s="889"/>
      <c r="BU111" s="889"/>
      <c r="BV111" s="889"/>
      <c r="BW111" s="889"/>
      <c r="BX111" s="889"/>
      <c r="BY111" s="889"/>
      <c r="BZ111" s="889"/>
      <c r="CA111" s="889"/>
      <c r="CB111" s="889"/>
      <c r="CC111" s="889"/>
      <c r="CD111" s="889"/>
      <c r="CE111" s="889"/>
      <c r="CF111" s="889"/>
      <c r="CG111" s="889"/>
      <c r="CH111" s="889"/>
      <c r="CI111" s="889"/>
      <c r="CJ111" s="889"/>
      <c r="CK111" s="889"/>
      <c r="CL111" s="889"/>
      <c r="CM111" s="889"/>
      <c r="CN111" s="889"/>
      <c r="CO111" s="889"/>
      <c r="CP111" s="889"/>
      <c r="CQ111" s="889"/>
      <c r="CR111" s="889"/>
    </row>
    <row r="112" spans="5:168">
      <c r="BN112" s="889"/>
      <c r="BO112" s="889"/>
      <c r="BP112" s="889"/>
      <c r="BQ112" s="889"/>
      <c r="BR112" s="889"/>
      <c r="BS112" s="889"/>
      <c r="BT112" s="889"/>
      <c r="BU112" s="889"/>
      <c r="BV112" s="889"/>
      <c r="BW112" s="889"/>
      <c r="BX112" s="889"/>
      <c r="BY112" s="889"/>
      <c r="BZ112" s="889"/>
      <c r="CA112" s="889"/>
      <c r="CB112" s="889"/>
      <c r="CC112" s="889"/>
      <c r="CD112" s="889"/>
      <c r="CE112" s="889"/>
      <c r="CF112" s="889"/>
      <c r="CG112" s="889"/>
      <c r="CH112" s="889"/>
      <c r="CI112" s="889"/>
      <c r="CJ112" s="889"/>
      <c r="CK112" s="889"/>
      <c r="CL112" s="889"/>
      <c r="CM112" s="889"/>
      <c r="CN112" s="889"/>
      <c r="CO112" s="889"/>
      <c r="CP112" s="889"/>
      <c r="CQ112" s="889"/>
      <c r="CR112" s="889"/>
      <c r="CS112" s="889"/>
    </row>
    <row r="113" spans="5:116">
      <c r="BN113" s="889"/>
      <c r="BO113" s="889"/>
      <c r="BP113" s="889"/>
      <c r="BQ113" s="889"/>
      <c r="BR113" s="889"/>
      <c r="BS113" s="889"/>
      <c r="BT113" s="889"/>
      <c r="BU113" s="889"/>
      <c r="BV113" s="889"/>
      <c r="BW113" s="889"/>
      <c r="BX113" s="889"/>
      <c r="BY113" s="889"/>
      <c r="BZ113" s="889"/>
      <c r="CA113" s="889"/>
      <c r="CB113" s="889"/>
      <c r="CC113" s="889"/>
      <c r="CD113" s="889"/>
      <c r="CE113" s="889"/>
      <c r="CF113" s="889"/>
      <c r="CG113" s="889"/>
      <c r="CH113" s="889"/>
      <c r="CI113" s="889"/>
      <c r="CJ113" s="889"/>
      <c r="CK113" s="889"/>
      <c r="CL113" s="889"/>
      <c r="CM113" s="889"/>
      <c r="CN113" s="889"/>
      <c r="CO113" s="889"/>
      <c r="CP113" s="889"/>
      <c r="CQ113" s="889"/>
      <c r="CR113" s="889"/>
      <c r="CS113" s="889" t="s">
        <v>597</v>
      </c>
    </row>
    <row r="114" spans="5:116">
      <c r="BN114" s="889"/>
      <c r="BO114" s="889"/>
      <c r="BP114" s="889"/>
      <c r="BQ114" s="889"/>
      <c r="BR114" s="889"/>
      <c r="BS114" s="889"/>
      <c r="BT114" s="889"/>
      <c r="BU114" s="889"/>
      <c r="BV114" s="889"/>
      <c r="BW114" s="889"/>
      <c r="BX114" s="889"/>
      <c r="BY114" s="889"/>
      <c r="BZ114" s="889"/>
      <c r="CA114" s="889"/>
      <c r="CB114" s="889"/>
      <c r="CC114" s="889"/>
      <c r="CD114" s="889"/>
      <c r="CE114" s="889"/>
      <c r="CF114" s="889"/>
      <c r="CG114" s="889"/>
      <c r="CH114" s="889"/>
      <c r="CI114" s="889"/>
      <c r="CJ114" s="889"/>
      <c r="CK114" s="889"/>
      <c r="CL114" s="889"/>
      <c r="CM114" s="889"/>
      <c r="CN114" s="889"/>
      <c r="CO114" s="889"/>
      <c r="CP114" s="889"/>
      <c r="CQ114" s="889"/>
      <c r="CR114" s="889"/>
      <c r="CS114" s="889" t="s">
        <v>140</v>
      </c>
      <c r="CT114" s="1114"/>
      <c r="CU114" s="1114"/>
      <c r="CV114" s="1114"/>
      <c r="CW114" s="1114"/>
      <c r="CX114" s="1114"/>
      <c r="CY114" s="1114"/>
      <c r="CZ114" s="1114"/>
      <c r="DA114" s="1114">
        <f>'Revenue Build'!$DI$140</f>
        <v>0.54</v>
      </c>
      <c r="DB114" s="1114">
        <f>'Revenue Build'!$DN$140</f>
        <v>0.5</v>
      </c>
      <c r="DC114" s="1114">
        <f>'Revenue Build'!$DS$140</f>
        <v>0.49</v>
      </c>
      <c r="DD114" s="1114">
        <f>'Revenue Build'!$DX$140</f>
        <v>0.48499999999999999</v>
      </c>
      <c r="DE114" s="1114">
        <f>'Revenue Build'!$EC$140</f>
        <v>0.48</v>
      </c>
      <c r="DF114" s="1006">
        <f>'Revenue Build'!$EH$140</f>
        <v>0.47499999999999998</v>
      </c>
      <c r="DG114" s="1114">
        <f>'Revenue Build'!$EM$140</f>
        <v>0.47</v>
      </c>
      <c r="DH114" s="1114">
        <f>'Revenue Build'!$ER$140</f>
        <v>0.46499999999999997</v>
      </c>
    </row>
    <row r="115" spans="5:116">
      <c r="F115" s="889"/>
      <c r="G115" s="889"/>
      <c r="H115" s="889"/>
      <c r="I115" s="889"/>
      <c r="J115" s="889"/>
      <c r="K115" s="889"/>
      <c r="L115" s="889"/>
      <c r="M115" s="889"/>
      <c r="N115" s="889"/>
      <c r="O115" s="889"/>
      <c r="P115" s="889"/>
      <c r="Q115" s="889"/>
      <c r="R115" s="889"/>
      <c r="S115" s="889"/>
      <c r="T115" s="889"/>
      <c r="U115" s="889"/>
      <c r="V115" s="889"/>
      <c r="W115" s="889"/>
      <c r="X115" s="889"/>
      <c r="Y115" s="889"/>
      <c r="Z115" s="889"/>
      <c r="AA115" s="889"/>
      <c r="AB115" s="889"/>
      <c r="AC115" s="889"/>
      <c r="AD115" s="889"/>
      <c r="AE115" s="889"/>
      <c r="AF115" s="889"/>
      <c r="BN115" s="889"/>
      <c r="BO115" s="889"/>
      <c r="BP115" s="889"/>
      <c r="BQ115" s="889"/>
      <c r="BR115" s="889"/>
      <c r="BS115" s="889"/>
      <c r="BT115" s="889"/>
      <c r="BU115" s="889"/>
      <c r="BV115" s="889"/>
      <c r="BW115" s="889"/>
      <c r="BX115" s="889"/>
      <c r="BY115" s="889"/>
      <c r="BZ115" s="889"/>
      <c r="CA115" s="889"/>
      <c r="CB115" s="889"/>
      <c r="CC115" s="889"/>
      <c r="CD115" s="889"/>
      <c r="CE115" s="889"/>
      <c r="CF115" s="889"/>
      <c r="CG115" s="889"/>
      <c r="CH115" s="889"/>
      <c r="CI115" s="889"/>
      <c r="CJ115" s="889"/>
      <c r="CK115" s="889"/>
      <c r="CL115" s="889"/>
      <c r="CM115" s="889"/>
      <c r="CN115" s="889"/>
      <c r="CO115" s="889"/>
      <c r="CP115" s="889"/>
      <c r="CQ115" s="889"/>
      <c r="CR115" s="889"/>
      <c r="CS115" s="889" t="s">
        <v>610</v>
      </c>
      <c r="CT115" s="1007"/>
      <c r="CU115" s="1007"/>
      <c r="CV115" s="1007"/>
      <c r="CW115" s="1007"/>
      <c r="CX115" s="1007"/>
      <c r="CY115" s="1007"/>
      <c r="CZ115" s="1007"/>
      <c r="DA115" s="1007">
        <f t="shared" ref="DA115" si="77">1-DA114</f>
        <v>0.45999999999999996</v>
      </c>
      <c r="DB115" s="1007">
        <f>1-DB114</f>
        <v>0.5</v>
      </c>
      <c r="DC115" s="1007">
        <f>1-DC114</f>
        <v>0.51</v>
      </c>
      <c r="DD115" s="1007">
        <f>1-DD114</f>
        <v>0.51500000000000001</v>
      </c>
      <c r="DE115" s="1007">
        <f t="shared" ref="DE115:DH115" si="78">1-DE114</f>
        <v>0.52</v>
      </c>
      <c r="DF115" s="1007">
        <f t="shared" si="78"/>
        <v>0.52500000000000002</v>
      </c>
      <c r="DG115" s="1007">
        <f t="shared" si="78"/>
        <v>0.53</v>
      </c>
      <c r="DH115" s="1007">
        <f t="shared" si="78"/>
        <v>0.53500000000000003</v>
      </c>
    </row>
    <row r="116" spans="5:116">
      <c r="F116" s="889"/>
      <c r="G116" s="889"/>
      <c r="H116" s="889"/>
      <c r="I116" s="889"/>
      <c r="J116" s="889"/>
      <c r="K116" s="889"/>
      <c r="L116" s="889"/>
      <c r="M116" s="889"/>
      <c r="N116" s="889"/>
      <c r="O116" s="889"/>
      <c r="P116" s="889"/>
      <c r="Q116" s="889"/>
      <c r="R116" s="889"/>
      <c r="S116" s="889"/>
      <c r="T116" s="889"/>
      <c r="U116" s="889"/>
      <c r="V116" s="889"/>
      <c r="W116" s="889"/>
      <c r="X116" s="889"/>
      <c r="Y116" s="889"/>
      <c r="Z116" s="889"/>
      <c r="AA116" s="889"/>
      <c r="AB116" s="889"/>
      <c r="AC116" s="889"/>
      <c r="AD116" s="889"/>
      <c r="AE116" s="889"/>
      <c r="AF116" s="889"/>
      <c r="BN116" s="889"/>
      <c r="BO116" s="889"/>
      <c r="BP116" s="889"/>
      <c r="BQ116" s="889"/>
      <c r="BR116" s="889"/>
      <c r="BS116" s="889"/>
      <c r="BT116" s="889"/>
      <c r="BU116" s="889"/>
      <c r="BV116" s="889"/>
      <c r="BW116" s="889"/>
      <c r="BX116" s="889"/>
      <c r="BY116" s="889"/>
      <c r="BZ116" s="889"/>
      <c r="CA116" s="889"/>
      <c r="CB116" s="889"/>
      <c r="CC116" s="889"/>
      <c r="CD116" s="889"/>
      <c r="CE116" s="889"/>
      <c r="CF116" s="889"/>
      <c r="CG116" s="889"/>
      <c r="CH116" s="889"/>
      <c r="CI116" s="889"/>
      <c r="CJ116" s="889"/>
      <c r="CK116" s="889"/>
      <c r="CL116" s="889"/>
      <c r="CM116" s="889"/>
      <c r="CN116" s="889"/>
      <c r="CO116" s="889"/>
      <c r="CP116" s="889"/>
      <c r="CQ116" s="889"/>
      <c r="CR116" s="889"/>
      <c r="CS116" s="889" t="s">
        <v>611</v>
      </c>
      <c r="CT116" s="1007"/>
      <c r="CU116" s="1007"/>
      <c r="CV116" s="1007"/>
      <c r="CW116" s="1007"/>
      <c r="CX116" s="1007"/>
      <c r="CY116" s="1007"/>
      <c r="CZ116" s="1007"/>
      <c r="DA116" s="1007">
        <v>0.28654390934844187</v>
      </c>
      <c r="DB116" s="1007">
        <v>0.30281531531531536</v>
      </c>
      <c r="DC116" s="1007">
        <v>0.30953911026469771</v>
      </c>
      <c r="DD116" s="1007">
        <v>0.32249134646944577</v>
      </c>
      <c r="DE116" s="1007">
        <v>0.33354331390906411</v>
      </c>
      <c r="DF116" s="1007">
        <v>1</v>
      </c>
      <c r="DG116" s="1007">
        <v>1</v>
      </c>
      <c r="DH116" s="1007">
        <v>1</v>
      </c>
    </row>
    <row r="117" spans="5:116">
      <c r="F117" s="889"/>
      <c r="G117" s="889"/>
      <c r="H117" s="889"/>
      <c r="I117" s="889"/>
      <c r="J117" s="889"/>
      <c r="K117" s="889"/>
      <c r="L117" s="889"/>
      <c r="M117" s="889"/>
      <c r="N117" s="889"/>
      <c r="O117" s="889"/>
      <c r="P117" s="889"/>
      <c r="Q117" s="889"/>
      <c r="R117" s="889"/>
      <c r="S117" s="889"/>
      <c r="T117" s="889"/>
      <c r="U117" s="889"/>
      <c r="V117" s="889"/>
      <c r="W117" s="889"/>
      <c r="X117" s="889"/>
      <c r="Y117" s="889"/>
      <c r="Z117" s="889"/>
      <c r="AA117" s="889"/>
      <c r="AB117" s="889"/>
      <c r="AC117" s="889"/>
      <c r="AD117" s="889"/>
      <c r="AE117" s="889"/>
      <c r="AF117" s="889"/>
      <c r="BN117" s="889"/>
      <c r="BO117" s="889"/>
      <c r="BP117" s="889"/>
      <c r="BQ117" s="889"/>
      <c r="BR117" s="889"/>
      <c r="BS117" s="889"/>
      <c r="BT117" s="889"/>
      <c r="BU117" s="889"/>
      <c r="BV117" s="889"/>
      <c r="BW117" s="889"/>
      <c r="BX117" s="889"/>
      <c r="BY117" s="889"/>
      <c r="BZ117" s="889"/>
      <c r="CA117" s="889"/>
      <c r="CB117" s="889"/>
      <c r="CC117" s="889"/>
      <c r="CD117" s="889"/>
      <c r="CE117" s="889"/>
      <c r="CF117" s="889"/>
      <c r="CG117" s="889"/>
      <c r="CH117" s="889"/>
      <c r="CI117" s="889"/>
      <c r="CJ117" s="889"/>
      <c r="CK117" s="889"/>
      <c r="CL117" s="889"/>
      <c r="CM117" s="889"/>
      <c r="CN117" s="889"/>
      <c r="CO117" s="889"/>
      <c r="CP117" s="889"/>
      <c r="CQ117" s="889"/>
      <c r="CR117" s="889"/>
      <c r="CS117" s="889"/>
    </row>
    <row r="118" spans="5:116">
      <c r="F118" s="889"/>
      <c r="G118" s="889"/>
      <c r="H118" s="889"/>
      <c r="I118" s="889"/>
      <c r="J118" s="889"/>
      <c r="K118" s="889"/>
      <c r="L118" s="889"/>
      <c r="M118" s="889"/>
      <c r="N118" s="889"/>
      <c r="O118" s="889"/>
      <c r="P118" s="889"/>
      <c r="Q118" s="889"/>
      <c r="R118" s="889"/>
      <c r="S118" s="889"/>
      <c r="T118" s="889"/>
      <c r="U118" s="889"/>
      <c r="V118" s="889"/>
      <c r="W118" s="889"/>
      <c r="X118" s="889"/>
      <c r="Y118" s="889"/>
      <c r="Z118" s="889"/>
      <c r="AA118" s="889"/>
      <c r="AB118" s="889"/>
      <c r="AC118" s="889"/>
      <c r="AD118" s="889"/>
      <c r="AE118" s="889"/>
      <c r="AF118" s="889"/>
      <c r="BN118" s="889"/>
      <c r="BO118" s="889"/>
      <c r="BP118" s="889"/>
      <c r="BQ118" s="889"/>
      <c r="BR118" s="889"/>
      <c r="BS118" s="889"/>
      <c r="BT118" s="889"/>
      <c r="BU118" s="889"/>
      <c r="BV118" s="889"/>
      <c r="BW118" s="889"/>
      <c r="BX118" s="889"/>
      <c r="BY118" s="889"/>
      <c r="BZ118" s="889"/>
      <c r="CA118" s="889"/>
      <c r="CB118" s="889"/>
      <c r="CC118" s="889"/>
      <c r="CD118" s="889"/>
      <c r="CE118" s="889"/>
      <c r="CF118" s="889"/>
      <c r="CG118" s="889"/>
      <c r="CH118" s="889"/>
      <c r="CI118" s="889"/>
      <c r="CJ118" s="889"/>
      <c r="CK118" s="889"/>
      <c r="CL118" s="889"/>
      <c r="CM118" s="889"/>
      <c r="CN118" s="889"/>
      <c r="CO118" s="889"/>
      <c r="CP118" s="889"/>
      <c r="CQ118" s="889"/>
      <c r="CR118" s="889"/>
      <c r="CS118" s="889"/>
    </row>
    <row r="119" spans="5:116">
      <c r="BN119" s="889"/>
      <c r="BO119" s="889"/>
      <c r="BP119" s="889"/>
      <c r="BQ119" s="889"/>
      <c r="BR119" s="889"/>
      <c r="BS119" s="889"/>
      <c r="BT119" s="889"/>
      <c r="BU119" s="889"/>
      <c r="BV119" s="889"/>
      <c r="BW119" s="889"/>
      <c r="BX119" s="889"/>
      <c r="BY119" s="889"/>
      <c r="BZ119" s="889"/>
      <c r="CA119" s="889"/>
      <c r="CB119" s="889"/>
      <c r="CC119" s="889"/>
      <c r="CD119" s="889"/>
      <c r="CE119" s="889"/>
      <c r="CF119" s="889"/>
      <c r="CG119" s="889"/>
      <c r="CH119" s="889"/>
      <c r="CI119" s="889"/>
      <c r="CJ119" s="889"/>
      <c r="CK119" s="889"/>
      <c r="CL119" s="889"/>
      <c r="CM119" s="889"/>
      <c r="CN119" s="889"/>
      <c r="CO119" s="889"/>
      <c r="CP119" s="889"/>
      <c r="CQ119" s="889"/>
      <c r="CR119" s="889"/>
      <c r="CS119" s="889" t="s">
        <v>575</v>
      </c>
      <c r="CU119" s="1012">
        <f>'Revenue Build'!CE79</f>
        <v>10088.015940336567</v>
      </c>
      <c r="CV119" s="1012">
        <f>'Revenue Build'!CJ79</f>
        <v>16711.604062604951</v>
      </c>
      <c r="CW119" s="1012">
        <f>'Revenue Build'!CO79</f>
        <v>25702.891747650821</v>
      </c>
      <c r="CX119" s="1012">
        <f>'Revenue Build'!CT79</f>
        <v>53800</v>
      </c>
      <c r="CY119" s="1012">
        <f>'Revenue Build'!CY79</f>
        <v>85800</v>
      </c>
      <c r="CZ119" s="1012">
        <f>'Revenue Build'!DD79</f>
        <v>106100</v>
      </c>
      <c r="DA119" s="1012">
        <f>'Revenue Build'!DI79</f>
        <v>137074</v>
      </c>
      <c r="DB119" s="1012">
        <f>'Revenue Build'!DN79</f>
        <v>180918.22500000001</v>
      </c>
      <c r="DC119" s="1012">
        <f>'Revenue Build'!DS79</f>
        <v>248257.296</v>
      </c>
      <c r="DD119" s="1012">
        <f>'Revenue Build'!DX79</f>
        <v>337729.34628000006</v>
      </c>
      <c r="DE119" s="1012">
        <f>'Revenue Build'!EC79</f>
        <v>434613.05333420006</v>
      </c>
      <c r="DF119" s="1012">
        <f>'Revenue Build'!EH79</f>
        <v>529015.72382424003</v>
      </c>
      <c r="DG119" s="1012">
        <f>'Revenue Build'!EE79</f>
        <v>124167.49614</v>
      </c>
      <c r="DH119" s="1012">
        <f>'Revenue Build'!EF79</f>
        <v>125059.46895000001</v>
      </c>
    </row>
    <row r="120" spans="5:116">
      <c r="BN120" s="889"/>
      <c r="BO120" s="889"/>
      <c r="BP120" s="889"/>
      <c r="BQ120" s="889"/>
      <c r="BR120" s="889"/>
      <c r="BS120" s="889"/>
      <c r="BT120" s="889"/>
      <c r="BU120" s="889"/>
      <c r="BV120" s="889"/>
      <c r="BW120" s="889"/>
      <c r="BX120" s="889"/>
      <c r="BY120" s="889"/>
      <c r="BZ120" s="889"/>
      <c r="CA120" s="889"/>
      <c r="CB120" s="889"/>
      <c r="CC120" s="889"/>
      <c r="CD120" s="889"/>
      <c r="CE120" s="889"/>
      <c r="CF120" s="889"/>
      <c r="CG120" s="889"/>
      <c r="CH120" s="889"/>
      <c r="CI120" s="889"/>
      <c r="CJ120" s="889"/>
      <c r="CK120" s="889"/>
      <c r="CL120" s="889"/>
      <c r="CM120" s="889"/>
      <c r="CN120" s="889"/>
      <c r="CO120" s="889"/>
      <c r="CP120" s="889"/>
      <c r="CQ120" s="889"/>
      <c r="CR120" s="889"/>
      <c r="CS120" s="889" t="s">
        <v>602</v>
      </c>
      <c r="CT120" s="1007"/>
      <c r="CU120" s="1007">
        <v>0.38328109605517319</v>
      </c>
      <c r="CV120" s="1007">
        <v>0.40657633986414771</v>
      </c>
      <c r="CW120" s="1007">
        <v>0.42040465214309908</v>
      </c>
      <c r="CX120" s="1007">
        <v>0.44991874576167973</v>
      </c>
      <c r="CY120" s="1007">
        <v>0.4892741358161361</v>
      </c>
      <c r="CZ120" s="1007">
        <v>0.53789560466337949</v>
      </c>
      <c r="DA120" s="1007">
        <v>0.58100667585037613</v>
      </c>
      <c r="DB120" s="1007">
        <v>0.61992301770592761</v>
      </c>
      <c r="DC120" s="1007">
        <v>0.6439817262180817</v>
      </c>
      <c r="DD120" s="1007">
        <v>0.66390621317651566</v>
      </c>
      <c r="DE120" s="1007">
        <v>0.68230827018108298</v>
      </c>
      <c r="DF120" s="1007" t="e">
        <v>#DIV/0!</v>
      </c>
      <c r="DG120" s="1007" t="e">
        <v>#DIV/0!</v>
      </c>
      <c r="DH120" s="1007" t="e">
        <v>#DIV/0!</v>
      </c>
    </row>
    <row r="121" spans="5:116">
      <c r="BN121" s="889"/>
      <c r="BO121" s="889"/>
      <c r="BP121" s="889"/>
      <c r="BQ121" s="889"/>
      <c r="BR121" s="889"/>
      <c r="BS121" s="889"/>
      <c r="BT121" s="889"/>
      <c r="BU121" s="889"/>
      <c r="BV121" s="889"/>
      <c r="BW121" s="889"/>
      <c r="BX121" s="889"/>
      <c r="BY121" s="889"/>
      <c r="BZ121" s="889"/>
      <c r="CA121" s="889"/>
      <c r="CB121" s="889"/>
      <c r="CC121" s="889"/>
      <c r="CD121" s="889"/>
      <c r="CE121" s="889"/>
      <c r="CF121" s="889"/>
      <c r="CG121" s="889"/>
      <c r="CH121" s="889"/>
      <c r="CI121" s="889"/>
      <c r="CJ121" s="889"/>
      <c r="CK121" s="889"/>
      <c r="CL121" s="889"/>
      <c r="CM121" s="889"/>
      <c r="CN121" s="889"/>
      <c r="CO121" s="889"/>
      <c r="CP121" s="889"/>
      <c r="CQ121" s="889"/>
      <c r="CR121" s="889"/>
    </row>
    <row r="122" spans="5:116" ht="10.8" thickBot="1">
      <c r="AY122" s="889"/>
      <c r="AZ122" s="889"/>
      <c r="BA122" s="889"/>
      <c r="BB122" s="889"/>
      <c r="BC122" s="889"/>
      <c r="BD122" s="889"/>
      <c r="BE122" s="889"/>
      <c r="BF122" s="889"/>
      <c r="BG122" s="889"/>
      <c r="BH122" s="889"/>
      <c r="BI122" s="889"/>
      <c r="BJ122" s="889"/>
      <c r="BK122" s="889"/>
      <c r="BL122" s="889"/>
      <c r="BM122" s="889"/>
      <c r="BN122" s="889"/>
      <c r="BO122" s="889"/>
      <c r="BP122" s="889"/>
      <c r="BQ122" s="889"/>
      <c r="BR122" s="889"/>
      <c r="BS122" s="889"/>
      <c r="BT122" s="889"/>
      <c r="BU122" s="889"/>
      <c r="BV122" s="889"/>
      <c r="BW122" s="889"/>
      <c r="BX122" s="889"/>
      <c r="BY122" s="889"/>
      <c r="BZ122" s="889"/>
      <c r="CA122" s="889"/>
      <c r="CB122" s="889"/>
      <c r="CC122" s="889"/>
      <c r="CD122" s="889"/>
      <c r="CE122" s="889"/>
      <c r="CF122" s="889"/>
      <c r="CG122" s="889"/>
      <c r="CH122" s="889"/>
      <c r="CI122" s="889"/>
      <c r="CJ122" s="889"/>
      <c r="CK122" s="889"/>
      <c r="CL122" s="889"/>
      <c r="CM122" s="889"/>
      <c r="CN122" s="889"/>
      <c r="CO122" s="889"/>
      <c r="CP122" s="889"/>
      <c r="CQ122" s="889"/>
      <c r="CR122" s="889"/>
    </row>
    <row r="123" spans="5:116">
      <c r="AY123" s="889"/>
      <c r="AZ123" s="889"/>
      <c r="BA123" s="889"/>
      <c r="BB123" s="889"/>
      <c r="BC123" s="889"/>
      <c r="BD123" s="889"/>
      <c r="BE123" s="889"/>
      <c r="BF123" s="889"/>
      <c r="BG123" s="889"/>
      <c r="BH123" s="889"/>
      <c r="BI123" s="889"/>
      <c r="BJ123" s="889"/>
      <c r="BK123" s="889"/>
      <c r="BL123" s="889"/>
      <c r="BM123" s="889"/>
      <c r="BN123" s="889"/>
      <c r="BO123" s="889"/>
      <c r="BP123" s="889"/>
      <c r="BQ123" s="889"/>
      <c r="BR123" s="889"/>
      <c r="BS123" s="889"/>
      <c r="BT123" s="889"/>
      <c r="BU123" s="889"/>
      <c r="BV123" s="889"/>
      <c r="BW123" s="889"/>
      <c r="BX123" s="889"/>
      <c r="BY123" s="889"/>
      <c r="BZ123" s="889"/>
      <c r="CA123" s="889"/>
      <c r="CB123" s="889"/>
      <c r="CC123" s="889"/>
      <c r="CD123" s="889"/>
      <c r="CE123" s="889"/>
      <c r="CF123" s="889"/>
      <c r="CG123" s="889"/>
      <c r="CH123" s="889"/>
      <c r="CI123" s="889"/>
      <c r="CJ123" s="889"/>
      <c r="CK123" s="889"/>
      <c r="CL123" s="889"/>
      <c r="CM123" s="889"/>
      <c r="CN123" s="889"/>
      <c r="CO123" s="889"/>
      <c r="CP123" s="889"/>
      <c r="CQ123" s="889"/>
      <c r="CR123" s="889"/>
      <c r="CS123" s="1513" t="s">
        <v>648</v>
      </c>
      <c r="CT123" s="1514"/>
      <c r="CU123" s="1514"/>
      <c r="CV123" s="1514"/>
      <c r="CW123" s="1514"/>
      <c r="CX123" s="1514"/>
      <c r="CY123" s="1514"/>
      <c r="CZ123" s="1514"/>
      <c r="DA123" s="1514"/>
      <c r="DB123" s="1514"/>
      <c r="DC123" s="1514"/>
      <c r="DD123" s="1514"/>
      <c r="DE123" s="1515"/>
      <c r="DF123" s="1515"/>
      <c r="DG123" s="1515"/>
      <c r="DH123" s="1515"/>
    </row>
    <row r="124" spans="5:116">
      <c r="BN124" s="889"/>
      <c r="BO124" s="889"/>
      <c r="BP124" s="889"/>
      <c r="BQ124" s="889"/>
      <c r="BR124" s="889"/>
      <c r="BS124" s="889"/>
      <c r="BT124" s="889"/>
      <c r="BU124" s="889"/>
      <c r="BV124" s="889"/>
      <c r="BW124" s="889"/>
      <c r="BX124" s="889"/>
      <c r="BY124" s="889"/>
      <c r="BZ124" s="889"/>
      <c r="CA124" s="889"/>
      <c r="CB124" s="889"/>
      <c r="CC124" s="889"/>
      <c r="CD124" s="889"/>
      <c r="CE124" s="889"/>
      <c r="CF124" s="889"/>
      <c r="CG124" s="889"/>
      <c r="CH124" s="889"/>
      <c r="CI124" s="889"/>
      <c r="CJ124" s="889"/>
      <c r="CK124" s="889"/>
      <c r="CL124" s="889"/>
      <c r="CM124" s="889"/>
      <c r="CN124" s="889"/>
      <c r="CO124" s="889"/>
      <c r="CP124" s="889"/>
      <c r="CQ124" s="889"/>
      <c r="CR124" s="889"/>
      <c r="CS124" s="1516"/>
      <c r="CT124" s="1517"/>
      <c r="CU124" s="1517"/>
      <c r="CV124" s="1517"/>
      <c r="CW124" s="1517"/>
      <c r="CX124" s="1517"/>
      <c r="CY124" s="1517"/>
      <c r="CZ124" s="1517"/>
      <c r="DA124" s="1517"/>
      <c r="DB124" s="1517"/>
      <c r="DC124" s="1517"/>
      <c r="DD124" s="1517"/>
      <c r="DE124" s="1518"/>
      <c r="DF124" s="1518"/>
      <c r="DG124" s="1518"/>
      <c r="DH124" s="1518"/>
    </row>
    <row r="125" spans="5:116">
      <c r="E125" s="6" t="s">
        <v>575</v>
      </c>
      <c r="BN125" s="889"/>
      <c r="BO125" s="889"/>
      <c r="BP125" s="889"/>
      <c r="BQ125" s="889"/>
      <c r="BR125" s="889"/>
      <c r="BS125" s="889"/>
      <c r="BT125" s="889"/>
      <c r="BU125" s="889"/>
      <c r="BV125" s="889"/>
      <c r="BW125" s="889"/>
      <c r="BX125" s="889"/>
      <c r="BY125" s="889"/>
      <c r="BZ125" s="889"/>
      <c r="CA125" s="889"/>
      <c r="CB125" s="889"/>
      <c r="CC125" s="889"/>
      <c r="CD125" s="889"/>
      <c r="CE125" s="889"/>
      <c r="CF125" s="889"/>
      <c r="CG125" s="889"/>
      <c r="CH125" s="889"/>
      <c r="CI125" s="889"/>
      <c r="CJ125" s="889"/>
      <c r="CK125" s="889"/>
      <c r="CL125" s="889"/>
      <c r="CM125" s="889"/>
      <c r="CN125" s="889"/>
      <c r="CO125" s="889"/>
      <c r="CP125" s="889"/>
      <c r="CQ125" s="889"/>
      <c r="CR125" s="889"/>
      <c r="CS125" s="1516"/>
      <c r="CT125" s="1517"/>
      <c r="CU125" s="1517"/>
      <c r="CV125" s="1517"/>
      <c r="CW125" s="1517"/>
      <c r="CX125" s="1517"/>
      <c r="CY125" s="1517"/>
      <c r="CZ125" s="1517"/>
      <c r="DA125" s="1517"/>
      <c r="DB125" s="1517"/>
      <c r="DC125" s="1517"/>
      <c r="DD125" s="1517"/>
      <c r="DE125" s="1518"/>
      <c r="DF125" s="1518"/>
      <c r="DG125" s="1518"/>
      <c r="DH125" s="1518"/>
      <c r="DL125" s="1115"/>
    </row>
    <row r="126" spans="5:116">
      <c r="BN126" s="889"/>
      <c r="BO126" s="889"/>
      <c r="BP126" s="889"/>
      <c r="BQ126" s="889"/>
      <c r="BR126" s="889"/>
      <c r="BS126" s="889"/>
      <c r="BT126" s="889"/>
      <c r="BU126" s="889"/>
      <c r="BV126" s="889"/>
      <c r="BW126" s="889"/>
      <c r="BX126" s="889"/>
      <c r="BY126" s="889"/>
      <c r="BZ126" s="889"/>
      <c r="CA126" s="889"/>
      <c r="CB126" s="889"/>
      <c r="CC126" s="889"/>
      <c r="CD126" s="889"/>
      <c r="CE126" s="889"/>
      <c r="CF126" s="889"/>
      <c r="CG126" s="889"/>
      <c r="CH126" s="889"/>
      <c r="CI126" s="889"/>
      <c r="CJ126" s="889"/>
      <c r="CK126" s="889"/>
      <c r="CL126" s="889"/>
      <c r="CM126" s="889"/>
      <c r="CN126" s="889"/>
      <c r="CO126" s="889"/>
      <c r="CP126" s="889"/>
      <c r="CQ126" s="889"/>
      <c r="CR126" s="889"/>
      <c r="CS126" s="1516"/>
      <c r="CT126" s="1517"/>
      <c r="CU126" s="1517"/>
      <c r="CV126" s="1517"/>
      <c r="CW126" s="1517"/>
      <c r="CX126" s="1517"/>
      <c r="CY126" s="1517"/>
      <c r="CZ126" s="1517"/>
      <c r="DA126" s="1517"/>
      <c r="DB126" s="1517"/>
      <c r="DC126" s="1517"/>
      <c r="DD126" s="1517"/>
      <c r="DE126" s="1518"/>
      <c r="DF126" s="1518"/>
      <c r="DG126" s="1518"/>
      <c r="DH126" s="1518"/>
    </row>
    <row r="127" spans="5:116">
      <c r="BN127" s="889"/>
      <c r="BO127" s="889"/>
      <c r="BP127" s="889"/>
      <c r="BQ127" s="889"/>
      <c r="BR127" s="889"/>
      <c r="BS127" s="889"/>
      <c r="BT127" s="889"/>
      <c r="BU127" s="889"/>
      <c r="BV127" s="889"/>
      <c r="BW127" s="889"/>
      <c r="BX127" s="889"/>
      <c r="BY127" s="889"/>
      <c r="BZ127" s="889"/>
      <c r="CA127" s="889"/>
      <c r="CB127" s="889"/>
      <c r="CC127" s="889"/>
      <c r="CD127" s="889"/>
      <c r="CE127" s="889"/>
      <c r="CF127" s="889"/>
      <c r="CG127" s="889"/>
      <c r="CH127" s="889"/>
      <c r="CI127" s="889"/>
      <c r="CJ127" s="889"/>
      <c r="CK127" s="889"/>
      <c r="CL127" s="889"/>
      <c r="CM127" s="889"/>
      <c r="CN127" s="889"/>
      <c r="CO127" s="889"/>
      <c r="CP127" s="889"/>
      <c r="CQ127" s="889"/>
      <c r="CR127" s="889"/>
      <c r="CS127" s="1516"/>
      <c r="CT127" s="1517"/>
      <c r="CU127" s="1517"/>
      <c r="CV127" s="1517"/>
      <c r="CW127" s="1517"/>
      <c r="CX127" s="1517"/>
      <c r="CY127" s="1517"/>
      <c r="CZ127" s="1517"/>
      <c r="DA127" s="1517"/>
      <c r="DB127" s="1517"/>
      <c r="DC127" s="1517"/>
      <c r="DD127" s="1517"/>
      <c r="DE127" s="1518"/>
      <c r="DF127" s="1518"/>
      <c r="DG127" s="1518"/>
      <c r="DH127" s="1518"/>
    </row>
    <row r="128" spans="5:116">
      <c r="BN128" s="889"/>
      <c r="BO128" s="889"/>
      <c r="BP128" s="889"/>
      <c r="BQ128" s="889"/>
      <c r="BR128" s="889"/>
      <c r="BS128" s="889"/>
      <c r="BT128" s="889"/>
      <c r="BU128" s="889"/>
      <c r="BV128" s="889"/>
      <c r="BW128" s="889"/>
      <c r="BX128" s="889"/>
      <c r="BY128" s="889"/>
      <c r="BZ128" s="889"/>
      <c r="CA128" s="889"/>
      <c r="CB128" s="889"/>
      <c r="CC128" s="889"/>
      <c r="CD128" s="889"/>
      <c r="CE128" s="889"/>
      <c r="CF128" s="889"/>
      <c r="CG128" s="889"/>
      <c r="CH128" s="889"/>
      <c r="CI128" s="889"/>
      <c r="CJ128" s="889"/>
      <c r="CK128" s="889"/>
      <c r="CL128" s="889"/>
      <c r="CM128" s="889"/>
      <c r="CN128" s="889"/>
      <c r="CO128" s="889"/>
      <c r="CP128" s="889"/>
      <c r="CQ128" s="889"/>
      <c r="CR128" s="889"/>
      <c r="CS128" s="1516"/>
      <c r="CT128" s="1517"/>
      <c r="CU128" s="1517"/>
      <c r="CV128" s="1517"/>
      <c r="CW128" s="1517"/>
      <c r="CX128" s="1517"/>
      <c r="CY128" s="1517"/>
      <c r="CZ128" s="1517"/>
      <c r="DA128" s="1517"/>
      <c r="DB128" s="1517"/>
      <c r="DC128" s="1517"/>
      <c r="DD128" s="1517"/>
      <c r="DE128" s="1518"/>
      <c r="DF128" s="1518"/>
      <c r="DG128" s="1518"/>
      <c r="DH128" s="1518"/>
    </row>
    <row r="129" spans="5:112">
      <c r="BN129" s="889"/>
      <c r="BO129" s="889"/>
      <c r="BP129" s="889"/>
      <c r="BQ129" s="889"/>
      <c r="BR129" s="889"/>
      <c r="BS129" s="889"/>
      <c r="BT129" s="889"/>
      <c r="BU129" s="889"/>
      <c r="BV129" s="889"/>
      <c r="BW129" s="889"/>
      <c r="BX129" s="889"/>
      <c r="BY129" s="889"/>
      <c r="BZ129" s="889"/>
      <c r="CA129" s="889"/>
      <c r="CB129" s="889"/>
      <c r="CC129" s="889"/>
      <c r="CD129" s="889"/>
      <c r="CE129" s="889"/>
      <c r="CF129" s="889"/>
      <c r="CG129" s="889"/>
      <c r="CH129" s="889"/>
      <c r="CI129" s="889"/>
      <c r="CJ129" s="889"/>
      <c r="CK129" s="889"/>
      <c r="CL129" s="889"/>
      <c r="CM129" s="889"/>
      <c r="CN129" s="889"/>
      <c r="CO129" s="889"/>
      <c r="CP129" s="889"/>
      <c r="CQ129" s="889"/>
      <c r="CR129" s="889"/>
      <c r="CS129" s="1516"/>
      <c r="CT129" s="1517"/>
      <c r="CU129" s="1517"/>
      <c r="CV129" s="1517"/>
      <c r="CW129" s="1517"/>
      <c r="CX129" s="1517"/>
      <c r="CY129" s="1517"/>
      <c r="CZ129" s="1517"/>
      <c r="DA129" s="1517"/>
      <c r="DB129" s="1517"/>
      <c r="DC129" s="1517"/>
      <c r="DD129" s="1517"/>
      <c r="DE129" s="1518"/>
      <c r="DF129" s="1518"/>
      <c r="DG129" s="1518"/>
      <c r="DH129" s="1518"/>
    </row>
    <row r="130" spans="5:112">
      <c r="BN130" s="889"/>
      <c r="BO130" s="889"/>
      <c r="BP130" s="889"/>
      <c r="BQ130" s="889"/>
      <c r="BR130" s="889"/>
      <c r="BS130" s="889"/>
      <c r="BT130" s="889"/>
      <c r="BU130" s="889"/>
      <c r="BV130" s="889"/>
      <c r="BW130" s="889"/>
      <c r="BX130" s="889"/>
      <c r="BY130" s="889"/>
      <c r="BZ130" s="889"/>
      <c r="CA130" s="889"/>
      <c r="CB130" s="889"/>
      <c r="CC130" s="889"/>
      <c r="CD130" s="889"/>
      <c r="CE130" s="889"/>
      <c r="CF130" s="889"/>
      <c r="CG130" s="889"/>
      <c r="CH130" s="889"/>
      <c r="CI130" s="889"/>
      <c r="CJ130" s="889"/>
      <c r="CK130" s="889"/>
      <c r="CL130" s="889"/>
      <c r="CM130" s="889"/>
      <c r="CN130" s="889"/>
      <c r="CO130" s="889"/>
      <c r="CP130" s="889"/>
      <c r="CQ130" s="889"/>
      <c r="CR130" s="889"/>
      <c r="CS130" s="1516"/>
      <c r="CT130" s="1517"/>
      <c r="CU130" s="1517"/>
      <c r="CV130" s="1517"/>
      <c r="CW130" s="1517"/>
      <c r="CX130" s="1517"/>
      <c r="CY130" s="1517"/>
      <c r="CZ130" s="1517"/>
      <c r="DA130" s="1517"/>
      <c r="DB130" s="1517"/>
      <c r="DC130" s="1517"/>
      <c r="DD130" s="1517"/>
      <c r="DE130" s="1518"/>
      <c r="DF130" s="1518"/>
      <c r="DG130" s="1518"/>
      <c r="DH130" s="1518"/>
    </row>
    <row r="131" spans="5:112">
      <c r="BN131" s="889"/>
      <c r="BO131" s="889"/>
      <c r="BP131" s="889"/>
      <c r="BQ131" s="889"/>
      <c r="BR131" s="889"/>
      <c r="BS131" s="889"/>
      <c r="BT131" s="889"/>
      <c r="BU131" s="889"/>
      <c r="BV131" s="889"/>
      <c r="BW131" s="889"/>
      <c r="BX131" s="889"/>
      <c r="BY131" s="889"/>
      <c r="BZ131" s="889"/>
      <c r="CA131" s="889"/>
      <c r="CB131" s="889"/>
      <c r="CC131" s="889"/>
      <c r="CD131" s="889"/>
      <c r="CE131" s="889"/>
      <c r="CF131" s="889"/>
      <c r="CG131" s="889"/>
      <c r="CH131" s="889"/>
      <c r="CI131" s="889"/>
      <c r="CJ131" s="889"/>
      <c r="CK131" s="889"/>
      <c r="CL131" s="889"/>
      <c r="CM131" s="889"/>
      <c r="CN131" s="889"/>
      <c r="CO131" s="889"/>
      <c r="CP131" s="889"/>
      <c r="CQ131" s="889"/>
      <c r="CR131" s="889"/>
      <c r="CS131" s="1516"/>
      <c r="CT131" s="1517"/>
      <c r="CU131" s="1517"/>
      <c r="CV131" s="1517"/>
      <c r="CW131" s="1517"/>
      <c r="CX131" s="1517"/>
      <c r="CY131" s="1517"/>
      <c r="CZ131" s="1517"/>
      <c r="DA131" s="1517"/>
      <c r="DB131" s="1517"/>
      <c r="DC131" s="1517"/>
      <c r="DD131" s="1517"/>
      <c r="DE131" s="1518"/>
      <c r="DF131" s="1518"/>
      <c r="DG131" s="1518"/>
      <c r="DH131" s="1518"/>
    </row>
    <row r="132" spans="5:112">
      <c r="BN132" s="889"/>
      <c r="BO132" s="889"/>
      <c r="BP132" s="889"/>
      <c r="BQ132" s="889"/>
      <c r="BR132" s="889"/>
      <c r="BS132" s="889"/>
      <c r="BT132" s="889"/>
      <c r="BU132" s="889"/>
      <c r="BV132" s="889"/>
      <c r="BW132" s="889"/>
      <c r="BX132" s="889"/>
      <c r="BY132" s="889"/>
      <c r="BZ132" s="889"/>
      <c r="CA132" s="889"/>
      <c r="CB132" s="889"/>
      <c r="CC132" s="889"/>
      <c r="CD132" s="889"/>
      <c r="CE132" s="889"/>
      <c r="CF132" s="889"/>
      <c r="CG132" s="889"/>
      <c r="CH132" s="889"/>
      <c r="CI132" s="889"/>
      <c r="CJ132" s="889"/>
      <c r="CK132" s="889"/>
      <c r="CL132" s="889"/>
      <c r="CM132" s="889"/>
      <c r="CN132" s="889"/>
      <c r="CO132" s="889"/>
      <c r="CP132" s="889"/>
      <c r="CQ132" s="889"/>
      <c r="CR132" s="889"/>
      <c r="CS132" s="1516"/>
      <c r="CT132" s="1517"/>
      <c r="CU132" s="1517"/>
      <c r="CV132" s="1517"/>
      <c r="CW132" s="1517"/>
      <c r="CX132" s="1517"/>
      <c r="CY132" s="1517"/>
      <c r="CZ132" s="1517"/>
      <c r="DA132" s="1517"/>
      <c r="DB132" s="1517"/>
      <c r="DC132" s="1517"/>
      <c r="DD132" s="1517"/>
      <c r="DE132" s="1518"/>
      <c r="DF132" s="1518"/>
      <c r="DG132" s="1518"/>
      <c r="DH132" s="1518"/>
    </row>
    <row r="133" spans="5:112">
      <c r="BN133" s="889"/>
      <c r="BO133" s="889"/>
      <c r="BP133" s="889"/>
      <c r="BQ133" s="889"/>
      <c r="BR133" s="889"/>
      <c r="BS133" s="889"/>
      <c r="BT133" s="889"/>
      <c r="BU133" s="889"/>
      <c r="BV133" s="889"/>
      <c r="BW133" s="889"/>
      <c r="BX133" s="889"/>
      <c r="BY133" s="889"/>
      <c r="BZ133" s="889"/>
      <c r="CA133" s="889"/>
      <c r="CB133" s="889"/>
      <c r="CC133" s="889"/>
      <c r="CD133" s="889"/>
      <c r="CE133" s="889"/>
      <c r="CF133" s="889"/>
      <c r="CG133" s="889"/>
      <c r="CH133" s="889"/>
      <c r="CI133" s="889"/>
      <c r="CJ133" s="889"/>
      <c r="CK133" s="889"/>
      <c r="CL133" s="889"/>
      <c r="CM133" s="889"/>
      <c r="CN133" s="889"/>
      <c r="CO133" s="889"/>
      <c r="CP133" s="889"/>
      <c r="CQ133" s="889"/>
      <c r="CR133" s="889"/>
      <c r="CS133" s="1516"/>
      <c r="CT133" s="1517"/>
      <c r="CU133" s="1517"/>
      <c r="CV133" s="1517"/>
      <c r="CW133" s="1517"/>
      <c r="CX133" s="1517"/>
      <c r="CY133" s="1517"/>
      <c r="CZ133" s="1517"/>
      <c r="DA133" s="1517"/>
      <c r="DB133" s="1517"/>
      <c r="DC133" s="1517"/>
      <c r="DD133" s="1517"/>
      <c r="DE133" s="1518"/>
      <c r="DF133" s="1518"/>
      <c r="DG133" s="1518"/>
      <c r="DH133" s="1518"/>
    </row>
    <row r="134" spans="5:112">
      <c r="BN134" s="889"/>
      <c r="BO134" s="889"/>
      <c r="BP134" s="889"/>
      <c r="BQ134" s="889"/>
      <c r="BR134" s="889"/>
      <c r="BS134" s="889"/>
      <c r="BT134" s="889"/>
      <c r="BU134" s="889"/>
      <c r="BV134" s="889"/>
      <c r="BW134" s="889"/>
      <c r="BX134" s="889"/>
      <c r="BY134" s="889"/>
      <c r="BZ134" s="889"/>
      <c r="CA134" s="889"/>
      <c r="CB134" s="889"/>
      <c r="CC134" s="889"/>
      <c r="CD134" s="889"/>
      <c r="CE134" s="889"/>
      <c r="CF134" s="889"/>
      <c r="CG134" s="889"/>
      <c r="CH134" s="889"/>
      <c r="CI134" s="889"/>
      <c r="CJ134" s="889"/>
      <c r="CK134" s="889"/>
      <c r="CL134" s="889"/>
      <c r="CM134" s="889"/>
      <c r="CN134" s="889"/>
      <c r="CO134" s="889"/>
      <c r="CP134" s="889"/>
      <c r="CQ134" s="889"/>
      <c r="CR134" s="889"/>
      <c r="CS134" s="1516"/>
      <c r="CT134" s="1517"/>
      <c r="CU134" s="1517"/>
      <c r="CV134" s="1517"/>
      <c r="CW134" s="1517"/>
      <c r="CX134" s="1517"/>
      <c r="CY134" s="1517"/>
      <c r="CZ134" s="1517"/>
      <c r="DA134" s="1517"/>
      <c r="DB134" s="1517"/>
      <c r="DC134" s="1517"/>
      <c r="DD134" s="1517"/>
      <c r="DE134" s="1518"/>
      <c r="DF134" s="1518"/>
      <c r="DG134" s="1518"/>
      <c r="DH134" s="1518"/>
    </row>
    <row r="135" spans="5:112">
      <c r="BN135" s="889"/>
      <c r="BO135" s="889"/>
      <c r="BP135" s="889"/>
      <c r="BQ135" s="889"/>
      <c r="BR135" s="889"/>
      <c r="BS135" s="889"/>
      <c r="BT135" s="889"/>
      <c r="BU135" s="889"/>
      <c r="BV135" s="889"/>
      <c r="BW135" s="889"/>
      <c r="BX135" s="889"/>
      <c r="BY135" s="889"/>
      <c r="BZ135" s="889"/>
      <c r="CA135" s="889"/>
      <c r="CB135" s="889"/>
      <c r="CC135" s="889"/>
      <c r="CD135" s="889"/>
      <c r="CE135" s="889"/>
      <c r="CF135" s="889"/>
      <c r="CG135" s="889"/>
      <c r="CH135" s="889"/>
      <c r="CI135" s="889"/>
      <c r="CJ135" s="889"/>
      <c r="CK135" s="889"/>
      <c r="CL135" s="889"/>
      <c r="CM135" s="889"/>
      <c r="CN135" s="889"/>
      <c r="CO135" s="889"/>
      <c r="CP135" s="889"/>
      <c r="CQ135" s="889"/>
      <c r="CR135" s="889"/>
      <c r="CS135" s="1516"/>
      <c r="CT135" s="1517"/>
      <c r="CU135" s="1517"/>
      <c r="CV135" s="1517"/>
      <c r="CW135" s="1517"/>
      <c r="CX135" s="1517"/>
      <c r="CY135" s="1517"/>
      <c r="CZ135" s="1517"/>
      <c r="DA135" s="1517"/>
      <c r="DB135" s="1517"/>
      <c r="DC135" s="1517"/>
      <c r="DD135" s="1517"/>
      <c r="DE135" s="1518"/>
      <c r="DF135" s="1518"/>
      <c r="DG135" s="1518"/>
      <c r="DH135" s="1518"/>
    </row>
    <row r="136" spans="5:112">
      <c r="BN136" s="889"/>
      <c r="BO136" s="889"/>
      <c r="BP136" s="889"/>
      <c r="BQ136" s="889"/>
      <c r="BR136" s="889"/>
      <c r="BS136" s="889"/>
      <c r="BT136" s="889"/>
      <c r="BU136" s="889"/>
      <c r="BV136" s="889"/>
      <c r="BW136" s="889"/>
      <c r="BX136" s="889"/>
      <c r="BY136" s="889"/>
      <c r="BZ136" s="889"/>
      <c r="CA136" s="889"/>
      <c r="CB136" s="889"/>
      <c r="CC136" s="889"/>
      <c r="CD136" s="889"/>
      <c r="CE136" s="889"/>
      <c r="CF136" s="889"/>
      <c r="CG136" s="889"/>
      <c r="CH136" s="889"/>
      <c r="CI136" s="889"/>
      <c r="CJ136" s="889"/>
      <c r="CK136" s="889"/>
      <c r="CL136" s="889"/>
      <c r="CM136" s="889"/>
      <c r="CN136" s="889"/>
      <c r="CO136" s="889"/>
      <c r="CP136" s="889"/>
      <c r="CQ136" s="889"/>
      <c r="CR136" s="889"/>
      <c r="CS136" s="1516"/>
      <c r="CT136" s="1517"/>
      <c r="CU136" s="1517"/>
      <c r="CV136" s="1517"/>
      <c r="CW136" s="1517"/>
      <c r="CX136" s="1517"/>
      <c r="CY136" s="1517"/>
      <c r="CZ136" s="1517"/>
      <c r="DA136" s="1517"/>
      <c r="DB136" s="1517"/>
      <c r="DC136" s="1517"/>
      <c r="DD136" s="1517"/>
      <c r="DE136" s="1518"/>
      <c r="DF136" s="1518"/>
      <c r="DG136" s="1518"/>
      <c r="DH136" s="1518"/>
    </row>
    <row r="137" spans="5:112">
      <c r="BN137" s="889"/>
      <c r="BO137" s="889"/>
      <c r="BP137" s="889"/>
      <c r="BQ137" s="889"/>
      <c r="BR137" s="889"/>
      <c r="BS137" s="889"/>
      <c r="BT137" s="889"/>
      <c r="BU137" s="889"/>
      <c r="BV137" s="889"/>
      <c r="BW137" s="889"/>
      <c r="BX137" s="889"/>
      <c r="BY137" s="889"/>
      <c r="BZ137" s="889"/>
      <c r="CA137" s="889"/>
      <c r="CB137" s="889"/>
      <c r="CC137" s="889"/>
      <c r="CD137" s="889"/>
      <c r="CE137" s="889"/>
      <c r="CF137" s="889"/>
      <c r="CG137" s="889"/>
      <c r="CH137" s="889"/>
      <c r="CI137" s="889"/>
      <c r="CJ137" s="889"/>
      <c r="CK137" s="889"/>
      <c r="CL137" s="889"/>
      <c r="CM137" s="889"/>
      <c r="CN137" s="889"/>
      <c r="CO137" s="889"/>
      <c r="CP137" s="889"/>
      <c r="CQ137" s="889"/>
      <c r="CR137" s="889"/>
      <c r="CS137" s="1516"/>
      <c r="CT137" s="1517"/>
      <c r="CU137" s="1517"/>
      <c r="CV137" s="1517"/>
      <c r="CW137" s="1517"/>
      <c r="CX137" s="1517"/>
      <c r="CY137" s="1517"/>
      <c r="CZ137" s="1517"/>
      <c r="DA137" s="1517"/>
      <c r="DB137" s="1517"/>
      <c r="DC137" s="1517"/>
      <c r="DD137" s="1517"/>
      <c r="DE137" s="1518"/>
      <c r="DF137" s="1518"/>
      <c r="DG137" s="1518"/>
      <c r="DH137" s="1518"/>
    </row>
    <row r="138" spans="5:112">
      <c r="BN138" s="889"/>
      <c r="BO138" s="889"/>
      <c r="BP138" s="889"/>
      <c r="BQ138" s="889"/>
      <c r="BR138" s="889"/>
      <c r="BS138" s="889"/>
      <c r="BT138" s="889"/>
      <c r="BU138" s="889"/>
      <c r="BV138" s="889"/>
      <c r="BW138" s="889"/>
      <c r="BX138" s="889"/>
      <c r="BY138" s="889"/>
      <c r="BZ138" s="889"/>
      <c r="CA138" s="889"/>
      <c r="CB138" s="889"/>
      <c r="CC138" s="889"/>
      <c r="CD138" s="889"/>
      <c r="CE138" s="889"/>
      <c r="CF138" s="889"/>
      <c r="CG138" s="889"/>
      <c r="CH138" s="889"/>
      <c r="CI138" s="889"/>
      <c r="CJ138" s="889"/>
      <c r="CK138" s="889"/>
      <c r="CL138" s="889"/>
      <c r="CM138" s="889"/>
      <c r="CN138" s="889"/>
      <c r="CO138" s="889"/>
      <c r="CP138" s="889"/>
      <c r="CQ138" s="889"/>
      <c r="CR138" s="889"/>
      <c r="CS138" s="1516"/>
      <c r="CT138" s="1517"/>
      <c r="CU138" s="1517"/>
      <c r="CV138" s="1517"/>
      <c r="CW138" s="1517"/>
      <c r="CX138" s="1517"/>
      <c r="CY138" s="1517"/>
      <c r="CZ138" s="1517"/>
      <c r="DA138" s="1517"/>
      <c r="DB138" s="1517"/>
      <c r="DC138" s="1517"/>
      <c r="DD138" s="1517"/>
      <c r="DE138" s="1518"/>
      <c r="DF138" s="1518"/>
      <c r="DG138" s="1518"/>
      <c r="DH138" s="1518"/>
    </row>
    <row r="139" spans="5:112">
      <c r="BN139" s="889"/>
      <c r="BO139" s="889"/>
      <c r="BP139" s="889"/>
      <c r="BQ139" s="889"/>
      <c r="BR139" s="889"/>
      <c r="BS139" s="889"/>
      <c r="BT139" s="889"/>
      <c r="BU139" s="889"/>
      <c r="BV139" s="889"/>
      <c r="BW139" s="889"/>
      <c r="BX139" s="889"/>
      <c r="BY139" s="889"/>
      <c r="BZ139" s="889"/>
      <c r="CA139" s="889"/>
      <c r="CB139" s="889"/>
      <c r="CC139" s="889"/>
      <c r="CD139" s="889"/>
      <c r="CE139" s="889"/>
      <c r="CF139" s="889"/>
      <c r="CG139" s="889"/>
      <c r="CH139" s="889"/>
      <c r="CI139" s="889"/>
      <c r="CJ139" s="889"/>
      <c r="CK139" s="889"/>
      <c r="CL139" s="889"/>
      <c r="CM139" s="889"/>
      <c r="CN139" s="889"/>
      <c r="CO139" s="889"/>
      <c r="CP139" s="889"/>
      <c r="CQ139" s="889"/>
      <c r="CR139" s="889"/>
      <c r="CS139" s="1516"/>
      <c r="CT139" s="1517"/>
      <c r="CU139" s="1517"/>
      <c r="CV139" s="1517"/>
      <c r="CW139" s="1517"/>
      <c r="CX139" s="1517"/>
      <c r="CY139" s="1517"/>
      <c r="CZ139" s="1517"/>
      <c r="DA139" s="1517"/>
      <c r="DB139" s="1517"/>
      <c r="DC139" s="1517"/>
      <c r="DD139" s="1517"/>
      <c r="DE139" s="1518"/>
      <c r="DF139" s="1518"/>
      <c r="DG139" s="1518"/>
      <c r="DH139" s="1518"/>
    </row>
    <row r="140" spans="5:112">
      <c r="CS140" s="1516"/>
      <c r="CT140" s="1517"/>
      <c r="CU140" s="1517"/>
      <c r="CV140" s="1517"/>
      <c r="CW140" s="1517"/>
      <c r="CX140" s="1517"/>
      <c r="CY140" s="1517"/>
      <c r="CZ140" s="1517"/>
      <c r="DA140" s="1517"/>
      <c r="DB140" s="1517"/>
      <c r="DC140" s="1517"/>
      <c r="DD140" s="1517"/>
      <c r="DE140" s="1518"/>
      <c r="DF140" s="1518"/>
      <c r="DG140" s="1518"/>
      <c r="DH140" s="1518"/>
    </row>
    <row r="141" spans="5:112" ht="10.8" thickBot="1">
      <c r="CS141" s="1519"/>
      <c r="CT141" s="1520"/>
      <c r="CU141" s="1520"/>
      <c r="CV141" s="1520"/>
      <c r="CW141" s="1520"/>
      <c r="CX141" s="1520"/>
      <c r="CY141" s="1520"/>
      <c r="CZ141" s="1520"/>
      <c r="DA141" s="1520"/>
      <c r="DB141" s="1520"/>
      <c r="DC141" s="1520"/>
      <c r="DD141" s="1520"/>
      <c r="DE141" s="1521"/>
      <c r="DF141" s="1521"/>
      <c r="DG141" s="1521"/>
      <c r="DH141" s="1521"/>
    </row>
    <row r="144" spans="5:112">
      <c r="E144" s="1090" t="str">
        <f>CS144</f>
        <v>Shopify Payments Revenue</v>
      </c>
      <c r="CS144" s="906" t="str">
        <f>'Revenue Build'!C87</f>
        <v>Shopify Payments Revenue</v>
      </c>
      <c r="CT144" s="1012"/>
      <c r="CU144" s="1012">
        <f ca="1">OFFSET('Revenue Build'!$C$6,MATCH(Charts!$E144,'Revenue Build'!$C$6:$C$98,0)-1,MATCH(Charts!CU$4,'Revenue Build'!$C$4:$ES$4,0)-1)</f>
        <v>210.69833999999997</v>
      </c>
      <c r="CV144" s="1012">
        <f ca="1">OFFSET('Revenue Build'!$C$6,MATCH(Charts!$E144,'Revenue Build'!$C$6:$C$98,0)-1,MATCH(Charts!CV$4,'Revenue Build'!$C$4:$ES$4,0)-1)</f>
        <v>349.73397499999993</v>
      </c>
      <c r="CW144" s="1012">
        <f ca="1">OFFSET('Revenue Build'!$C$6,MATCH(Charts!$E144,'Revenue Build'!$C$6:$C$98,0)-1,MATCH(Charts!CW$4,'Revenue Build'!$C$4:$ES$4,0)-1)</f>
        <v>533.48123999999996</v>
      </c>
      <c r="CX144" s="1012">
        <f ca="1">OFFSET('Revenue Build'!$C$6,MATCH(Charts!$E144,'Revenue Build'!$C$6:$C$98,0)-1,MATCH(Charts!CX$4,'Revenue Build'!$C$4:$ES$4,0)-1)</f>
        <v>1141.7147099999997</v>
      </c>
      <c r="CY144" s="1012">
        <f ca="1">OFFSET('Revenue Build'!$C$6,MATCH(Charts!$E144,'Revenue Build'!$C$6:$C$98,0)-1,MATCH(Charts!CY$4,'Revenue Build'!$C$4:$ES$4,0)-1)</f>
        <v>1830.9323200000001</v>
      </c>
      <c r="CZ144" s="1012">
        <f ca="1">OFFSET('Revenue Build'!$C$6,MATCH(Charts!$E144,'Revenue Build'!$C$6:$C$98,0)-1,MATCH(Charts!CZ$4,'Revenue Build'!$C$4:$ES$4,0)-1)</f>
        <v>2273.9940649999999</v>
      </c>
      <c r="DA144" s="1012">
        <f ca="1">OFFSET('Revenue Build'!$C$6,MATCH(Charts!$E144,'Revenue Build'!$C$6:$C$98,0)-1,MATCH(Charts!DA$4,'Revenue Build'!$C$4:$ES$4,0)-1)</f>
        <v>2950.9949999999999</v>
      </c>
      <c r="DB144" s="1012">
        <f ca="1">OFFSET('Revenue Build'!$C$6,MATCH(Charts!$E144,'Revenue Build'!$C$6:$C$98,0)-1,MATCH(Charts!DB$4,'Revenue Build'!$C$4:$ES$4,0)-1)</f>
        <v>3692.0830999999989</v>
      </c>
      <c r="DC144" s="1012" t="e">
        <f ca="1">OFFSET('Revenue Build'!$C$6,MATCH(Charts!$E144,'Revenue Build'!$C$6:$C$98,0)-1,MATCH(Charts!DC$4,'Revenue Build'!$C$4:$ES$4,0)-1)</f>
        <v>#N/A</v>
      </c>
      <c r="DD144" s="1012">
        <f ca="1">OFFSET('Revenue Build'!$C$6,MATCH(Charts!$E144,'Revenue Build'!$C$6:$C$98,0)-1,MATCH(Charts!DD$4,'Revenue Build'!$C$4:$ES$4,0)-1)</f>
        <v>6607.3662544826366</v>
      </c>
      <c r="DE144" s="1012">
        <f ca="1">OFFSET('Revenue Build'!$C$6,MATCH(Charts!$E144,'Revenue Build'!$C$6:$C$98,0)-1,MATCH(Charts!DE$4,'Revenue Build'!$C$4:$ES$4,0)-1)</f>
        <v>8288.0618693853721</v>
      </c>
      <c r="DF144" s="1012">
        <f ca="1">OFFSET('Revenue Build'!$C$6,MATCH(Charts!$E144,'Revenue Build'!$C$6:$C$98,0)-1,MATCH(Charts!DF$4,'Revenue Build'!$C$4:$ES$4,0)-1)</f>
        <v>9823.8667863690534</v>
      </c>
      <c r="DG144" s="1012">
        <f ca="1">OFFSET('Revenue Build'!$C$6,MATCH(Charts!$E144,'Revenue Build'!$C$6:$C$98,0)-1,MATCH(Charts!DG$4,'Revenue Build'!$C$4:$ES$4,0)-1)</f>
        <v>11391.130641841643</v>
      </c>
      <c r="DH144" s="1012">
        <f ca="1">OFFSET('Revenue Build'!$C$6,MATCH(Charts!$E144,'Revenue Build'!$C$6:$C$98,0)-1,MATCH(Charts!DH$4,'Revenue Build'!$C$4:$ES$4,0)-1)</f>
        <v>13027.297337712567</v>
      </c>
    </row>
    <row r="145" spans="5:112">
      <c r="E145" s="1117" t="str">
        <f>CS145</f>
        <v>3P Transaction Fee Revenue</v>
      </c>
      <c r="CS145" s="1104" t="s">
        <v>590</v>
      </c>
      <c r="CT145" s="1012"/>
      <c r="CU145" s="1012">
        <f ca="1">OFFSET('Revenue Build'!$C$6,MATCH(Charts!$E145,'Revenue Build'!$C$6:$C$98,0)-1,MATCH(Charts!CU$4,'Revenue Build'!$C$4:$ES$4,0)-1)</f>
        <v>123.51282</v>
      </c>
      <c r="CV145" s="1012">
        <f ca="1">OFFSET('Revenue Build'!$C$6,MATCH(Charts!$E145,'Revenue Build'!$C$6:$C$98,0)-1,MATCH(Charts!CV$4,'Revenue Build'!$C$4:$ES$4,0)-1)</f>
        <v>194.63455999999999</v>
      </c>
      <c r="CW145" s="1012">
        <f ca="1">OFFSET('Revenue Build'!$C$6,MATCH(Charts!$E145,'Revenue Build'!$C$6:$C$98,0)-1,MATCH(Charts!CW$4,'Revenue Build'!$C$4:$ES$4,0)-1)</f>
        <v>280.77960000000002</v>
      </c>
      <c r="CX145" s="1012">
        <f ca="1">OFFSET('Revenue Build'!$C$6,MATCH(Charts!$E145,'Revenue Build'!$C$6:$C$98,0)-1,MATCH(Charts!CX$4,'Revenue Build'!$C$4:$ES$4,0)-1)</f>
        <v>565.80551999999989</v>
      </c>
      <c r="CY145" s="1012">
        <f ca="1">OFFSET('Revenue Build'!$C$6,MATCH(Charts!$E145,'Revenue Build'!$C$6:$C$98,0)-1,MATCH(Charts!CY$4,'Revenue Build'!$C$4:$ES$4,0)-1)</f>
        <v>850.07571999999982</v>
      </c>
      <c r="CZ145" s="1012">
        <f ca="1">OFFSET('Revenue Build'!$C$6,MATCH(Charts!$E145,'Revenue Build'!$C$6:$C$98,0)-1,MATCH(Charts!CZ$4,'Revenue Build'!$C$4:$ES$4,0)-1)</f>
        <v>1007.4657249999997</v>
      </c>
      <c r="DA145" s="1012">
        <f ca="1">OFFSET('Revenue Build'!$C$6,MATCH(Charts!$E145,'Revenue Build'!$C$6:$C$98,0)-1,MATCH(Charts!DA$4,'Revenue Build'!$C$4:$ES$4,0)-1)</f>
        <v>1227.4049999999997</v>
      </c>
      <c r="DB145" s="1012">
        <f ca="1">OFFSET('Revenue Build'!$C$6,MATCH(Charts!$E145,'Revenue Build'!$C$6:$C$98,0)-1,MATCH(Charts!DB$4,'Revenue Build'!$C$4:$ES$4,0)-1)</f>
        <v>1501.8999999999999</v>
      </c>
      <c r="DC145" s="1012" t="e">
        <f ca="1">OFFSET('Revenue Build'!$C$6,MATCH(Charts!$E145,'Revenue Build'!$C$6:$C$98,0)-1,MATCH(Charts!DC$4,'Revenue Build'!$C$4:$ES$4,0)-1)</f>
        <v>#N/A</v>
      </c>
      <c r="DD145" s="1012">
        <f ca="1">OFFSET('Revenue Build'!$C$6,MATCH(Charts!$E145,'Revenue Build'!$C$6:$C$98,0)-1,MATCH(Charts!DD$4,'Revenue Build'!$C$4:$ES$4,0)-1)</f>
        <v>2530.2082892813164</v>
      </c>
      <c r="DE145" s="1012">
        <f ca="1">OFFSET('Revenue Build'!$C$6,MATCH(Charts!$E145,'Revenue Build'!$C$6:$C$98,0)-1,MATCH(Charts!DE$4,'Revenue Build'!$C$4:$ES$4,0)-1)</f>
        <v>3079.3178795428034</v>
      </c>
      <c r="DF145" s="1012">
        <f ca="1">OFFSET('Revenue Build'!$C$6,MATCH(Charts!$E145,'Revenue Build'!$C$6:$C$98,0)-1,MATCH(Charts!DF$4,'Revenue Build'!$C$4:$ES$4,0)-1)</f>
        <v>3638.6526999112921</v>
      </c>
      <c r="DG145" s="1012">
        <f ca="1">OFFSET('Revenue Build'!$C$6,MATCH(Charts!$E145,'Revenue Build'!$C$6:$C$98,0)-1,MATCH(Charts!DG$4,'Revenue Build'!$C$4:$ES$4,0)-1)</f>
        <v>4203.7221924608266</v>
      </c>
      <c r="DH145" s="1012">
        <f ca="1">OFFSET('Revenue Build'!$C$6,MATCH(Charts!$E145,'Revenue Build'!$C$6:$C$98,0)-1,MATCH(Charts!DH$4,'Revenue Build'!$C$4:$ES$4,0)-1)</f>
        <v>4787.0346636066142</v>
      </c>
    </row>
    <row r="146" spans="5:112">
      <c r="E146" s="6" t="str">
        <f>'Revenue Build'!C106</f>
        <v>Other Merchants Solutions Revenue</v>
      </c>
      <c r="CS146" s="1104" t="str">
        <f>E146</f>
        <v>Other Merchants Solutions Revenue</v>
      </c>
      <c r="CT146" s="1012"/>
      <c r="CU146" s="1012">
        <f ca="1">OFFSET('Revenue Build'!$C$6,MATCH($E146,'Revenue Build'!$C$6:$C$999956,0)-1,MATCH(Charts!CU$4,'Revenue Build'!$C$4:$ES$4,0)-1)</f>
        <v>29.061839999999997</v>
      </c>
      <c r="CV146" s="1012">
        <f ca="1">OFFSET('Revenue Build'!$C$6,MATCH($E146,'Revenue Build'!$C$6:$C$999956,0)-1,MATCH(Charts!CV$4,'Revenue Build'!$C$4:$ES$4,0)-1)</f>
        <v>63.864465000000052</v>
      </c>
      <c r="CW146" s="1012">
        <f ca="1">OFFSET('Revenue Build'!$C$6,MATCH($E146,'Revenue Build'!$C$6:$C$999956,0)-1,MATCH(Charts!CW$4,'Revenue Build'!$C$4:$ES$4,0)-1)</f>
        <v>121.67116000000007</v>
      </c>
      <c r="CX146" s="1012">
        <f ca="1">OFFSET('Revenue Build'!$C$6,MATCH($E146,'Revenue Build'!$C$6:$C$999956,0)-1,MATCH(Charts!CX$4,'Revenue Build'!$C$4:$ES$4,0)-1)</f>
        <v>313.21377000000018</v>
      </c>
      <c r="CY146" s="1012">
        <f ca="1">OFFSET('Revenue Build'!$C$6,MATCH($E146,'Revenue Build'!$C$6:$C$999956,0)-1,MATCH(Charts!CY$4,'Revenue Build'!$C$4:$ES$4,0)-1)</f>
        <v>588.51395999999988</v>
      </c>
      <c r="CZ146" s="1012">
        <f ca="1">OFFSET('Revenue Build'!$C$6,MATCH($E146,'Revenue Build'!$C$6:$C$999956,0)-1,MATCH(Charts!CZ$4,'Revenue Build'!$C$4:$ES$4,0)-1)</f>
        <v>830.64521000000013</v>
      </c>
      <c r="DA146" s="1012">
        <f ca="1">OFFSET('Revenue Build'!$C$6,MATCH($E146,'Revenue Build'!$C$6:$C$999956,0)-1,MATCH(Charts!DA$4,'Revenue Build'!$C$4:$ES$4,0)-1)</f>
        <v>1044.6000000000004</v>
      </c>
      <c r="DB146" s="1012">
        <f ca="1">OFFSET('Revenue Build'!$C$6,MATCH($E146,'Revenue Build'!$C$6:$C$999956,0)-1,MATCH(Charts!DB$4,'Revenue Build'!$C$4:$ES$4,0)-1)</f>
        <v>1336.0169000000008</v>
      </c>
      <c r="DC146" s="1012" t="e">
        <f ca="1">OFFSET('Revenue Build'!$C$6,MATCH($E146,'Revenue Build'!$C$6:$C$999956,0)-1,MATCH(Charts!DC$4,'Revenue Build'!$C$4:$ES$4,0)-1)</f>
        <v>#N/A</v>
      </c>
      <c r="DD146" s="1012">
        <f ca="1">OFFSET('Revenue Build'!$C$6,MATCH($E146,'Revenue Build'!$C$6:$C$999956,0)-1,MATCH(Charts!DD$4,'Revenue Build'!$C$4:$ES$4,0)-1)</f>
        <v>2726.1613512360482</v>
      </c>
      <c r="DE146" s="1012">
        <f ca="1">OFFSET('Revenue Build'!$C$6,MATCH($E146,'Revenue Build'!$C$6:$C$999956,0)-1,MATCH(Charts!DE$4,'Revenue Build'!$C$4:$ES$4,0)-1)</f>
        <v>3739.367340951826</v>
      </c>
      <c r="DF146" s="1012">
        <f ca="1">OFFSET('Revenue Build'!$C$6,MATCH($E146,'Revenue Build'!$C$6:$C$999956,0)-1,MATCH(Charts!DF$4,'Revenue Build'!$C$4:$ES$4,0)-1)</f>
        <v>4889.9788162716559</v>
      </c>
      <c r="DG146" s="1012">
        <f ca="1">OFFSET('Revenue Build'!$C$6,MATCH($E146,'Revenue Build'!$C$6:$C$999956,0)-1,MATCH(Charts!DG$4,'Revenue Build'!$C$4:$ES$4,0)-1)</f>
        <v>6233.0047799639351</v>
      </c>
      <c r="DH146" s="1012">
        <f ca="1">OFFSET('Revenue Build'!$C$6,MATCH($E146,'Revenue Build'!$C$6:$C$999956,0)-1,MATCH(Charts!DH$4,'Revenue Build'!$C$4:$ES$4,0)-1)</f>
        <v>7811.8424774004952</v>
      </c>
    </row>
    <row r="147" spans="5:112">
      <c r="E147" s="248" t="s">
        <v>690</v>
      </c>
      <c r="CS147" s="1233" t="str">
        <f>E147</f>
        <v>Total Merchant Solution Revenues</v>
      </c>
      <c r="CT147" s="1234"/>
      <c r="CU147" s="1234">
        <f ca="1">OFFSET('Revenue Build'!$C$6,MATCH($E147,'Revenue Build'!$C$6:$C$999956,0)-1,MATCH(Charts!CU$4,'Revenue Build'!$C$4:$ES$4,0)-1)</f>
        <v>363.27300000000002</v>
      </c>
      <c r="CV147" s="1234">
        <f ca="1">OFFSET('Revenue Build'!$C$6,MATCH($E147,'Revenue Build'!$C$6:$C$999956,0)-1,MATCH(Charts!CV$4,'Revenue Build'!$C$4:$ES$4,0)-1)</f>
        <v>608.23299999999995</v>
      </c>
      <c r="CW147" s="1234">
        <f ca="1">OFFSET('Revenue Build'!$C$6,MATCH($E147,'Revenue Build'!$C$6:$C$999956,0)-1,MATCH(Charts!CW$4,'Revenue Build'!$C$4:$ES$4,0)-1)</f>
        <v>935.93200000000002</v>
      </c>
      <c r="CX147" s="1234">
        <f ca="1">OFFSET('Revenue Build'!$C$6,MATCH($E147,'Revenue Build'!$C$6:$C$999956,0)-1,MATCH(Charts!CX$4,'Revenue Build'!$C$4:$ES$4,0)-1)</f>
        <v>2020.7339999999999</v>
      </c>
      <c r="CY147" s="1234">
        <f ca="1">OFFSET('Revenue Build'!$C$6,MATCH($E147,'Revenue Build'!$C$6:$C$999956,0)-1,MATCH(Charts!CY$4,'Revenue Build'!$C$4:$ES$4,0)-1)</f>
        <v>3269.5219999999999</v>
      </c>
      <c r="CZ147" s="1234">
        <f ca="1">OFFSET('Revenue Build'!$C$6,MATCH($E147,'Revenue Build'!$C$6:$C$999956,0)-1,MATCH(Charts!CZ$4,'Revenue Build'!$C$4:$ES$4,0)-1)</f>
        <v>4112.1049999999996</v>
      </c>
      <c r="DA147" s="1234">
        <f ca="1">OFFSET('Revenue Build'!$C$6,MATCH($E147,'Revenue Build'!$C$6:$C$999956,0)-1,MATCH(Charts!DA$4,'Revenue Build'!$C$4:$ES$4,0)-1)</f>
        <v>5223</v>
      </c>
      <c r="DB147" s="1234">
        <f ca="1">OFFSET('Revenue Build'!$C$6,MATCH($E147,'Revenue Build'!$C$6:$C$999956,0)-1,MATCH(Charts!DB$4,'Revenue Build'!$C$4:$ES$4,0)-1)</f>
        <v>6530</v>
      </c>
      <c r="DC147" s="1234" t="e">
        <f ca="1">OFFSET('Revenue Build'!$C$6,MATCH($E147,'Revenue Build'!$C$6:$C$999956,0)-1,MATCH(Charts!DC$4,'Revenue Build'!$C$4:$ES$4,0)-1)</f>
        <v>#N/A</v>
      </c>
      <c r="DD147" s="1234">
        <f ca="1">OFFSET('Revenue Build'!$C$6,MATCH($E147,'Revenue Build'!$C$6:$C$999956,0)-1,MATCH(Charts!DD$4,'Revenue Build'!$C$4:$ES$4,0)-1)</f>
        <v>11863.735895000002</v>
      </c>
      <c r="DE147" s="1234">
        <f ca="1">OFFSET('Revenue Build'!$C$6,MATCH($E147,'Revenue Build'!$C$6:$C$999956,0)-1,MATCH(Charts!DE$4,'Revenue Build'!$C$4:$ES$4,0)-1)</f>
        <v>15106.747089880002</v>
      </c>
      <c r="DF147" s="1234">
        <f ca="1">OFFSET('Revenue Build'!$C$6,MATCH($E147,'Revenue Build'!$C$6:$C$999956,0)-1,MATCH(Charts!DF$4,'Revenue Build'!$C$4:$ES$4,0)-1)</f>
        <v>18352.498302552001</v>
      </c>
      <c r="DG147" s="1234">
        <f ca="1">OFFSET('Revenue Build'!$C$6,MATCH($E147,'Revenue Build'!$C$6:$C$999956,0)-1,MATCH(Charts!DG$4,'Revenue Build'!$C$4:$ES$4,0)-1)</f>
        <v>21827.857614266406</v>
      </c>
      <c r="DH147" s="1234">
        <f ca="1">OFFSET('Revenue Build'!$C$6,MATCH($E147,'Revenue Build'!$C$6:$C$999956,0)-1,MATCH(Charts!DH$4,'Revenue Build'!$C$4:$ES$4,0)-1)</f>
        <v>25626.17447871968</v>
      </c>
    </row>
    <row r="148" spans="5:112">
      <c r="E148" s="1142"/>
      <c r="J148" s="1143"/>
      <c r="K148" s="1143"/>
      <c r="L148" s="1143"/>
      <c r="M148" s="1143"/>
      <c r="N148" s="1143"/>
      <c r="O148" s="1143"/>
      <c r="P148" s="1143"/>
      <c r="Q148" s="1143"/>
      <c r="R148" s="1143"/>
      <c r="S148" s="1143"/>
      <c r="T148" s="1143"/>
      <c r="U148" s="1143"/>
      <c r="V148" s="1143"/>
      <c r="W148" s="1143"/>
      <c r="X148" s="1143"/>
      <c r="Y148" s="1143"/>
      <c r="Z148" s="1143"/>
      <c r="AA148" s="1143"/>
      <c r="AB148" s="1143"/>
      <c r="AC148" s="1143"/>
      <c r="AD148" s="1143"/>
      <c r="AE148" s="1143"/>
      <c r="AF148" s="1143"/>
      <c r="AG148" s="1143"/>
      <c r="AH148" s="1143"/>
      <c r="AI148" s="1143"/>
      <c r="AJ148" s="1143"/>
      <c r="AK148" s="1143"/>
      <c r="AL148" s="1143"/>
      <c r="AM148" s="1143"/>
      <c r="AN148" s="1143"/>
      <c r="AO148" s="1143"/>
      <c r="AP148" s="1143"/>
      <c r="AQ148" s="1143"/>
      <c r="AR148" s="1143"/>
      <c r="AS148" s="1143"/>
      <c r="AT148" s="1143"/>
      <c r="AU148" s="1143"/>
      <c r="AV148" s="1143"/>
      <c r="AW148" s="1143"/>
      <c r="AX148" s="1143"/>
      <c r="AY148" s="1143"/>
      <c r="CT148" s="1118"/>
      <c r="CU148" s="1118">
        <f t="shared" ref="CU148:DE148" ca="1" si="79">CU147-CU146-CU145-CU144</f>
        <v>0</v>
      </c>
      <c r="CV148" s="1118">
        <f t="shared" ca="1" si="79"/>
        <v>0</v>
      </c>
      <c r="CW148" s="1118">
        <f t="shared" ca="1" si="79"/>
        <v>0</v>
      </c>
      <c r="CX148" s="1118">
        <f t="shared" ca="1" si="79"/>
        <v>0</v>
      </c>
      <c r="CY148" s="1118">
        <f t="shared" ca="1" si="79"/>
        <v>0</v>
      </c>
      <c r="CZ148" s="1118">
        <f t="shared" ca="1" si="79"/>
        <v>0</v>
      </c>
      <c r="DA148" s="1118">
        <f t="shared" ca="1" si="79"/>
        <v>0</v>
      </c>
      <c r="DB148" s="1118">
        <f t="shared" ca="1" si="79"/>
        <v>0</v>
      </c>
      <c r="DC148" s="1118" t="e">
        <f t="shared" ca="1" si="79"/>
        <v>#N/A</v>
      </c>
      <c r="DD148" s="1118">
        <f t="shared" ca="1" si="79"/>
        <v>0</v>
      </c>
      <c r="DE148" s="1118">
        <f t="shared" ca="1" si="79"/>
        <v>0</v>
      </c>
      <c r="DF148" s="1118">
        <f t="shared" ref="DF148:DH148" ca="1" si="80">DF147-DF146-DF145-DF144</f>
        <v>0</v>
      </c>
      <c r="DG148" s="1118">
        <f t="shared" ca="1" si="80"/>
        <v>0</v>
      </c>
      <c r="DH148" s="1118">
        <f t="shared" ca="1" si="80"/>
        <v>0</v>
      </c>
    </row>
    <row r="149" spans="5:112">
      <c r="E149" s="6" t="str">
        <f>'Revenue Build'!C97</f>
        <v>3P Transaction Fee Revenue</v>
      </c>
      <c r="J149" s="1145">
        <f>'Revenue Build'!CA97</f>
        <v>22.201660000000004</v>
      </c>
      <c r="K149" s="1145">
        <f>'Revenue Build'!CB97</f>
        <v>27.219380000000001</v>
      </c>
      <c r="L149" s="1145">
        <f>'Revenue Build'!CC97</f>
        <v>30.267140000000001</v>
      </c>
      <c r="M149" s="1145">
        <f>'Revenue Build'!CD97</f>
        <v>43.824639999999995</v>
      </c>
      <c r="N149" s="1145">
        <f>'Revenue Build'!CF97</f>
        <v>36.525439999999996</v>
      </c>
      <c r="O149" s="1145">
        <f>'Revenue Build'!CG97</f>
        <v>42.957439999999998</v>
      </c>
      <c r="P149" s="1145">
        <f>'Revenue Build'!CH97</f>
        <v>47.855040000000002</v>
      </c>
      <c r="Q149" s="1145">
        <f>'Revenue Build'!CI97</f>
        <v>67.296639999999996</v>
      </c>
      <c r="R149" s="1145">
        <f>'Revenue Build'!CK97</f>
        <v>54.009300000000003</v>
      </c>
      <c r="S149" s="1145">
        <f>'Revenue Build'!CL97</f>
        <v>62.679599999999994</v>
      </c>
      <c r="T149" s="1145">
        <f>'Revenue Build'!CM97</f>
        <v>67.492499999999993</v>
      </c>
      <c r="U149" s="1145">
        <f>'Revenue Build'!CN97</f>
        <v>96.598200000000006</v>
      </c>
      <c r="V149" s="1145">
        <f>'Revenue Build'!CP97</f>
        <v>79.069759999999988</v>
      </c>
      <c r="W149" s="1145">
        <f>'Revenue Build'!CQ97</f>
        <v>145.01396</v>
      </c>
      <c r="X149" s="1145">
        <f>'Revenue Build'!CR97</f>
        <v>146.19667999999999</v>
      </c>
      <c r="Y149" s="1145">
        <f>'Revenue Build'!CS97</f>
        <v>195.52511999999996</v>
      </c>
      <c r="Z149" s="1145">
        <f>'Revenue Build'!CU97</f>
        <v>173.67115999999996</v>
      </c>
      <c r="AA149" s="1145">
        <f>'Revenue Build'!CV97</f>
        <v>204.15407999999996</v>
      </c>
      <c r="AB149" s="1145">
        <f>'Revenue Build'!CW97</f>
        <v>204.75831999999997</v>
      </c>
      <c r="AC149" s="1145">
        <f>'Revenue Build'!CX97</f>
        <v>267.49215999999996</v>
      </c>
      <c r="AD149" s="1145">
        <f>'Revenue Build'!CZ97</f>
        <v>210.42118999999994</v>
      </c>
      <c r="AE149" s="1145">
        <f>'Revenue Build'!DA97</f>
        <v>227.51189999999994</v>
      </c>
      <c r="AF149" s="1145">
        <f>'Revenue Build'!DB97</f>
        <v>242.52525499999993</v>
      </c>
      <c r="AG149" s="1145">
        <f>'Revenue Build'!DC97</f>
        <v>327.0073799999999</v>
      </c>
      <c r="AH149" s="1145">
        <f>'Revenue Build'!DE97</f>
        <v>264.60999999999996</v>
      </c>
      <c r="AI149" s="1145">
        <f>'Revenue Build'!DF97</f>
        <v>293.75</v>
      </c>
      <c r="AJ149" s="1145">
        <f>'Revenue Build'!DG97</f>
        <v>288.58</v>
      </c>
      <c r="AK149" s="1145">
        <f>'Revenue Build'!DH97</f>
        <v>380.46499999999997</v>
      </c>
      <c r="AL149" s="1145">
        <f>'Revenue Build'!DJ97</f>
        <v>310.5</v>
      </c>
      <c r="AM149" s="1145">
        <f>'Revenue Build'!DK97</f>
        <v>340.85999999999996</v>
      </c>
      <c r="AN149" s="1145">
        <f>'Revenue Build'!DL97</f>
        <v>356.96</v>
      </c>
      <c r="AO149" s="1145">
        <f>'Revenue Build'!DM97</f>
        <v>493.58</v>
      </c>
      <c r="AP149" s="1145">
        <f>'Revenue Build'!DO97</f>
        <v>391.49999999999994</v>
      </c>
      <c r="AQ149" s="1145">
        <f>'Revenue Build'!DP97</f>
        <v>455.4</v>
      </c>
      <c r="AR149" s="1145">
        <f>'Revenue Build'!DQ97</f>
        <v>482.62499999999994</v>
      </c>
      <c r="AS149" s="1145">
        <f>'Revenue Build'!DR97</f>
        <v>651.37499999999989</v>
      </c>
      <c r="AT149" s="1145">
        <f>'Revenue Build'!DT97</f>
        <v>513.04</v>
      </c>
      <c r="AU149" s="1145">
        <f>'Revenue Build'!DU97</f>
        <v>611.81999999999994</v>
      </c>
      <c r="AV149" s="1145">
        <f>'Revenue Build'!DV97</f>
        <v>603.12461330482768</v>
      </c>
      <c r="AW149" s="1145">
        <f>'Revenue Build'!DW97</f>
        <v>802.22367597648861</v>
      </c>
      <c r="AX149" s="1145">
        <f>'Revenue Build'!DY97</f>
        <v>629.77968805355283</v>
      </c>
      <c r="AY149" s="1145">
        <f>'Revenue Build'!DZ97</f>
        <v>754.01845386000002</v>
      </c>
      <c r="CT149" s="1118"/>
      <c r="CU149" s="1118"/>
      <c r="CV149" s="1118"/>
      <c r="CW149" s="1118"/>
      <c r="CX149" s="1118"/>
      <c r="CY149" s="1118"/>
      <c r="CZ149" s="1118"/>
      <c r="DA149" s="1118"/>
      <c r="DB149" s="1118"/>
      <c r="DC149" s="1118"/>
      <c r="DD149" s="1118"/>
      <c r="DE149" s="1118"/>
      <c r="DF149" s="1118"/>
      <c r="DG149" s="1118"/>
      <c r="DH149" s="1118"/>
    </row>
    <row r="150" spans="5:112">
      <c r="E150" s="6" t="str">
        <f>'Revenue Build'!C98</f>
        <v>% of merchant Solutions rev</v>
      </c>
      <c r="J150" s="1113">
        <f>'Revenue Build'!CA98</f>
        <v>0.34</v>
      </c>
      <c r="K150" s="1113">
        <f>'Revenue Build'!CB98</f>
        <v>0.34</v>
      </c>
      <c r="L150" s="1113">
        <f>'Revenue Build'!CC98</f>
        <v>0.34</v>
      </c>
      <c r="M150" s="1113">
        <f>'Revenue Build'!CD98</f>
        <v>0.34</v>
      </c>
      <c r="N150" s="1113">
        <f>'Revenue Build'!CF98</f>
        <v>0.32</v>
      </c>
      <c r="O150" s="1113">
        <f>'Revenue Build'!CG98</f>
        <v>0.32</v>
      </c>
      <c r="P150" s="1113">
        <f>'Revenue Build'!CH98</f>
        <v>0.32</v>
      </c>
      <c r="Q150" s="1113">
        <f>'Revenue Build'!CI98</f>
        <v>0.32</v>
      </c>
      <c r="R150" s="1113">
        <f>'Revenue Build'!CK98</f>
        <v>0.3</v>
      </c>
      <c r="S150" s="1113">
        <f>'Revenue Build'!CL98</f>
        <v>0.3</v>
      </c>
      <c r="T150" s="1113">
        <f>'Revenue Build'!CM98</f>
        <v>0.3</v>
      </c>
      <c r="U150" s="1113">
        <f>'Revenue Build'!CN98</f>
        <v>0.3</v>
      </c>
      <c r="V150" s="1113">
        <f>'Revenue Build'!CP98</f>
        <v>0.27999999999999997</v>
      </c>
      <c r="W150" s="1113">
        <f>'Revenue Build'!CQ98</f>
        <v>0.27999999999999997</v>
      </c>
      <c r="X150" s="1113">
        <f>'Revenue Build'!CR98</f>
        <v>0.27999999999999997</v>
      </c>
      <c r="Y150" s="1113">
        <f>'Revenue Build'!CS98</f>
        <v>0.27999999999999997</v>
      </c>
      <c r="Z150" s="1113">
        <f>'Revenue Build'!CU98</f>
        <v>0.25999999999999995</v>
      </c>
      <c r="AA150" s="1113">
        <f>'Revenue Build'!CV98</f>
        <v>0.25999999999999995</v>
      </c>
      <c r="AB150" s="1113">
        <f>'Revenue Build'!CW98</f>
        <v>0.25999999999999995</v>
      </c>
      <c r="AC150" s="1113">
        <f>'Revenue Build'!CX98</f>
        <v>0.25999999999999995</v>
      </c>
      <c r="AD150" s="1113">
        <f>'Revenue Build'!CZ98</f>
        <v>0.24499999999999994</v>
      </c>
      <c r="AE150" s="1113">
        <f>'Revenue Build'!DA98</f>
        <v>0.24499999999999994</v>
      </c>
      <c r="AF150" s="1113">
        <f>'Revenue Build'!DB98</f>
        <v>0.24499999999999994</v>
      </c>
      <c r="AG150" s="1113">
        <f>'Revenue Build'!DC98</f>
        <v>0.24499999999999994</v>
      </c>
      <c r="AH150" s="1113">
        <f>'Revenue Build'!DE98</f>
        <v>0.23499999999999999</v>
      </c>
      <c r="AI150" s="1113">
        <f>'Revenue Build'!DF98</f>
        <v>0.23499999999999999</v>
      </c>
      <c r="AJ150" s="1113">
        <f>'Revenue Build'!DG98</f>
        <v>0.23499999999999999</v>
      </c>
      <c r="AK150" s="1113">
        <f>'Revenue Build'!DH98</f>
        <v>0.23499999999999999</v>
      </c>
      <c r="AL150" s="1113">
        <f>'Revenue Build'!DJ98</f>
        <v>0.22999999999999998</v>
      </c>
      <c r="AM150" s="1113">
        <f>'Revenue Build'!DK98</f>
        <v>0.22999999999999998</v>
      </c>
      <c r="AN150" s="1113">
        <f>'Revenue Build'!DL98</f>
        <v>0.22999999999999998</v>
      </c>
      <c r="AO150" s="1113">
        <f>'Revenue Build'!DM98</f>
        <v>0.22999999999999998</v>
      </c>
      <c r="AP150" s="1113">
        <f>'Revenue Build'!DO98</f>
        <v>0.22499999999999998</v>
      </c>
      <c r="AQ150" s="1113">
        <f>'Revenue Build'!DP98</f>
        <v>0.22499999999999998</v>
      </c>
      <c r="AR150" s="1113">
        <f>'Revenue Build'!DQ98</f>
        <v>0.22499999999999998</v>
      </c>
      <c r="AS150" s="1113">
        <f>'Revenue Build'!DR98</f>
        <v>0.22499999999999998</v>
      </c>
      <c r="AT150" s="1113">
        <f>'Revenue Build'!DT98</f>
        <v>0.21199999999999999</v>
      </c>
      <c r="AU150" s="1113">
        <f>'Revenue Build'!DU98</f>
        <v>0.21999999999999997</v>
      </c>
      <c r="AV150" s="1113">
        <f>'Revenue Build'!DV98</f>
        <v>0.2117483495528118</v>
      </c>
      <c r="AW150" s="1113">
        <f>'Revenue Build'!DW98</f>
        <v>0.21031299914435483</v>
      </c>
      <c r="AX150" s="1113">
        <f>'Revenue Build'!DY98</f>
        <v>0.20080433551242954</v>
      </c>
      <c r="AY150" s="1113">
        <f>'Revenue Build'!DZ98</f>
        <v>0.21086110833794058</v>
      </c>
      <c r="DA150" s="1416"/>
    </row>
    <row r="151" spans="5:112">
      <c r="E151" s="6" t="str">
        <f>'Revenue Build'!C99</f>
        <v>% yoy growth</v>
      </c>
      <c r="J151" s="1113"/>
      <c r="K151" s="1113"/>
      <c r="L151" s="1113"/>
      <c r="M151" s="1113"/>
      <c r="N151" s="1113">
        <f>'Revenue Build'!CF99</f>
        <v>0.64516707309273214</v>
      </c>
      <c r="O151" s="1113">
        <f>'Revenue Build'!CG99</f>
        <v>0.57819318441492773</v>
      </c>
      <c r="P151" s="1113">
        <f>'Revenue Build'!CH99</f>
        <v>0.5810889301070401</v>
      </c>
      <c r="Q151" s="1113">
        <f>'Revenue Build'!CI99</f>
        <v>0.53558911151352318</v>
      </c>
      <c r="R151" s="1113">
        <f>'Revenue Build'!CK99</f>
        <v>0.47867623223703837</v>
      </c>
      <c r="S151" s="1113">
        <f>'Revenue Build'!CL99</f>
        <v>0.45910929515352872</v>
      </c>
      <c r="T151" s="1113">
        <f>'Revenue Build'!CM99</f>
        <v>0.41035301610864794</v>
      </c>
      <c r="U151" s="1113">
        <f>'Revenue Build'!CN99</f>
        <v>0.43540895949634351</v>
      </c>
      <c r="V151" s="1113">
        <f>'Revenue Build'!CP99</f>
        <v>0.46400268101974995</v>
      </c>
      <c r="W151" s="1113">
        <f>'Revenue Build'!CQ99</f>
        <v>1.3135750706769032</v>
      </c>
      <c r="X151" s="1113">
        <f>'Revenue Build'!CR99</f>
        <v>1.1661174204541247</v>
      </c>
      <c r="Y151" s="1113">
        <f>'Revenue Build'!CS99</f>
        <v>1.0241072815021393</v>
      </c>
      <c r="Z151" s="1113">
        <f>'Revenue Build'!CU99</f>
        <v>1.1964295831933724</v>
      </c>
      <c r="AA151" s="1113">
        <f>'Revenue Build'!CV99</f>
        <v>0.40782363297988677</v>
      </c>
      <c r="AB151" s="1113">
        <f>'Revenue Build'!CW99</f>
        <v>0.40056750946738306</v>
      </c>
      <c r="AC151" s="1113">
        <f>'Revenue Build'!CX99</f>
        <v>0.36807055789046439</v>
      </c>
      <c r="AD151" s="1113">
        <f>'Revenue Build'!CZ99</f>
        <v>0.21160698183855042</v>
      </c>
      <c r="AE151" s="1113">
        <f>'Revenue Build'!DA99</f>
        <v>0.11441270240594736</v>
      </c>
      <c r="AF151" s="1113">
        <f>'Revenue Build'!DB99</f>
        <v>0.1844464000290682</v>
      </c>
      <c r="AG151" s="1113">
        <f>'Revenue Build'!DC99</f>
        <v>0.22249332466416938</v>
      </c>
      <c r="AH151" s="1113">
        <f>'Revenue Build'!DE99</f>
        <v>0.25752544218574203</v>
      </c>
      <c r="AI151" s="1113">
        <f>'Revenue Build'!DF99</f>
        <v>0.29114125458932083</v>
      </c>
      <c r="AJ151" s="1113">
        <f>'Revenue Build'!DG99</f>
        <v>0.18989669756248717</v>
      </c>
      <c r="AK151" s="1113">
        <f>'Revenue Build'!DH99</f>
        <v>0.16347527080275714</v>
      </c>
      <c r="AL151" s="1113">
        <f>'Revenue Build'!DJ99</f>
        <v>0.17342504062582687</v>
      </c>
      <c r="AM151" s="1113">
        <f>'Revenue Build'!DK99</f>
        <v>0.16037446808510625</v>
      </c>
      <c r="AN151" s="1113">
        <f>'Revenue Build'!DL99</f>
        <v>0.23695335782105476</v>
      </c>
      <c r="AO151" s="1113">
        <f>'Revenue Build'!DM99</f>
        <v>0.29730724245331386</v>
      </c>
      <c r="AP151" s="1113">
        <f>'Revenue Build'!DO99</f>
        <v>0.26086956521739113</v>
      </c>
      <c r="AQ151" s="1113">
        <f>'Revenue Build'!DP99</f>
        <v>0.33603238866396778</v>
      </c>
      <c r="AR151" s="1113">
        <f>'Revenue Build'!DQ99</f>
        <v>0.35204224562976227</v>
      </c>
      <c r="AS151" s="1113">
        <f>'Revenue Build'!DR99</f>
        <v>0.31969488228858522</v>
      </c>
      <c r="AT151" s="1113">
        <f>'Revenue Build'!DT99</f>
        <v>0.31044699872286086</v>
      </c>
      <c r="AU151" s="1113">
        <f>'Revenue Build'!DU99</f>
        <v>0.34347826086956523</v>
      </c>
      <c r="AV151" s="1113">
        <f>'Revenue Build'!DV99</f>
        <v>0.24967544844305145</v>
      </c>
      <c r="AW151" s="1113">
        <f>'Revenue Build'!DW99</f>
        <v>0.23158499478255812</v>
      </c>
      <c r="AX151" s="1113">
        <f>'Revenue Build'!DY99</f>
        <v>0.22754500244338227</v>
      </c>
      <c r="AY151" s="1113">
        <f>'Revenue Build'!DZ99</f>
        <v>0.23241877326664717</v>
      </c>
      <c r="CS151" s="906" t="str">
        <f>CS144</f>
        <v>Shopify Payments Revenue</v>
      </c>
      <c r="CU151" s="1007">
        <f t="shared" ref="CU151:DE151" ca="1" si="81">CU144/CU$147</f>
        <v>0.57999999999999985</v>
      </c>
      <c r="CV151" s="1007">
        <f t="shared" ca="1" si="81"/>
        <v>0.57499999999999996</v>
      </c>
      <c r="CW151" s="1007">
        <f t="shared" ca="1" si="81"/>
        <v>0.56999999999999995</v>
      </c>
      <c r="CX151" s="1007">
        <f t="shared" ca="1" si="81"/>
        <v>0.56499999999999995</v>
      </c>
      <c r="CY151" s="1007">
        <f t="shared" ca="1" si="81"/>
        <v>0.56000000000000005</v>
      </c>
      <c r="CZ151" s="1007">
        <f t="shared" ca="1" si="81"/>
        <v>0.55300000000000005</v>
      </c>
      <c r="DA151" s="1007">
        <f t="shared" ca="1" si="81"/>
        <v>0.56499999999999995</v>
      </c>
      <c r="DB151" s="1007">
        <f t="shared" ca="1" si="81"/>
        <v>0.56540323124042857</v>
      </c>
      <c r="DC151" s="1007" t="e">
        <f t="shared" ca="1" si="81"/>
        <v>#N/A</v>
      </c>
      <c r="DD151" s="1007">
        <f t="shared" ca="1" si="81"/>
        <v>0.55693807692291308</v>
      </c>
      <c r="DE151" s="1007">
        <f t="shared" ca="1" si="81"/>
        <v>0.54863312532302455</v>
      </c>
      <c r="DF151" s="1007">
        <f t="shared" ref="DF151:DH151" ca="1" si="82">DF144/DF$147</f>
        <v>0.53528770984836427</v>
      </c>
      <c r="DG151" s="1007">
        <f t="shared" ca="1" si="82"/>
        <v>0.5218620555045469</v>
      </c>
      <c r="DH151" s="1007">
        <f t="shared" ca="1" si="82"/>
        <v>0.50835903534999383</v>
      </c>
    </row>
    <row r="152" spans="5:112">
      <c r="E152" s="6" t="str">
        <f>'Revenue Build'!C100</f>
        <v>% qoq growth</v>
      </c>
      <c r="J152" s="1113"/>
      <c r="K152" s="1113">
        <f>'Revenue Build'!CB100</f>
        <v>0.22600652383650566</v>
      </c>
      <c r="L152" s="1113">
        <f>'Revenue Build'!CC100</f>
        <v>0.11197022121738254</v>
      </c>
      <c r="M152" s="1113">
        <f>'Revenue Build'!CD100</f>
        <v>0.44792801698475615</v>
      </c>
      <c r="N152" s="1113">
        <f>'Revenue Build'!CF100</f>
        <v>0</v>
      </c>
      <c r="O152" s="1113">
        <f>'Revenue Build'!CG100</f>
        <v>0.17609644127490331</v>
      </c>
      <c r="P152" s="1113">
        <f>'Revenue Build'!CH100</f>
        <v>0.11401051831766518</v>
      </c>
      <c r="Q152" s="1113">
        <f>'Revenue Build'!CI100</f>
        <v>0.40626023925588606</v>
      </c>
      <c r="R152" s="1113">
        <f>'Revenue Build'!CK100</f>
        <v>0</v>
      </c>
      <c r="S152" s="1113">
        <f>'Revenue Build'!CL100</f>
        <v>0.16053346368125476</v>
      </c>
      <c r="T152" s="1113">
        <f>'Revenue Build'!CM100</f>
        <v>7.6785748473187532E-2</v>
      </c>
      <c r="U152" s="1113">
        <f>'Revenue Build'!CN100</f>
        <v>0.43124347149683318</v>
      </c>
      <c r="V152" s="1113">
        <f>'Revenue Build'!CP100</f>
        <v>-0.18145721141801829</v>
      </c>
      <c r="W152" s="1113">
        <f>'Revenue Build'!CQ100</f>
        <v>0.83400025496473007</v>
      </c>
      <c r="X152" s="1113">
        <f>'Revenue Build'!CR100</f>
        <v>8.155904438441608E-3</v>
      </c>
      <c r="Y152" s="1113">
        <f>'Revenue Build'!CS100</f>
        <v>0.33741149251816105</v>
      </c>
      <c r="Z152" s="1113">
        <f>'Revenue Build'!CU100</f>
        <v>-0.111770600115218</v>
      </c>
      <c r="AA152" s="1113">
        <f>'Revenue Build'!CV100</f>
        <v>0.17552090974690326</v>
      </c>
      <c r="AB152" s="1113">
        <f>'Revenue Build'!CW100</f>
        <v>2.9597253211888219E-3</v>
      </c>
      <c r="AC152" s="1113">
        <f>'Revenue Build'!CX100</f>
        <v>0.3063799312281914</v>
      </c>
      <c r="AD152" s="1113">
        <f>'Revenue Build'!CZ100</f>
        <v>-0.21335567367656694</v>
      </c>
      <c r="AE152" s="1113">
        <f>'Revenue Build'!DA100</f>
        <v>8.1221430218125779E-2</v>
      </c>
      <c r="AF152" s="1113">
        <f>'Revenue Build'!DB100</f>
        <v>6.5989317481854659E-2</v>
      </c>
      <c r="AG152" s="1113">
        <f>'Revenue Build'!DC100</f>
        <v>0.34834361889445287</v>
      </c>
      <c r="AH152" s="1113">
        <f>'Revenue Build'!DE100</f>
        <v>-0.1908133694108064</v>
      </c>
      <c r="AI152" s="1113">
        <f>'Revenue Build'!DF100</f>
        <v>0.11012433392539989</v>
      </c>
      <c r="AJ152" s="1113">
        <f>'Revenue Build'!DG100</f>
        <v>-1.760000000000006E-2</v>
      </c>
      <c r="AK152" s="1113">
        <f>'Revenue Build'!DH100</f>
        <v>0.3184039087947883</v>
      </c>
      <c r="AL152" s="1113">
        <f>'Revenue Build'!DJ100</f>
        <v>-0.74702726483923398</v>
      </c>
      <c r="AM152" s="1113">
        <f>'Revenue Build'!DK100</f>
        <v>9.7777777777777741E-2</v>
      </c>
      <c r="AN152" s="1113">
        <f>'Revenue Build'!DL100</f>
        <v>4.7233468286099978E-2</v>
      </c>
      <c r="AO152" s="1113">
        <f>'Revenue Build'!DM100</f>
        <v>0.38273195876288657</v>
      </c>
      <c r="AP152" s="1113">
        <f>'Revenue Build'!DO100</f>
        <v>-0.7393301817697584</v>
      </c>
      <c r="AQ152" s="1113">
        <f>'Revenue Build'!DP100</f>
        <v>0.16321839080459788</v>
      </c>
      <c r="AR152" s="1113">
        <f>'Revenue Build'!DQ100</f>
        <v>5.9782608695652106E-2</v>
      </c>
      <c r="AS152" s="1113">
        <f>'Revenue Build'!DR100</f>
        <v>0.34965034965034958</v>
      </c>
      <c r="AT152" s="1113">
        <f>'Revenue Build'!DT100</f>
        <v>-0.74100661315563632</v>
      </c>
      <c r="AU152" s="1113">
        <f>'Revenue Build'!DU100</f>
        <v>0.19253859348198965</v>
      </c>
      <c r="AV152" s="1113">
        <f>'Revenue Build'!DV100</f>
        <v>-1.4212328291282161E-2</v>
      </c>
      <c r="AW152" s="1113">
        <f>'Revenue Build'!DW100</f>
        <v>0.33011264717036748</v>
      </c>
      <c r="AX152" s="1113">
        <f>'Revenue Build'!DY100</f>
        <v>-0.21495749014516707</v>
      </c>
      <c r="AY152" s="1113">
        <f>'Revenue Build'!DZ100</f>
        <v>0.19727337696525171</v>
      </c>
      <c r="CS152" s="906" t="str">
        <f>CS145</f>
        <v>3P Transaction Fee Revenue</v>
      </c>
      <c r="CU152" s="1007">
        <f t="shared" ref="CU152:DE152" ca="1" si="83">CU145/CU$147</f>
        <v>0.33999999999999997</v>
      </c>
      <c r="CV152" s="1007">
        <f t="shared" ca="1" si="83"/>
        <v>0.32</v>
      </c>
      <c r="CW152" s="1007">
        <f t="shared" ca="1" si="83"/>
        <v>0.3</v>
      </c>
      <c r="CX152" s="1007">
        <f t="shared" ca="1" si="83"/>
        <v>0.27999999999999997</v>
      </c>
      <c r="CY152" s="1007">
        <f t="shared" ca="1" si="83"/>
        <v>0.25999999999999995</v>
      </c>
      <c r="CZ152" s="1007">
        <f t="shared" ca="1" si="83"/>
        <v>0.24499999999999994</v>
      </c>
      <c r="DA152" s="1007">
        <f t="shared" ca="1" si="83"/>
        <v>0.23499999999999996</v>
      </c>
      <c r="DB152" s="1007">
        <f t="shared" ca="1" si="83"/>
        <v>0.22999999999999998</v>
      </c>
      <c r="DC152" s="1007" t="e">
        <f t="shared" ca="1" si="83"/>
        <v>#N/A</v>
      </c>
      <c r="DD152" s="1007">
        <f t="shared" ca="1" si="83"/>
        <v>0.21327247265742644</v>
      </c>
      <c r="DE152" s="1007">
        <f t="shared" ca="1" si="83"/>
        <v>0.20383725637438097</v>
      </c>
      <c r="DF152" s="1007">
        <f t="shared" ref="DF152:DH152" ca="1" si="84">DF145/DF$147</f>
        <v>0.19826470706744706</v>
      </c>
      <c r="DG152" s="1007">
        <f t="shared" ca="1" si="84"/>
        <v>0.19258519396394302</v>
      </c>
      <c r="DH152" s="1007">
        <f t="shared" ca="1" si="84"/>
        <v>0.18680254704352506</v>
      </c>
    </row>
    <row r="153" spans="5:112">
      <c r="CS153" s="906" t="str">
        <f>CS146</f>
        <v>Other Merchants Solutions Revenue</v>
      </c>
      <c r="CU153" s="1007">
        <f t="shared" ref="CU153:DE153" ca="1" si="85">CU146/CU$147</f>
        <v>7.9999999999999988E-2</v>
      </c>
      <c r="CV153" s="1007">
        <f t="shared" ca="1" si="85"/>
        <v>0.10500000000000009</v>
      </c>
      <c r="CW153" s="1007">
        <f t="shared" ca="1" si="85"/>
        <v>0.13000000000000009</v>
      </c>
      <c r="CX153" s="1007">
        <f t="shared" ca="1" si="85"/>
        <v>0.15500000000000008</v>
      </c>
      <c r="CY153" s="1007">
        <f t="shared" ca="1" si="85"/>
        <v>0.17999999999999997</v>
      </c>
      <c r="CZ153" s="1007">
        <f t="shared" ca="1" si="85"/>
        <v>0.20200000000000004</v>
      </c>
      <c r="DA153" s="1007">
        <f t="shared" ca="1" si="85"/>
        <v>0.20000000000000007</v>
      </c>
      <c r="DB153" s="1007">
        <f t="shared" ca="1" si="85"/>
        <v>0.20459676875957133</v>
      </c>
      <c r="DC153" s="1007" t="e">
        <f t="shared" ca="1" si="85"/>
        <v>#N/A</v>
      </c>
      <c r="DD153" s="1007">
        <f t="shared" ca="1" si="85"/>
        <v>0.2297894504196604</v>
      </c>
      <c r="DE153" s="1007">
        <f t="shared" ca="1" si="85"/>
        <v>0.24752961830259443</v>
      </c>
      <c r="DF153" s="1007">
        <f t="shared" ref="DF153:DH153" ca="1" si="86">DF146/DF$147</f>
        <v>0.26644758308418864</v>
      </c>
      <c r="DG153" s="1007">
        <f t="shared" ca="1" si="86"/>
        <v>0.28555275053150997</v>
      </c>
      <c r="DH153" s="1007">
        <f t="shared" ca="1" si="86"/>
        <v>0.304838417606481</v>
      </c>
    </row>
    <row r="154" spans="5:112">
      <c r="N154" s="1006"/>
      <c r="O154" s="1006"/>
      <c r="P154" s="1006"/>
      <c r="Q154" s="1006"/>
      <c r="R154" s="1006"/>
      <c r="S154" s="1006"/>
      <c r="T154" s="1006"/>
      <c r="U154" s="1006"/>
      <c r="V154" s="1006"/>
      <c r="W154" s="1006"/>
      <c r="X154" s="1006"/>
      <c r="Y154" s="1006"/>
      <c r="Z154" s="1006"/>
      <c r="AA154" s="1006"/>
      <c r="AB154" s="1006"/>
      <c r="AC154" s="1006"/>
      <c r="AD154" s="1006"/>
      <c r="AE154" s="1006"/>
      <c r="AF154" s="1006"/>
      <c r="AG154" s="1006"/>
      <c r="AH154" s="1006"/>
      <c r="AI154" s="1006"/>
      <c r="AJ154" s="1006"/>
      <c r="AK154" s="1006"/>
      <c r="AL154" s="1006"/>
      <c r="AM154" s="1006"/>
      <c r="AN154" s="1006"/>
      <c r="AO154" s="1006"/>
      <c r="AP154" s="1006"/>
      <c r="AQ154" s="1006"/>
      <c r="AR154" s="1006"/>
      <c r="AS154" s="1006"/>
      <c r="AT154" s="1006"/>
      <c r="AU154" s="1006"/>
      <c r="AV154" s="1006"/>
      <c r="AW154" s="1006"/>
      <c r="AX154" s="1006"/>
      <c r="AY154" s="1006"/>
      <c r="CS154" s="906"/>
      <c r="CU154" s="1007"/>
      <c r="CV154" s="1007"/>
      <c r="CW154" s="1007"/>
      <c r="CX154" s="1007"/>
      <c r="CY154" s="1007"/>
      <c r="CZ154" s="1007"/>
      <c r="DA154" s="1007"/>
      <c r="DB154" s="1007"/>
      <c r="DC154" s="1007"/>
      <c r="DD154" s="1007"/>
      <c r="DE154" s="1007"/>
      <c r="DF154" s="1007"/>
      <c r="DG154" s="1007"/>
      <c r="DH154" s="1007"/>
    </row>
    <row r="155" spans="5:112">
      <c r="E155" s="6" t="s">
        <v>672</v>
      </c>
      <c r="J155" s="1117"/>
      <c r="K155" s="1117"/>
      <c r="L155" s="1117"/>
      <c r="M155" s="1117"/>
      <c r="N155" s="1117">
        <f t="shared" ref="N155:AY155" si="87">+N151</f>
        <v>0.64516707309273214</v>
      </c>
      <c r="O155" s="1117">
        <f t="shared" si="87"/>
        <v>0.57819318441492773</v>
      </c>
      <c r="P155" s="1117">
        <f t="shared" si="87"/>
        <v>0.5810889301070401</v>
      </c>
      <c r="Q155" s="1117">
        <f t="shared" si="87"/>
        <v>0.53558911151352318</v>
      </c>
      <c r="R155" s="1117">
        <f t="shared" si="87"/>
        <v>0.47867623223703837</v>
      </c>
      <c r="S155" s="1117">
        <f t="shared" si="87"/>
        <v>0.45910929515352872</v>
      </c>
      <c r="T155" s="1117">
        <f t="shared" si="87"/>
        <v>0.41035301610864794</v>
      </c>
      <c r="U155" s="1117">
        <f t="shared" si="87"/>
        <v>0.43540895949634351</v>
      </c>
      <c r="V155" s="1117">
        <f t="shared" si="87"/>
        <v>0.46400268101974995</v>
      </c>
      <c r="W155" s="1117">
        <f t="shared" si="87"/>
        <v>1.3135750706769032</v>
      </c>
      <c r="X155" s="1117">
        <f t="shared" si="87"/>
        <v>1.1661174204541247</v>
      </c>
      <c r="Y155" s="1117">
        <f t="shared" si="87"/>
        <v>1.0241072815021393</v>
      </c>
      <c r="Z155" s="1117">
        <f t="shared" si="87"/>
        <v>1.1964295831933724</v>
      </c>
      <c r="AA155" s="1117">
        <f t="shared" si="87"/>
        <v>0.40782363297988677</v>
      </c>
      <c r="AB155" s="1117">
        <f t="shared" si="87"/>
        <v>0.40056750946738306</v>
      </c>
      <c r="AC155" s="1117">
        <f t="shared" si="87"/>
        <v>0.36807055789046439</v>
      </c>
      <c r="AD155" s="1117">
        <f t="shared" si="87"/>
        <v>0.21160698183855042</v>
      </c>
      <c r="AE155" s="1117">
        <f t="shared" si="87"/>
        <v>0.11441270240594736</v>
      </c>
      <c r="AF155" s="1117">
        <f t="shared" si="87"/>
        <v>0.1844464000290682</v>
      </c>
      <c r="AG155" s="1117">
        <f t="shared" si="87"/>
        <v>0.22249332466416938</v>
      </c>
      <c r="AH155" s="1117">
        <f t="shared" si="87"/>
        <v>0.25752544218574203</v>
      </c>
      <c r="AI155" s="1117">
        <f t="shared" si="87"/>
        <v>0.29114125458932083</v>
      </c>
      <c r="AJ155" s="1117">
        <f t="shared" si="87"/>
        <v>0.18989669756248717</v>
      </c>
      <c r="AK155" s="1117">
        <f t="shared" si="87"/>
        <v>0.16347527080275714</v>
      </c>
      <c r="AL155" s="1117">
        <f t="shared" si="87"/>
        <v>0.17342504062582687</v>
      </c>
      <c r="AM155" s="1117">
        <f t="shared" si="87"/>
        <v>0.16037446808510625</v>
      </c>
      <c r="AN155" s="1117">
        <f t="shared" si="87"/>
        <v>0.23695335782105476</v>
      </c>
      <c r="AO155" s="1117">
        <f t="shared" si="87"/>
        <v>0.29730724245331386</v>
      </c>
      <c r="AP155" s="1117">
        <f t="shared" si="87"/>
        <v>0.26086956521739113</v>
      </c>
      <c r="AQ155" s="1117">
        <f t="shared" si="87"/>
        <v>0.33603238866396778</v>
      </c>
      <c r="AR155" s="1117">
        <f t="shared" si="87"/>
        <v>0.35204224562976227</v>
      </c>
      <c r="AS155" s="1117">
        <f t="shared" si="87"/>
        <v>0.31969488228858522</v>
      </c>
      <c r="AT155" s="1117">
        <f t="shared" si="87"/>
        <v>0.31044699872286086</v>
      </c>
      <c r="AU155" s="1117">
        <f t="shared" si="87"/>
        <v>0.34347826086956523</v>
      </c>
      <c r="AV155" s="1117">
        <f t="shared" si="87"/>
        <v>0.24967544844305145</v>
      </c>
      <c r="AW155" s="1117">
        <f t="shared" si="87"/>
        <v>0.23158499478255812</v>
      </c>
      <c r="AX155" s="1117">
        <f t="shared" si="87"/>
        <v>0.22754500244338227</v>
      </c>
      <c r="AY155" s="1117">
        <f t="shared" si="87"/>
        <v>0.23241877326664717</v>
      </c>
      <c r="CS155" s="906" t="str">
        <f>CS147</f>
        <v>Total Merchant Solution Revenues</v>
      </c>
    </row>
    <row r="156" spans="5:112">
      <c r="E156" s="6" t="s">
        <v>673</v>
      </c>
      <c r="N156" s="1144">
        <f>'Revenue Build'!CF74</f>
        <v>0.74799001516102837</v>
      </c>
      <c r="O156" s="1144">
        <f>'Revenue Build'!CG74</f>
        <v>0.67683025844086075</v>
      </c>
      <c r="P156" s="1144">
        <f>'Revenue Build'!CH74</f>
        <v>0.67990698823873008</v>
      </c>
      <c r="Q156" s="1144">
        <f>'Revenue Build'!CI74</f>
        <v>0.63156343098311818</v>
      </c>
      <c r="R156" s="1144">
        <f>'Revenue Build'!CK74</f>
        <v>0.5772546477195073</v>
      </c>
      <c r="S156" s="1144">
        <f>'Revenue Build'!CL74</f>
        <v>0.55638324816376405</v>
      </c>
      <c r="T156" s="1144">
        <f>'Revenue Build'!CM74</f>
        <v>0.50437655051589125</v>
      </c>
      <c r="U156" s="1144">
        <f>'Revenue Build'!CN74</f>
        <v>0.53110289012943301</v>
      </c>
      <c r="V156" s="1144">
        <f>'Revenue Build'!CP74</f>
        <v>0.56857430109258944</v>
      </c>
      <c r="W156" s="1144">
        <f>'Revenue Build'!CQ74</f>
        <v>1.4788304328681106</v>
      </c>
      <c r="X156" s="1144">
        <f>'Revenue Build'!CR74</f>
        <v>1.3208400933437048</v>
      </c>
      <c r="Y156" s="1144">
        <f>'Revenue Build'!CS74</f>
        <v>1.1686863730380068</v>
      </c>
      <c r="Z156" s="1144">
        <f>'Revenue Build'!CU74</f>
        <v>1.365385704977478</v>
      </c>
      <c r="AA156" s="1144">
        <f>'Revenue Build'!CV74</f>
        <v>0.51611775859372422</v>
      </c>
      <c r="AB156" s="1144">
        <f>'Revenue Build'!CW74</f>
        <v>0.50830347173410528</v>
      </c>
      <c r="AC156" s="1144">
        <f>'Revenue Build'!CX74</f>
        <v>0.47330675465126948</v>
      </c>
      <c r="AD156" s="1144">
        <f>'Revenue Build'!CZ74</f>
        <v>0.28578700113478828</v>
      </c>
      <c r="AE156" s="1144">
        <f>'Revenue Build'!DA74</f>
        <v>0.18264205153284241</v>
      </c>
      <c r="AF156" s="1144">
        <f>'Revenue Build'!DB74</f>
        <v>0.25696352656146026</v>
      </c>
      <c r="AG156" s="1144">
        <f>'Revenue Build'!DC74</f>
        <v>0.29733985474564917</v>
      </c>
      <c r="AH156" s="1144">
        <f>'Revenue Build'!DE74</f>
        <v>0.31103716312981611</v>
      </c>
      <c r="AI156" s="1144">
        <f>'Revenue Build'!DF74</f>
        <v>0.34608343563567434</v>
      </c>
      <c r="AJ156" s="1144">
        <f>'Revenue Build'!DG74</f>
        <v>0.24053059958642242</v>
      </c>
      <c r="AK156" s="1144">
        <f>'Revenue Build'!DH74</f>
        <v>0.21298485679436352</v>
      </c>
      <c r="AL156" s="1144">
        <f>'Revenue Build'!DJ74</f>
        <v>0.19893428063943164</v>
      </c>
      <c r="AM156" s="1144">
        <f>'Revenue Build'!DK74</f>
        <v>0.18559999999999999</v>
      </c>
      <c r="AN156" s="1144">
        <f>'Revenue Build'!DL74</f>
        <v>0.26384364820846895</v>
      </c>
      <c r="AO156" s="1144">
        <f>'Revenue Build'!DM74</f>
        <v>0.32550957381099455</v>
      </c>
      <c r="AP156" s="1144">
        <f>'Revenue Build'!DO74</f>
        <v>0.28888888888888897</v>
      </c>
      <c r="AQ156" s="1144">
        <f>'Revenue Build'!DP74</f>
        <v>0.36572199730094468</v>
      </c>
      <c r="AR156" s="1144">
        <f>'Revenue Build'!DQ74</f>
        <v>0.38208762886597936</v>
      </c>
      <c r="AS156" s="1144">
        <f>'Revenue Build'!DR74</f>
        <v>0.34902143522833184</v>
      </c>
      <c r="AT156" s="1144">
        <f>'Revenue Build'!DT74</f>
        <v>0.39080459770114939</v>
      </c>
      <c r="AU156" s="1144">
        <f>'Revenue Build'!DU74</f>
        <v>0.37401185770750978</v>
      </c>
      <c r="AV156" s="1144">
        <f>'Revenue Build'!DV74</f>
        <v>0.32788272727272738</v>
      </c>
      <c r="AW156" s="1144">
        <f>'Revenue Build'!DW74</f>
        <v>0.31759151813471509</v>
      </c>
      <c r="AX156" s="1144">
        <f>'Revenue Build'!DY74</f>
        <v>0.29598566611570276</v>
      </c>
      <c r="AY156" s="1144">
        <f>'Revenue Build'!DZ74</f>
        <v>0.28583280366774555</v>
      </c>
      <c r="DA156" s="1416"/>
    </row>
    <row r="157" spans="5:112">
      <c r="CS157" s="1090" t="str">
        <f>CS151</f>
        <v>Shopify Payments Revenue</v>
      </c>
      <c r="CV157" s="1007">
        <f t="shared" ref="CV157:DE157" ca="1" si="88">CV144/CU144-1</f>
        <v>0.65988006834795176</v>
      </c>
      <c r="CW157" s="1007">
        <f t="shared" ca="1" si="88"/>
        <v>0.52539152079805818</v>
      </c>
      <c r="CX157" s="1007">
        <f t="shared" ca="1" si="88"/>
        <v>1.1401215720350351</v>
      </c>
      <c r="CY157" s="1007">
        <f t="shared" ca="1" si="88"/>
        <v>0.60366885349143007</v>
      </c>
      <c r="CZ157" s="1007">
        <f t="shared" ca="1" si="88"/>
        <v>0.24198695940874515</v>
      </c>
      <c r="DA157" s="1007">
        <f t="shared" ca="1" si="88"/>
        <v>0.29771446874906426</v>
      </c>
      <c r="DB157" s="1007">
        <f t="shared" ca="1" si="88"/>
        <v>0.25113160137512902</v>
      </c>
      <c r="DC157" s="1007" t="e">
        <f t="shared" ca="1" si="88"/>
        <v>#N/A</v>
      </c>
      <c r="DD157" s="1007" t="e">
        <f t="shared" ca="1" si="88"/>
        <v>#N/A</v>
      </c>
      <c r="DE157" s="1007">
        <f t="shared" ca="1" si="88"/>
        <v>0.25436695200035286</v>
      </c>
      <c r="DF157" s="1007">
        <f t="shared" ref="DF157:DF159" ca="1" si="89">DF144/DE144-1</f>
        <v>0.18530326404254671</v>
      </c>
      <c r="DG157" s="1007">
        <f t="shared" ref="DG157:DG159" ca="1" si="90">DG144/DF144-1</f>
        <v>0.15953635055874549</v>
      </c>
      <c r="DH157" s="1007">
        <f t="shared" ref="DH157:DH159" ca="1" si="91">DH144/DG144-1</f>
        <v>0.1436351445097992</v>
      </c>
    </row>
    <row r="158" spans="5:112">
      <c r="U158" s="359"/>
      <c r="V158" s="359"/>
      <c r="W158" s="359"/>
      <c r="X158" s="359"/>
      <c r="Y158" s="359"/>
      <c r="Z158" s="644"/>
      <c r="AA158" s="359"/>
      <c r="AB158" s="359"/>
      <c r="AC158" s="359"/>
      <c r="AD158" s="359"/>
      <c r="AE158" s="359"/>
      <c r="AF158" s="359"/>
      <c r="AG158" s="359"/>
      <c r="AH158" s="359"/>
      <c r="AI158" s="359"/>
      <c r="AJ158" s="359"/>
      <c r="AK158" s="359"/>
      <c r="AL158" s="359"/>
      <c r="AM158" s="359"/>
      <c r="AN158" s="359"/>
      <c r="AO158" s="359"/>
      <c r="AP158" s="359"/>
      <c r="AQ158" s="359"/>
      <c r="AR158" s="359"/>
      <c r="AT158" s="1591" t="str">
        <f>Consensus!AB5</f>
        <v>2026/1F</v>
      </c>
      <c r="AU158" s="1591" t="str">
        <f>Consensus!AC5</f>
        <v>2026/2F</v>
      </c>
      <c r="AV158" s="1591" t="str">
        <f>Consensus!AD5</f>
        <v>2026/3F</v>
      </c>
      <c r="AW158" s="1591" t="str">
        <f>Consensus!AE5</f>
        <v>2026/4F</v>
      </c>
      <c r="AX158" s="1591" t="str">
        <f>Consensus!AF5</f>
        <v>2027/1F</v>
      </c>
      <c r="AY158" s="1591" t="str">
        <f>Consensus!AG5</f>
        <v>2027/2F</v>
      </c>
      <c r="AZ158" s="1591" t="str">
        <f>Consensus!AH5</f>
        <v>2027/3F</v>
      </c>
      <c r="BA158" s="1591" t="str">
        <f>Consensus!AI5</f>
        <v>2027/4F</v>
      </c>
      <c r="BB158" s="1591"/>
      <c r="BC158" s="1591"/>
      <c r="BD158" s="1591"/>
      <c r="BE158" s="1591"/>
      <c r="CS158" s="1090" t="str">
        <f>CS152</f>
        <v>3P Transaction Fee Revenue</v>
      </c>
      <c r="CV158" s="1007">
        <f t="shared" ref="CV158:DE158" ca="1" si="92">CV145/CU145-1</f>
        <v>0.57582476053902742</v>
      </c>
      <c r="CW158" s="1007">
        <f t="shared" ca="1" si="92"/>
        <v>0.44259888891263732</v>
      </c>
      <c r="CX158" s="1007">
        <f t="shared" ca="1" si="92"/>
        <v>1.0151233209250239</v>
      </c>
      <c r="CY158" s="1007">
        <f t="shared" ca="1" si="92"/>
        <v>0.50241680215491713</v>
      </c>
      <c r="CZ158" s="1007">
        <f t="shared" ca="1" si="92"/>
        <v>0.18514821832577444</v>
      </c>
      <c r="DA158" s="1007">
        <f t="shared" ca="1" si="92"/>
        <v>0.21830943678009507</v>
      </c>
      <c r="DB158" s="1007">
        <f t="shared" ca="1" si="92"/>
        <v>0.22363848933318686</v>
      </c>
      <c r="DC158" s="1007" t="e">
        <f t="shared" ca="1" si="92"/>
        <v>#N/A</v>
      </c>
      <c r="DD158" s="1007" t="e">
        <f t="shared" ca="1" si="92"/>
        <v>#N/A</v>
      </c>
      <c r="DE158" s="1007">
        <f t="shared" ca="1" si="92"/>
        <v>0.21702149684184957</v>
      </c>
      <c r="DF158" s="1007">
        <f t="shared" ca="1" si="89"/>
        <v>0.18164244233581206</v>
      </c>
      <c r="DG158" s="1007">
        <f t="shared" ca="1" si="90"/>
        <v>0.15529635256569296</v>
      </c>
      <c r="DH158" s="1007">
        <f t="shared" ca="1" si="91"/>
        <v>0.13876094671335104</v>
      </c>
    </row>
    <row r="159" spans="5:112">
      <c r="E159" s="6" t="s">
        <v>725</v>
      </c>
      <c r="U159" s="359"/>
      <c r="V159" s="359"/>
      <c r="W159" s="359"/>
      <c r="X159" s="359"/>
      <c r="Y159" s="359"/>
      <c r="Z159" s="359">
        <f>'Revenue Build'!CU65</f>
        <v>1.1444929995845019</v>
      </c>
      <c r="AA159" s="359">
        <f>'Revenue Build'!CV65</f>
        <v>0.40151861459311067</v>
      </c>
      <c r="AB159" s="359">
        <f>'Revenue Build'!CW65</f>
        <v>0.35086805367440843</v>
      </c>
      <c r="AC159" s="359">
        <f>'Revenue Build'!CX65</f>
        <v>0.31398915790298143</v>
      </c>
      <c r="AD159" s="359">
        <f>'Revenue Build'!CZ65</f>
        <v>0.15672166080995353</v>
      </c>
      <c r="AE159" s="359">
        <f>'Revenue Build'!DA65</f>
        <v>0.11036918571877075</v>
      </c>
      <c r="AF159" s="359">
        <f>'Revenue Build'!DB65</f>
        <v>0.10618947249056432</v>
      </c>
      <c r="AG159" s="359">
        <f>'Revenue Build'!DC65</f>
        <v>0.12844768516531557</v>
      </c>
      <c r="AH159" s="359">
        <f>'Revenue Build'!DE65</f>
        <v>0.14814942386973029</v>
      </c>
      <c r="AI159" s="359">
        <f>'Revenue Build'!DF65</f>
        <v>0.17395395739772312</v>
      </c>
      <c r="AJ159" s="359">
        <f>'Revenue Build'!DG65</f>
        <v>0.21645021645021645</v>
      </c>
      <c r="AK159" s="359">
        <f>'Revenue Build'!DH65</f>
        <v>0.23155737704918034</v>
      </c>
      <c r="AL159" s="359">
        <f>'Revenue Build'!DJ65</f>
        <v>0.22691532258064506</v>
      </c>
      <c r="AM159" s="359">
        <f>'Revenue Build'!DK65</f>
        <v>0.22263636363636374</v>
      </c>
      <c r="AN159" s="359">
        <f>'Revenue Build'!DL65</f>
        <v>0.24048042704626327</v>
      </c>
      <c r="AO159" s="359">
        <f>'Revenue Build'!DM65</f>
        <v>0.2573710482529119</v>
      </c>
      <c r="AP159" s="359">
        <f>'Revenue Build'!DO65</f>
        <v>0.22832963602004774</v>
      </c>
      <c r="AQ159" s="359">
        <f>'Revenue Build'!DP65</f>
        <v>0.30622351104171308</v>
      </c>
      <c r="AR159" s="359">
        <f>'Revenue Build'!DQ65</f>
        <v>0.31984508355447172</v>
      </c>
      <c r="AS159" s="359">
        <f>'Revenue Build'!DR65</f>
        <v>0.31104171077704845</v>
      </c>
      <c r="AT159" s="359">
        <f>'Revenue Build'!DT65</f>
        <v>0.3477324414715719</v>
      </c>
      <c r="AU159" s="359">
        <f>'Revenue Build'!DU65</f>
        <v>0.31569839589239157</v>
      </c>
      <c r="AV159" s="359">
        <f>'Revenue Build'!DV65</f>
        <v>0.3</v>
      </c>
      <c r="AW159" s="359">
        <f>'Revenue Build'!DW65</f>
        <v>0.28999999999999998</v>
      </c>
      <c r="AX159" s="359">
        <f>'Revenue Build'!DY65</f>
        <v>0.28000000000000003</v>
      </c>
      <c r="AY159" s="359">
        <f>'Revenue Build'!DZ65</f>
        <v>0.27</v>
      </c>
      <c r="AZ159" s="359">
        <f>'Revenue Build'!EA65</f>
        <v>0.25</v>
      </c>
      <c r="BA159" s="359">
        <f>'Revenue Build'!EB65</f>
        <v>0.24</v>
      </c>
      <c r="BB159" s="359">
        <f>'Revenue Build'!ED65</f>
        <v>0.2</v>
      </c>
      <c r="BC159" s="359">
        <f>'Revenue Build'!EE65</f>
        <v>0.2</v>
      </c>
      <c r="BD159" s="359">
        <f>'Revenue Build'!EF65</f>
        <v>0.2</v>
      </c>
      <c r="BE159" s="359">
        <f>'Revenue Build'!EG65</f>
        <v>0.2</v>
      </c>
      <c r="CS159" s="1090" t="str">
        <f>CS153</f>
        <v>Other Merchants Solutions Revenue</v>
      </c>
      <c r="CV159" s="1007">
        <f t="shared" ref="CV159:DE159" ca="1" si="93">CV146/CU146-1</f>
        <v>1.1975368730954425</v>
      </c>
      <c r="CW159" s="1007">
        <f t="shared" ca="1" si="93"/>
        <v>0.90514646916716468</v>
      </c>
      <c r="CX159" s="1007">
        <f t="shared" ca="1" si="93"/>
        <v>1.5742646819509241</v>
      </c>
      <c r="CY159" s="1007">
        <f t="shared" ca="1" si="93"/>
        <v>0.87895302304237632</v>
      </c>
      <c r="CZ159" s="1007">
        <f t="shared" ca="1" si="93"/>
        <v>0.41142821828729481</v>
      </c>
      <c r="DA159" s="1007">
        <f t="shared" ca="1" si="93"/>
        <v>0.25757662528385628</v>
      </c>
      <c r="DB159" s="1007">
        <f t="shared" ca="1" si="93"/>
        <v>0.27897463143787116</v>
      </c>
      <c r="DC159" s="1007" t="e">
        <f t="shared" ca="1" si="93"/>
        <v>#N/A</v>
      </c>
      <c r="DD159" s="1007" t="e">
        <f t="shared" ca="1" si="93"/>
        <v>#N/A</v>
      </c>
      <c r="DE159" s="1007">
        <f t="shared" ca="1" si="93"/>
        <v>0.3716603161644807</v>
      </c>
      <c r="DF159" s="1007">
        <f t="shared" ca="1" si="89"/>
        <v>0.30770217804462896</v>
      </c>
      <c r="DG159" s="1007">
        <f t="shared" ca="1" si="90"/>
        <v>0.2746486261296861</v>
      </c>
      <c r="DH159" s="1007">
        <f t="shared" ca="1" si="91"/>
        <v>0.2533028215399018</v>
      </c>
    </row>
    <row r="160" spans="5:112" ht="13.2">
      <c r="E160" s="6" t="s">
        <v>724</v>
      </c>
      <c r="N160"/>
      <c r="O160"/>
      <c r="P160"/>
      <c r="Q160"/>
      <c r="R160"/>
      <c r="S160"/>
      <c r="T160"/>
      <c r="U160"/>
      <c r="V160" s="821"/>
      <c r="W160" s="821"/>
      <c r="X160" s="821"/>
      <c r="Y160" s="821"/>
      <c r="Z160" s="821"/>
      <c r="AA160" s="821">
        <f>Consensus!I7</f>
        <v>0.40134156870558546</v>
      </c>
      <c r="AB160" s="821">
        <f>Consensus!J7</f>
        <v>0.35148267128541488</v>
      </c>
      <c r="AC160" s="821">
        <f>Consensus!K7</f>
        <v>0.31635667371431175</v>
      </c>
      <c r="AD160" s="821">
        <f>Consensus!L7</f>
        <v>0.15817694369973201</v>
      </c>
      <c r="AE160" s="821">
        <f>Consensus!M7</f>
        <v>0.11117696682464451</v>
      </c>
      <c r="AF160" s="821">
        <f>Consensus!N7</f>
        <v>0.10498680579877284</v>
      </c>
      <c r="AG160" s="821">
        <f>Consensus!O7</f>
        <v>0.1274948638127158</v>
      </c>
      <c r="AH160" s="821">
        <f>Consensus!P7</f>
        <v>0.14839814814814822</v>
      </c>
      <c r="AI160" s="821">
        <f>Consensus!Q7</f>
        <v>0.1731721720796966</v>
      </c>
      <c r="AJ160" s="821">
        <f>Consensus!R7</f>
        <v>0.21708913984247014</v>
      </c>
      <c r="AK160" s="821">
        <f>Consensus!S7</f>
        <v>0.23187544324969145</v>
      </c>
      <c r="AL160" s="821">
        <f>Consensus!T7</f>
        <v>0.22664822982092603</v>
      </c>
      <c r="AM160" s="821">
        <f>Consensus!U7</f>
        <v>0.22236966480040721</v>
      </c>
      <c r="AN160" s="821">
        <f>Consensus!V7</f>
        <v>0.24037007383684728</v>
      </c>
      <c r="AO160" s="821">
        <f>Consensus!W7</f>
        <v>0.25717138103161408</v>
      </c>
      <c r="AP160" s="821">
        <f>Consensus!X7</f>
        <v>0.22874044860734544</v>
      </c>
      <c r="AQ160" s="821">
        <f>Consensus!Y7</f>
        <v>0.30622351104171308</v>
      </c>
      <c r="AR160" s="821">
        <f>Consensus!Z7</f>
        <v>0.31981209208922046</v>
      </c>
      <c r="AS160" s="821">
        <f>Consensus!AA7</f>
        <v>0.31124993382391875</v>
      </c>
      <c r="AT160" s="821">
        <f>Consensus!AB7</f>
        <v>0.34728184553660979</v>
      </c>
      <c r="AU160" s="821">
        <f>Consensus!AC7</f>
        <v>0.31569839589239157</v>
      </c>
      <c r="AV160" s="821">
        <f>Consensus!AD7</f>
        <v>0.270795733539686</v>
      </c>
      <c r="AW160" s="821">
        <f>Consensus!AE7</f>
        <v>0.25986409993459336</v>
      </c>
      <c r="AX160" s="821">
        <f>Consensus!AF7</f>
        <v>0.23770618305986524</v>
      </c>
      <c r="AY160" s="821">
        <f>Consensus!AG7</f>
        <v>0.20432692723701407</v>
      </c>
      <c r="AZ160" s="821">
        <f>Consensus!AH7</f>
        <v>0.22046317779742619</v>
      </c>
      <c r="BA160" s="821">
        <f>Consensus!AI7</f>
        <v>0.20962682192086901</v>
      </c>
      <c r="BB160" s="821" t="e">
        <f>Consensus!AJ7</f>
        <v>#VALUE!</v>
      </c>
      <c r="BC160" s="821" t="e">
        <f>Consensus!AK7</f>
        <v>#VALUE!</v>
      </c>
      <c r="BD160" s="821" t="e">
        <f>Consensus!AL7</f>
        <v>#VALUE!</v>
      </c>
      <c r="BE160" s="821" t="e">
        <f>Consensus!AM7</f>
        <v>#VALUE!</v>
      </c>
    </row>
    <row r="161" spans="5:112">
      <c r="H161" s="244"/>
      <c r="I161" s="244"/>
      <c r="J161" s="244"/>
      <c r="K161" s="244"/>
      <c r="L161" s="244"/>
      <c r="M161" s="244"/>
      <c r="N161" s="244"/>
      <c r="O161" s="244"/>
      <c r="P161" s="244"/>
      <c r="Q161" s="244"/>
      <c r="R161" s="244"/>
      <c r="S161" s="244"/>
      <c r="T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c r="BB161" s="244"/>
      <c r="BC161" s="244"/>
      <c r="BD161" s="244"/>
      <c r="BE161" s="244"/>
    </row>
    <row r="162" spans="5:112">
      <c r="E162" s="6" t="s">
        <v>730</v>
      </c>
      <c r="H162" s="244"/>
      <c r="I162" s="244"/>
      <c r="J162" s="244"/>
      <c r="K162" s="244"/>
      <c r="L162" s="244"/>
      <c r="M162" s="244"/>
      <c r="N162" s="244"/>
      <c r="O162" s="244"/>
      <c r="P162" s="244"/>
      <c r="Q162" s="244"/>
      <c r="R162" s="244"/>
      <c r="S162" s="244"/>
      <c r="T162" s="244"/>
      <c r="Y162" s="244"/>
      <c r="Z162" s="244">
        <f>Income!CU11</f>
        <v>1.1034997797877026</v>
      </c>
      <c r="AA162" s="244">
        <f>Income!CV11</f>
        <v>0.56710170632793022</v>
      </c>
      <c r="AB162" s="244">
        <f>Income!CW11</f>
        <v>0.46433760530619428</v>
      </c>
      <c r="AC162" s="244">
        <f>Income!CX11</f>
        <v>0.4114369405488556</v>
      </c>
      <c r="AD162" s="244">
        <f>Income!CZ11</f>
        <v>0.2174446491012465</v>
      </c>
      <c r="AE162" s="244">
        <f>Income!DA11</f>
        <v>0.15687952512182401</v>
      </c>
      <c r="AF162" s="244">
        <f>Income!DB11</f>
        <v>0.2157616530514177</v>
      </c>
      <c r="AG162" s="244">
        <f>Income!DC11</f>
        <v>0.25720857028573407</v>
      </c>
      <c r="AH162" s="244">
        <f>Income!DE11</f>
        <v>0.25288400105348607</v>
      </c>
      <c r="AI162" s="244">
        <f>Income!DF11</f>
        <v>0.30804447351209929</v>
      </c>
      <c r="AJ162" s="244">
        <f>Income!DG11</f>
        <v>0.25457473283560228</v>
      </c>
      <c r="AK162" s="244">
        <f>Income!DH11</f>
        <v>0.2357505397762969</v>
      </c>
      <c r="AL162" s="244">
        <f>Income!DJ11</f>
        <v>0.23408488063660471</v>
      </c>
      <c r="AM162" s="244">
        <f>Income!DK11</f>
        <v>0.20720188902007086</v>
      </c>
      <c r="AN162" s="244">
        <f>Income!DL11</f>
        <v>0.26137689614935833</v>
      </c>
      <c r="AO162" s="244">
        <f>Income!DM11</f>
        <v>0.31156716417910446</v>
      </c>
      <c r="AP162" s="244">
        <f>Income!DO11</f>
        <v>0.26813541106931749</v>
      </c>
      <c r="AQ162" s="244">
        <f>Income!DP11</f>
        <v>0.31051344743276288</v>
      </c>
      <c r="AR162" s="244">
        <f>Income!DQ11</f>
        <v>0.31544865864939875</v>
      </c>
      <c r="AS162" s="244">
        <f>Income!DR11</f>
        <v>0.30583214793741109</v>
      </c>
      <c r="AT162" s="244">
        <f>Income!DT11</f>
        <v>0.34322033898305082</v>
      </c>
      <c r="AU162" s="244">
        <f>Income!DU11</f>
        <v>0.33694029850746277</v>
      </c>
      <c r="AV162" s="244">
        <f>Income!DV11</f>
        <v>0.30412221414985519</v>
      </c>
      <c r="AW162" s="244">
        <f>Income!DW11</f>
        <v>0.29350815542687902</v>
      </c>
      <c r="AX162" s="244">
        <f>Income!DY11</f>
        <v>0.27290901102129372</v>
      </c>
      <c r="AY162" s="244">
        <f>Income!DZ11</f>
        <v>0.26758167937856547</v>
      </c>
      <c r="AZ162" s="244">
        <f>Income!EA11</f>
        <v>0.25148868792068457</v>
      </c>
      <c r="BA162" s="244">
        <f>Income!EB11</f>
        <v>0.24548073035249396</v>
      </c>
      <c r="BB162" s="244">
        <f>Income!ED11</f>
        <v>0.20866400454686951</v>
      </c>
      <c r="BC162" s="244">
        <f>Income!EE11</f>
        <v>0.20769620242161957</v>
      </c>
      <c r="BD162" s="244">
        <f>Income!EF11</f>
        <v>0.20618165415796352</v>
      </c>
      <c r="BE162" s="244">
        <f>Income!EG11</f>
        <v>0.20635068299392856</v>
      </c>
    </row>
    <row r="163" spans="5:112" ht="13.2">
      <c r="E163" s="6" t="s">
        <v>731</v>
      </c>
      <c r="N163"/>
      <c r="O163"/>
      <c r="P163"/>
      <c r="Q163"/>
      <c r="R163"/>
      <c r="S163"/>
      <c r="T163"/>
      <c r="V163" s="821"/>
      <c r="W163" s="821"/>
      <c r="X163" s="821"/>
      <c r="Y163" s="821"/>
      <c r="Z163" s="821"/>
      <c r="AA163" s="821">
        <f>Consensus!H11</f>
        <v>1.1034997797877026</v>
      </c>
      <c r="AB163" s="821">
        <f>Consensus!I11</f>
        <v>0.56703871120375293</v>
      </c>
      <c r="AC163" s="821">
        <f>Consensus!J11</f>
        <v>0.46433760530619428</v>
      </c>
      <c r="AD163" s="821">
        <f>Consensus!K11</f>
        <v>0.41143694054885516</v>
      </c>
      <c r="AE163" s="821">
        <f>Consensus!L11</f>
        <v>0.2174446491012465</v>
      </c>
      <c r="AF163" s="821">
        <f>Consensus!M11</f>
        <v>0.15692603180275144</v>
      </c>
      <c r="AG163" s="821">
        <f>Consensus!N11</f>
        <v>0.2157616530514177</v>
      </c>
      <c r="AH163" s="821">
        <f>Consensus!O11</f>
        <v>0.25720857028573429</v>
      </c>
      <c r="AI163" s="821">
        <f>Consensus!P11</f>
        <v>0.25288400105348607</v>
      </c>
      <c r="AJ163" s="821">
        <f>Consensus!Q11</f>
        <v>0.30804447351209929</v>
      </c>
      <c r="AK163" s="821">
        <f>Consensus!R11</f>
        <v>0.25457473283560228</v>
      </c>
      <c r="AL163" s="821">
        <f>Consensus!S11</f>
        <v>0.2357505397762969</v>
      </c>
      <c r="AM163" s="821">
        <f>Consensus!T11</f>
        <v>0.23408488063660471</v>
      </c>
      <c r="AN163" s="821">
        <f>Consensus!U11</f>
        <v>0.20720188902007086</v>
      </c>
      <c r="AO163" s="821">
        <f>Consensus!V11</f>
        <v>0.26137689614935833</v>
      </c>
      <c r="AP163" s="821">
        <f>Consensus!W11</f>
        <v>0.31156716417910446</v>
      </c>
      <c r="AQ163" s="821">
        <f>Consensus!X11</f>
        <v>0.26813541106931749</v>
      </c>
      <c r="AR163" s="821">
        <f>Consensus!Y11</f>
        <v>0.31051344743276288</v>
      </c>
      <c r="AS163" s="821">
        <f>AR162</f>
        <v>0.31544865864939875</v>
      </c>
      <c r="AT163" s="821">
        <f>Consensus!AA11</f>
        <v>0.30583214793741109</v>
      </c>
      <c r="AU163" s="821">
        <f>AT174</f>
        <v>0.30783898305084745</v>
      </c>
      <c r="AV163" s="821">
        <f>AU174</f>
        <v>0.27067164179104486</v>
      </c>
      <c r="AW163" s="821">
        <f>AV174</f>
        <v>0.25636427566807307</v>
      </c>
      <c r="AX163" s="821">
        <f>AW174</f>
        <v>0.25266884531590428</v>
      </c>
      <c r="AY163" s="821">
        <f>Consensus!AG11</f>
        <v>0.21223457996092665</v>
      </c>
      <c r="AZ163" s="821">
        <f>Consensus!AH11</f>
        <v>0.23416413963198268</v>
      </c>
      <c r="BA163" s="821">
        <f>Consensus!AI11</f>
        <v>0.23040267934904257</v>
      </c>
      <c r="BB163" s="821">
        <f>Consensus!AJ11</f>
        <v>0.20500497720501576</v>
      </c>
      <c r="BC163" s="821">
        <f>Consensus!AL11</f>
        <v>0.21234281602951643</v>
      </c>
      <c r="BD163" s="821">
        <f>Consensus!AM11</f>
        <v>0.21283281537858678</v>
      </c>
      <c r="BE163" s="821" t="e">
        <f>Consensus!AN11</f>
        <v>#VALUE!</v>
      </c>
      <c r="BF163" s="821" t="e">
        <f>Consensus!AO11</f>
        <v>#VALUE!</v>
      </c>
    </row>
    <row r="164" spans="5:112" ht="13.2">
      <c r="N164"/>
      <c r="O164"/>
      <c r="P164"/>
      <c r="Q164"/>
      <c r="R164"/>
      <c r="S164"/>
      <c r="T164"/>
      <c r="U164"/>
      <c r="V164" s="359"/>
      <c r="W164" s="359"/>
      <c r="X164" s="359"/>
      <c r="Y164" s="359"/>
      <c r="Z164" s="359"/>
      <c r="AA164" s="359"/>
      <c r="AB164" s="359"/>
      <c r="AC164" s="359"/>
      <c r="AD164" s="359"/>
      <c r="AE164" s="359"/>
      <c r="AF164" s="359"/>
      <c r="AG164" s="359"/>
      <c r="AH164" s="359"/>
      <c r="AI164" s="359"/>
      <c r="AJ164" s="359"/>
      <c r="AK164" s="359"/>
      <c r="AL164" s="359"/>
      <c r="AM164" s="359"/>
      <c r="AN164" s="359"/>
      <c r="AO164" s="359"/>
      <c r="AP164" s="359"/>
      <c r="AQ164" s="359"/>
      <c r="AR164" s="359"/>
      <c r="AS164" s="359"/>
      <c r="AT164" s="359"/>
      <c r="AU164" s="359"/>
      <c r="AV164" s="359"/>
      <c r="AW164" s="359"/>
      <c r="AX164" s="359"/>
      <c r="AY164" s="359"/>
      <c r="AZ164" s="359"/>
      <c r="BA164" s="359"/>
      <c r="BB164" s="359"/>
      <c r="BC164" s="359"/>
      <c r="BD164" s="359"/>
      <c r="BE164" s="359"/>
    </row>
    <row r="165" spans="5:112" ht="13.2">
      <c r="E165" s="6" t="s">
        <v>732</v>
      </c>
      <c r="N165"/>
      <c r="O165"/>
      <c r="P165"/>
      <c r="Q165"/>
      <c r="R165"/>
      <c r="S165"/>
      <c r="T165"/>
      <c r="U165"/>
      <c r="V165" s="245">
        <f>Income!CP25</f>
        <v>0.546700964466033</v>
      </c>
      <c r="W165" s="245">
        <f>Income!CQ25</f>
        <v>0.52500696446095074</v>
      </c>
      <c r="X165" s="245">
        <f>Income!CR25</f>
        <v>0.52794547859344154</v>
      </c>
      <c r="Y165" s="245">
        <f>Income!CS25</f>
        <v>0.51586918457183062</v>
      </c>
      <c r="Z165" s="245">
        <f>Income!CU25</f>
        <v>0.56513194294829194</v>
      </c>
      <c r="AA165" s="245">
        <f>Income!CV25</f>
        <v>0.55461411681681538</v>
      </c>
      <c r="AB165" s="245">
        <f>Income!CW25</f>
        <v>0.54185932689056182</v>
      </c>
      <c r="AC165" s="245">
        <f>Income!CX25</f>
        <v>0.501918082584071</v>
      </c>
      <c r="AD165" s="245">
        <f>Income!CZ25</f>
        <v>0.52976471868683139</v>
      </c>
      <c r="AE165" s="245">
        <f>Income!DA25</f>
        <v>0.50626262969446278</v>
      </c>
      <c r="AF165" s="245">
        <f>Income!DB25</f>
        <v>0.48479871175523354</v>
      </c>
      <c r="AG165" s="245">
        <f>Income!DC25</f>
        <v>0.46024099441030381</v>
      </c>
      <c r="AH165" s="245">
        <f>Income!DE25</f>
        <v>0.47546419098143233</v>
      </c>
      <c r="AI165" s="245">
        <f>Income!DF25</f>
        <v>0.49291617473435656</v>
      </c>
      <c r="AJ165" s="245">
        <f>Income!DG25</f>
        <v>0.52567094515752621</v>
      </c>
      <c r="AK165" s="245">
        <f>Income!DH25</f>
        <v>0.49533582089552236</v>
      </c>
      <c r="AL165" s="245">
        <f>Income!DJ25</f>
        <v>0.51423965609887157</v>
      </c>
      <c r="AM165" s="245">
        <f>Income!DK25</f>
        <v>0.51100244498777503</v>
      </c>
      <c r="AN165" s="245">
        <f>Income!DL25</f>
        <v>0.51711378353376503</v>
      </c>
      <c r="AO165" s="245">
        <f>Income!DM25</f>
        <v>0.48079658605974396</v>
      </c>
      <c r="AP165" s="245">
        <f>Income!DO25</f>
        <v>0.49533898305084745</v>
      </c>
      <c r="AQ165" s="245">
        <f>Income!DP25</f>
        <v>0.48582089552238805</v>
      </c>
      <c r="AR165" s="245">
        <f>Income!DQ25</f>
        <v>0.48909985935302391</v>
      </c>
      <c r="AS165" s="245">
        <f>Income!DR25</f>
        <v>0.46105664488017428</v>
      </c>
      <c r="AT165" s="245">
        <f>Income!DT25</f>
        <v>0.48769716088328074</v>
      </c>
      <c r="AU165" s="245">
        <f>Income!DU25</f>
        <v>0.47669550655874965</v>
      </c>
      <c r="AV165" s="245">
        <f>Income!DV25</f>
        <v>0.48431569475685332</v>
      </c>
      <c r="AW165" s="245">
        <f>Income!DW25</f>
        <v>0.45587943179807378</v>
      </c>
      <c r="AX165" s="245">
        <f>Income!DY25</f>
        <v>0.48204155062288551</v>
      </c>
      <c r="AY165" s="245">
        <f>Income!DZ25</f>
        <v>0.47226813436653242</v>
      </c>
      <c r="AZ165" s="245">
        <f>Income!EA25</f>
        <v>0.48070853106111427</v>
      </c>
      <c r="BA165" s="245">
        <f>Income!EB25</f>
        <v>0.45323836876026286</v>
      </c>
      <c r="BB165" s="245">
        <f>Income!ED25</f>
        <v>0.48059279587083642</v>
      </c>
      <c r="BC165" s="245">
        <f>Income!EE25</f>
        <v>0.4705597159761975</v>
      </c>
      <c r="BD165" s="245">
        <f>Income!EF25</f>
        <v>0.47846184187638569</v>
      </c>
      <c r="BE165" s="245">
        <f>Income!EG25</f>
        <v>0.45095693184684682</v>
      </c>
    </row>
    <row r="166" spans="5:112" ht="13.2">
      <c r="E166" s="6" t="s">
        <v>733</v>
      </c>
      <c r="N166"/>
      <c r="O166"/>
      <c r="P166"/>
      <c r="Q166"/>
      <c r="R166"/>
      <c r="S166"/>
      <c r="T166"/>
      <c r="U166"/>
      <c r="V166" s="821">
        <f>Consensus!D25</f>
        <v>0.55680617700813406</v>
      </c>
      <c r="W166" s="821">
        <f>Consensus!E25</f>
        <v>0.53080013606946819</v>
      </c>
      <c r="X166" s="821">
        <f>Consensus!F25</f>
        <v>0.53466702718903314</v>
      </c>
      <c r="Y166" s="821">
        <f>Consensus!G25</f>
        <v>0.5198973146345055</v>
      </c>
      <c r="Z166" s="821">
        <f>Consensus!H25</f>
        <v>0.56938796152721849</v>
      </c>
      <c r="AA166" s="821">
        <f>Consensus!I25</f>
        <v>0.55800821868858319</v>
      </c>
      <c r="AB166" s="821">
        <f>Consensus!J25</f>
        <v>0.5460744923202876</v>
      </c>
      <c r="AC166" s="821">
        <f>Consensus!K25</f>
        <v>0.50596880923810028</v>
      </c>
      <c r="AD166" s="821">
        <f>Consensus!L25</f>
        <v>0.53465138170340709</v>
      </c>
      <c r="AE166" s="821">
        <f>Consensus!M25</f>
        <v>0.51124702041522296</v>
      </c>
      <c r="AF166" s="821">
        <f>Consensus!N25</f>
        <v>0.49371222368613671</v>
      </c>
      <c r="AG166" s="821">
        <f>Consensus!O25</f>
        <v>0.46836123570442967</v>
      </c>
      <c r="AH166" s="821">
        <f>Consensus!P25</f>
        <v>0.48541389257294426</v>
      </c>
      <c r="AI166" s="821">
        <f>Consensus!Q25</f>
        <v>0.49640274498229042</v>
      </c>
      <c r="AJ166" s="821">
        <f>Consensus!R25</f>
        <v>0.52722677946324392</v>
      </c>
      <c r="AK166" s="821">
        <f>Consensus!S25</f>
        <v>0.49699081156716413</v>
      </c>
      <c r="AL166" s="821">
        <f>Consensus!T25</f>
        <v>0.5161707415368082</v>
      </c>
      <c r="AM166" s="821">
        <f>Consensus!U25</f>
        <v>0.51362674816625919</v>
      </c>
      <c r="AN166" s="821">
        <f>Consensus!V25</f>
        <v>0.51810740055504168</v>
      </c>
      <c r="AO166" s="821">
        <f>Consensus!W25</f>
        <v>0.48160785917496446</v>
      </c>
      <c r="AP166" s="821">
        <f>Consensus!X25</f>
        <v>0.49612025423728817</v>
      </c>
      <c r="AQ166" s="821">
        <f>Consensus!Y25</f>
        <v>0.4863636567164179</v>
      </c>
      <c r="AR166" s="821">
        <f>Consensus!Z25</f>
        <v>0.4885412447257384</v>
      </c>
      <c r="AS166" s="821">
        <f>Consensus!AA25</f>
        <v>0.46167644335511987</v>
      </c>
      <c r="AT166" s="821">
        <f>Consensus!AB25</f>
        <v>0.48776618296529972</v>
      </c>
      <c r="AU166" s="821">
        <f>Consensus!AC25</f>
        <v>0.46592606754116661</v>
      </c>
      <c r="AV166" s="821">
        <f>Consensus!AD25</f>
        <v>0.47825534237451711</v>
      </c>
      <c r="AW166" s="821">
        <f>Consensus!AE25</f>
        <v>0.45653245739758652</v>
      </c>
      <c r="AX166" s="821">
        <f>Consensus!AF25</f>
        <v>0.47257514071098738</v>
      </c>
      <c r="AY166" s="821">
        <f>Consensus!AG25</f>
        <v>0.46644770793817297</v>
      </c>
      <c r="AZ166" s="821">
        <f>Consensus!AH25</f>
        <v>0.46892474501207837</v>
      </c>
      <c r="BA166" s="821">
        <f>Consensus!AI25</f>
        <v>0.44805181816515727</v>
      </c>
      <c r="BB166" s="821" t="e">
        <f>Consensus!AJ25</f>
        <v>#VALUE!</v>
      </c>
      <c r="BC166" s="821" t="e">
        <f>Consensus!AJ25</f>
        <v>#VALUE!</v>
      </c>
      <c r="BD166" s="821" t="e">
        <f>Consensus!AK25</f>
        <v>#VALUE!</v>
      </c>
      <c r="BE166" s="821" t="e">
        <f>Consensus!AL25</f>
        <v>#VALUE!</v>
      </c>
      <c r="DA166" s="1416"/>
    </row>
    <row r="167" spans="5:112" ht="13.2">
      <c r="N167"/>
      <c r="O167"/>
      <c r="P167"/>
      <c r="Q167"/>
      <c r="R167"/>
      <c r="S167"/>
      <c r="T167"/>
      <c r="U167"/>
      <c r="V167" s="359"/>
      <c r="W167" s="359"/>
      <c r="X167" s="359"/>
      <c r="Y167" s="359"/>
      <c r="Z167" s="359"/>
      <c r="AA167" s="359"/>
      <c r="AB167" s="359"/>
      <c r="AC167" s="359"/>
      <c r="AD167" s="359"/>
      <c r="AE167" s="359"/>
      <c r="AF167" s="359"/>
      <c r="AG167" s="359"/>
      <c r="AH167" s="359"/>
      <c r="AI167" s="359"/>
      <c r="AJ167" s="359"/>
      <c r="AK167" s="359"/>
      <c r="AL167" s="359"/>
      <c r="AM167" s="359"/>
      <c r="AN167" s="359"/>
      <c r="AO167" s="359"/>
      <c r="AP167" s="359"/>
      <c r="AQ167" s="359"/>
      <c r="AR167" s="359"/>
      <c r="AS167" s="359"/>
      <c r="AT167" s="359"/>
      <c r="AU167" s="359"/>
      <c r="AV167" s="359"/>
      <c r="AW167" s="359"/>
      <c r="AX167" s="359"/>
      <c r="AY167" s="359"/>
      <c r="AZ167" s="359"/>
      <c r="BA167" s="359"/>
      <c r="BB167" s="359"/>
      <c r="BC167" s="359"/>
      <c r="BD167" s="359"/>
      <c r="BE167" s="359"/>
      <c r="CS167" s="6" t="s">
        <v>687</v>
      </c>
      <c r="CT167" s="1116">
        <v>0.42684607999999996</v>
      </c>
      <c r="CU167" s="1116">
        <v>0.44637314000000006</v>
      </c>
      <c r="CV167" s="1116">
        <v>0.40603003999999998</v>
      </c>
      <c r="CW167" s="1116">
        <v>0.32033718</v>
      </c>
      <c r="CX167" s="1116">
        <v>0.25019953</v>
      </c>
      <c r="CY167" s="1116">
        <v>0.24545164</v>
      </c>
      <c r="CZ167" s="1116">
        <v>0.1573552</v>
      </c>
      <c r="DA167" s="1116">
        <v>8.7688219999999997E-2</v>
      </c>
      <c r="DB167" s="6"/>
    </row>
    <row r="168" spans="5:112" ht="13.2">
      <c r="E168" s="6" t="s">
        <v>734</v>
      </c>
      <c r="N168"/>
      <c r="O168"/>
      <c r="P168"/>
      <c r="Q168"/>
      <c r="R168"/>
      <c r="S168"/>
      <c r="T168"/>
      <c r="U168"/>
      <c r="V168" s="1215">
        <f>'Cash Flow'!CP57</f>
        <v>-0.21637188005982966</v>
      </c>
      <c r="W168" s="1215">
        <f>'Cash Flow'!CQ57</f>
        <v>0.23322334851282511</v>
      </c>
      <c r="X168" s="1215">
        <f>'Cash Flow'!CR57</f>
        <v>0.10334699409047376</v>
      </c>
      <c r="Y168" s="1215">
        <f>'Cash Flow'!CS57</f>
        <v>0.24445049010784003</v>
      </c>
      <c r="Z168" s="1215">
        <f>'Cash Flow'!CU57</f>
        <v>0.13199352246049356</v>
      </c>
      <c r="AA168" s="1215">
        <f>'Cash Flow'!CV57</f>
        <v>5.1952530048372532E-2</v>
      </c>
      <c r="AB168" s="1215">
        <f>'Cash Flow'!CW57</f>
        <v>2.7145069144108195E-2</v>
      </c>
      <c r="AC168" s="1215">
        <f>'Cash Flow'!CX57</f>
        <v>0.1699122623954365</v>
      </c>
      <c r="AD168" s="1215">
        <f>'Cash Flow'!CZ57</f>
        <v>-5.7743163764733645E-2</v>
      </c>
      <c r="AE168" s="1215">
        <f>'Cash Flow'!DA57</f>
        <v>-0.10556629291393546</v>
      </c>
      <c r="AF168" s="1215">
        <f>'Cash Flow'!DB57</f>
        <v>-0.16689430537256625</v>
      </c>
      <c r="AG168" s="1215">
        <f>'Cash Flow'!DC57</f>
        <v>0.14280353987197533</v>
      </c>
      <c r="AH168" s="1215">
        <f>'Cash Flow'!DE57</f>
        <v>5.7029177718832889E-2</v>
      </c>
      <c r="AI168" s="1215">
        <f>'Cash Flow'!DF57</f>
        <v>5.7260920897284531E-2</v>
      </c>
      <c r="AJ168" s="1215">
        <f>'Cash Flow'!DG57</f>
        <v>0.16102683780630106</v>
      </c>
      <c r="AK168" s="1215">
        <f>'Cash Flow'!DH57</f>
        <v>0.2080223880597015</v>
      </c>
      <c r="AL168" s="1215">
        <f>'Cash Flow'!DJ57</f>
        <v>0.1246641590542719</v>
      </c>
      <c r="AM168" s="1215">
        <f>'Cash Flow'!DK57</f>
        <v>0.16283618581907092</v>
      </c>
      <c r="AN168" s="1215">
        <f>'Cash Flow'!DL57</f>
        <v>0.19472710453283995</v>
      </c>
      <c r="AO168" s="1215">
        <f>'Cash Flow'!DM57</f>
        <v>0.21728307254623044</v>
      </c>
      <c r="AP168" s="1215">
        <f>'Cash Flow'!DO57</f>
        <v>0.15381355932203389</v>
      </c>
      <c r="AQ168" s="1215">
        <f>'Cash Flow'!DP57</f>
        <v>0.15746268656716417</v>
      </c>
      <c r="AR168" s="1215">
        <f>'Cash Flow'!DQ57</f>
        <v>0.17827004219409281</v>
      </c>
      <c r="AS168" s="1215">
        <f>'Cash Flow'!DR57</f>
        <v>0.19471677559912853</v>
      </c>
      <c r="AT168" s="1215">
        <f>'Cash Flow'!DT57</f>
        <v>0.15015772870662461</v>
      </c>
      <c r="AU168" s="1215">
        <f>'Cash Flow'!DU57</f>
        <v>0.18252860731230813</v>
      </c>
      <c r="AV168" s="1215">
        <f>'Cash Flow'!DV57</f>
        <v>0.21071240350945492</v>
      </c>
      <c r="AW168" s="1215">
        <f>'Cash Flow'!DW57</f>
        <v>0.21708007272485472</v>
      </c>
      <c r="AX168" s="1215">
        <f>'Cash Flow'!DY57</f>
        <v>0.13496226647912865</v>
      </c>
      <c r="AY168" s="1215">
        <f>'Cash Flow'!DZ57</f>
        <v>0.1881281822755341</v>
      </c>
      <c r="AZ168" s="1215">
        <f>'Cash Flow'!EA57</f>
        <v>0.19903941638712244</v>
      </c>
      <c r="BA168" s="1215">
        <f>'Cash Flow'!EB57</f>
        <v>0.24146204033497104</v>
      </c>
      <c r="BB168" s="1215">
        <f>'Cash Flow'!ED57</f>
        <v>0.13215686127472931</v>
      </c>
      <c r="BC168" s="1215">
        <f>'Cash Flow'!EE57</f>
        <v>0.19250367998668458</v>
      </c>
      <c r="BD168" s="1215">
        <f>'Cash Flow'!EF57</f>
        <v>0.1941198739087695</v>
      </c>
      <c r="BE168" s="1215">
        <f>'Cash Flow'!EG57</f>
        <v>0.23575904296049346</v>
      </c>
      <c r="CS168" s="6" t="s">
        <v>649</v>
      </c>
      <c r="CT168" s="1124">
        <v>0.15092669</v>
      </c>
      <c r="CU168" s="1124">
        <v>0.22080522999999999</v>
      </c>
      <c r="CV168" s="1124">
        <v>0.15269257</v>
      </c>
      <c r="CW168" s="1124">
        <v>0.31198992000000003</v>
      </c>
      <c r="CX168" s="1124">
        <v>-2.5316489999999997E-2</v>
      </c>
      <c r="CY168" s="1124">
        <v>0.23743998999999999</v>
      </c>
      <c r="CZ168" s="1124">
        <v>0.14352211000000001</v>
      </c>
      <c r="DA168" s="1124">
        <v>0.10651289</v>
      </c>
      <c r="DB168" s="1124">
        <v>0.09</v>
      </c>
      <c r="DC168" s="1124">
        <v>9.9000000000000005E-2</v>
      </c>
      <c r="DD168" s="1124">
        <v>9.6000000000000002E-2</v>
      </c>
      <c r="DE168" s="1124"/>
      <c r="DF168" s="1124"/>
      <c r="DG168" s="1124"/>
      <c r="DH168" s="1124"/>
    </row>
    <row r="169" spans="5:112" ht="13.2">
      <c r="E169" s="6" t="s">
        <v>735</v>
      </c>
      <c r="N169"/>
      <c r="O169"/>
      <c r="P169"/>
      <c r="Q169"/>
      <c r="R169"/>
      <c r="S169"/>
      <c r="T169"/>
      <c r="U169"/>
      <c r="V169" s="821">
        <f>Consensus!D80</f>
        <v>-0.21637364601351913</v>
      </c>
      <c r="W169" s="821">
        <f>Consensus!E80</f>
        <v>0.19224991985620313</v>
      </c>
      <c r="X169" s="821">
        <f>Consensus!F80</f>
        <v>9.4673607808132609E-2</v>
      </c>
      <c r="Y169" s="821">
        <f>Consensus!G80</f>
        <v>0.24444793320132877</v>
      </c>
      <c r="Z169" s="821">
        <f>Consensus!H80</f>
        <v>0.13199414958018382</v>
      </c>
      <c r="AA169" s="821">
        <f>Consensus!I80</f>
        <v>7.6234509558692154E-2</v>
      </c>
      <c r="AB169" s="821">
        <f>Consensus!J80</f>
        <v>4.0403474113229039E-2</v>
      </c>
      <c r="AC169" s="821">
        <f>Consensus!K80</f>
        <v>0.16665338428896889</v>
      </c>
      <c r="AD169" s="821">
        <f>Consensus!L80</f>
        <v>-5.4560273441102404E-2</v>
      </c>
      <c r="AE169" s="821">
        <f>Consensus!M80</f>
        <v>-0.17047031688805872</v>
      </c>
      <c r="AF169" s="821">
        <f>Consensus!N80</f>
        <v>-5.9352883911579557E-2</v>
      </c>
      <c r="AG169" s="821">
        <f>Consensus!O80</f>
        <v>0.1269980656815245</v>
      </c>
      <c r="AH169" s="821">
        <f>Consensus!P80</f>
        <v>5.8199124668435014E-2</v>
      </c>
      <c r="AI169" s="821">
        <f>Consensus!Q80</f>
        <v>4.796340023612751E-2</v>
      </c>
      <c r="AJ169" s="821">
        <f>Consensus!R80</f>
        <v>0.16102683780630106</v>
      </c>
      <c r="AK169" s="821">
        <f>Consensus!S80</f>
        <v>0.2080223880597015</v>
      </c>
      <c r="AL169" s="821">
        <f>Consensus!T80</f>
        <v>0.12208490059108006</v>
      </c>
      <c r="AM169" s="821">
        <f>Consensus!U80</f>
        <v>0.16283618581907092</v>
      </c>
      <c r="AN169" s="821">
        <f>Consensus!V80</f>
        <v>0.19472710453283995</v>
      </c>
      <c r="AO169" s="821">
        <f>Consensus!W80</f>
        <v>0.21728307254623044</v>
      </c>
      <c r="AP169" s="821">
        <f>Consensus!X80</f>
        <v>0.15381355932203389</v>
      </c>
      <c r="AQ169" s="821">
        <f>Consensus!Y80</f>
        <v>0.1575</v>
      </c>
      <c r="AR169" s="821">
        <f>Consensus!Z80</f>
        <v>0.17827004219409281</v>
      </c>
      <c r="AS169" s="821">
        <f>Consensus!AA80</f>
        <v>0.19556402505446621</v>
      </c>
      <c r="AT169" s="821">
        <f>Consensus!AB80</f>
        <v>0.14918130914826497</v>
      </c>
      <c r="AU169" s="821">
        <f>Consensus!AC80</f>
        <v>0.16737560703321241</v>
      </c>
      <c r="AV169" s="821">
        <f>Consensus!AD80</f>
        <v>0.18202631347608514</v>
      </c>
      <c r="AW169" s="821">
        <f>Consensus!AE80</f>
        <v>0.20489348177887767</v>
      </c>
      <c r="AX169" s="821">
        <f>Consensus!AF80</f>
        <v>0.14166326667279877</v>
      </c>
      <c r="AY169" s="821">
        <f>Consensus!AG80</f>
        <v>0.166332188809483</v>
      </c>
      <c r="AZ169" s="821">
        <f>Consensus!AH80</f>
        <v>0.18820537072304094</v>
      </c>
      <c r="BA169" s="821">
        <f>Consensus!AI80</f>
        <v>0.22521082547237734</v>
      </c>
      <c r="BB169" s="821" t="e">
        <f>Consensus!AJ80</f>
        <v>#VALUE!</v>
      </c>
      <c r="BC169" s="821" t="e">
        <f>Consensus!AK80</f>
        <v>#VALUE!</v>
      </c>
      <c r="BD169" s="821" t="e">
        <f>Consensus!AL80</f>
        <v>#VALUE!</v>
      </c>
      <c r="BE169" s="821" t="e">
        <f>Consensus!AM80</f>
        <v>#VALUE!</v>
      </c>
      <c r="CS169" s="6" t="s">
        <v>650</v>
      </c>
      <c r="CW169" s="1116">
        <v>-27.23</v>
      </c>
      <c r="CX169" s="1116">
        <v>-33.04</v>
      </c>
      <c r="CY169" s="1116">
        <v>-36.380000000000003</v>
      </c>
      <c r="CZ169" s="1116">
        <v>-30.62</v>
      </c>
      <c r="DA169" s="1116">
        <v>-35.07</v>
      </c>
      <c r="DB169" s="1116">
        <v>7.5999999999999998E-2</v>
      </c>
      <c r="DC169" s="1116">
        <v>5.1999999999999998E-2</v>
      </c>
      <c r="DD169" s="1116">
        <v>7.2999999999999995E-2</v>
      </c>
      <c r="DE169" s="1116"/>
      <c r="DF169" s="1116"/>
      <c r="DG169" s="1116"/>
      <c r="DH169" s="1116"/>
    </row>
    <row r="170" spans="5:112">
      <c r="CS170" s="6" t="s">
        <v>651</v>
      </c>
      <c r="CT170" s="1116">
        <f t="shared" ref="CT170:DE170" si="94">CT6</f>
        <v>0.89701461265975735</v>
      </c>
      <c r="CU170" s="1116">
        <f t="shared" si="94"/>
        <v>0.72939151876300312</v>
      </c>
      <c r="CV170" s="1116">
        <f t="shared" si="94"/>
        <v>0.59397389589249405</v>
      </c>
      <c r="CW170" s="1116">
        <f t="shared" si="94"/>
        <v>0.47049045450691351</v>
      </c>
      <c r="CX170" s="1116">
        <f t="shared" si="94"/>
        <v>0.856254669164914</v>
      </c>
      <c r="CY170" s="1116">
        <f t="shared" si="94"/>
        <v>0.57428577182862139</v>
      </c>
      <c r="CZ170" s="1116">
        <f t="shared" si="94"/>
        <v>0.21423218764853047</v>
      </c>
      <c r="DA170" s="1116">
        <f t="shared" si="94"/>
        <v>0.26074490380480664</v>
      </c>
      <c r="DB170" s="1116">
        <f t="shared" si="94"/>
        <v>0.25779036827195467</v>
      </c>
      <c r="DC170" s="1116">
        <f t="shared" si="94"/>
        <v>0.30135135135135127</v>
      </c>
      <c r="DD170" s="1116">
        <f t="shared" si="94"/>
        <v>0.31634523397107017</v>
      </c>
      <c r="DE170" s="1116">
        <f t="shared" si="94"/>
        <v>0.25786715559515483</v>
      </c>
      <c r="DF170" s="1116">
        <f t="shared" ref="DF170:DH170" si="95">DF6</f>
        <v>0.20711689751887263</v>
      </c>
      <c r="DG170" s="1116">
        <f t="shared" si="95"/>
        <v>0.18539712867798808</v>
      </c>
      <c r="DH170" s="1116">
        <f t="shared" si="95"/>
        <v>0.1732072321725342</v>
      </c>
    </row>
    <row r="171" spans="5:112">
      <c r="CS171" s="6" t="s">
        <v>652</v>
      </c>
      <c r="CT171" s="1116">
        <v>0.14969201999999998</v>
      </c>
      <c r="CU171" s="1116">
        <v>0.20737057</v>
      </c>
      <c r="CV171" s="1116">
        <v>0.19322299999999998</v>
      </c>
      <c r="CW171" s="1116">
        <v>0.12121551999999999</v>
      </c>
      <c r="CX171" s="1116">
        <v>0.11025496999999999</v>
      </c>
      <c r="CY171" s="1116">
        <v>0.15407365000000001</v>
      </c>
      <c r="CZ171" s="1116">
        <v>6.8346989999999996E-2</v>
      </c>
      <c r="DA171" s="1116">
        <v>3.7151200000000002E-2</v>
      </c>
      <c r="DB171" s="1116">
        <v>7.1999999999999995E-2</v>
      </c>
      <c r="DC171" s="1116">
        <v>7.2999999999999995E-2</v>
      </c>
      <c r="DD171" s="1116">
        <v>7.1999999999999995E-2</v>
      </c>
    </row>
    <row r="172" spans="5:112">
      <c r="CS172" s="6" t="s">
        <v>653</v>
      </c>
      <c r="CT172" s="1116">
        <v>0.42544144</v>
      </c>
      <c r="CU172" s="1116">
        <v>0.46718922000000002</v>
      </c>
      <c r="CV172" s="1116">
        <v>0.41835743000000003</v>
      </c>
      <c r="CW172" s="1116">
        <v>0.26069734999999999</v>
      </c>
      <c r="CX172" s="1116">
        <v>0.29336814999999999</v>
      </c>
      <c r="CY172" s="1116">
        <v>0.28982074999999996</v>
      </c>
      <c r="CZ172" s="1116">
        <v>9.2945589999999995E-2</v>
      </c>
      <c r="DA172" s="1116">
        <v>0.12538970000000002</v>
      </c>
      <c r="DB172" s="1116">
        <v>0.128</v>
      </c>
      <c r="DC172" s="1116">
        <v>0.14699999999999999</v>
      </c>
      <c r="DD172" s="1116">
        <v>0.13</v>
      </c>
    </row>
    <row r="173" spans="5:112">
      <c r="E173" s="6" t="s">
        <v>817</v>
      </c>
      <c r="AT173" s="1628">
        <v>3086.5</v>
      </c>
      <c r="AU173" s="1628">
        <v>3405.4</v>
      </c>
      <c r="AV173" s="1628">
        <v>3573.1</v>
      </c>
      <c r="AW173" s="1628">
        <v>4599.8</v>
      </c>
      <c r="CT173" s="1116"/>
    </row>
    <row r="174" spans="5:112">
      <c r="AT174" s="1626">
        <f>AT173/Income!DO10-1</f>
        <v>0.30783898305084745</v>
      </c>
      <c r="AU174" s="1626">
        <f>AU173/Income!DP10-1</f>
        <v>0.27067164179104486</v>
      </c>
      <c r="AV174" s="1626">
        <f>AV173/Income!DQ10-1</f>
        <v>0.25636427566807307</v>
      </c>
      <c r="AW174" s="1626">
        <f>AW173/Income!DR10-1</f>
        <v>0.25266884531590428</v>
      </c>
      <c r="CT174" s="1125"/>
    </row>
    <row r="175" spans="5:112">
      <c r="CT175" s="1125"/>
      <c r="CU175" s="1125"/>
      <c r="CV175" s="1125"/>
      <c r="CW175" s="1125"/>
      <c r="CX175" s="1125"/>
      <c r="CY175" s="1125"/>
      <c r="CZ175" s="1125"/>
      <c r="DA175" s="1443"/>
      <c r="DB175" s="1125"/>
      <c r="DC175" s="1125"/>
      <c r="DD175" s="1125"/>
      <c r="DE175" s="1125"/>
      <c r="DF175" s="1125"/>
      <c r="DG175" s="1125"/>
      <c r="DH175" s="1125"/>
    </row>
    <row r="176" spans="5:112">
      <c r="E176" s="6" t="s">
        <v>818</v>
      </c>
      <c r="AT176" s="1627">
        <v>98374.1</v>
      </c>
      <c r="AU176" s="1627">
        <v>110536.8</v>
      </c>
      <c r="AV176" s="1627">
        <v>114878.1</v>
      </c>
      <c r="AW176" s="1627">
        <v>154050.79999999999</v>
      </c>
      <c r="CT176" s="1125"/>
      <c r="CU176" s="1125"/>
      <c r="CV176" s="1125"/>
      <c r="CW176" s="1125"/>
      <c r="CX176" s="1125"/>
      <c r="CY176" s="1125"/>
      <c r="CZ176" s="1125"/>
      <c r="DA176" s="1443"/>
      <c r="DB176" s="1125"/>
      <c r="DC176" s="1125"/>
      <c r="DD176" s="1125"/>
      <c r="DE176" s="1125"/>
      <c r="DF176" s="1125"/>
      <c r="DG176" s="1125"/>
      <c r="DH176" s="1125"/>
    </row>
    <row r="177" spans="5:135">
      <c r="AT177" s="1626">
        <f>AT176/'Revenue Build'!DO63-1</f>
        <v>0.31604147157190643</v>
      </c>
      <c r="AU177" s="1626">
        <f>AU176/'Revenue Build'!DP63-1</f>
        <v>0.25843095734143939</v>
      </c>
      <c r="AV177" s="1626">
        <f>AV176/'Revenue Build'!DQ63-1</f>
        <v>0.24849858172214812</v>
      </c>
      <c r="AW177" s="1626">
        <f>AW176/'Revenue Build'!DR63-1</f>
        <v>0.24394021366106533</v>
      </c>
      <c r="CT177" s="1125"/>
      <c r="CU177" s="1125"/>
      <c r="CV177" s="1125"/>
      <c r="CW177" s="1125"/>
      <c r="CX177" s="1125"/>
      <c r="CY177" s="1125"/>
      <c r="CZ177" s="1125"/>
      <c r="DA177" s="1443"/>
      <c r="DB177" s="1125"/>
      <c r="DC177" s="1125"/>
      <c r="DD177" s="1125"/>
      <c r="DE177" s="1125"/>
      <c r="DF177" s="1125"/>
      <c r="DG177" s="1125"/>
      <c r="DH177" s="1125"/>
    </row>
    <row r="178" spans="5:135">
      <c r="E178" s="6" t="str">
        <f>CS178</f>
        <v>GMV per merchant</v>
      </c>
      <c r="CS178" s="6" t="s">
        <v>654</v>
      </c>
      <c r="CT178" s="1129" cm="1">
        <f t="array" aca="1" ref="CT178" ca="1">INDIRECT("'Revenue Build'!"&amp;CT1&amp;"19")</f>
        <v>1.2878787878787881</v>
      </c>
      <c r="CU178" s="1129" cm="1">
        <f t="array" aca="1" ref="CU178" ca="1">INDIRECT("'Revenue Build'!"&amp;CU1&amp;"19")</f>
        <v>0.61324503311258272</v>
      </c>
      <c r="CV178" s="1129" cm="1">
        <f t="array" aca="1" ref="CV178" ca="1">INDIRECT("'Revenue Build'!"&amp;CV1&amp;"19")</f>
        <v>0.34646962233169121</v>
      </c>
      <c r="CW178" s="1129" cm="1">
        <f t="array" aca="1" ref="CW178" ca="1">INDIRECT("'Revenue Build'!"&amp;CW1&amp;"19")</f>
        <v>0.21951219512195119</v>
      </c>
      <c r="CX178" s="1129" cm="1">
        <f t="array" aca="1" ref="CX178" ca="1">INDIRECT("'Revenue Build'!"&amp;CX1&amp;"19")</f>
        <v>0.74900000000000011</v>
      </c>
      <c r="CY178" s="1129" cm="1">
        <f t="array" aca="1" ref="CY178" ca="1">INDIRECT("'Revenue Build'!"&amp;CY1&amp;"19")</f>
        <v>0.17953116066323616</v>
      </c>
      <c r="CZ178" s="1129" cm="1">
        <f t="array" aca="1" ref="CZ178" ca="1">INDIRECT("'Revenue Build'!"&amp;CZ1&amp;"19")</f>
        <v>0.18484615000000004</v>
      </c>
      <c r="DA178" s="1129" cm="1">
        <f t="array" aca="1" ref="DA178" ca="1">INDIRECT("'Revenue Build'!"&amp;DA1&amp;"19")</f>
        <v>0.25006437499999978</v>
      </c>
      <c r="DB178" s="1129" cm="1">
        <f t="array" aca="1" ref="DB178" ca="1">INDIRECT("'Revenue Build'!"&amp;DB1&amp;"19")</f>
        <v>0.10381289062499954</v>
      </c>
      <c r="DC178" s="1129" cm="1">
        <f t="array" aca="1" ref="DC178" ca="1">INDIRECT("'Revenue Build'!"&amp;DC1&amp;"19")</f>
        <v>0.10381289062499954</v>
      </c>
      <c r="DD178" s="1129" cm="1">
        <f t="array" aca="1" ref="DD178" ca="1">INDIRECT("'Revenue Build'!"&amp;DD1&amp;"19")</f>
        <v>0.11460806249999989</v>
      </c>
      <c r="DE178" s="1129" cm="1">
        <f t="array" aca="1" ref="DE178" ca="1">INDIRECT("'Revenue Build'!"&amp;DE1&amp;"19")</f>
        <v>0.12550881000000014</v>
      </c>
      <c r="DF178" s="1129" cm="1">
        <f t="array" aca="1" ref="DF178" ca="1">INDIRECT("'Revenue Build'!"&amp;DF1&amp;"19")</f>
        <v>0.10381289062499954</v>
      </c>
      <c r="DG178" s="1129" cm="1">
        <f t="array" aca="1" ref="DG178" ca="1">INDIRECT("'Revenue Build'!"&amp;DG1&amp;"19")</f>
        <v>0.10381289062499954</v>
      </c>
      <c r="DH178" s="1129" cm="1">
        <f t="array" aca="1" ref="DH178" ca="1">INDIRECT("'Revenue Build'!"&amp;DH1&amp;"19")</f>
        <v>0.10381289062499977</v>
      </c>
    </row>
    <row r="179" spans="5:135">
      <c r="E179" s="6" t="str">
        <f>CS179</f>
        <v>y/y % growth</v>
      </c>
      <c r="CS179" s="6" t="s">
        <v>655</v>
      </c>
      <c r="CU179" s="1123">
        <f t="shared" ref="CU179:DE179" ca="1" si="96">CU178/CT178-1</f>
        <v>-0.52383326840670053</v>
      </c>
      <c r="CV179" s="1123">
        <f t="shared" ca="1" si="96"/>
        <v>-0.43502253809843006</v>
      </c>
      <c r="CW179" s="1123">
        <f t="shared" ca="1" si="96"/>
        <v>-0.36643162640157201</v>
      </c>
      <c r="CX179" s="1123">
        <f t="shared" ca="1" si="96"/>
        <v>2.4121111111111122</v>
      </c>
      <c r="CY179" s="1123">
        <f t="shared" ca="1" si="96"/>
        <v>-0.76030552648433092</v>
      </c>
      <c r="CZ179" s="1123">
        <f t="shared" ca="1" si="96"/>
        <v>2.9604829140127409E-2</v>
      </c>
      <c r="DA179" s="1123">
        <f t="shared" ca="1" si="96"/>
        <v>0.35282436231427994</v>
      </c>
      <c r="DB179" s="1123">
        <f t="shared" ca="1" si="96"/>
        <v>-0.58485533725065941</v>
      </c>
      <c r="DC179" s="1123">
        <f t="shared" ca="1" si="96"/>
        <v>0</v>
      </c>
      <c r="DD179" s="1123">
        <f t="shared" ca="1" si="96"/>
        <v>0.10398681522119868</v>
      </c>
      <c r="DE179" s="1123">
        <f t="shared" ca="1" si="96"/>
        <v>9.5113269190815197E-2</v>
      </c>
      <c r="DF179" s="1123">
        <f t="shared" ref="DF179" ca="1" si="97">DF178/DE178-1</f>
        <v>-0.17286371669845779</v>
      </c>
      <c r="DG179" s="1123">
        <f t="shared" ref="DG179" ca="1" si="98">DG178/DF178-1</f>
        <v>0</v>
      </c>
      <c r="DH179" s="1123">
        <f t="shared" ref="DH179" ca="1" si="99">DH178/DG178-1</f>
        <v>2.2204460492503131E-15</v>
      </c>
    </row>
    <row r="180" spans="5:135">
      <c r="CW180" s="1130"/>
      <c r="CX180" s="1130"/>
      <c r="CY180" s="1130"/>
      <c r="CZ180" s="1130"/>
      <c r="DA180" s="1130"/>
      <c r="DB180" s="1130"/>
      <c r="DC180" s="1130"/>
      <c r="DD180" s="1130"/>
    </row>
    <row r="183" spans="5:135">
      <c r="DE183" s="1130"/>
      <c r="DF183" s="1130"/>
      <c r="DG183" s="1130"/>
      <c r="DH183" s="1130"/>
      <c r="DI183" s="889"/>
      <c r="DJ183" s="889"/>
      <c r="DK183" s="889"/>
      <c r="DL183" s="889"/>
      <c r="DM183" s="889"/>
      <c r="DN183" s="889"/>
      <c r="DO183" s="889"/>
      <c r="DP183" s="889"/>
      <c r="DQ183" s="889"/>
      <c r="DR183" s="889"/>
      <c r="DS183" s="889"/>
      <c r="DT183" s="889"/>
      <c r="DU183" s="889"/>
      <c r="DV183" s="889"/>
      <c r="DW183" s="889"/>
      <c r="DX183" s="889"/>
      <c r="DY183" s="889"/>
      <c r="DZ183" s="889"/>
      <c r="EA183" s="889"/>
      <c r="EB183" s="889"/>
      <c r="EC183" s="889"/>
      <c r="ED183" s="889"/>
      <c r="EE183" s="889"/>
    </row>
    <row r="184" spans="5:135">
      <c r="DA184" s="1416"/>
      <c r="DE184" s="1130"/>
      <c r="DF184" s="1130"/>
      <c r="DG184" s="1130"/>
      <c r="DH184" s="1130"/>
      <c r="DI184" s="889"/>
      <c r="DJ184" s="889"/>
      <c r="DK184" s="889"/>
      <c r="DL184" s="889"/>
      <c r="DM184" s="889"/>
      <c r="DN184" s="889"/>
      <c r="DO184" s="889"/>
      <c r="DP184" s="889"/>
      <c r="DQ184" s="889"/>
      <c r="DR184" s="889"/>
      <c r="DS184" s="889"/>
      <c r="DT184" s="889"/>
      <c r="DU184" s="889"/>
      <c r="DV184" s="889"/>
      <c r="DW184" s="889"/>
      <c r="DX184" s="889"/>
      <c r="DY184" s="889"/>
      <c r="DZ184" s="889"/>
      <c r="EA184" s="889"/>
      <c r="EB184" s="889"/>
      <c r="EC184" s="889"/>
      <c r="ED184" s="889"/>
      <c r="EE184" s="889"/>
    </row>
    <row r="185" spans="5:135">
      <c r="E185" s="6" t="str">
        <f>CS185</f>
        <v>Subscription solutions revenue growth y/y</v>
      </c>
      <c r="CS185" s="6" t="s">
        <v>663</v>
      </c>
      <c r="CU185" s="1007">
        <f t="shared" ref="CU185:DE185" si="100">CU33/CT33-1</f>
        <v>0.64380242410103605</v>
      </c>
      <c r="CV185" s="1007">
        <f t="shared" si="100"/>
        <v>0.49983711306288714</v>
      </c>
      <c r="CW185" s="1007">
        <f t="shared" si="100"/>
        <v>0.38117532193825321</v>
      </c>
      <c r="CX185" s="1007">
        <f t="shared" si="100"/>
        <v>0.41497817797368919</v>
      </c>
      <c r="CY185" s="1007">
        <f t="shared" si="100"/>
        <v>0.47710994248187366</v>
      </c>
      <c r="CZ185" s="1007">
        <f t="shared" si="100"/>
        <v>0.10833741825804899</v>
      </c>
      <c r="DA185" s="1007">
        <f t="shared" si="100"/>
        <v>0.23474299264867504</v>
      </c>
      <c r="DB185" s="1007">
        <f t="shared" si="100"/>
        <v>0.27925966249319534</v>
      </c>
      <c r="DC185" s="1007">
        <f t="shared" si="100"/>
        <v>0.171063829787234</v>
      </c>
      <c r="DD185" s="1007">
        <f t="shared" si="100"/>
        <v>0.21655146394247371</v>
      </c>
      <c r="DE185" s="1101">
        <f t="shared" si="100"/>
        <v>0.202984799144728</v>
      </c>
      <c r="DF185" s="1101">
        <f t="shared" ref="DF185:DH186" si="101">DF33/DE33-1</f>
        <v>0.17809450639629776</v>
      </c>
      <c r="DG185" s="1101">
        <f t="shared" si="101"/>
        <v>0.17004166406249954</v>
      </c>
      <c r="DH185" s="1101">
        <f t="shared" si="101"/>
        <v>0.17004166406249976</v>
      </c>
      <c r="DI185" s="889"/>
      <c r="DJ185" s="889"/>
      <c r="DK185" s="889"/>
      <c r="DL185" s="889"/>
      <c r="DM185" s="889"/>
      <c r="DN185" s="889"/>
      <c r="DO185" s="889"/>
      <c r="DP185" s="889"/>
      <c r="DQ185" s="889"/>
      <c r="DR185" s="889"/>
      <c r="DS185" s="889"/>
      <c r="DT185" s="889"/>
      <c r="DU185" s="889"/>
      <c r="DV185" s="889"/>
      <c r="DW185" s="889"/>
      <c r="DX185" s="889"/>
      <c r="DY185" s="889"/>
      <c r="DZ185" s="889"/>
      <c r="EA185" s="889"/>
      <c r="EB185" s="889"/>
      <c r="EC185" s="889"/>
      <c r="ED185" s="889"/>
      <c r="EE185" s="889"/>
    </row>
    <row r="186" spans="5:135">
      <c r="E186" s="6" t="str">
        <f>CS186</f>
        <v xml:space="preserve">Merchant solutions revenue growth y/y </v>
      </c>
      <c r="CS186" s="6" t="s">
        <v>664</v>
      </c>
      <c r="CU186" s="1007">
        <f t="shared" ref="CU186:DE186" si="102">CU34/CT34-1</f>
        <v>0.80981347521970481</v>
      </c>
      <c r="CV186" s="1007">
        <f t="shared" si="102"/>
        <v>0.67431380807271646</v>
      </c>
      <c r="CW186" s="1007">
        <f t="shared" si="102"/>
        <v>0.53877214817347974</v>
      </c>
      <c r="CX186" s="1007">
        <f t="shared" si="102"/>
        <v>1.1590607009910974</v>
      </c>
      <c r="CY186" s="1007">
        <f t="shared" si="102"/>
        <v>0.61798732539760315</v>
      </c>
      <c r="CZ186" s="1007">
        <f t="shared" si="102"/>
        <v>0.25770831332531174</v>
      </c>
      <c r="DA186" s="1007">
        <f t="shared" si="102"/>
        <v>0.27015239153669479</v>
      </c>
      <c r="DB186" s="1007">
        <f t="shared" si="102"/>
        <v>0.25023932605782107</v>
      </c>
      <c r="DC186" s="1007">
        <f t="shared" si="102"/>
        <v>0.34823889739663083</v>
      </c>
      <c r="DD186" s="1007">
        <f t="shared" si="102"/>
        <v>0.34753928839164039</v>
      </c>
      <c r="DE186" s="1101">
        <f t="shared" si="102"/>
        <v>0.27335497212532989</v>
      </c>
      <c r="DF186" s="1101">
        <f t="shared" si="101"/>
        <v>0.2148544086533577</v>
      </c>
      <c r="DG186" s="1101">
        <f t="shared" si="101"/>
        <v>0.18936709620788461</v>
      </c>
      <c r="DH186" s="1101">
        <f t="shared" si="101"/>
        <v>0.17401235300209872</v>
      </c>
      <c r="DI186" s="889"/>
      <c r="DJ186" s="889"/>
      <c r="DK186" s="889"/>
      <c r="DL186" s="889"/>
      <c r="DM186" s="889"/>
      <c r="DN186" s="889"/>
      <c r="DO186" s="889"/>
      <c r="DP186" s="889"/>
      <c r="DQ186" s="889"/>
      <c r="DR186" s="889"/>
      <c r="DS186" s="889"/>
      <c r="DT186" s="889"/>
      <c r="DU186" s="889"/>
      <c r="DV186" s="889"/>
      <c r="DW186" s="889"/>
      <c r="DX186" s="889"/>
      <c r="DY186" s="889"/>
      <c r="DZ186" s="889"/>
      <c r="EA186" s="889"/>
      <c r="EB186" s="889"/>
      <c r="EC186" s="889"/>
      <c r="ED186" s="889"/>
      <c r="EE186" s="889"/>
    </row>
    <row r="187" spans="5:135">
      <c r="E187" s="6" t="str">
        <f>CS187</f>
        <v>Total revenue growth y/y</v>
      </c>
      <c r="CS187" s="6" t="s">
        <v>665</v>
      </c>
      <c r="CU187" s="1007">
        <f t="shared" ref="CU187:DE187" ca="1" si="103">CU31/CT31-1</f>
        <v>0.72939151876300312</v>
      </c>
      <c r="CV187" s="1007">
        <f t="shared" ca="1" si="103"/>
        <v>0.59397389589249405</v>
      </c>
      <c r="CW187" s="1007">
        <f t="shared" ca="1" si="103"/>
        <v>0.47049045450691351</v>
      </c>
      <c r="CX187" s="1007">
        <f t="shared" ca="1" si="103"/>
        <v>0.856254669164914</v>
      </c>
      <c r="CY187" s="1007">
        <f t="shared" ca="1" si="103"/>
        <v>0.57428577182862139</v>
      </c>
      <c r="CZ187" s="1007">
        <f t="shared" ca="1" si="103"/>
        <v>0.21423218764853047</v>
      </c>
      <c r="DA187" s="1007">
        <f t="shared" ca="1" si="103"/>
        <v>0.26074490380480664</v>
      </c>
      <c r="DB187" s="1007">
        <f t="shared" ca="1" si="103"/>
        <v>0.25779036827195467</v>
      </c>
      <c r="DC187" s="1007">
        <f t="shared" ca="1" si="103"/>
        <v>0.30135135135135127</v>
      </c>
      <c r="DD187" s="1007">
        <f t="shared" ca="1" si="103"/>
        <v>0.31634523397107017</v>
      </c>
      <c r="DE187" s="1007">
        <f t="shared" ca="1" si="103"/>
        <v>0.25786715559515483</v>
      </c>
      <c r="DF187" s="1007">
        <f t="shared" ref="DF187" ca="1" si="104">DF31/DE31-1</f>
        <v>0.20711689751887263</v>
      </c>
      <c r="DG187" s="1007">
        <f t="shared" ref="DG187" ca="1" si="105">DG31/DF31-1</f>
        <v>0.18539712867798808</v>
      </c>
      <c r="DH187" s="1007">
        <f t="shared" ref="DH187" ca="1" si="106">DH31/DG31-1</f>
        <v>0.1732072321725342</v>
      </c>
    </row>
    <row r="191" spans="5:135">
      <c r="DA191" s="1416"/>
    </row>
    <row r="192" spans="5:135">
      <c r="CS192" s="6" t="s">
        <v>674</v>
      </c>
      <c r="CV192" s="1007">
        <f>'Revenue Build'!CJ99</f>
        <v>0.57582476053902742</v>
      </c>
      <c r="CW192" s="1007">
        <f>'Revenue Build'!CO99</f>
        <v>0.44259888891263732</v>
      </c>
      <c r="CX192" s="1007">
        <f>'Revenue Build'!CT99</f>
        <v>1.0151233209250239</v>
      </c>
      <c r="CY192" s="1007">
        <f>'Revenue Build'!CY99</f>
        <v>0.50241680215491713</v>
      </c>
      <c r="CZ192" s="1007">
        <f>'Revenue Build'!DD99</f>
        <v>0.18514821832577444</v>
      </c>
      <c r="DA192" s="1007">
        <f>'Revenue Build'!DI99</f>
        <v>0.21830943678009507</v>
      </c>
      <c r="DB192" s="1007">
        <f>'Revenue Build'!DN99</f>
        <v>0.22363848933318686</v>
      </c>
      <c r="DC192" s="1007">
        <f>'Revenue Build'!DS99</f>
        <v>0.31892935614887796</v>
      </c>
      <c r="DD192" s="1007">
        <f>'Revenue Build'!DX99</f>
        <v>0.27730238239250693</v>
      </c>
      <c r="DE192" s="1007">
        <f>'Revenue Build'!EC99</f>
        <v>0.21702149684184957</v>
      </c>
      <c r="DF192" s="1007">
        <f>'Revenue Build'!EH99</f>
        <v>0.18164244233581206</v>
      </c>
      <c r="DG192" s="1007">
        <f>'Revenue Build'!EM99</f>
        <v>0.15529635256569296</v>
      </c>
      <c r="DH192" s="1007">
        <f>'Revenue Build'!ER99</f>
        <v>0.13876094671335104</v>
      </c>
    </row>
    <row r="193" spans="97:112">
      <c r="CS193" s="6" t="s">
        <v>673</v>
      </c>
      <c r="CV193" s="1007">
        <f>'Revenue Build'!CJ74</f>
        <v>0.67431380807271646</v>
      </c>
      <c r="CW193" s="1007">
        <f>'Revenue Build'!CO74</f>
        <v>0.53877214817347974</v>
      </c>
      <c r="CX193" s="1007">
        <f>'Revenue Build'!CT74</f>
        <v>1.1590607009910974</v>
      </c>
      <c r="CY193" s="1007">
        <f>'Revenue Build'!CY74</f>
        <v>0.61798732539760315</v>
      </c>
      <c r="CZ193" s="1007">
        <f>'Revenue Build'!DD74</f>
        <v>0.25770831332531174</v>
      </c>
      <c r="DA193" s="1007">
        <f>'Revenue Build'!DI74</f>
        <v>0.27015239153669479</v>
      </c>
      <c r="DB193" s="1007">
        <f>'Revenue Build'!DN74</f>
        <v>0.25023932605782107</v>
      </c>
      <c r="DC193" s="1007">
        <f>'Revenue Build'!DS74</f>
        <v>0.34823889739663083</v>
      </c>
      <c r="DD193" s="1007">
        <f>'Revenue Build'!DX74</f>
        <v>0.34753928839164039</v>
      </c>
      <c r="DE193" s="1007">
        <f>'Revenue Build'!EC74</f>
        <v>0.27335497212532989</v>
      </c>
      <c r="DF193" s="1007">
        <f>'Revenue Build'!EH74</f>
        <v>0.2148544086533577</v>
      </c>
      <c r="DG193" s="1007">
        <f>'Revenue Build'!EM74</f>
        <v>0.18936709620788461</v>
      </c>
      <c r="DH193" s="1007">
        <f>'Revenue Build'!ER74</f>
        <v>0.17401235300209872</v>
      </c>
    </row>
    <row r="194" spans="97:112">
      <c r="CS194" s="1006" t="s">
        <v>675</v>
      </c>
      <c r="CV194" s="1007">
        <f>'Revenue Build'!CJ65</f>
        <v>0.56166427622942861</v>
      </c>
      <c r="CW194" s="1007">
        <f>'Revenue Build'!CO65</f>
        <v>0.48743651290927503</v>
      </c>
      <c r="CX194" s="1007">
        <f>'Revenue Build'!CT65</f>
        <v>0.9558417543969091</v>
      </c>
      <c r="CY194" s="1007">
        <f>'Revenue Build'!CY65</f>
        <v>0.4665161228507988</v>
      </c>
      <c r="CZ194" s="1007">
        <f>'Revenue Build'!DD65</f>
        <v>0.12481826288589826</v>
      </c>
      <c r="DA194" s="1007">
        <f>'Revenue Build'!DI65</f>
        <v>0.19606993902175129</v>
      </c>
      <c r="DB194" s="1007">
        <f>'Revenue Build'!DN65</f>
        <v>0.23884709123662184</v>
      </c>
      <c r="DC194" s="1007">
        <f>'Revenue Build'!DS65</f>
        <v>0.29481139337952267</v>
      </c>
      <c r="DD194" s="1007">
        <f>'Revenue Build'!DX65</f>
        <v>0.30979938748708524</v>
      </c>
      <c r="DE194" s="1007">
        <f>'Revenue Build'!EC65</f>
        <v>0.25753725711812003</v>
      </c>
      <c r="DF194" s="1007">
        <f>'Revenue Build'!EH65</f>
        <v>0.19999999999999996</v>
      </c>
      <c r="DG194" s="1007">
        <f>'Revenue Build'!EM65</f>
        <v>0.17500000000000004</v>
      </c>
      <c r="DH194" s="1007">
        <f>'Revenue Build'!ER65</f>
        <v>0.16000000000000014</v>
      </c>
    </row>
    <row r="199" spans="97:112">
      <c r="CU199" s="1416"/>
    </row>
    <row r="200" spans="97:112">
      <c r="CS200" s="6" t="s">
        <v>676</v>
      </c>
      <c r="CT200" s="1143">
        <f>'Revenue Build'!BZ184</f>
        <v>1400</v>
      </c>
      <c r="CU200" s="1143">
        <f>'Revenue Build'!CE184</f>
        <v>2300</v>
      </c>
      <c r="CV200" s="1143">
        <f>'Revenue Build'!CJ184</f>
        <v>2500</v>
      </c>
      <c r="CW200" s="1143">
        <f>'Revenue Build'!CO184</f>
        <v>3700</v>
      </c>
      <c r="CX200" s="1143">
        <f>'Revenue Build'!CT184</f>
        <v>6000</v>
      </c>
      <c r="CY200" s="1143">
        <f>'Revenue Build'!CY184</f>
        <v>8000</v>
      </c>
      <c r="CZ200" s="1143">
        <f>'Revenue Build'!DD184</f>
        <v>10000</v>
      </c>
      <c r="DA200" s="1143">
        <f>'Revenue Build'!DI184</f>
        <v>13000</v>
      </c>
    </row>
    <row r="201" spans="97:112">
      <c r="CS201" s="6" t="s">
        <v>655</v>
      </c>
      <c r="CU201" s="1007">
        <f>+CU200/CT200-1</f>
        <v>0.64285714285714279</v>
      </c>
      <c r="CV201" s="1007">
        <f t="shared" ref="CV201:DA201" si="107">+CV200/CU200-1</f>
        <v>8.6956521739130377E-2</v>
      </c>
      <c r="CW201" s="1007">
        <f t="shared" si="107"/>
        <v>0.48</v>
      </c>
      <c r="CX201" s="1007">
        <f t="shared" si="107"/>
        <v>0.62162162162162171</v>
      </c>
      <c r="CY201" s="1007">
        <f t="shared" si="107"/>
        <v>0.33333333333333326</v>
      </c>
      <c r="CZ201" s="1007">
        <f t="shared" si="107"/>
        <v>0.25</v>
      </c>
      <c r="DA201" s="1007">
        <f t="shared" si="107"/>
        <v>0.30000000000000004</v>
      </c>
    </row>
    <row r="205" spans="97:112">
      <c r="DA205" s="1416"/>
    </row>
    <row r="206" spans="97:112">
      <c r="CY206" s="1416" t="s">
        <v>629</v>
      </c>
      <c r="CZ206" s="1149">
        <f>'Revenue Build'!$DD$122</f>
        <v>33316.23931623932</v>
      </c>
      <c r="DA206" s="1149">
        <f>'Revenue Build'!$DI$122</f>
        <v>49974.358974358976</v>
      </c>
      <c r="DB206" s="1149">
        <f>'Revenue Build'!$DN$122</f>
        <v>74400</v>
      </c>
      <c r="DC206" s="1149">
        <f>'Revenue Build'!$DS$122</f>
        <v>120424</v>
      </c>
      <c r="DD206" s="1149">
        <f>'Revenue Build'!$DX$122</f>
        <v>0</v>
      </c>
      <c r="DE206" s="1149">
        <f>'Revenue Build'!$EC$122</f>
        <v>0</v>
      </c>
      <c r="DF206" s="1149">
        <f>'Revenue Build'!$EC$122</f>
        <v>0</v>
      </c>
      <c r="DG206" s="1149">
        <f>'Revenue Build'!$EC$122</f>
        <v>0</v>
      </c>
      <c r="DH206" s="1149">
        <f>'Revenue Build'!$EC$122</f>
        <v>0</v>
      </c>
    </row>
    <row r="207" spans="97:112">
      <c r="CY207" s="1416" t="s">
        <v>681</v>
      </c>
      <c r="CZ207" s="1113">
        <f>'Revenue Build'!$DD$126</f>
        <v>0.1689034749492781</v>
      </c>
      <c r="DA207" s="1113">
        <f>'Revenue Build'!$DI$126</f>
        <v>0.21182307502112527</v>
      </c>
      <c r="DB207" s="1113">
        <f>'Revenue Build'!$DN$126</f>
        <v>0.25455478573261481</v>
      </c>
      <c r="DC207" s="1113">
        <f>'Revenue Build'!$DS$126</f>
        <v>0.31821076468987242</v>
      </c>
      <c r="DD207" s="1113">
        <f>'Revenue Build'!$DX$126</f>
        <v>0</v>
      </c>
      <c r="DE207" s="1113">
        <f>'Revenue Build'!$EC$126</f>
        <v>0</v>
      </c>
      <c r="DF207" s="1113">
        <f>'Revenue Build'!$EC$126</f>
        <v>0</v>
      </c>
      <c r="DG207" s="1113">
        <f>'Revenue Build'!$EC$126</f>
        <v>0</v>
      </c>
      <c r="DH207" s="1113">
        <f>'Revenue Build'!$EC$126</f>
        <v>0</v>
      </c>
    </row>
    <row r="210" spans="5:112" ht="13.2">
      <c r="CZ210" s="6"/>
      <c r="DA210"/>
      <c r="DB210"/>
      <c r="DC210"/>
      <c r="DD210"/>
      <c r="DE210"/>
      <c r="DF210"/>
      <c r="DG210"/>
      <c r="DH210"/>
    </row>
    <row r="211" spans="5:112">
      <c r="E211" s="6" t="str">
        <f>'Revenue Build'!$C$54</f>
        <v>Standard revenue</v>
      </c>
      <c r="DA211" s="1160">
        <f>'Revenue Build'!$DI$54</f>
        <v>1072.94</v>
      </c>
      <c r="DB211" s="1160">
        <f>'Revenue Build'!$DN$54</f>
        <v>1370.6</v>
      </c>
      <c r="DC211" s="1160">
        <f>'Revenue Build'!$DS$54</f>
        <v>1487.57</v>
      </c>
      <c r="DD211" s="1160">
        <f>'Revenue Build'!$DX$54</f>
        <v>1729.7271169256874</v>
      </c>
      <c r="DE211" s="1160">
        <f>'Revenue Build'!$EC$54</f>
        <v>2020.3639183934074</v>
      </c>
      <c r="DF211" s="1160">
        <f>'Revenue Build'!$EH$54</f>
        <v>2309.2711155262741</v>
      </c>
      <c r="DG211" s="1160">
        <f>'Revenue Build'!$EM$54</f>
        <v>2618.6689690504872</v>
      </c>
      <c r="DH211" s="1160">
        <f>'Revenue Build'!$ER$54</f>
        <v>2966.5172224391181</v>
      </c>
    </row>
    <row r="212" spans="5:112">
      <c r="E212" s="6" t="str">
        <f>'Revenue Build'!$C$56</f>
        <v>Plus revenue</v>
      </c>
      <c r="DA212" s="1160">
        <f>'Revenue Build'!$DI$56</f>
        <v>492.09000000000003</v>
      </c>
      <c r="DB212" s="1160">
        <f>'Revenue Build'!$DN$56</f>
        <v>622.21</v>
      </c>
      <c r="DC212" s="1160">
        <f>'Revenue Build'!$DS$56</f>
        <v>755.02</v>
      </c>
      <c r="DD212" s="1160">
        <f>'Revenue Build'!$DX$56</f>
        <v>892.7397097332655</v>
      </c>
      <c r="DE212" s="1160">
        <f>'Revenue Build'!$EC$56</f>
        <v>1073.8937781410477</v>
      </c>
      <c r="DF212" s="1160">
        <f>'Revenue Build'!$EH$56</f>
        <v>1265.4120517225447</v>
      </c>
      <c r="DG212" s="1160">
        <f>'Revenue Build'!$EM$56</f>
        <v>1480.5848227221877</v>
      </c>
      <c r="DH212" s="1160">
        <f>'Revenue Build'!$ER$56</f>
        <v>1732.3459297635497</v>
      </c>
    </row>
    <row r="213" spans="5:112">
      <c r="E213" s="6" t="str">
        <f>'Revenue Build'!$C$58</f>
        <v>Apps, Themes, Domains, and Plus Platform Fees</v>
      </c>
      <c r="DA213" s="1160">
        <f>'Revenue Build'!$DI$58</f>
        <v>266.72000000000003</v>
      </c>
      <c r="DB213" s="1160">
        <f>'Revenue Build'!$DN$58</f>
        <v>369.95000000000005</v>
      </c>
      <c r="DC213" s="1160">
        <f>'Revenue Build'!$DS$58</f>
        <v>509.40999999999997</v>
      </c>
      <c r="DD213" s="1160">
        <f>'Revenue Build'!$DX$58</f>
        <v>725.48280211073416</v>
      </c>
      <c r="DE213" s="1160">
        <f>'Revenue Build'!$EC$58</f>
        <v>933.27481517771412</v>
      </c>
      <c r="DF213" s="1160">
        <f>'Revenue Build'!$EH$58</f>
        <v>1170.1307591317709</v>
      </c>
      <c r="DG213" s="1160">
        <f>'Revenue Build'!$EM$58</f>
        <v>1452.3761903165919</v>
      </c>
      <c r="DH213" s="1160">
        <f>'Revenue Build'!$ER$58</f>
        <v>1796.7752303003242</v>
      </c>
    </row>
    <row r="214" spans="5:112">
      <c r="E214" s="1167" t="str">
        <f>'Revenue Build'!$C$60</f>
        <v>Subscription solutions revenue</v>
      </c>
      <c r="DA214" s="1164">
        <f>'Revenue Build'!$DI$60</f>
        <v>1837</v>
      </c>
      <c r="DB214" s="1076">
        <f>'Revenue Build'!$DN$60</f>
        <v>2350</v>
      </c>
      <c r="DC214" s="1076">
        <f>'Revenue Build'!$DS$60</f>
        <v>2752</v>
      </c>
      <c r="DD214" s="1076">
        <f>'Revenue Build'!$DX$60</f>
        <v>3347.9496287696875</v>
      </c>
      <c r="DE214" s="1076">
        <f>'Revenue Build'!$EC$60</f>
        <v>4027.5325117121693</v>
      </c>
      <c r="DF214" s="1076">
        <f>'Revenue Build'!$EH$60</f>
        <v>4744.8139263805897</v>
      </c>
      <c r="DG214" s="1076">
        <f>'Revenue Build'!$EM$60</f>
        <v>5551.6299820892673</v>
      </c>
      <c r="DH214" s="1076">
        <f>'Revenue Build'!$ER$60</f>
        <v>6495.6383825029916</v>
      </c>
    </row>
    <row r="216" spans="5:112" ht="13.2">
      <c r="DA216"/>
      <c r="DB216"/>
      <c r="DC216"/>
      <c r="DD216"/>
      <c r="DE216"/>
      <c r="DF216"/>
      <c r="DG216"/>
      <c r="DH216"/>
    </row>
    <row r="217" spans="5:112">
      <c r="E217" s="1445" t="str">
        <f>E211</f>
        <v>Standard revenue</v>
      </c>
      <c r="DA217" s="1007">
        <f>DA211/DA$214</f>
        <v>0.5840718562874252</v>
      </c>
      <c r="DB217" s="1007">
        <f>DB211/DB$214</f>
        <v>0.58323404255319145</v>
      </c>
      <c r="DC217" s="1007">
        <f>DC211/DC$214</f>
        <v>0.54054142441860464</v>
      </c>
      <c r="DD217" s="1007">
        <f>DD211/DD$214</f>
        <v>0.51665267065601927</v>
      </c>
      <c r="DE217" s="1007">
        <f>DE211/DE$214</f>
        <v>0.50163814010641417</v>
      </c>
      <c r="DF217" s="1007">
        <f t="shared" ref="DF217:DH217" si="108">DF211/DF$214</f>
        <v>0.48669371472862338</v>
      </c>
      <c r="DG217" s="1007">
        <f t="shared" si="108"/>
        <v>0.47169371472862337</v>
      </c>
      <c r="DH217" s="1007">
        <f t="shared" si="108"/>
        <v>0.45669371472862341</v>
      </c>
    </row>
    <row r="218" spans="5:112">
      <c r="E218" s="1445" t="str">
        <f>E212</f>
        <v>Plus revenue</v>
      </c>
      <c r="DA218" s="1007">
        <f t="shared" ref="DA218:DE220" si="109">DA212/DA$214</f>
        <v>0.26787697332607513</v>
      </c>
      <c r="DB218" s="1007">
        <f t="shared" si="109"/>
        <v>0.26477021276595747</v>
      </c>
      <c r="DC218" s="1007">
        <f t="shared" si="109"/>
        <v>0.27435319767441863</v>
      </c>
      <c r="DD218" s="1007">
        <f t="shared" si="109"/>
        <v>0.26665267065601927</v>
      </c>
      <c r="DE218" s="1007">
        <f t="shared" si="109"/>
        <v>0.26663814010641423</v>
      </c>
      <c r="DF218" s="1007">
        <f t="shared" ref="DF218:DH218" si="110">DF212/DF$214</f>
        <v>0.26669371472862341</v>
      </c>
      <c r="DG218" s="1007">
        <f t="shared" si="110"/>
        <v>0.26669371472862341</v>
      </c>
      <c r="DH218" s="1007">
        <f t="shared" si="110"/>
        <v>0.26669371472862341</v>
      </c>
    </row>
    <row r="219" spans="5:112">
      <c r="E219" s="1445" t="str">
        <f>E213</f>
        <v>Apps, Themes, Domains, and Plus Platform Fees</v>
      </c>
      <c r="DA219" s="1007">
        <f t="shared" si="109"/>
        <v>0.14519324986390855</v>
      </c>
      <c r="DB219" s="1007">
        <f t="shared" si="109"/>
        <v>0.15742553191489364</v>
      </c>
      <c r="DC219" s="1007">
        <f t="shared" si="109"/>
        <v>0.18510537790697673</v>
      </c>
      <c r="DD219" s="1007">
        <f t="shared" si="109"/>
        <v>0.21669465868796128</v>
      </c>
      <c r="DE219" s="1007">
        <f t="shared" si="109"/>
        <v>0.2317237197871716</v>
      </c>
      <c r="DF219" s="1007">
        <f t="shared" ref="DF219:DH219" si="111">DF213/DF$214</f>
        <v>0.24661257054275318</v>
      </c>
      <c r="DG219" s="1007">
        <f t="shared" si="111"/>
        <v>0.26161257054275316</v>
      </c>
      <c r="DH219" s="1007">
        <f t="shared" si="111"/>
        <v>0.27661257054275323</v>
      </c>
    </row>
    <row r="220" spans="5:112">
      <c r="E220" s="1445" t="str">
        <f>E214</f>
        <v>Subscription solutions revenue</v>
      </c>
      <c r="DA220" s="1007">
        <f t="shared" si="109"/>
        <v>1</v>
      </c>
      <c r="DB220" s="1007">
        <f t="shared" si="109"/>
        <v>1</v>
      </c>
      <c r="DC220" s="1007">
        <f t="shared" si="109"/>
        <v>1</v>
      </c>
      <c r="DD220" s="1007">
        <f t="shared" si="109"/>
        <v>1</v>
      </c>
      <c r="DE220" s="1007">
        <f t="shared" si="109"/>
        <v>1</v>
      </c>
      <c r="DF220" s="1007">
        <f t="shared" ref="DF220:DH220" si="112">DF214/DF$214</f>
        <v>1</v>
      </c>
      <c r="DG220" s="1007">
        <f t="shared" si="112"/>
        <v>1</v>
      </c>
      <c r="DH220" s="1007">
        <f t="shared" si="112"/>
        <v>1</v>
      </c>
    </row>
    <row r="225" spans="5:150" ht="13.2">
      <c r="E225" s="483"/>
      <c r="F225" s="104" t="s">
        <v>562</v>
      </c>
      <c r="G225" s="104" t="s">
        <v>563</v>
      </c>
      <c r="H225" s="104" t="s">
        <v>532</v>
      </c>
      <c r="I225" s="104" t="s">
        <v>533</v>
      </c>
      <c r="J225" s="104" t="s">
        <v>534</v>
      </c>
      <c r="K225" s="104" t="s">
        <v>535</v>
      </c>
      <c r="L225" s="104" t="s">
        <v>536</v>
      </c>
      <c r="M225" s="104" t="s">
        <v>537</v>
      </c>
      <c r="N225" s="104" t="s">
        <v>538</v>
      </c>
      <c r="O225" s="104" t="s">
        <v>539</v>
      </c>
      <c r="P225" s="104" t="s">
        <v>540</v>
      </c>
      <c r="Q225" s="104" t="s">
        <v>541</v>
      </c>
      <c r="R225" s="104" t="s">
        <v>542</v>
      </c>
      <c r="S225" s="104" t="s">
        <v>543</v>
      </c>
      <c r="T225" s="104" t="s">
        <v>544</v>
      </c>
      <c r="U225" s="104" t="s">
        <v>545</v>
      </c>
      <c r="V225" s="104" t="s">
        <v>546</v>
      </c>
      <c r="W225" s="104" t="s">
        <v>547</v>
      </c>
      <c r="X225" s="104" t="s">
        <v>548</v>
      </c>
      <c r="Y225" s="104" t="s">
        <v>549</v>
      </c>
      <c r="Z225" s="104" t="s">
        <v>550</v>
      </c>
      <c r="AA225" s="104" t="s">
        <v>551</v>
      </c>
      <c r="AB225" s="104" t="s">
        <v>517</v>
      </c>
      <c r="AC225" s="104" t="s">
        <v>519</v>
      </c>
      <c r="AD225" s="104" t="s">
        <v>658</v>
      </c>
      <c r="AE225" s="104" t="s">
        <v>520</v>
      </c>
      <c r="AF225" s="104" t="s">
        <v>521</v>
      </c>
      <c r="AG225" s="104" t="s">
        <v>522</v>
      </c>
      <c r="AH225" s="104" t="s">
        <v>523</v>
      </c>
      <c r="AI225" s="104" t="s">
        <v>524</v>
      </c>
      <c r="AJ225" s="104" t="s">
        <v>525</v>
      </c>
      <c r="AK225" s="104" t="s">
        <v>526</v>
      </c>
      <c r="AL225" s="104" t="s">
        <v>527</v>
      </c>
      <c r="AM225" s="104" t="s">
        <v>528</v>
      </c>
      <c r="AN225" s="104" t="s">
        <v>529</v>
      </c>
      <c r="AO225" s="104" t="s">
        <v>530</v>
      </c>
      <c r="AP225" s="104" t="s">
        <v>531</v>
      </c>
      <c r="AQ225" s="104" t="s">
        <v>609</v>
      </c>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ET225"/>
    </row>
    <row r="226" spans="5:150" ht="13.2">
      <c r="E226" s="649" t="s">
        <v>291</v>
      </c>
      <c r="F226" s="580">
        <v>0.22</v>
      </c>
      <c r="G226" s="580">
        <v>0.22</v>
      </c>
      <c r="H226" s="580">
        <v>0.23</v>
      </c>
      <c r="I226" s="580">
        <v>0.23</v>
      </c>
      <c r="J226" s="580">
        <v>0.23</v>
      </c>
      <c r="K226" s="580">
        <v>0.23</v>
      </c>
      <c r="L226" s="580">
        <v>0.24</v>
      </c>
      <c r="M226" s="580">
        <v>0.24</v>
      </c>
      <c r="N226" s="580">
        <v>0.22</v>
      </c>
      <c r="O226" s="580">
        <v>0.21</v>
      </c>
      <c r="P226" s="580">
        <v>0.21</v>
      </c>
      <c r="Q226" s="580">
        <v>0.22</v>
      </c>
      <c r="R226" s="580">
        <v>0.23</v>
      </c>
      <c r="S226" s="580">
        <v>0.24</v>
      </c>
      <c r="T226" s="580">
        <v>0.3</v>
      </c>
      <c r="U226" s="580">
        <v>0.31</v>
      </c>
      <c r="V226" s="580">
        <v>0.33</v>
      </c>
      <c r="W226" s="580">
        <v>0.34</v>
      </c>
      <c r="X226" s="580">
        <v>0.34</v>
      </c>
      <c r="Y226" s="580">
        <v>0.28999999999999998</v>
      </c>
      <c r="Z226" s="580">
        <v>0.31</v>
      </c>
      <c r="AA226" s="580">
        <v>0.31</v>
      </c>
      <c r="AB226" s="580">
        <v>0.32</v>
      </c>
      <c r="AC226" s="580">
        <v>0.31</v>
      </c>
      <c r="AD226" s="580">
        <v>0.31</v>
      </c>
      <c r="AE226" s="360">
        <v>0.31</v>
      </c>
      <c r="AF226" s="360">
        <v>0.31</v>
      </c>
      <c r="AG226" s="360">
        <v>0.31</v>
      </c>
      <c r="AH226" s="360">
        <v>0.31</v>
      </c>
      <c r="AI226" s="360">
        <v>0.31</v>
      </c>
      <c r="AJ226" s="360">
        <v>0.31</v>
      </c>
      <c r="AK226" s="360">
        <v>0.31</v>
      </c>
      <c r="AL226" s="360">
        <v>0.31</v>
      </c>
      <c r="AM226" s="360">
        <v>0.31</v>
      </c>
      <c r="AN226" s="360">
        <v>0.31</v>
      </c>
      <c r="AO226" s="360">
        <v>0.31</v>
      </c>
      <c r="AP226" s="360">
        <v>0.31</v>
      </c>
      <c r="AQ226" s="360">
        <v>0.31</v>
      </c>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ET226"/>
    </row>
    <row r="228" spans="5:150" ht="13.2">
      <c r="CS228"/>
      <c r="CT228"/>
      <c r="CU228"/>
      <c r="CV228"/>
      <c r="CW228"/>
      <c r="CX228"/>
      <c r="CY228"/>
      <c r="CZ228"/>
      <c r="DA228"/>
      <c r="DB228"/>
      <c r="DC228"/>
      <c r="DD228"/>
      <c r="DE228"/>
      <c r="DF228"/>
      <c r="DG228"/>
      <c r="DH228"/>
    </row>
    <row r="229" spans="5:150">
      <c r="E229" s="1444" t="str">
        <f>'Revenue Build'!$C$16</f>
        <v>Total Merchants on Platform (in 000s)</v>
      </c>
      <c r="CT229" s="1186">
        <f>'Revenue Build'!$BZ$16</f>
        <v>377.5</v>
      </c>
      <c r="CU229" s="1186">
        <f>'Revenue Build'!$CE$16</f>
        <v>609</v>
      </c>
      <c r="CV229" s="1186">
        <f>'Revenue Build'!$CJ$16</f>
        <v>820</v>
      </c>
      <c r="CW229" s="1186">
        <f>'Revenue Build'!$CO$16</f>
        <v>1000</v>
      </c>
      <c r="CX229" s="1186">
        <f>'Revenue Build'!$CT$16</f>
        <v>1749</v>
      </c>
      <c r="CY229" s="1186">
        <f>'Revenue Build'!$CY$16</f>
        <v>2063</v>
      </c>
      <c r="CZ229" s="1186">
        <f>'Revenue Build'!$DD$16</f>
        <v>2444.3376074500002</v>
      </c>
      <c r="DA229" s="1186">
        <f>'Revenue Build'!$DI$16</f>
        <v>3055.579363545979</v>
      </c>
      <c r="DB229" s="1186">
        <f>'Revenue Build'!$DN$16</f>
        <v>3372.7878898097838</v>
      </c>
      <c r="DC229" s="1186">
        <f>'Revenue Build'!$DS$16</f>
        <v>3722.9267501159302</v>
      </c>
      <c r="DD229" s="1186">
        <f>'Revenue Build'!$DX$16</f>
        <v>4149.6041717761382</v>
      </c>
      <c r="DE229" s="1186">
        <f>'Revenue Build'!$EC$16</f>
        <v>4670.4160533467975</v>
      </c>
      <c r="DF229" s="1186">
        <f>'Revenue Build'!$EH$16</f>
        <v>5155.2654442661305</v>
      </c>
      <c r="DG229" s="1186">
        <f>'Revenue Build'!$EM$16</f>
        <v>5690.4484519745702</v>
      </c>
      <c r="DH229" s="1186">
        <f>'Revenue Build'!$ER$16</f>
        <v>6281.1903547266056</v>
      </c>
    </row>
    <row r="230" spans="5:150">
      <c r="CT230" s="1016">
        <f t="shared" ref="CT230:DE230" si="113">CT229</f>
        <v>377.5</v>
      </c>
      <c r="CU230" s="1016">
        <f t="shared" si="113"/>
        <v>609</v>
      </c>
      <c r="CV230" s="1016">
        <f t="shared" si="113"/>
        <v>820</v>
      </c>
      <c r="CW230" s="1016">
        <f t="shared" si="113"/>
        <v>1000</v>
      </c>
      <c r="CX230" s="1016">
        <f t="shared" si="113"/>
        <v>1749</v>
      </c>
      <c r="CY230" s="1016">
        <f t="shared" si="113"/>
        <v>2063</v>
      </c>
      <c r="CZ230" s="1016">
        <f t="shared" si="113"/>
        <v>2444.3376074500002</v>
      </c>
      <c r="DA230" s="1016">
        <f t="shared" si="113"/>
        <v>3055.579363545979</v>
      </c>
      <c r="DB230" s="1016">
        <f t="shared" si="113"/>
        <v>3372.7878898097838</v>
      </c>
      <c r="DC230" s="1016">
        <f t="shared" si="113"/>
        <v>3722.9267501159302</v>
      </c>
      <c r="DD230" s="1016">
        <f t="shared" si="113"/>
        <v>4149.6041717761382</v>
      </c>
      <c r="DE230" s="1016">
        <f t="shared" si="113"/>
        <v>4670.4160533467975</v>
      </c>
      <c r="DF230" s="1016">
        <f t="shared" ref="DF230:DH230" si="114">DF229</f>
        <v>5155.2654442661305</v>
      </c>
      <c r="DG230" s="1016">
        <f t="shared" si="114"/>
        <v>5690.4484519745702</v>
      </c>
      <c r="DH230" s="1016">
        <f t="shared" si="114"/>
        <v>6281.1903547266056</v>
      </c>
    </row>
    <row r="233" spans="5:150" ht="13.8" thickBot="1">
      <c r="DB233"/>
      <c r="DC233"/>
      <c r="DD233"/>
      <c r="DE233"/>
      <c r="DF233"/>
      <c r="DG233"/>
      <c r="DH233"/>
      <c r="DI233"/>
    </row>
    <row r="234" spans="5:150" ht="10.8" thickBot="1">
      <c r="E234" s="1445" t="s">
        <v>734</v>
      </c>
      <c r="DB234" s="1217">
        <f>'Cash Flow'!$DN$57</f>
        <v>0.17984234234234234</v>
      </c>
      <c r="DC234" s="1218">
        <f>'Cash Flow'!$DS$57</f>
        <v>0.17367601246105918</v>
      </c>
      <c r="DD234" s="1216">
        <f>'Cash Flow'!$DX$57</f>
        <v>0.19344305176271998</v>
      </c>
      <c r="DE234" s="1216">
        <f>'Cash Flow'!$EC$57</f>
        <v>0.19605241870131701</v>
      </c>
      <c r="DF234" s="1216">
        <f>'Cash Flow'!$EH$57</f>
        <v>0.19351767799443115</v>
      </c>
      <c r="DG234" s="1216">
        <f>'Cash Flow'!$EM$57</f>
        <v>0.19446530193359157</v>
      </c>
      <c r="DH234" s="1216">
        <f>'Cash Flow'!$ER$57</f>
        <v>0.19807665862501816</v>
      </c>
    </row>
    <row r="235" spans="5:150" ht="10.8" thickBot="1">
      <c r="E235" s="1445" t="s">
        <v>735</v>
      </c>
      <c r="DB235" s="1217">
        <f>+DB234</f>
        <v>0.17984234234234234</v>
      </c>
      <c r="DC235" s="1218">
        <f>Consensus!BB80</f>
        <v>0.17511657147802007</v>
      </c>
      <c r="DD235" s="1216">
        <f>Consensus!BC80</f>
        <v>0.18281856544141098</v>
      </c>
      <c r="DE235" s="1216">
        <f>Consensus!BD80</f>
        <v>0.19317867728792906</v>
      </c>
      <c r="DF235" s="1216">
        <f>Consensus!BE80</f>
        <v>0.22581305272737417</v>
      </c>
      <c r="DG235" s="1216">
        <f>Consensus!BF80</f>
        <v>0.20531464900106761</v>
      </c>
      <c r="DH235" s="1216">
        <f>Consensus!BG80</f>
        <v>0.21297463840854813</v>
      </c>
    </row>
  </sheetData>
  <pageMargins left="0.7" right="0.7" top="0.75" bottom="0.75" header="0.3" footer="0.3"/>
  <pageSetup orientation="portrait"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BEBF2-473E-4FBD-BC7F-BE5287C99DE1}">
  <sheetPr codeName="Sheet6">
    <tabColor theme="6" tint="-0.249977111117893"/>
  </sheetPr>
  <dimension ref="A2:BG125"/>
  <sheetViews>
    <sheetView showGridLines="0" zoomScaleNormal="100" workbookViewId="0">
      <pane xSplit="3" ySplit="5" topLeftCell="AR6" activePane="bottomRight" state="frozen"/>
      <selection activeCell="F6" sqref="F6"/>
      <selection pane="topRight" activeCell="F6" sqref="F6"/>
      <selection pane="bottomLeft" activeCell="F6" sqref="F6"/>
      <selection pane="bottomRight" activeCell="A6" sqref="A6"/>
    </sheetView>
  </sheetViews>
  <sheetFormatPr defaultColWidth="9.33203125" defaultRowHeight="10.199999999999999"/>
  <cols>
    <col min="1" max="1" width="15.44140625" style="694" bestFit="1" customWidth="1"/>
    <col min="2" max="2" width="10.33203125" style="790"/>
    <col min="3" max="3" width="23.6640625" style="783" customWidth="1"/>
    <col min="4" max="4" width="9.33203125" style="694"/>
    <col min="5" max="5" width="8.33203125" style="694" customWidth="1"/>
    <col min="6" max="23" width="9.33203125" style="694"/>
    <col min="24" max="24" width="10" style="694" bestFit="1" customWidth="1"/>
    <col min="25" max="16384" width="9.33203125" style="694"/>
  </cols>
  <sheetData>
    <row r="2" spans="1:59" ht="12">
      <c r="A2" s="679" t="s">
        <v>124</v>
      </c>
      <c r="C2" s="783" t="s">
        <v>336</v>
      </c>
    </row>
    <row r="3" spans="1:59">
      <c r="A3" s="696" t="s">
        <v>415</v>
      </c>
    </row>
    <row r="4" spans="1:59">
      <c r="D4" s="809">
        <v>43921</v>
      </c>
      <c r="E4" s="809">
        <v>44012</v>
      </c>
      <c r="F4" s="809">
        <v>44104</v>
      </c>
      <c r="G4" s="809">
        <v>44196</v>
      </c>
      <c r="H4" s="809">
        <v>44286</v>
      </c>
      <c r="I4" s="809">
        <v>44377</v>
      </c>
      <c r="J4" s="809">
        <v>44469</v>
      </c>
      <c r="K4" s="809">
        <v>44561</v>
      </c>
      <c r="L4" s="809">
        <v>44651</v>
      </c>
      <c r="M4" s="809">
        <v>44742</v>
      </c>
      <c r="N4" s="809">
        <v>44834</v>
      </c>
      <c r="O4" s="809">
        <v>44926</v>
      </c>
      <c r="P4" s="809">
        <v>45016</v>
      </c>
      <c r="Q4" s="809">
        <v>45107</v>
      </c>
      <c r="R4" s="809">
        <v>45199</v>
      </c>
      <c r="S4" s="809">
        <v>45291</v>
      </c>
      <c r="T4" s="809">
        <v>45382</v>
      </c>
      <c r="U4" s="809">
        <v>45473</v>
      </c>
      <c r="V4" s="809">
        <v>45565</v>
      </c>
      <c r="W4" s="809">
        <v>45657</v>
      </c>
      <c r="X4" s="809">
        <f t="shared" ref="X4:AA4" si="0">EOMONTH(W4,3)</f>
        <v>45747</v>
      </c>
      <c r="Y4" s="809">
        <f t="shared" si="0"/>
        <v>45838</v>
      </c>
      <c r="Z4" s="809">
        <f t="shared" si="0"/>
        <v>45930</v>
      </c>
      <c r="AA4" s="809">
        <f t="shared" si="0"/>
        <v>46022</v>
      </c>
      <c r="AB4" s="819">
        <f t="shared" ref="AB4" si="1">EOMONTH(AA4,3)</f>
        <v>46112</v>
      </c>
      <c r="AC4" s="819">
        <f t="shared" ref="AC4" si="2">EOMONTH(AB4,3)</f>
        <v>46203</v>
      </c>
      <c r="AD4" s="819">
        <f t="shared" ref="AD4" si="3">EOMONTH(AC4,3)</f>
        <v>46295</v>
      </c>
      <c r="AE4" s="819">
        <f t="shared" ref="AE4" si="4">EOMONTH(AD4,3)</f>
        <v>46387</v>
      </c>
      <c r="AF4" s="819">
        <f t="shared" ref="AF4" si="5">EOMONTH(AE4,3)</f>
        <v>46477</v>
      </c>
      <c r="AG4" s="819">
        <f t="shared" ref="AG4" si="6">EOMONTH(AF4,3)</f>
        <v>46568</v>
      </c>
      <c r="AH4" s="819">
        <f t="shared" ref="AH4" si="7">EOMONTH(AG4,3)</f>
        <v>46660</v>
      </c>
      <c r="AI4" s="819">
        <f t="shared" ref="AI4" si="8">EOMONTH(AH4,3)</f>
        <v>46752</v>
      </c>
      <c r="AJ4" s="819">
        <f t="shared" ref="AJ4" si="9">EOMONTH(AI4,3)</f>
        <v>46843</v>
      </c>
      <c r="AK4" s="819">
        <f t="shared" ref="AK4" si="10">EOMONTH(AJ4,3)</f>
        <v>46934</v>
      </c>
      <c r="AL4" s="819">
        <f t="shared" ref="AL4:AM4" si="11">EOMONTH(AK4,3)</f>
        <v>47026</v>
      </c>
      <c r="AM4" s="819">
        <f t="shared" si="11"/>
        <v>47118</v>
      </c>
      <c r="AN4" s="819">
        <f t="shared" ref="AN4" si="12">EOMONTH(AM4,3)</f>
        <v>47208</v>
      </c>
      <c r="AO4" s="819">
        <f t="shared" ref="AO4" si="13">EOMONTH(AN4,3)</f>
        <v>47299</v>
      </c>
      <c r="AP4" s="819">
        <f t="shared" ref="AP4" si="14">EOMONTH(AO4,3)</f>
        <v>47391</v>
      </c>
      <c r="AQ4" s="819">
        <f t="shared" ref="AQ4" si="15">EOMONTH(AP4,3)</f>
        <v>47483</v>
      </c>
      <c r="AR4" s="819">
        <f t="shared" ref="AR4" si="16">EOMONTH(AQ4,3)</f>
        <v>47573</v>
      </c>
      <c r="AS4" s="819">
        <f t="shared" ref="AS4" si="17">EOMONTH(AR4,3)</f>
        <v>47664</v>
      </c>
      <c r="AT4" s="819">
        <f t="shared" ref="AT4" si="18">EOMONTH(AS4,3)</f>
        <v>47756</v>
      </c>
      <c r="AU4" s="819">
        <f t="shared" ref="AU4" si="19">EOMONTH(AT4,3)</f>
        <v>47848</v>
      </c>
      <c r="AW4" s="810">
        <v>2020</v>
      </c>
      <c r="AX4" s="810">
        <v>2021</v>
      </c>
      <c r="AY4" s="810">
        <v>2022</v>
      </c>
      <c r="AZ4" s="810">
        <v>2023</v>
      </c>
      <c r="BA4" s="810">
        <v>2024</v>
      </c>
      <c r="BB4" s="810">
        <v>2025</v>
      </c>
      <c r="BC4" s="825">
        <v>2026</v>
      </c>
      <c r="BD4" s="825">
        <v>2027</v>
      </c>
      <c r="BE4" s="825">
        <f>+BD4+1</f>
        <v>2028</v>
      </c>
      <c r="BF4" s="825">
        <f t="shared" ref="BF4:BG4" si="20">+BE4+1</f>
        <v>2029</v>
      </c>
      <c r="BG4" s="825">
        <f t="shared" si="20"/>
        <v>2030</v>
      </c>
    </row>
    <row r="5" spans="1:59">
      <c r="B5" s="790" t="s">
        <v>472</v>
      </c>
      <c r="D5" s="809" t="s">
        <v>426</v>
      </c>
      <c r="E5" s="809" t="s">
        <v>427</v>
      </c>
      <c r="F5" s="809" t="s">
        <v>428</v>
      </c>
      <c r="G5" s="809" t="s">
        <v>429</v>
      </c>
      <c r="H5" s="809" t="s">
        <v>430</v>
      </c>
      <c r="I5" s="809" t="s">
        <v>431</v>
      </c>
      <c r="J5" s="809" t="s">
        <v>432</v>
      </c>
      <c r="K5" s="809" t="s">
        <v>433</v>
      </c>
      <c r="L5" s="809" t="s">
        <v>434</v>
      </c>
      <c r="M5" s="809" t="s">
        <v>435</v>
      </c>
      <c r="N5" s="809" t="s">
        <v>436</v>
      </c>
      <c r="O5" s="809" t="s">
        <v>437</v>
      </c>
      <c r="P5" s="809" t="s">
        <v>438</v>
      </c>
      <c r="Q5" s="809" t="s">
        <v>439</v>
      </c>
      <c r="R5" s="809" t="s">
        <v>440</v>
      </c>
      <c r="S5" s="809" t="s">
        <v>441</v>
      </c>
      <c r="T5" s="809" t="s">
        <v>442</v>
      </c>
      <c r="U5" s="809" t="s">
        <v>443</v>
      </c>
      <c r="V5" s="809" t="s">
        <v>444</v>
      </c>
      <c r="W5" s="809" t="s">
        <v>445</v>
      </c>
      <c r="X5" s="809" t="s">
        <v>446</v>
      </c>
      <c r="Y5" s="809" t="s">
        <v>447</v>
      </c>
      <c r="Z5" s="809" t="s">
        <v>448</v>
      </c>
      <c r="AA5" s="809" t="s">
        <v>449</v>
      </c>
      <c r="AB5" s="819" t="s">
        <v>726</v>
      </c>
      <c r="AC5" s="819" t="s">
        <v>727</v>
      </c>
      <c r="AD5" s="819" t="s">
        <v>728</v>
      </c>
      <c r="AE5" s="819" t="s">
        <v>729</v>
      </c>
      <c r="AF5" s="819" t="str">
        <f>+YEAR(AF4)&amp;"/"&amp;ROUNDDOWN(MONTH(AF4)/3,0)&amp;"F"</f>
        <v>2027/1F</v>
      </c>
      <c r="AG5" s="819" t="str">
        <f t="shared" ref="AG5:AM5" si="21">+YEAR(AG4)&amp;"/"&amp;ROUNDDOWN(MONTH(AG4)/3,0)&amp;"F"</f>
        <v>2027/2F</v>
      </c>
      <c r="AH5" s="819" t="str">
        <f t="shared" si="21"/>
        <v>2027/3F</v>
      </c>
      <c r="AI5" s="819" t="str">
        <f t="shared" si="21"/>
        <v>2027/4F</v>
      </c>
      <c r="AJ5" s="819" t="str">
        <f t="shared" si="21"/>
        <v>2028/1F</v>
      </c>
      <c r="AK5" s="819" t="str">
        <f t="shared" si="21"/>
        <v>2028/2F</v>
      </c>
      <c r="AL5" s="819" t="str">
        <f t="shared" si="21"/>
        <v>2028/3F</v>
      </c>
      <c r="AM5" s="819" t="str">
        <f t="shared" si="21"/>
        <v>2028/4F</v>
      </c>
      <c r="AN5" s="819" t="str">
        <f t="shared" ref="AN5:AU5" si="22">+YEAR(AN4)&amp;"/"&amp;ROUNDDOWN(MONTH(AN4)/3,0)&amp;"F"</f>
        <v>2029/1F</v>
      </c>
      <c r="AO5" s="819" t="str">
        <f t="shared" si="22"/>
        <v>2029/2F</v>
      </c>
      <c r="AP5" s="819" t="str">
        <f t="shared" si="22"/>
        <v>2029/3F</v>
      </c>
      <c r="AQ5" s="819" t="str">
        <f t="shared" si="22"/>
        <v>2029/4F</v>
      </c>
      <c r="AR5" s="819" t="str">
        <f t="shared" si="22"/>
        <v>2030/1F</v>
      </c>
      <c r="AS5" s="819" t="str">
        <f t="shared" si="22"/>
        <v>2030/2F</v>
      </c>
      <c r="AT5" s="819" t="str">
        <f t="shared" si="22"/>
        <v>2030/3F</v>
      </c>
      <c r="AU5" s="819" t="str">
        <f t="shared" si="22"/>
        <v>2030/4F</v>
      </c>
      <c r="AW5" s="811">
        <v>2020</v>
      </c>
      <c r="AX5" s="811">
        <v>2021</v>
      </c>
      <c r="AY5" s="811">
        <v>2022</v>
      </c>
      <c r="AZ5" s="811">
        <v>2023</v>
      </c>
      <c r="BA5" s="811">
        <v>2024</v>
      </c>
      <c r="BB5" s="811">
        <v>2025</v>
      </c>
      <c r="BC5" s="826">
        <v>2026</v>
      </c>
      <c r="BD5" s="826">
        <v>2027</v>
      </c>
      <c r="BE5" s="826">
        <f>+BD5+1</f>
        <v>2028</v>
      </c>
      <c r="BF5" s="826">
        <f t="shared" ref="BF5:BG5" si="23">+BE5+1</f>
        <v>2029</v>
      </c>
      <c r="BG5" s="826">
        <f t="shared" si="23"/>
        <v>2030</v>
      </c>
    </row>
    <row r="6" spans="1:59">
      <c r="A6" s="695" t="s">
        <v>337</v>
      </c>
      <c r="B6" s="783" t="s">
        <v>337</v>
      </c>
      <c r="C6" s="783" t="s">
        <v>337</v>
      </c>
      <c r="D6" s="813">
        <v>17284.333999999999</v>
      </c>
      <c r="E6" s="813">
        <v>30114</v>
      </c>
      <c r="F6" s="813">
        <v>30923.24</v>
      </c>
      <c r="G6" s="813">
        <v>41089.375</v>
      </c>
      <c r="H6" s="813">
        <v>37300</v>
      </c>
      <c r="I6" s="813">
        <v>42200</v>
      </c>
      <c r="J6" s="813">
        <v>41792.222999999998</v>
      </c>
      <c r="K6" s="813">
        <v>54088.273000000001</v>
      </c>
      <c r="L6" s="813">
        <v>43200</v>
      </c>
      <c r="M6" s="813">
        <v>46891.667999999998</v>
      </c>
      <c r="N6" s="813">
        <v>46179.855000000003</v>
      </c>
      <c r="O6" s="813">
        <v>60984.25</v>
      </c>
      <c r="P6" s="813">
        <v>49610.8</v>
      </c>
      <c r="Q6" s="813">
        <v>55012</v>
      </c>
      <c r="R6" s="813">
        <v>56205</v>
      </c>
      <c r="S6" s="813">
        <v>75125</v>
      </c>
      <c r="T6" s="813">
        <v>60855</v>
      </c>
      <c r="U6" s="813">
        <v>67245</v>
      </c>
      <c r="V6" s="813">
        <v>69715</v>
      </c>
      <c r="W6" s="813">
        <v>94445</v>
      </c>
      <c r="X6" s="813">
        <v>74775</v>
      </c>
      <c r="Y6" s="813">
        <v>87837</v>
      </c>
      <c r="Z6" s="813">
        <v>92010.7</v>
      </c>
      <c r="AA6" s="813">
        <v>123841</v>
      </c>
      <c r="AB6" s="820">
        <v>100743</v>
      </c>
      <c r="AC6" s="820">
        <v>115567</v>
      </c>
      <c r="AD6" s="820">
        <v>116926.80499999999</v>
      </c>
      <c r="AE6" s="820">
        <v>156022.82999999999</v>
      </c>
      <c r="AF6" s="820">
        <v>124690.234</v>
      </c>
      <c r="AG6" s="820">
        <v>139180.45000000001</v>
      </c>
      <c r="AH6" s="820">
        <v>142704.85999999999</v>
      </c>
      <c r="AI6" s="820">
        <v>188729.4</v>
      </c>
      <c r="AJ6" s="820" t="s">
        <v>835</v>
      </c>
      <c r="AK6" s="820" t="s">
        <v>835</v>
      </c>
      <c r="AL6" s="820" t="s">
        <v>835</v>
      </c>
      <c r="AM6" s="820" t="s">
        <v>835</v>
      </c>
      <c r="AN6" s="820" t="s">
        <v>835</v>
      </c>
      <c r="AO6" s="820" t="s">
        <v>835</v>
      </c>
      <c r="AP6" s="820" t="s">
        <v>835</v>
      </c>
      <c r="AQ6" s="820" t="s">
        <v>835</v>
      </c>
      <c r="AR6" s="820" t="s">
        <v>835</v>
      </c>
      <c r="AS6" s="820" t="s">
        <v>835</v>
      </c>
      <c r="AT6" s="820" t="s">
        <v>835</v>
      </c>
      <c r="AU6" s="820" t="s">
        <v>835</v>
      </c>
      <c r="AV6" s="814"/>
      <c r="AW6" s="813">
        <v>119496.14</v>
      </c>
      <c r="AX6" s="813">
        <v>175400</v>
      </c>
      <c r="AY6" s="813">
        <v>197242.28</v>
      </c>
      <c r="AZ6" s="813">
        <v>235910</v>
      </c>
      <c r="BA6" s="813">
        <v>292259.28000000003</v>
      </c>
      <c r="BB6" s="813">
        <v>378441</v>
      </c>
      <c r="BC6" s="820">
        <v>487453.25</v>
      </c>
      <c r="BD6" s="820">
        <v>604181.80000000005</v>
      </c>
      <c r="BE6" s="820">
        <v>752986.7</v>
      </c>
      <c r="BF6" s="820">
        <v>897686.9</v>
      </c>
      <c r="BG6" s="820">
        <v>1057535.1000000001</v>
      </c>
    </row>
    <row r="7" spans="1:59">
      <c r="A7" s="695" t="s">
        <v>573</v>
      </c>
      <c r="C7" s="783" t="s">
        <v>474</v>
      </c>
      <c r="D7" s="812"/>
      <c r="E7" s="812"/>
      <c r="F7" s="812"/>
      <c r="G7" s="812"/>
      <c r="H7" s="812">
        <v>1.1580235605259652</v>
      </c>
      <c r="I7" s="812">
        <v>0.40134156870558546</v>
      </c>
      <c r="J7" s="812">
        <v>0.35148267128541488</v>
      </c>
      <c r="K7" s="812">
        <v>0.31635667371431175</v>
      </c>
      <c r="L7" s="812">
        <v>0.15817694369973201</v>
      </c>
      <c r="M7" s="812">
        <v>0.11117696682464451</v>
      </c>
      <c r="N7" s="812">
        <v>0.10498680579877284</v>
      </c>
      <c r="O7" s="812">
        <v>0.1274948638127158</v>
      </c>
      <c r="P7" s="812">
        <v>0.14839814814814822</v>
      </c>
      <c r="Q7" s="812">
        <v>0.1731721720796966</v>
      </c>
      <c r="R7" s="812">
        <v>0.21708913984247014</v>
      </c>
      <c r="S7" s="812">
        <v>0.23187544324969145</v>
      </c>
      <c r="T7" s="812">
        <v>0.22664822982092603</v>
      </c>
      <c r="U7" s="812">
        <v>0.22236966480040721</v>
      </c>
      <c r="V7" s="812">
        <v>0.24037007383684728</v>
      </c>
      <c r="W7" s="812">
        <v>0.25717138103161408</v>
      </c>
      <c r="X7" s="812">
        <f t="shared" ref="X7:AA7" si="24">X6/T6-1</f>
        <v>0.22874044860734544</v>
      </c>
      <c r="Y7" s="812">
        <f t="shared" si="24"/>
        <v>0.30622351104171308</v>
      </c>
      <c r="Z7" s="812">
        <f t="shared" si="24"/>
        <v>0.31981209208922046</v>
      </c>
      <c r="AA7" s="812">
        <f t="shared" si="24"/>
        <v>0.31124993382391875</v>
      </c>
      <c r="AB7" s="821">
        <f t="shared" ref="AB7" si="25">AB6/X6-1</f>
        <v>0.34728184553660979</v>
      </c>
      <c r="AC7" s="821">
        <f t="shared" ref="AC7" si="26">AC6/Y6-1</f>
        <v>0.31569839589239157</v>
      </c>
      <c r="AD7" s="821">
        <f t="shared" ref="AD7" si="27">AD6/Z6-1</f>
        <v>0.270795733539686</v>
      </c>
      <c r="AE7" s="821">
        <f t="shared" ref="AE7" si="28">AE6/AA6-1</f>
        <v>0.25986409993459336</v>
      </c>
      <c r="AF7" s="821">
        <f t="shared" ref="AF7" si="29">AF6/AB6-1</f>
        <v>0.23770618305986524</v>
      </c>
      <c r="AG7" s="821">
        <f t="shared" ref="AG7" si="30">AG6/AC6-1</f>
        <v>0.20432692723701407</v>
      </c>
      <c r="AH7" s="821">
        <f t="shared" ref="AH7" si="31">AH6/AD6-1</f>
        <v>0.22046317779742619</v>
      </c>
      <c r="AI7" s="821">
        <f t="shared" ref="AI7" si="32">AI6/AE6-1</f>
        <v>0.20962682192086901</v>
      </c>
      <c r="AJ7" s="821" t="e">
        <f t="shared" ref="AJ7" si="33">AJ6/AF6-1</f>
        <v>#VALUE!</v>
      </c>
      <c r="AK7" s="821" t="e">
        <f t="shared" ref="AK7" si="34">AK6/AG6-1</f>
        <v>#VALUE!</v>
      </c>
      <c r="AL7" s="821" t="e">
        <f t="shared" ref="AL7:AM7" si="35">AL6/AH6-1</f>
        <v>#VALUE!</v>
      </c>
      <c r="AM7" s="821" t="e">
        <f t="shared" si="35"/>
        <v>#VALUE!</v>
      </c>
      <c r="AN7" s="821" t="e">
        <f t="shared" ref="AN7" si="36">AN6/AJ6-1</f>
        <v>#VALUE!</v>
      </c>
      <c r="AO7" s="821" t="e">
        <f t="shared" ref="AO7" si="37">AO6/AK6-1</f>
        <v>#VALUE!</v>
      </c>
      <c r="AP7" s="821" t="e">
        <f t="shared" ref="AP7" si="38">AP6/AL6-1</f>
        <v>#VALUE!</v>
      </c>
      <c r="AQ7" s="821" t="e">
        <f t="shared" ref="AQ7" si="39">AQ6/AM6-1</f>
        <v>#VALUE!</v>
      </c>
      <c r="AR7" s="821" t="e">
        <f t="shared" ref="AR7" si="40">AR6/AN6-1</f>
        <v>#VALUE!</v>
      </c>
      <c r="AS7" s="821" t="e">
        <f t="shared" ref="AS7" si="41">AS6/AO6-1</f>
        <v>#VALUE!</v>
      </c>
      <c r="AT7" s="821" t="e">
        <f t="shared" ref="AT7" si="42">AT6/AP6-1</f>
        <v>#VALUE!</v>
      </c>
      <c r="AU7" s="821" t="e">
        <f t="shared" ref="AU7" si="43">AU6/AQ6-1</f>
        <v>#VALUE!</v>
      </c>
      <c r="AV7" s="805"/>
      <c r="AW7" s="805"/>
      <c r="AX7" s="812">
        <v>0.46782983952452351</v>
      </c>
      <c r="AY7" s="812">
        <v>0.12452839224629408</v>
      </c>
      <c r="AZ7" s="812">
        <v>0.1960417411520492</v>
      </c>
      <c r="BA7" s="812">
        <v>0.23885922597600784</v>
      </c>
      <c r="BB7" s="812">
        <f t="shared" ref="BB7:BE7" si="44">BB6/BA6-1</f>
        <v>0.29488103850799874</v>
      </c>
      <c r="BC7" s="821">
        <f t="shared" si="44"/>
        <v>0.28805613028186694</v>
      </c>
      <c r="BD7" s="821">
        <f t="shared" si="44"/>
        <v>0.23946614367634234</v>
      </c>
      <c r="BE7" s="821">
        <f t="shared" si="44"/>
        <v>0.24629159633739373</v>
      </c>
      <c r="BF7" s="821">
        <f t="shared" ref="BF7" si="45">BF6/BE6-1</f>
        <v>0.19216833444734172</v>
      </c>
      <c r="BG7" s="821">
        <f t="shared" ref="BG7" si="46">BG6/BF6-1</f>
        <v>0.17806676247587006</v>
      </c>
    </row>
    <row r="8" spans="1:59">
      <c r="A8" s="695" t="s">
        <v>574</v>
      </c>
      <c r="C8" s="783" t="s">
        <v>475</v>
      </c>
      <c r="D8" s="812"/>
      <c r="E8" s="812">
        <v>0.74227135393241084</v>
      </c>
      <c r="F8" s="812">
        <v>2.6872550972969478E-2</v>
      </c>
      <c r="G8" s="812">
        <v>0.32875387572582948</v>
      </c>
      <c r="H8" s="812">
        <v>-9.2222746147878842E-2</v>
      </c>
      <c r="I8" s="812">
        <v>0.13136729222520116</v>
      </c>
      <c r="J8" s="812">
        <v>-9.6629620853081466E-3</v>
      </c>
      <c r="K8" s="812">
        <v>0.29421861574580532</v>
      </c>
      <c r="L8" s="812">
        <v>-0.20130561388048018</v>
      </c>
      <c r="M8" s="812">
        <v>8.5455277777777727E-2</v>
      </c>
      <c r="N8" s="812">
        <v>-1.5179946253991106E-2</v>
      </c>
      <c r="O8" s="812">
        <v>0.32058123612557887</v>
      </c>
      <c r="P8" s="812">
        <v>-0.18649815321168983</v>
      </c>
      <c r="Q8" s="812">
        <v>0.10887145540890275</v>
      </c>
      <c r="R8" s="812">
        <v>2.1686177561259345E-2</v>
      </c>
      <c r="S8" s="812">
        <v>0.33662485543990739</v>
      </c>
      <c r="T8" s="812">
        <v>-0.18995008319467555</v>
      </c>
      <c r="U8" s="812">
        <v>0.10500369731328574</v>
      </c>
      <c r="V8" s="812">
        <v>3.6731355491114615E-2</v>
      </c>
      <c r="W8" s="812">
        <v>0.35472997202897516</v>
      </c>
      <c r="X8" s="812">
        <f t="shared" ref="X8:AA8" si="47">X6/W6-1</f>
        <v>-0.20826936312139344</v>
      </c>
      <c r="Y8" s="812">
        <f t="shared" si="47"/>
        <v>0.17468405215646943</v>
      </c>
      <c r="Z8" s="812">
        <f t="shared" si="47"/>
        <v>4.7516422464337404E-2</v>
      </c>
      <c r="AA8" s="812">
        <f t="shared" si="47"/>
        <v>0.34594128726332918</v>
      </c>
      <c r="AB8" s="821">
        <f t="shared" ref="AB8" si="48">AB6/AA6-1</f>
        <v>-0.18651335179786988</v>
      </c>
      <c r="AC8" s="821">
        <f t="shared" ref="AC8" si="49">AC6/AB6-1</f>
        <v>0.14714670001885977</v>
      </c>
      <c r="AD8" s="821">
        <f t="shared" ref="AD8" si="50">AD6/AC6-1</f>
        <v>1.1766377945261031E-2</v>
      </c>
      <c r="AE8" s="821">
        <f t="shared" ref="AE8" si="51">AE6/AD6-1</f>
        <v>0.33436323689850234</v>
      </c>
      <c r="AF8" s="821">
        <f t="shared" ref="AF8" si="52">AF6/AE6-1</f>
        <v>-0.20082058503874078</v>
      </c>
      <c r="AG8" s="821">
        <f t="shared" ref="AG8" si="53">AG6/AF6-1</f>
        <v>0.11620971053755502</v>
      </c>
      <c r="AH8" s="821">
        <f t="shared" ref="AH8" si="54">AH6/AG6-1</f>
        <v>2.5322593798194903E-2</v>
      </c>
      <c r="AI8" s="821">
        <f t="shared" ref="AI8" si="55">AI6/AH6-1</f>
        <v>0.32251557515280149</v>
      </c>
      <c r="AJ8" s="821" t="e">
        <f t="shared" ref="AJ8" si="56">AJ6/AI6-1</f>
        <v>#VALUE!</v>
      </c>
      <c r="AK8" s="821" t="e">
        <f t="shared" ref="AK8" si="57">AK6/AJ6-1</f>
        <v>#VALUE!</v>
      </c>
      <c r="AL8" s="821" t="e">
        <f t="shared" ref="AL8:AM8" si="58">AL6/AK6-1</f>
        <v>#VALUE!</v>
      </c>
      <c r="AM8" s="821" t="e">
        <f t="shared" si="58"/>
        <v>#VALUE!</v>
      </c>
      <c r="AN8" s="821" t="e">
        <f t="shared" ref="AN8" si="59">AN6/AM6-1</f>
        <v>#VALUE!</v>
      </c>
      <c r="AO8" s="821" t="e">
        <f t="shared" ref="AO8" si="60">AO6/AN6-1</f>
        <v>#VALUE!</v>
      </c>
      <c r="AP8" s="821" t="e">
        <f t="shared" ref="AP8" si="61">AP6/AO6-1</f>
        <v>#VALUE!</v>
      </c>
      <c r="AQ8" s="821" t="e">
        <f t="shared" ref="AQ8" si="62">AQ6/AP6-1</f>
        <v>#VALUE!</v>
      </c>
      <c r="AR8" s="821" t="e">
        <f t="shared" ref="AR8" si="63">AR6/AQ6-1</f>
        <v>#VALUE!</v>
      </c>
      <c r="AS8" s="821" t="e">
        <f t="shared" ref="AS8" si="64">AS6/AR6-1</f>
        <v>#VALUE!</v>
      </c>
      <c r="AT8" s="821" t="e">
        <f t="shared" ref="AT8" si="65">AT6/AS6-1</f>
        <v>#VALUE!</v>
      </c>
      <c r="AU8" s="821" t="e">
        <f t="shared" ref="AU8" si="66">AU6/AT6-1</f>
        <v>#VALUE!</v>
      </c>
      <c r="AV8" s="805"/>
      <c r="AW8" s="805"/>
      <c r="AX8" s="805"/>
      <c r="AY8" s="805"/>
      <c r="AZ8" s="805"/>
      <c r="BA8" s="805"/>
      <c r="BB8" s="805"/>
      <c r="BC8" s="827"/>
      <c r="BD8" s="827"/>
      <c r="BE8" s="827"/>
      <c r="BF8" s="827"/>
      <c r="BG8" s="827"/>
    </row>
    <row r="9" spans="1:59">
      <c r="D9" s="809"/>
      <c r="E9" s="809"/>
      <c r="F9" s="809"/>
      <c r="G9" s="809"/>
      <c r="H9" s="809"/>
      <c r="I9" s="809"/>
      <c r="J9" s="809"/>
      <c r="K9" s="809"/>
      <c r="L9" s="809"/>
      <c r="M9" s="809"/>
      <c r="N9" s="809"/>
      <c r="O9" s="809"/>
      <c r="P9" s="809"/>
      <c r="Q9" s="809"/>
      <c r="R9" s="809"/>
      <c r="S9" s="809"/>
      <c r="T9" s="809"/>
      <c r="U9" s="809"/>
      <c r="V9" s="809"/>
      <c r="W9" s="809"/>
      <c r="X9" s="809"/>
      <c r="Y9" s="809"/>
      <c r="Z9" s="809"/>
      <c r="AA9" s="809"/>
      <c r="AB9" s="819"/>
      <c r="AC9" s="819"/>
      <c r="AD9" s="819"/>
      <c r="AE9" s="819"/>
      <c r="AF9" s="819"/>
      <c r="AG9" s="819"/>
      <c r="AH9" s="819"/>
      <c r="AI9" s="819"/>
      <c r="AJ9" s="819"/>
      <c r="AK9" s="819"/>
      <c r="AL9" s="819"/>
      <c r="AM9" s="819"/>
      <c r="AN9" s="819"/>
      <c r="AO9" s="819"/>
      <c r="AP9" s="819"/>
      <c r="AQ9" s="819"/>
      <c r="AR9" s="819"/>
      <c r="AS9" s="819"/>
      <c r="AT9" s="819"/>
      <c r="AU9" s="819"/>
      <c r="AW9" s="811"/>
      <c r="AX9" s="811"/>
      <c r="AY9" s="811"/>
      <c r="AZ9" s="811"/>
      <c r="BA9" s="811"/>
      <c r="BB9" s="811"/>
      <c r="BC9" s="826"/>
      <c r="BD9" s="826"/>
      <c r="BE9" s="826"/>
      <c r="BF9" s="826"/>
      <c r="BG9" s="826"/>
    </row>
    <row r="10" spans="1:59">
      <c r="A10" s="783" t="s">
        <v>393</v>
      </c>
      <c r="B10" s="783" t="s">
        <v>472</v>
      </c>
      <c r="C10" s="783" t="s">
        <v>473</v>
      </c>
      <c r="D10" s="813">
        <v>470.00099999999998</v>
      </c>
      <c r="E10" s="813">
        <v>714.34100000000001</v>
      </c>
      <c r="F10" s="813">
        <v>767.40499999999997</v>
      </c>
      <c r="G10" s="813">
        <v>977.74400000000003</v>
      </c>
      <c r="H10" s="813">
        <v>988.64700000000005</v>
      </c>
      <c r="I10" s="813">
        <v>1119.4000000000001</v>
      </c>
      <c r="J10" s="813">
        <v>1123.74</v>
      </c>
      <c r="K10" s="813">
        <v>1380.0239999999999</v>
      </c>
      <c r="L10" s="813">
        <v>1203.623</v>
      </c>
      <c r="M10" s="813">
        <v>1295.0630000000001</v>
      </c>
      <c r="N10" s="813">
        <v>1366.2</v>
      </c>
      <c r="O10" s="813">
        <v>1734.9780000000001</v>
      </c>
      <c r="P10" s="813">
        <v>1508</v>
      </c>
      <c r="Q10" s="813">
        <v>1694</v>
      </c>
      <c r="R10" s="813">
        <v>1714</v>
      </c>
      <c r="S10" s="813">
        <v>2144</v>
      </c>
      <c r="T10" s="813">
        <v>1861</v>
      </c>
      <c r="U10" s="813">
        <v>2045</v>
      </c>
      <c r="V10" s="813">
        <v>2162</v>
      </c>
      <c r="W10" s="813">
        <v>2812</v>
      </c>
      <c r="X10" s="813">
        <v>2360</v>
      </c>
      <c r="Y10" s="813">
        <v>2680</v>
      </c>
      <c r="Z10" s="813">
        <v>2844</v>
      </c>
      <c r="AA10" s="813">
        <v>3672</v>
      </c>
      <c r="AB10" s="820">
        <v>3170</v>
      </c>
      <c r="AC10" s="820">
        <v>3583</v>
      </c>
      <c r="AD10" s="820">
        <v>3651.5129999999999</v>
      </c>
      <c r="AE10" s="820">
        <v>4656.4146000000001</v>
      </c>
      <c r="AF10" s="820">
        <v>3937.7521999999999</v>
      </c>
      <c r="AG10" s="820">
        <v>4343.4364999999998</v>
      </c>
      <c r="AH10" s="820">
        <v>4506.5663999999997</v>
      </c>
      <c r="AI10" s="820">
        <v>5729.2650000000003</v>
      </c>
      <c r="AJ10" s="820">
        <v>4745.0110000000004</v>
      </c>
      <c r="AK10" s="820">
        <v>5245.9165000000003</v>
      </c>
      <c r="AL10" s="820">
        <v>5463.5033999999996</v>
      </c>
      <c r="AM10" s="820">
        <v>6948.6405999999997</v>
      </c>
      <c r="AN10" s="820" t="s">
        <v>835</v>
      </c>
      <c r="AO10" s="820" t="s">
        <v>835</v>
      </c>
      <c r="AP10" s="820" t="s">
        <v>835</v>
      </c>
      <c r="AQ10" s="820" t="s">
        <v>835</v>
      </c>
      <c r="AR10" s="820" t="s">
        <v>835</v>
      </c>
      <c r="AS10" s="820" t="s">
        <v>835</v>
      </c>
      <c r="AT10" s="820" t="s">
        <v>835</v>
      </c>
      <c r="AU10" s="820" t="s">
        <v>835</v>
      </c>
      <c r="AV10" s="814"/>
      <c r="AW10" s="813">
        <v>2929.491</v>
      </c>
      <c r="AX10" s="813">
        <v>4611.8559999999998</v>
      </c>
      <c r="AY10" s="813">
        <v>5599.8639999999996</v>
      </c>
      <c r="AZ10" s="813">
        <v>7060</v>
      </c>
      <c r="BA10" s="813">
        <v>8880</v>
      </c>
      <c r="BB10" s="813">
        <v>11556</v>
      </c>
      <c r="BC10" s="820">
        <v>14977.527</v>
      </c>
      <c r="BD10" s="820">
        <v>18667.963</v>
      </c>
      <c r="BE10" s="820">
        <v>23471.11</v>
      </c>
      <c r="BF10" s="820">
        <v>28231.14</v>
      </c>
      <c r="BG10" s="820">
        <v>33373.300000000003</v>
      </c>
    </row>
    <row r="11" spans="1:59">
      <c r="A11" s="783" t="s">
        <v>394</v>
      </c>
      <c r="C11" s="783" t="s">
        <v>474</v>
      </c>
      <c r="D11" s="812"/>
      <c r="E11" s="812"/>
      <c r="F11" s="812"/>
      <c r="G11" s="812"/>
      <c r="H11" s="812">
        <v>1.1034997797877026</v>
      </c>
      <c r="I11" s="812">
        <v>0.56703871120375293</v>
      </c>
      <c r="J11" s="812">
        <v>0.46433760530619428</v>
      </c>
      <c r="K11" s="812">
        <v>0.41143694054885516</v>
      </c>
      <c r="L11" s="812">
        <v>0.2174446491012465</v>
      </c>
      <c r="M11" s="812">
        <v>0.15692603180275144</v>
      </c>
      <c r="N11" s="812">
        <v>0.2157616530514177</v>
      </c>
      <c r="O11" s="812">
        <v>0.25720857028573429</v>
      </c>
      <c r="P11" s="812">
        <v>0.25288400105348607</v>
      </c>
      <c r="Q11" s="812">
        <v>0.30804447351209929</v>
      </c>
      <c r="R11" s="812">
        <v>0.25457473283560228</v>
      </c>
      <c r="S11" s="812">
        <v>0.2357505397762969</v>
      </c>
      <c r="T11" s="812">
        <v>0.23408488063660471</v>
      </c>
      <c r="U11" s="812">
        <v>0.20720188902007086</v>
      </c>
      <c r="V11" s="812">
        <v>0.26137689614935833</v>
      </c>
      <c r="W11" s="812">
        <v>0.31156716417910446</v>
      </c>
      <c r="X11" s="812">
        <f t="shared" ref="X11:AA11" si="67">X10/T10-1</f>
        <v>0.26813541106931749</v>
      </c>
      <c r="Y11" s="812">
        <f t="shared" si="67"/>
        <v>0.31051344743276288</v>
      </c>
      <c r="Z11" s="812">
        <f t="shared" si="67"/>
        <v>0.31544865864939875</v>
      </c>
      <c r="AA11" s="812">
        <f t="shared" si="67"/>
        <v>0.30583214793741109</v>
      </c>
      <c r="AB11" s="821">
        <f t="shared" ref="AB11" si="68">AB10/X10-1</f>
        <v>0.34322033898305082</v>
      </c>
      <c r="AC11" s="821">
        <f t="shared" ref="AC11" si="69">AC10/Y10-1</f>
        <v>0.33694029850746277</v>
      </c>
      <c r="AD11" s="821">
        <f t="shared" ref="AD11" si="70">AD10/Z10-1</f>
        <v>0.28393565400843879</v>
      </c>
      <c r="AE11" s="821">
        <f t="shared" ref="AE11" si="71">AE10/AA10-1</f>
        <v>0.26808676470588244</v>
      </c>
      <c r="AF11" s="821">
        <f t="shared" ref="AF11" si="72">AF10/AB10-1</f>
        <v>0.24219312302839113</v>
      </c>
      <c r="AG11" s="821">
        <f t="shared" ref="AG11" si="73">AG10/AC10-1</f>
        <v>0.21223457996092665</v>
      </c>
      <c r="AH11" s="821">
        <f t="shared" ref="AH11" si="74">AH10/AD10-1</f>
        <v>0.23416413963198268</v>
      </c>
      <c r="AI11" s="821">
        <f t="shared" ref="AI11" si="75">AI10/AE10-1</f>
        <v>0.23040267934904257</v>
      </c>
      <c r="AJ11" s="821">
        <f t="shared" ref="AJ11" si="76">AJ10/AF10-1</f>
        <v>0.20500497720501576</v>
      </c>
      <c r="AK11" s="821">
        <f t="shared" ref="AK11" si="77">AK10/AG10-1</f>
        <v>0.20778017590449416</v>
      </c>
      <c r="AL11" s="821">
        <f t="shared" ref="AL11:AM11" si="78">AL10/AH10-1</f>
        <v>0.21234281602951643</v>
      </c>
      <c r="AM11" s="821">
        <f t="shared" si="78"/>
        <v>0.21283281537858678</v>
      </c>
      <c r="AN11" s="821" t="e">
        <f t="shared" ref="AN11" si="79">AN10/AJ10-1</f>
        <v>#VALUE!</v>
      </c>
      <c r="AO11" s="821" t="e">
        <f t="shared" ref="AO11" si="80">AO10/AK10-1</f>
        <v>#VALUE!</v>
      </c>
      <c r="AP11" s="821" t="e">
        <f t="shared" ref="AP11" si="81">AP10/AL10-1</f>
        <v>#VALUE!</v>
      </c>
      <c r="AQ11" s="821" t="e">
        <f t="shared" ref="AQ11" si="82">AQ10/AM10-1</f>
        <v>#VALUE!</v>
      </c>
      <c r="AR11" s="821" t="e">
        <f t="shared" ref="AR11" si="83">AR10/AN10-1</f>
        <v>#VALUE!</v>
      </c>
      <c r="AS11" s="821" t="e">
        <f t="shared" ref="AS11" si="84">AS10/AO10-1</f>
        <v>#VALUE!</v>
      </c>
      <c r="AT11" s="821" t="e">
        <f t="shared" ref="AT11" si="85">AT10/AP10-1</f>
        <v>#VALUE!</v>
      </c>
      <c r="AU11" s="821" t="e">
        <f t="shared" ref="AU11" si="86">AU10/AQ10-1</f>
        <v>#VALUE!</v>
      </c>
      <c r="AV11" s="805"/>
      <c r="AW11" s="805"/>
      <c r="AX11" s="812">
        <v>0.57428577182862139</v>
      </c>
      <c r="AY11" s="812">
        <v>0.21423218764853025</v>
      </c>
      <c r="AZ11" s="812">
        <v>0.26074490380480686</v>
      </c>
      <c r="BA11" s="812">
        <v>0.25779036827195467</v>
      </c>
      <c r="BB11" s="812">
        <f t="shared" ref="BB11:BE11" si="87">BB10/BA10-1</f>
        <v>0.30135135135135127</v>
      </c>
      <c r="BC11" s="821">
        <f t="shared" si="87"/>
        <v>0.2960822949117341</v>
      </c>
      <c r="BD11" s="821">
        <f t="shared" si="87"/>
        <v>0.24639822048059057</v>
      </c>
      <c r="BE11" s="821">
        <f t="shared" si="87"/>
        <v>0.25729357830846356</v>
      </c>
      <c r="BF11" s="821">
        <f t="shared" ref="BF11" si="88">BF10/BE10-1</f>
        <v>0.2028037872942523</v>
      </c>
      <c r="BG11" s="821">
        <f t="shared" ref="BG11" si="89">BG10/BF10-1</f>
        <v>0.18214496474460495</v>
      </c>
    </row>
    <row r="12" spans="1:59">
      <c r="A12" s="783" t="s">
        <v>450</v>
      </c>
      <c r="C12" s="783" t="s">
        <v>475</v>
      </c>
      <c r="D12" s="812"/>
      <c r="E12" s="812">
        <v>0.51987123431652282</v>
      </c>
      <c r="F12" s="812">
        <v>7.4283850429976761E-2</v>
      </c>
      <c r="G12" s="812">
        <v>0.27409125559515513</v>
      </c>
      <c r="H12" s="812">
        <v>1.1151180677150707E-2</v>
      </c>
      <c r="I12" s="812">
        <v>0.1322544851701366</v>
      </c>
      <c r="J12" s="812">
        <v>3.8770770055385206E-3</v>
      </c>
      <c r="K12" s="812">
        <v>0.22806343104276783</v>
      </c>
      <c r="L12" s="812">
        <v>-0.12782458855788004</v>
      </c>
      <c r="M12" s="812">
        <v>7.5970632000219362E-2</v>
      </c>
      <c r="N12" s="812">
        <v>5.4929374092225647E-2</v>
      </c>
      <c r="O12" s="812">
        <v>0.26992973210364513</v>
      </c>
      <c r="P12" s="812">
        <v>-0.13082471362749271</v>
      </c>
      <c r="Q12" s="812">
        <v>0.12334217506631306</v>
      </c>
      <c r="R12" s="812">
        <v>1.1806375442739103E-2</v>
      </c>
      <c r="S12" s="812">
        <v>0.25087514585764303</v>
      </c>
      <c r="T12" s="812">
        <v>-0.13199626865671643</v>
      </c>
      <c r="U12" s="812">
        <v>9.8871574422353614E-2</v>
      </c>
      <c r="V12" s="812">
        <v>5.7212713936430237E-2</v>
      </c>
      <c r="W12" s="812">
        <v>0.3006475485661424</v>
      </c>
      <c r="X12" s="812">
        <f t="shared" ref="X12:AA12" si="90">X10/W10-1</f>
        <v>-0.16073968705547648</v>
      </c>
      <c r="Y12" s="812">
        <f t="shared" si="90"/>
        <v>0.13559322033898313</v>
      </c>
      <c r="Z12" s="812">
        <f t="shared" si="90"/>
        <v>6.119402985074629E-2</v>
      </c>
      <c r="AA12" s="812">
        <f t="shared" si="90"/>
        <v>0.29113924050632911</v>
      </c>
      <c r="AB12" s="821">
        <f t="shared" ref="AB12" si="91">AB10/AA10-1</f>
        <v>-0.13671023965141615</v>
      </c>
      <c r="AC12" s="821">
        <f t="shared" ref="AC12" si="92">AC10/AB10-1</f>
        <v>0.13028391167192432</v>
      </c>
      <c r="AD12" s="821">
        <f t="shared" ref="AD12" si="93">AD10/AC10-1</f>
        <v>1.9121685738208161E-2</v>
      </c>
      <c r="AE12" s="821">
        <f t="shared" ref="AE12" si="94">AE10/AD10-1</f>
        <v>0.27520143020167254</v>
      </c>
      <c r="AF12" s="821">
        <f t="shared" ref="AF12" si="95">AF10/AE10-1</f>
        <v>-0.15433814677928381</v>
      </c>
      <c r="AG12" s="821">
        <f t="shared" ref="AG12" si="96">AG10/AF10-1</f>
        <v>0.10302433454294047</v>
      </c>
      <c r="AH12" s="821">
        <f t="shared" ref="AH12" si="97">AH10/AG10-1</f>
        <v>3.7557795538164296E-2</v>
      </c>
      <c r="AI12" s="821">
        <f t="shared" ref="AI12" si="98">AI10/AH10-1</f>
        <v>0.27131489730185732</v>
      </c>
      <c r="AJ12" s="821">
        <f t="shared" ref="AJ12" si="99">AJ10/AI10-1</f>
        <v>-0.17179411320649329</v>
      </c>
      <c r="AK12" s="821">
        <f t="shared" ref="AK12" si="100">AK10/AJ10-1</f>
        <v>0.10556466570888867</v>
      </c>
      <c r="AL12" s="821">
        <f t="shared" ref="AL12:AM12" si="101">AL10/AK10-1</f>
        <v>4.147738531484424E-2</v>
      </c>
      <c r="AM12" s="821">
        <f t="shared" si="101"/>
        <v>0.27182873172550792</v>
      </c>
      <c r="AN12" s="821" t="e">
        <f t="shared" ref="AN12" si="102">AN10/AM10-1</f>
        <v>#VALUE!</v>
      </c>
      <c r="AO12" s="821" t="e">
        <f t="shared" ref="AO12" si="103">AO10/AN10-1</f>
        <v>#VALUE!</v>
      </c>
      <c r="AP12" s="821" t="e">
        <f t="shared" ref="AP12" si="104">AP10/AO10-1</f>
        <v>#VALUE!</v>
      </c>
      <c r="AQ12" s="821" t="e">
        <f t="shared" ref="AQ12" si="105">AQ10/AP10-1</f>
        <v>#VALUE!</v>
      </c>
      <c r="AR12" s="821" t="e">
        <f t="shared" ref="AR12" si="106">AR10/AQ10-1</f>
        <v>#VALUE!</v>
      </c>
      <c r="AS12" s="821" t="e">
        <f t="shared" ref="AS12" si="107">AS10/AR10-1</f>
        <v>#VALUE!</v>
      </c>
      <c r="AT12" s="821" t="e">
        <f t="shared" ref="AT12" si="108">AT10/AS10-1</f>
        <v>#VALUE!</v>
      </c>
      <c r="AU12" s="821" t="e">
        <f t="shared" ref="AU12" si="109">AU10/AT10-1</f>
        <v>#VALUE!</v>
      </c>
      <c r="AV12" s="805"/>
      <c r="AW12" s="805"/>
      <c r="AX12" s="805"/>
      <c r="AY12" s="805"/>
      <c r="AZ12" s="805"/>
      <c r="BA12" s="805"/>
      <c r="BB12" s="805"/>
      <c r="BC12" s="827"/>
      <c r="BD12" s="827"/>
      <c r="BE12" s="827"/>
      <c r="BF12" s="827"/>
      <c r="BG12" s="827"/>
    </row>
    <row r="13" spans="1:59">
      <c r="A13" s="783"/>
      <c r="D13" s="810"/>
      <c r="AB13" s="822"/>
      <c r="AC13" s="822"/>
      <c r="AD13" s="822"/>
      <c r="AE13" s="822"/>
      <c r="AF13" s="822"/>
      <c r="AG13" s="822"/>
      <c r="AH13" s="822"/>
      <c r="AI13" s="822"/>
      <c r="AJ13" s="822"/>
      <c r="AK13" s="822"/>
      <c r="AL13" s="822"/>
      <c r="AM13" s="822"/>
      <c r="AN13" s="822"/>
      <c r="AO13" s="822"/>
      <c r="AP13" s="822"/>
      <c r="AQ13" s="822"/>
      <c r="AR13" s="822"/>
      <c r="AS13" s="822"/>
      <c r="AT13" s="822"/>
      <c r="AU13" s="822"/>
      <c r="BC13" s="822"/>
      <c r="BD13" s="822"/>
      <c r="BE13" s="822"/>
      <c r="BF13" s="822"/>
      <c r="BG13" s="822"/>
    </row>
    <row r="14" spans="1:59">
      <c r="A14" s="783" t="s">
        <v>494</v>
      </c>
      <c r="B14" s="783" t="s">
        <v>483</v>
      </c>
      <c r="C14" s="783" t="s">
        <v>486</v>
      </c>
      <c r="D14" s="813">
        <v>187.60900000000001</v>
      </c>
      <c r="E14" s="813">
        <v>196.434</v>
      </c>
      <c r="F14" s="813">
        <v>245.274</v>
      </c>
      <c r="G14" s="813">
        <v>279.44</v>
      </c>
      <c r="H14" s="813">
        <v>320.68099999999998</v>
      </c>
      <c r="I14" s="813">
        <v>334.23700000000002</v>
      </c>
      <c r="J14" s="813">
        <v>336.20800000000003</v>
      </c>
      <c r="K14" s="813">
        <v>351.20800000000003</v>
      </c>
      <c r="L14" s="813">
        <v>344.76100000000002</v>
      </c>
      <c r="M14" s="813">
        <v>366.44299999999998</v>
      </c>
      <c r="N14" s="813">
        <v>376.30099999999999</v>
      </c>
      <c r="O14" s="813">
        <v>400.25400000000002</v>
      </c>
      <c r="P14" s="813">
        <v>382</v>
      </c>
      <c r="Q14" s="813">
        <v>444</v>
      </c>
      <c r="R14" s="813">
        <v>486</v>
      </c>
      <c r="S14" s="813">
        <v>525</v>
      </c>
      <c r="T14" s="813">
        <v>511</v>
      </c>
      <c r="U14" s="813">
        <v>563</v>
      </c>
      <c r="V14" s="813">
        <v>610</v>
      </c>
      <c r="W14" s="813">
        <v>666</v>
      </c>
      <c r="X14" s="813">
        <v>620</v>
      </c>
      <c r="Y14" s="813">
        <v>656</v>
      </c>
      <c r="Z14" s="813">
        <v>699</v>
      </c>
      <c r="AA14" s="813">
        <v>777</v>
      </c>
      <c r="AB14" s="820">
        <v>750</v>
      </c>
      <c r="AC14" s="820">
        <v>802</v>
      </c>
      <c r="AD14" s="820">
        <v>838.45180000000005</v>
      </c>
      <c r="AE14" s="820">
        <v>916.29290000000003</v>
      </c>
      <c r="AF14" s="820">
        <v>885.05740000000003</v>
      </c>
      <c r="AG14" s="820">
        <v>936.16399999999999</v>
      </c>
      <c r="AH14" s="820">
        <v>983.64909999999998</v>
      </c>
      <c r="AI14" s="820">
        <v>1067.0239999999999</v>
      </c>
      <c r="AJ14" s="820" t="s">
        <v>835</v>
      </c>
      <c r="AK14" s="820" t="s">
        <v>835</v>
      </c>
      <c r="AL14" s="820" t="s">
        <v>835</v>
      </c>
      <c r="AM14" s="820" t="s">
        <v>835</v>
      </c>
      <c r="AN14" s="820" t="s">
        <v>835</v>
      </c>
      <c r="AO14" s="820" t="s">
        <v>835</v>
      </c>
      <c r="AP14" s="820" t="s">
        <v>835</v>
      </c>
      <c r="AQ14" s="820" t="s">
        <v>835</v>
      </c>
      <c r="AR14" s="820" t="s">
        <v>835</v>
      </c>
      <c r="AS14" s="820" t="s">
        <v>835</v>
      </c>
      <c r="AT14" s="820" t="s">
        <v>835</v>
      </c>
      <c r="AU14" s="820" t="s">
        <v>835</v>
      </c>
      <c r="AV14" s="814"/>
      <c r="AW14" s="813">
        <v>908.75699999999995</v>
      </c>
      <c r="AX14" s="813">
        <v>1342.3340000000001</v>
      </c>
      <c r="AY14" s="813">
        <v>1487.759</v>
      </c>
      <c r="AZ14" s="813">
        <v>1837</v>
      </c>
      <c r="BA14" s="813">
        <v>2350</v>
      </c>
      <c r="BB14" s="813">
        <v>2752</v>
      </c>
      <c r="BC14" s="820">
        <v>3293.0320000000002</v>
      </c>
      <c r="BD14" s="820">
        <v>3848.8227999999999</v>
      </c>
      <c r="BE14" s="820">
        <v>4485.1109999999999</v>
      </c>
      <c r="BF14" s="820">
        <v>5086.1000000000004</v>
      </c>
      <c r="BG14" s="820">
        <v>5833.9</v>
      </c>
    </row>
    <row r="15" spans="1:59">
      <c r="A15" s="783" t="s">
        <v>495</v>
      </c>
      <c r="C15" s="783" t="s">
        <v>474</v>
      </c>
      <c r="D15" s="812"/>
      <c r="E15" s="812"/>
      <c r="F15" s="812"/>
      <c r="G15" s="812"/>
      <c r="H15" s="812">
        <v>0.70930499069874031</v>
      </c>
      <c r="I15" s="812">
        <v>0.70152315790545439</v>
      </c>
      <c r="J15" s="812">
        <v>0.37074455506902493</v>
      </c>
      <c r="K15" s="812">
        <v>0.25682794159748079</v>
      </c>
      <c r="L15" s="812">
        <v>7.5090198670953567E-2</v>
      </c>
      <c r="M15" s="812">
        <v>9.6356776778154352E-2</v>
      </c>
      <c r="N15" s="812">
        <v>0.11925058297244551</v>
      </c>
      <c r="O15" s="812">
        <v>0.13964943850937339</v>
      </c>
      <c r="P15" s="812">
        <v>0.10801395749519216</v>
      </c>
      <c r="Q15" s="812">
        <v>0.21164819630883946</v>
      </c>
      <c r="R15" s="812">
        <v>0.29151928907975266</v>
      </c>
      <c r="S15" s="812">
        <v>0.3116670913969628</v>
      </c>
      <c r="T15" s="812">
        <v>0.33769633507853403</v>
      </c>
      <c r="U15" s="812">
        <v>0.26801801801801806</v>
      </c>
      <c r="V15" s="812">
        <v>0.25514403292181065</v>
      </c>
      <c r="W15" s="812">
        <v>0.26857142857142846</v>
      </c>
      <c r="X15" s="812">
        <f t="shared" ref="X15:AA15" si="110">X14/T14-1</f>
        <v>0.21330724070450091</v>
      </c>
      <c r="Y15" s="812">
        <f t="shared" si="110"/>
        <v>0.1651865008880995</v>
      </c>
      <c r="Z15" s="812">
        <f t="shared" si="110"/>
        <v>0.14590163934426226</v>
      </c>
      <c r="AA15" s="812">
        <f t="shared" si="110"/>
        <v>0.16666666666666674</v>
      </c>
      <c r="AB15" s="821">
        <f t="shared" ref="AB15" si="111">AB14/X14-1</f>
        <v>0.20967741935483875</v>
      </c>
      <c r="AC15" s="821">
        <f t="shared" ref="AC15" si="112">AC14/Y14-1</f>
        <v>0.22256097560975618</v>
      </c>
      <c r="AD15" s="821">
        <f t="shared" ref="AD15" si="113">AD14/Z14-1</f>
        <v>0.19950185979971402</v>
      </c>
      <c r="AE15" s="821">
        <f t="shared" ref="AE15" si="114">AE14/AA14-1</f>
        <v>0.17927014157014165</v>
      </c>
      <c r="AF15" s="821">
        <f t="shared" ref="AF15" si="115">AF14/AB14-1</f>
        <v>0.1800765333333334</v>
      </c>
      <c r="AG15" s="821">
        <f t="shared" ref="AG15" si="116">AG14/AC14-1</f>
        <v>0.16728678304239408</v>
      </c>
      <c r="AH15" s="821">
        <f t="shared" ref="AH15" si="117">AH14/AD14-1</f>
        <v>0.17317310309310563</v>
      </c>
      <c r="AI15" s="821">
        <f t="shared" ref="AI15" si="118">AI14/AE14-1</f>
        <v>0.16450100180848271</v>
      </c>
      <c r="AJ15" s="821" t="e">
        <f t="shared" ref="AJ15" si="119">AJ14/AF14-1</f>
        <v>#VALUE!</v>
      </c>
      <c r="AK15" s="821" t="e">
        <f t="shared" ref="AK15" si="120">AK14/AG14-1</f>
        <v>#VALUE!</v>
      </c>
      <c r="AL15" s="821" t="e">
        <f t="shared" ref="AL15:AM15" si="121">AL14/AH14-1</f>
        <v>#VALUE!</v>
      </c>
      <c r="AM15" s="821" t="e">
        <f t="shared" si="121"/>
        <v>#VALUE!</v>
      </c>
      <c r="AN15" s="821" t="e">
        <f t="shared" ref="AN15" si="122">AN14/AJ14-1</f>
        <v>#VALUE!</v>
      </c>
      <c r="AO15" s="821" t="e">
        <f t="shared" ref="AO15" si="123">AO14/AK14-1</f>
        <v>#VALUE!</v>
      </c>
      <c r="AP15" s="821" t="e">
        <f t="shared" ref="AP15" si="124">AP14/AL14-1</f>
        <v>#VALUE!</v>
      </c>
      <c r="AQ15" s="821" t="e">
        <f t="shared" ref="AQ15" si="125">AQ14/AM14-1</f>
        <v>#VALUE!</v>
      </c>
      <c r="AR15" s="821" t="e">
        <f t="shared" ref="AR15" si="126">AR14/AN14-1</f>
        <v>#VALUE!</v>
      </c>
      <c r="AS15" s="821" t="e">
        <f t="shared" ref="AS15" si="127">AS14/AO14-1</f>
        <v>#VALUE!</v>
      </c>
      <c r="AT15" s="821" t="e">
        <f t="shared" ref="AT15" si="128">AT14/AP14-1</f>
        <v>#VALUE!</v>
      </c>
      <c r="AU15" s="821" t="e">
        <f t="shared" ref="AU15" si="129">AU14/AQ14-1</f>
        <v>#VALUE!</v>
      </c>
      <c r="AV15" s="805"/>
      <c r="AW15" s="805"/>
      <c r="AX15" s="812">
        <v>0.47710994248187366</v>
      </c>
      <c r="AY15" s="812">
        <v>0.10833741825804899</v>
      </c>
      <c r="AZ15" s="812">
        <v>0.23474299264867504</v>
      </c>
      <c r="BA15" s="812">
        <v>0.27925966249319534</v>
      </c>
      <c r="BB15" s="812">
        <f t="shared" ref="BB15:BE15" si="130">BB14/BA14-1</f>
        <v>0.171063829787234</v>
      </c>
      <c r="BC15" s="821">
        <f t="shared" si="130"/>
        <v>0.19659593023255817</v>
      </c>
      <c r="BD15" s="821">
        <f t="shared" si="130"/>
        <v>0.16877783149389369</v>
      </c>
      <c r="BE15" s="821">
        <f t="shared" si="130"/>
        <v>0.16532021167615207</v>
      </c>
      <c r="BF15" s="821">
        <f t="shared" ref="BF15" si="131">BF14/BE14-1</f>
        <v>0.13399646073419369</v>
      </c>
      <c r="BG15" s="821">
        <f t="shared" ref="BG15" si="132">BG14/BF14-1</f>
        <v>0.14702817482943686</v>
      </c>
    </row>
    <row r="16" spans="1:59">
      <c r="A16" s="783" t="s">
        <v>496</v>
      </c>
      <c r="C16" s="783" t="s">
        <v>475</v>
      </c>
      <c r="D16" s="812"/>
      <c r="E16" s="812">
        <v>4.703932114130982E-2</v>
      </c>
      <c r="F16" s="812">
        <v>0.24863312868444365</v>
      </c>
      <c r="G16" s="812">
        <v>0.13929727569982964</v>
      </c>
      <c r="H16" s="812">
        <v>0.14758445462353276</v>
      </c>
      <c r="I16" s="812">
        <v>4.2272538753465483E-2</v>
      </c>
      <c r="J16" s="812">
        <v>5.897013197222245E-3</v>
      </c>
      <c r="K16" s="812">
        <v>4.4615238185884865E-2</v>
      </c>
      <c r="L16" s="812">
        <v>-1.8356643356643332E-2</v>
      </c>
      <c r="M16" s="812">
        <v>6.288994404819559E-2</v>
      </c>
      <c r="N16" s="812">
        <v>2.6901864682911114E-2</v>
      </c>
      <c r="O16" s="812">
        <v>6.3653830311373172E-2</v>
      </c>
      <c r="P16" s="812">
        <v>-4.5606040164495543E-2</v>
      </c>
      <c r="Q16" s="812">
        <v>0.16230366492146597</v>
      </c>
      <c r="R16" s="812">
        <v>9.4594594594594517E-2</v>
      </c>
      <c r="S16" s="812">
        <v>8.0246913580246826E-2</v>
      </c>
      <c r="T16" s="812">
        <v>-2.6666666666666616E-2</v>
      </c>
      <c r="U16" s="812">
        <v>0.10176125244618395</v>
      </c>
      <c r="V16" s="812">
        <v>8.3481349911190161E-2</v>
      </c>
      <c r="W16" s="812">
        <v>9.1803278688524559E-2</v>
      </c>
      <c r="X16" s="812">
        <f t="shared" ref="X16:AA16" si="133">X14/W14-1</f>
        <v>-6.9069069069069067E-2</v>
      </c>
      <c r="Y16" s="812">
        <f t="shared" si="133"/>
        <v>5.8064516129032295E-2</v>
      </c>
      <c r="Z16" s="812">
        <f t="shared" si="133"/>
        <v>6.554878048780477E-2</v>
      </c>
      <c r="AA16" s="812">
        <f t="shared" si="133"/>
        <v>0.11158798283261806</v>
      </c>
      <c r="AB16" s="821">
        <f t="shared" ref="AB16" si="134">AB14/AA14-1</f>
        <v>-3.4749034749034791E-2</v>
      </c>
      <c r="AC16" s="821">
        <f t="shared" ref="AC16" si="135">AC14/AB14-1</f>
        <v>6.9333333333333247E-2</v>
      </c>
      <c r="AD16" s="821">
        <f t="shared" ref="AD16" si="136">AD14/AC14-1</f>
        <v>4.5451122194513749E-2</v>
      </c>
      <c r="AE16" s="821">
        <f t="shared" ref="AE16" si="137">AE14/AD14-1</f>
        <v>9.2839087470502069E-2</v>
      </c>
      <c r="AF16" s="821">
        <f t="shared" ref="AF16" si="138">AF14/AE14-1</f>
        <v>-3.408899054003367E-2</v>
      </c>
      <c r="AG16" s="821">
        <f t="shared" ref="AG16" si="139">AG14/AF14-1</f>
        <v>5.7743825428723472E-2</v>
      </c>
      <c r="AH16" s="821">
        <f t="shared" ref="AH16" si="140">AH14/AG14-1</f>
        <v>5.0723057071196953E-2</v>
      </c>
      <c r="AI16" s="821">
        <f t="shared" ref="AI16" si="141">AI14/AH14-1</f>
        <v>8.4760815620122942E-2</v>
      </c>
      <c r="AJ16" s="821" t="e">
        <f t="shared" ref="AJ16" si="142">AJ14/AI14-1</f>
        <v>#VALUE!</v>
      </c>
      <c r="AK16" s="821" t="e">
        <f t="shared" ref="AK16" si="143">AK14/AJ14-1</f>
        <v>#VALUE!</v>
      </c>
      <c r="AL16" s="821" t="e">
        <f t="shared" ref="AL16:AM16" si="144">AL14/AK14-1</f>
        <v>#VALUE!</v>
      </c>
      <c r="AM16" s="821" t="e">
        <f t="shared" si="144"/>
        <v>#VALUE!</v>
      </c>
      <c r="AN16" s="821" t="e">
        <f t="shared" ref="AN16" si="145">AN14/AM14-1</f>
        <v>#VALUE!</v>
      </c>
      <c r="AO16" s="821" t="e">
        <f t="shared" ref="AO16" si="146">AO14/AN14-1</f>
        <v>#VALUE!</v>
      </c>
      <c r="AP16" s="821" t="e">
        <f t="shared" ref="AP16" si="147">AP14/AO14-1</f>
        <v>#VALUE!</v>
      </c>
      <c r="AQ16" s="821" t="e">
        <f t="shared" ref="AQ16" si="148">AQ14/AP14-1</f>
        <v>#VALUE!</v>
      </c>
      <c r="AR16" s="821" t="e">
        <f t="shared" ref="AR16" si="149">AR14/AQ14-1</f>
        <v>#VALUE!</v>
      </c>
      <c r="AS16" s="821" t="e">
        <f t="shared" ref="AS16" si="150">AS14/AR14-1</f>
        <v>#VALUE!</v>
      </c>
      <c r="AT16" s="821" t="e">
        <f t="shared" ref="AT16" si="151">AT14/AS14-1</f>
        <v>#VALUE!</v>
      </c>
      <c r="AU16" s="821" t="e">
        <f t="shared" ref="AU16" si="152">AU14/AT14-1</f>
        <v>#VALUE!</v>
      </c>
      <c r="AV16" s="805"/>
      <c r="AW16" s="805"/>
      <c r="AX16" s="805"/>
      <c r="AY16" s="805"/>
      <c r="AZ16" s="805"/>
      <c r="BA16" s="805"/>
      <c r="BB16" s="805"/>
      <c r="BC16" s="827"/>
      <c r="BD16" s="827"/>
      <c r="BE16" s="827"/>
      <c r="BF16" s="827"/>
      <c r="BG16" s="827"/>
    </row>
    <row r="17" spans="1:59">
      <c r="A17" s="783"/>
      <c r="D17" s="810"/>
      <c r="AB17" s="822"/>
      <c r="AC17" s="822"/>
      <c r="AD17" s="822"/>
      <c r="AE17" s="822"/>
      <c r="AF17" s="822"/>
      <c r="AG17" s="822"/>
      <c r="AH17" s="822"/>
      <c r="AI17" s="822"/>
      <c r="AJ17" s="822"/>
      <c r="AK17" s="822"/>
      <c r="AL17" s="822"/>
      <c r="AM17" s="822"/>
      <c r="AN17" s="822"/>
      <c r="AO17" s="822"/>
      <c r="AP17" s="822"/>
      <c r="AQ17" s="822"/>
      <c r="AR17" s="822"/>
      <c r="AS17" s="822"/>
      <c r="AT17" s="822"/>
      <c r="AU17" s="822"/>
      <c r="BC17" s="822"/>
      <c r="BD17" s="822"/>
      <c r="BE17" s="822"/>
      <c r="BF17" s="822"/>
      <c r="BG17" s="822"/>
    </row>
    <row r="18" spans="1:59">
      <c r="A18" s="783" t="s">
        <v>497</v>
      </c>
      <c r="B18" s="783" t="s">
        <v>484</v>
      </c>
      <c r="C18" s="783" t="s">
        <v>485</v>
      </c>
      <c r="D18" s="813">
        <v>282.392</v>
      </c>
      <c r="E18" s="813">
        <v>517.90700000000004</v>
      </c>
      <c r="F18" s="813">
        <v>522.13099999999997</v>
      </c>
      <c r="G18" s="813">
        <v>698.30399999999997</v>
      </c>
      <c r="H18" s="813">
        <v>667.96600000000001</v>
      </c>
      <c r="I18" s="813">
        <v>785.20799999999997</v>
      </c>
      <c r="J18" s="813">
        <v>787.53200000000004</v>
      </c>
      <c r="K18" s="813">
        <v>1028.816</v>
      </c>
      <c r="L18" s="813">
        <v>858.86199999999997</v>
      </c>
      <c r="M18" s="813">
        <v>928.62</v>
      </c>
      <c r="N18" s="813">
        <v>989.899</v>
      </c>
      <c r="O18" s="813">
        <v>1334.7239999999999</v>
      </c>
      <c r="P18" s="813">
        <v>1126</v>
      </c>
      <c r="Q18" s="813">
        <v>1250</v>
      </c>
      <c r="R18" s="813">
        <v>1228</v>
      </c>
      <c r="S18" s="813">
        <v>1619</v>
      </c>
      <c r="T18" s="813">
        <v>1350</v>
      </c>
      <c r="U18" s="813">
        <v>1482</v>
      </c>
      <c r="V18" s="813">
        <v>1552</v>
      </c>
      <c r="W18" s="813">
        <v>2146</v>
      </c>
      <c r="X18" s="813">
        <v>1740</v>
      </c>
      <c r="Y18" s="813">
        <v>2024</v>
      </c>
      <c r="Z18" s="813">
        <v>2145</v>
      </c>
      <c r="AA18" s="813">
        <v>2895</v>
      </c>
      <c r="AB18" s="820">
        <v>2420</v>
      </c>
      <c r="AC18" s="820">
        <v>2781</v>
      </c>
      <c r="AD18" s="820">
        <v>2784.4268000000002</v>
      </c>
      <c r="AE18" s="820">
        <v>3698.4079999999999</v>
      </c>
      <c r="AF18" s="820">
        <v>3062.951</v>
      </c>
      <c r="AG18" s="820">
        <v>3372.4704999999999</v>
      </c>
      <c r="AH18" s="820">
        <v>3493.7424000000001</v>
      </c>
      <c r="AI18" s="820">
        <v>4581.3540000000003</v>
      </c>
      <c r="AJ18" s="820" t="s">
        <v>835</v>
      </c>
      <c r="AK18" s="820" t="s">
        <v>835</v>
      </c>
      <c r="AL18" s="820" t="s">
        <v>835</v>
      </c>
      <c r="AM18" s="820" t="s">
        <v>835</v>
      </c>
      <c r="AN18" s="820" t="s">
        <v>835</v>
      </c>
      <c r="AO18" s="820" t="s">
        <v>835</v>
      </c>
      <c r="AP18" s="820" t="s">
        <v>835</v>
      </c>
      <c r="AQ18" s="820" t="s">
        <v>835</v>
      </c>
      <c r="AR18" s="820" t="s">
        <v>835</v>
      </c>
      <c r="AS18" s="820" t="s">
        <v>835</v>
      </c>
      <c r="AT18" s="820" t="s">
        <v>835</v>
      </c>
      <c r="AU18" s="820" t="s">
        <v>835</v>
      </c>
      <c r="AV18" s="814"/>
      <c r="AW18" s="813">
        <v>2020.7339999999999</v>
      </c>
      <c r="AX18" s="813">
        <v>3269.5219999999999</v>
      </c>
      <c r="AY18" s="813">
        <v>4112.1049999999996</v>
      </c>
      <c r="AZ18" s="813">
        <v>5223</v>
      </c>
      <c r="BA18" s="813">
        <v>6530</v>
      </c>
      <c r="BB18" s="813">
        <v>8804</v>
      </c>
      <c r="BC18" s="820">
        <v>11599.311</v>
      </c>
      <c r="BD18" s="820">
        <v>14477.754000000001</v>
      </c>
      <c r="BE18" s="820">
        <v>18555.201000000001</v>
      </c>
      <c r="BF18" s="820">
        <v>22418.85</v>
      </c>
      <c r="BG18" s="820">
        <v>26788.15</v>
      </c>
    </row>
    <row r="19" spans="1:59">
      <c r="A19" s="783" t="s">
        <v>498</v>
      </c>
      <c r="C19" s="783" t="s">
        <v>474</v>
      </c>
      <c r="D19" s="812"/>
      <c r="E19" s="812"/>
      <c r="F19" s="812"/>
      <c r="G19" s="812"/>
      <c r="H19" s="812">
        <v>1.365385704977478</v>
      </c>
      <c r="I19" s="812">
        <v>0.51611775859372422</v>
      </c>
      <c r="J19" s="812">
        <v>0.50830347173410528</v>
      </c>
      <c r="K19" s="812">
        <v>0.47330675465126948</v>
      </c>
      <c r="L19" s="812">
        <v>0.28578700113478828</v>
      </c>
      <c r="M19" s="812">
        <v>0.18264205153284241</v>
      </c>
      <c r="N19" s="812">
        <v>0.25696352656146026</v>
      </c>
      <c r="O19" s="812">
        <v>0.29733985474564917</v>
      </c>
      <c r="P19" s="812">
        <v>0.31103716312981611</v>
      </c>
      <c r="Q19" s="812">
        <v>0.34608343563567434</v>
      </c>
      <c r="R19" s="812">
        <v>0.24053059958642242</v>
      </c>
      <c r="S19" s="812">
        <v>0.21298485679436352</v>
      </c>
      <c r="T19" s="812">
        <v>0.19893428063943164</v>
      </c>
      <c r="U19" s="812">
        <v>0.18559999999999999</v>
      </c>
      <c r="V19" s="812">
        <v>0.26384364820846895</v>
      </c>
      <c r="W19" s="812">
        <v>0.32550957381099455</v>
      </c>
      <c r="X19" s="812">
        <f t="shared" ref="X19:AA19" si="153">X18/T18-1</f>
        <v>0.28888888888888897</v>
      </c>
      <c r="Y19" s="812">
        <f t="shared" si="153"/>
        <v>0.36572199730094468</v>
      </c>
      <c r="Z19" s="812">
        <f t="shared" si="153"/>
        <v>0.38208762886597936</v>
      </c>
      <c r="AA19" s="812">
        <f t="shared" si="153"/>
        <v>0.34902143522833184</v>
      </c>
      <c r="AB19" s="821">
        <f t="shared" ref="AB19" si="154">AB18/X18-1</f>
        <v>0.39080459770114939</v>
      </c>
      <c r="AC19" s="821">
        <f t="shared" ref="AC19" si="155">AC18/Y18-1</f>
        <v>0.37401185770750978</v>
      </c>
      <c r="AD19" s="821">
        <f t="shared" ref="AD19" si="156">AD18/Z18-1</f>
        <v>0.29810107226107241</v>
      </c>
      <c r="AE19" s="821">
        <f t="shared" ref="AE19" si="157">AE18/AA18-1</f>
        <v>0.27751571675302245</v>
      </c>
      <c r="AF19" s="821">
        <f t="shared" ref="AF19" si="158">AF18/AB18-1</f>
        <v>0.26568223140495872</v>
      </c>
      <c r="AG19" s="821">
        <f t="shared" ref="AG19" si="159">AG18/AC18-1</f>
        <v>0.21268266810499825</v>
      </c>
      <c r="AH19" s="821">
        <f t="shared" ref="AH19" si="160">AH18/AD18-1</f>
        <v>0.25474384889557866</v>
      </c>
      <c r="AI19" s="821">
        <f t="shared" ref="AI19" si="161">AI18/AE18-1</f>
        <v>0.23873677539092508</v>
      </c>
      <c r="AJ19" s="821" t="e">
        <f t="shared" ref="AJ19" si="162">AJ18/AF18-1</f>
        <v>#VALUE!</v>
      </c>
      <c r="AK19" s="821" t="e">
        <f t="shared" ref="AK19" si="163">AK18/AG18-1</f>
        <v>#VALUE!</v>
      </c>
      <c r="AL19" s="821" t="e">
        <f t="shared" ref="AL19:AM19" si="164">AL18/AH18-1</f>
        <v>#VALUE!</v>
      </c>
      <c r="AM19" s="821" t="e">
        <f t="shared" si="164"/>
        <v>#VALUE!</v>
      </c>
      <c r="AN19" s="821" t="e">
        <f t="shared" ref="AN19" si="165">AN18/AJ18-1</f>
        <v>#VALUE!</v>
      </c>
      <c r="AO19" s="821" t="e">
        <f t="shared" ref="AO19" si="166">AO18/AK18-1</f>
        <v>#VALUE!</v>
      </c>
      <c r="AP19" s="821" t="e">
        <f t="shared" ref="AP19" si="167">AP18/AL18-1</f>
        <v>#VALUE!</v>
      </c>
      <c r="AQ19" s="821" t="e">
        <f t="shared" ref="AQ19" si="168">AQ18/AM18-1</f>
        <v>#VALUE!</v>
      </c>
      <c r="AR19" s="821" t="e">
        <f t="shared" ref="AR19" si="169">AR18/AN18-1</f>
        <v>#VALUE!</v>
      </c>
      <c r="AS19" s="821" t="e">
        <f t="shared" ref="AS19" si="170">AS18/AO18-1</f>
        <v>#VALUE!</v>
      </c>
      <c r="AT19" s="821" t="e">
        <f t="shared" ref="AT19" si="171">AT18/AP18-1</f>
        <v>#VALUE!</v>
      </c>
      <c r="AU19" s="821" t="e">
        <f t="shared" ref="AU19" si="172">AU18/AQ18-1</f>
        <v>#VALUE!</v>
      </c>
      <c r="AV19" s="805"/>
      <c r="AW19" s="805"/>
      <c r="AX19" s="812">
        <v>0.61798732539760315</v>
      </c>
      <c r="AY19" s="812">
        <v>0.25770831332531174</v>
      </c>
      <c r="AZ19" s="812">
        <v>0.27015239153669479</v>
      </c>
      <c r="BA19" s="812">
        <v>0.25023932605782107</v>
      </c>
      <c r="BB19" s="812">
        <f t="shared" ref="BB19:BE19" si="173">BB18/BA18-1</f>
        <v>0.34823889739663083</v>
      </c>
      <c r="BC19" s="821">
        <f t="shared" si="173"/>
        <v>0.31750465697410268</v>
      </c>
      <c r="BD19" s="821">
        <f t="shared" si="173"/>
        <v>0.24815637756415021</v>
      </c>
      <c r="BE19" s="821">
        <f t="shared" si="173"/>
        <v>0.28163532824221216</v>
      </c>
      <c r="BF19" s="821">
        <f t="shared" ref="BF19" si="174">BF18/BE18-1</f>
        <v>0.20822458350087381</v>
      </c>
      <c r="BG19" s="821">
        <f t="shared" ref="BG19" si="175">BG18/BF18-1</f>
        <v>0.19489402890870866</v>
      </c>
    </row>
    <row r="20" spans="1:59">
      <c r="A20" s="783" t="s">
        <v>499</v>
      </c>
      <c r="C20" s="783" t="s">
        <v>475</v>
      </c>
      <c r="D20" s="812"/>
      <c r="E20" s="812">
        <v>0.83400025496473007</v>
      </c>
      <c r="F20" s="812">
        <v>8.155904438441608E-3</v>
      </c>
      <c r="G20" s="812">
        <v>0.33741149251816127</v>
      </c>
      <c r="H20" s="812">
        <v>-4.3445261662542367E-2</v>
      </c>
      <c r="I20" s="812">
        <v>0.17552090974690326</v>
      </c>
      <c r="J20" s="812">
        <v>2.9597253211888219E-3</v>
      </c>
      <c r="K20" s="812">
        <v>0.3063799312281914</v>
      </c>
      <c r="L20" s="812">
        <v>-0.16519377614656072</v>
      </c>
      <c r="M20" s="812">
        <v>8.1221430218126001E-2</v>
      </c>
      <c r="N20" s="812">
        <v>6.5989317481854881E-2</v>
      </c>
      <c r="O20" s="812">
        <v>0.34834361889445287</v>
      </c>
      <c r="P20" s="812">
        <v>-0.15637989576871314</v>
      </c>
      <c r="Q20" s="812">
        <v>0.11012433392539966</v>
      </c>
      <c r="R20" s="812">
        <v>-1.7599999999999949E-2</v>
      </c>
      <c r="S20" s="812">
        <v>0.3184039087947883</v>
      </c>
      <c r="T20" s="812">
        <v>-0.16615194564546021</v>
      </c>
      <c r="U20" s="812">
        <v>9.7777777777777741E-2</v>
      </c>
      <c r="V20" s="812">
        <v>4.7233468286099756E-2</v>
      </c>
      <c r="W20" s="812">
        <v>0.38273195876288657</v>
      </c>
      <c r="X20" s="812">
        <f t="shared" ref="X20:AA20" si="176">X18/W18-1</f>
        <v>-0.18918918918918914</v>
      </c>
      <c r="Y20" s="812">
        <f t="shared" si="176"/>
        <v>0.16321839080459766</v>
      </c>
      <c r="Z20" s="812">
        <f t="shared" si="176"/>
        <v>5.9782608695652106E-2</v>
      </c>
      <c r="AA20" s="812">
        <f t="shared" si="176"/>
        <v>0.34965034965034958</v>
      </c>
      <c r="AB20" s="821">
        <f t="shared" ref="AB20" si="177">AB18/AA18-1</f>
        <v>-0.16407599309153709</v>
      </c>
      <c r="AC20" s="821">
        <f t="shared" ref="AC20" si="178">AC18/AB18-1</f>
        <v>0.1491735537190082</v>
      </c>
      <c r="AD20" s="821">
        <f t="shared" ref="AD20" si="179">AD18/AC18-1</f>
        <v>1.2322186263935553E-3</v>
      </c>
      <c r="AE20" s="821">
        <f t="shared" ref="AE20" si="180">AE18/AD18-1</f>
        <v>0.32824752297313031</v>
      </c>
      <c r="AF20" s="821">
        <f t="shared" ref="AF20" si="181">AF18/AE18-1</f>
        <v>-0.17181906377014111</v>
      </c>
      <c r="AG20" s="821">
        <f t="shared" ref="AG20" si="182">AG18/AF18-1</f>
        <v>0.10105271027842111</v>
      </c>
      <c r="AH20" s="821">
        <f t="shared" ref="AH20" si="183">AH18/AG18-1</f>
        <v>3.595936569348801E-2</v>
      </c>
      <c r="AI20" s="821">
        <f t="shared" ref="AI20" si="184">AI18/AH18-1</f>
        <v>0.3113027451594601</v>
      </c>
      <c r="AJ20" s="821" t="e">
        <f t="shared" ref="AJ20" si="185">AJ18/AI18-1</f>
        <v>#VALUE!</v>
      </c>
      <c r="AK20" s="821" t="e">
        <f t="shared" ref="AK20" si="186">AK18/AJ18-1</f>
        <v>#VALUE!</v>
      </c>
      <c r="AL20" s="821" t="e">
        <f t="shared" ref="AL20:AM20" si="187">AL18/AK18-1</f>
        <v>#VALUE!</v>
      </c>
      <c r="AM20" s="821" t="e">
        <f t="shared" si="187"/>
        <v>#VALUE!</v>
      </c>
      <c r="AN20" s="821" t="e">
        <f t="shared" ref="AN20" si="188">AN18/AM18-1</f>
        <v>#VALUE!</v>
      </c>
      <c r="AO20" s="821" t="e">
        <f t="shared" ref="AO20" si="189">AO18/AN18-1</f>
        <v>#VALUE!</v>
      </c>
      <c r="AP20" s="821" t="e">
        <f t="shared" ref="AP20" si="190">AP18/AO18-1</f>
        <v>#VALUE!</v>
      </c>
      <c r="AQ20" s="821" t="e">
        <f t="shared" ref="AQ20" si="191">AQ18/AP18-1</f>
        <v>#VALUE!</v>
      </c>
      <c r="AR20" s="821" t="e">
        <f t="shared" ref="AR20" si="192">AR18/AQ18-1</f>
        <v>#VALUE!</v>
      </c>
      <c r="AS20" s="821" t="e">
        <f t="shared" ref="AS20" si="193">AS18/AR18-1</f>
        <v>#VALUE!</v>
      </c>
      <c r="AT20" s="821" t="e">
        <f t="shared" ref="AT20" si="194">AT18/AS18-1</f>
        <v>#VALUE!</v>
      </c>
      <c r="AU20" s="821" t="e">
        <f t="shared" ref="AU20" si="195">AU18/AT18-1</f>
        <v>#VALUE!</v>
      </c>
      <c r="AV20" s="805"/>
      <c r="AW20" s="805"/>
      <c r="AX20" s="805"/>
      <c r="AY20" s="805"/>
      <c r="AZ20" s="805"/>
      <c r="BA20" s="805"/>
      <c r="BB20" s="805"/>
      <c r="BC20" s="827"/>
      <c r="BD20" s="827"/>
      <c r="BE20" s="827"/>
      <c r="BF20" s="827"/>
      <c r="BG20" s="827"/>
    </row>
    <row r="21" spans="1:59">
      <c r="A21" s="783"/>
      <c r="B21" s="790" t="s">
        <v>396</v>
      </c>
      <c r="D21" s="810"/>
      <c r="AB21" s="822"/>
      <c r="AC21" s="822"/>
      <c r="AD21" s="822"/>
      <c r="AE21" s="822"/>
      <c r="AF21" s="822"/>
      <c r="AG21" s="822"/>
      <c r="AH21" s="822"/>
      <c r="AI21" s="822"/>
      <c r="AJ21" s="822"/>
      <c r="AK21" s="822"/>
      <c r="AL21" s="822"/>
      <c r="AM21" s="822"/>
      <c r="AN21" s="822"/>
      <c r="AO21" s="822"/>
      <c r="AP21" s="822"/>
      <c r="AQ21" s="822"/>
      <c r="AR21" s="822"/>
      <c r="AS21" s="822"/>
      <c r="AT21" s="822"/>
      <c r="AU21" s="822"/>
      <c r="BC21" s="822"/>
      <c r="BD21" s="822"/>
      <c r="BE21" s="822"/>
      <c r="BF21" s="822"/>
      <c r="BG21" s="822"/>
    </row>
    <row r="22" spans="1:59">
      <c r="A22" s="783" t="s">
        <v>396</v>
      </c>
      <c r="B22" s="783" t="s">
        <v>487</v>
      </c>
      <c r="C22" s="783" t="s">
        <v>476</v>
      </c>
      <c r="D22" s="813">
        <v>261.69945999999999</v>
      </c>
      <c r="E22" s="813">
        <v>379.17230000000001</v>
      </c>
      <c r="F22" s="813">
        <v>410.30615</v>
      </c>
      <c r="G22" s="813">
        <v>508.32648</v>
      </c>
      <c r="H22" s="813">
        <v>562.92370000000005</v>
      </c>
      <c r="I22" s="813">
        <v>624.63440000000003</v>
      </c>
      <c r="J22" s="813">
        <v>613.64575000000002</v>
      </c>
      <c r="K22" s="813">
        <v>698.2491</v>
      </c>
      <c r="L22" s="813">
        <v>643.51869999999997</v>
      </c>
      <c r="M22" s="813">
        <v>662.09709999999995</v>
      </c>
      <c r="N22" s="813">
        <v>674.50963999999999</v>
      </c>
      <c r="O22" s="813">
        <v>812.59644000000003</v>
      </c>
      <c r="P22" s="813">
        <v>732.00414999999998</v>
      </c>
      <c r="Q22" s="813">
        <v>840.90625</v>
      </c>
      <c r="R22" s="813">
        <v>903.66669999999999</v>
      </c>
      <c r="S22" s="813">
        <v>1065.5482999999999</v>
      </c>
      <c r="T22" s="813">
        <v>960.59375</v>
      </c>
      <c r="U22" s="813">
        <v>1050.3667</v>
      </c>
      <c r="V22" s="813">
        <v>1120.1482000000001</v>
      </c>
      <c r="W22" s="813">
        <v>1354.2813000000001</v>
      </c>
      <c r="X22" s="813">
        <v>1170.8438000000001</v>
      </c>
      <c r="Y22" s="813">
        <v>1303.4546</v>
      </c>
      <c r="Z22" s="813">
        <v>1389.4113</v>
      </c>
      <c r="AA22" s="813">
        <v>1695.2759000000001</v>
      </c>
      <c r="AB22" s="820">
        <v>1546.2188000000001</v>
      </c>
      <c r="AC22" s="820">
        <v>1669.4131</v>
      </c>
      <c r="AD22" s="820">
        <v>1746.3556000000001</v>
      </c>
      <c r="AE22" s="820">
        <v>2125.8044</v>
      </c>
      <c r="AF22" s="820">
        <v>1860.8838000000001</v>
      </c>
      <c r="AG22" s="820">
        <v>2025.9860000000001</v>
      </c>
      <c r="AH22" s="820">
        <v>2113.2404999999999</v>
      </c>
      <c r="AI22" s="820">
        <v>2567.0075999999999</v>
      </c>
      <c r="AJ22" s="820" t="s">
        <v>835</v>
      </c>
      <c r="AK22" s="820" t="s">
        <v>835</v>
      </c>
      <c r="AL22" s="820" t="s">
        <v>835</v>
      </c>
      <c r="AM22" s="820" t="s">
        <v>835</v>
      </c>
      <c r="AN22" s="820" t="s">
        <v>835</v>
      </c>
      <c r="AO22" s="820" t="s">
        <v>835</v>
      </c>
      <c r="AP22" s="820" t="s">
        <v>835</v>
      </c>
      <c r="AQ22" s="820" t="s">
        <v>835</v>
      </c>
      <c r="AR22" s="820" t="s">
        <v>835</v>
      </c>
      <c r="AS22" s="820" t="s">
        <v>835</v>
      </c>
      <c r="AT22" s="820" t="s">
        <v>835</v>
      </c>
      <c r="AU22" s="820" t="s">
        <v>835</v>
      </c>
      <c r="AV22" s="814"/>
      <c r="AW22" s="813">
        <v>1557.4036000000001</v>
      </c>
      <c r="AX22" s="813">
        <v>2498.6134999999999</v>
      </c>
      <c r="AY22" s="813">
        <v>2795.2516999999998</v>
      </c>
      <c r="AZ22" s="813">
        <v>3544.3145</v>
      </c>
      <c r="BA22" s="813">
        <v>4483.7</v>
      </c>
      <c r="BB22" s="813">
        <v>5562.0385999999999</v>
      </c>
      <c r="BC22" s="820">
        <v>7072.5209999999997</v>
      </c>
      <c r="BD22" s="820">
        <v>8700.6309999999994</v>
      </c>
      <c r="BE22" s="820">
        <v>11272.657999999999</v>
      </c>
      <c r="BF22" s="820">
        <v>12928.75</v>
      </c>
      <c r="BG22" s="820">
        <v>15135.975</v>
      </c>
    </row>
    <row r="23" spans="1:59">
      <c r="A23" s="783" t="s">
        <v>451</v>
      </c>
      <c r="C23" s="783" t="s">
        <v>474</v>
      </c>
      <c r="D23" s="812"/>
      <c r="E23" s="805"/>
      <c r="F23" s="805"/>
      <c r="G23" s="805"/>
      <c r="H23" s="812">
        <v>1.1510311866902594</v>
      </c>
      <c r="I23" s="812">
        <v>0.64736295346469142</v>
      </c>
      <c r="J23" s="812">
        <v>0.49558019054796043</v>
      </c>
      <c r="K23" s="812">
        <v>0.37362330602962102</v>
      </c>
      <c r="L23" s="812">
        <v>0.14317215636861613</v>
      </c>
      <c r="M23" s="812">
        <v>5.9975403211862677E-2</v>
      </c>
      <c r="N23" s="812">
        <v>9.9184081369422028E-2</v>
      </c>
      <c r="O23" s="812">
        <v>0.16376296081155006</v>
      </c>
      <c r="P23" s="812">
        <v>0.13750253100648058</v>
      </c>
      <c r="Q23" s="812">
        <v>0.27006484396321939</v>
      </c>
      <c r="R23" s="812">
        <v>0.33973874709930008</v>
      </c>
      <c r="S23" s="812">
        <v>0.31128841765538606</v>
      </c>
      <c r="T23" s="812">
        <v>0.31227910388212976</v>
      </c>
      <c r="U23" s="812">
        <v>0.24908894421940619</v>
      </c>
      <c r="V23" s="812">
        <v>0.23955900997569146</v>
      </c>
      <c r="W23" s="812">
        <v>0.27097129243226248</v>
      </c>
      <c r="X23" s="812">
        <f t="shared" ref="X23:AA23" si="196">X22/T22-1</f>
        <v>0.21887509678258898</v>
      </c>
      <c r="Y23" s="812">
        <f t="shared" si="196"/>
        <v>0.24095194563955613</v>
      </c>
      <c r="Z23" s="812">
        <f t="shared" si="196"/>
        <v>0.24038167449628522</v>
      </c>
      <c r="AA23" s="812">
        <f t="shared" si="196"/>
        <v>0.25179008231155509</v>
      </c>
      <c r="AB23" s="821">
        <f t="shared" ref="AB23" si="197">AB22/X22-1</f>
        <v>0.32060211618321754</v>
      </c>
      <c r="AC23" s="821">
        <f t="shared" ref="AC23" si="198">AC22/Y22-1</f>
        <v>0.28076044996120308</v>
      </c>
      <c r="AD23" s="821">
        <f t="shared" ref="AD23" si="199">AD22/Z22-1</f>
        <v>0.25690326543335296</v>
      </c>
      <c r="AE23" s="821">
        <f t="shared" ref="AE23" si="200">AE22/AA22-1</f>
        <v>0.25395777761012228</v>
      </c>
      <c r="AF23" s="821">
        <f t="shared" ref="AF23" si="201">AF22/AB22-1</f>
        <v>0.2035061273346308</v>
      </c>
      <c r="AG23" s="821">
        <f t="shared" ref="AG23" si="202">AG22/AC22-1</f>
        <v>0.21359177066479229</v>
      </c>
      <c r="AH23" s="821">
        <f t="shared" ref="AH23" si="203">AH22/AD22-1</f>
        <v>0.21008602142656385</v>
      </c>
      <c r="AI23" s="821">
        <f t="shared" ref="AI23" si="204">AI22/AE22-1</f>
        <v>0.20754647040903662</v>
      </c>
      <c r="AJ23" s="821" t="e">
        <f t="shared" ref="AJ23" si="205">AJ22/AF22-1</f>
        <v>#VALUE!</v>
      </c>
      <c r="AK23" s="821" t="e">
        <f t="shared" ref="AK23" si="206">AK22/AG22-1</f>
        <v>#VALUE!</v>
      </c>
      <c r="AL23" s="821" t="e">
        <f t="shared" ref="AL23:AM23" si="207">AL22/AH22-1</f>
        <v>#VALUE!</v>
      </c>
      <c r="AM23" s="821" t="e">
        <f t="shared" si="207"/>
        <v>#VALUE!</v>
      </c>
      <c r="AN23" s="821" t="e">
        <f t="shared" ref="AN23" si="208">AN22/AJ22-1</f>
        <v>#VALUE!</v>
      </c>
      <c r="AO23" s="821" t="e">
        <f t="shared" ref="AO23" si="209">AO22/AK22-1</f>
        <v>#VALUE!</v>
      </c>
      <c r="AP23" s="821" t="e">
        <f t="shared" ref="AP23" si="210">AP22/AL22-1</f>
        <v>#VALUE!</v>
      </c>
      <c r="AQ23" s="821" t="e">
        <f t="shared" ref="AQ23" si="211">AQ22/AM22-1</f>
        <v>#VALUE!</v>
      </c>
      <c r="AR23" s="821" t="e">
        <f t="shared" ref="AR23" si="212">AR22/AN22-1</f>
        <v>#VALUE!</v>
      </c>
      <c r="AS23" s="821" t="e">
        <f t="shared" ref="AS23" si="213">AS22/AO22-1</f>
        <v>#VALUE!</v>
      </c>
      <c r="AT23" s="821" t="e">
        <f t="shared" ref="AT23" si="214">AT22/AP22-1</f>
        <v>#VALUE!</v>
      </c>
      <c r="AU23" s="821" t="e">
        <f t="shared" ref="AU23" si="215">AU22/AQ22-1</f>
        <v>#VALUE!</v>
      </c>
      <c r="AV23" s="805"/>
      <c r="AW23" s="805"/>
      <c r="AX23" s="812">
        <v>0.60434552738930347</v>
      </c>
      <c r="AY23" s="812">
        <v>0.1187211227346685</v>
      </c>
      <c r="AZ23" s="812">
        <v>0.26797686948906962</v>
      </c>
      <c r="BA23" s="812">
        <v>0.26504010860210059</v>
      </c>
      <c r="BB23" s="812">
        <f t="shared" ref="BB23:BE23" si="216">BB22/BA22-1</f>
        <v>0.24050195151325915</v>
      </c>
      <c r="BC23" s="821">
        <f t="shared" si="216"/>
        <v>0.27156992402030444</v>
      </c>
      <c r="BD23" s="821">
        <f t="shared" si="216"/>
        <v>0.23020221502346905</v>
      </c>
      <c r="BE23" s="821">
        <f t="shared" si="216"/>
        <v>0.29561384685777381</v>
      </c>
      <c r="BF23" s="821">
        <f t="shared" ref="BF23" si="217">BF22/BE22-1</f>
        <v>0.14691228989649119</v>
      </c>
      <c r="BG23" s="821">
        <f t="shared" ref="BG23" si="218">BG22/BF22-1</f>
        <v>0.17072222759354161</v>
      </c>
    </row>
    <row r="24" spans="1:59">
      <c r="A24" s="783" t="s">
        <v>452</v>
      </c>
      <c r="C24" s="783" t="s">
        <v>475</v>
      </c>
      <c r="D24" s="812"/>
      <c r="E24" s="812">
        <v>0.44888453342624413</v>
      </c>
      <c r="F24" s="812">
        <v>8.2110032826764989E-2</v>
      </c>
      <c r="G24" s="812">
        <v>0.2388955905242951</v>
      </c>
      <c r="H24" s="812">
        <v>0.10740581525479453</v>
      </c>
      <c r="I24" s="812">
        <v>0.10962533643547068</v>
      </c>
      <c r="J24" s="812">
        <v>-1.7592130692770103E-2</v>
      </c>
      <c r="K24" s="812">
        <v>0.13787001702529511</v>
      </c>
      <c r="L24" s="812">
        <v>-7.8382342347451672E-2</v>
      </c>
      <c r="M24" s="812">
        <v>2.8870023512914234E-2</v>
      </c>
      <c r="N24" s="812">
        <v>1.874731062860735E-2</v>
      </c>
      <c r="O24" s="812">
        <v>0.2047217590544741</v>
      </c>
      <c r="P24" s="812">
        <v>-9.9178738710693937E-2</v>
      </c>
      <c r="Q24" s="812">
        <v>0.14877251720499118</v>
      </c>
      <c r="R24" s="812">
        <v>7.463430079155664E-2</v>
      </c>
      <c r="S24" s="812">
        <v>0.17913861382742113</v>
      </c>
      <c r="T24" s="812">
        <v>-9.8498162870702233E-2</v>
      </c>
      <c r="U24" s="812">
        <v>9.3455688213669896E-2</v>
      </c>
      <c r="V24" s="812">
        <v>6.6435369666612676E-2</v>
      </c>
      <c r="W24" s="812">
        <v>0.2090197529219795</v>
      </c>
      <c r="X24" s="812">
        <f t="shared" ref="X24:AA24" si="219">X22/W22-1</f>
        <v>-0.13545007230034112</v>
      </c>
      <c r="Y24" s="812">
        <f t="shared" si="219"/>
        <v>0.11326088074258922</v>
      </c>
      <c r="Z24" s="812">
        <f t="shared" si="219"/>
        <v>6.5945296445307777E-2</v>
      </c>
      <c r="AA24" s="812">
        <f t="shared" si="219"/>
        <v>0.22013970953021622</v>
      </c>
      <c r="AB24" s="821">
        <f t="shared" ref="AB24" si="220">AB22/AA22-1</f>
        <v>-8.7924980234780681E-2</v>
      </c>
      <c r="AC24" s="821">
        <f t="shared" ref="AC24" si="221">AC22/AB22-1</f>
        <v>7.9674558348404423E-2</v>
      </c>
      <c r="AD24" s="821">
        <f t="shared" ref="AD24" si="222">AD22/AC22-1</f>
        <v>4.6089550872699059E-2</v>
      </c>
      <c r="AE24" s="821">
        <f t="shared" ref="AE24" si="223">AE22/AD22-1</f>
        <v>0.21728037519964416</v>
      </c>
      <c r="AF24" s="821">
        <f t="shared" ref="AF24" si="224">AF22/AE22-1</f>
        <v>-0.12462134333713859</v>
      </c>
      <c r="AG24" s="821">
        <f t="shared" ref="AG24" si="225">AG22/AF22-1</f>
        <v>8.8722466174405934E-2</v>
      </c>
      <c r="AH24" s="821">
        <f t="shared" ref="AH24" si="226">AH22/AG22-1</f>
        <v>4.3067671741068292E-2</v>
      </c>
      <c r="AI24" s="821">
        <f t="shared" ref="AI24" si="227">AI22/AH22-1</f>
        <v>0.21472572572785742</v>
      </c>
      <c r="AJ24" s="821" t="e">
        <f t="shared" ref="AJ24" si="228">AJ22/AI22-1</f>
        <v>#VALUE!</v>
      </c>
      <c r="AK24" s="821" t="e">
        <f t="shared" ref="AK24" si="229">AK22/AJ22-1</f>
        <v>#VALUE!</v>
      </c>
      <c r="AL24" s="821" t="e">
        <f t="shared" ref="AL24:AM24" si="230">AL22/AK22-1</f>
        <v>#VALUE!</v>
      </c>
      <c r="AM24" s="821" t="e">
        <f t="shared" si="230"/>
        <v>#VALUE!</v>
      </c>
      <c r="AN24" s="821" t="e">
        <f t="shared" ref="AN24" si="231">AN22/AM22-1</f>
        <v>#VALUE!</v>
      </c>
      <c r="AO24" s="821" t="e">
        <f t="shared" ref="AO24" si="232">AO22/AN22-1</f>
        <v>#VALUE!</v>
      </c>
      <c r="AP24" s="821" t="e">
        <f t="shared" ref="AP24" si="233">AP22/AO22-1</f>
        <v>#VALUE!</v>
      </c>
      <c r="AQ24" s="821" t="e">
        <f t="shared" ref="AQ24" si="234">AQ22/AP22-1</f>
        <v>#VALUE!</v>
      </c>
      <c r="AR24" s="821" t="e">
        <f t="shared" ref="AR24" si="235">AR22/AQ22-1</f>
        <v>#VALUE!</v>
      </c>
      <c r="AS24" s="821" t="e">
        <f t="shared" ref="AS24" si="236">AS22/AR22-1</f>
        <v>#VALUE!</v>
      </c>
      <c r="AT24" s="821" t="e">
        <f t="shared" ref="AT24" si="237">AT22/AS22-1</f>
        <v>#VALUE!</v>
      </c>
      <c r="AU24" s="821" t="e">
        <f t="shared" ref="AU24" si="238">AU22/AT22-1</f>
        <v>#VALUE!</v>
      </c>
      <c r="AV24" s="805"/>
      <c r="AW24" s="805"/>
      <c r="AX24" s="805"/>
      <c r="AY24" s="805"/>
      <c r="AZ24" s="805"/>
      <c r="BA24" s="805"/>
      <c r="BB24" s="805"/>
      <c r="BC24" s="827"/>
      <c r="BD24" s="827"/>
      <c r="BE24" s="827"/>
      <c r="BF24" s="827"/>
      <c r="BG24" s="827"/>
    </row>
    <row r="25" spans="1:59">
      <c r="A25" s="783" t="s">
        <v>397</v>
      </c>
      <c r="C25" s="783" t="s">
        <v>54</v>
      </c>
      <c r="D25" s="812">
        <v>0.55680617700813406</v>
      </c>
      <c r="E25" s="812">
        <v>0.53080013606946819</v>
      </c>
      <c r="F25" s="812">
        <v>0.53466702718903314</v>
      </c>
      <c r="G25" s="812">
        <v>0.5198973146345055</v>
      </c>
      <c r="H25" s="812">
        <v>0.56938796152721849</v>
      </c>
      <c r="I25" s="812">
        <v>0.55800821868858319</v>
      </c>
      <c r="J25" s="812">
        <v>0.5460744923202876</v>
      </c>
      <c r="K25" s="812">
        <v>0.50596880923810028</v>
      </c>
      <c r="L25" s="812">
        <v>0.53465138170340709</v>
      </c>
      <c r="M25" s="812">
        <v>0.51124702041522296</v>
      </c>
      <c r="N25" s="812">
        <v>0.49371222368613671</v>
      </c>
      <c r="O25" s="812">
        <v>0.46836123570442967</v>
      </c>
      <c r="P25" s="812">
        <v>0.48541389257294426</v>
      </c>
      <c r="Q25" s="812">
        <v>0.49640274498229042</v>
      </c>
      <c r="R25" s="812">
        <v>0.52722677946324392</v>
      </c>
      <c r="S25" s="812">
        <v>0.49699081156716413</v>
      </c>
      <c r="T25" s="812">
        <v>0.5161707415368082</v>
      </c>
      <c r="U25" s="812">
        <v>0.51362674816625919</v>
      </c>
      <c r="V25" s="812">
        <v>0.51810740055504168</v>
      </c>
      <c r="W25" s="812">
        <v>0.48160785917496446</v>
      </c>
      <c r="X25" s="812">
        <f t="shared" ref="X25:AA25" si="239">X22/X$10</f>
        <v>0.49612025423728817</v>
      </c>
      <c r="Y25" s="812">
        <f t="shared" si="239"/>
        <v>0.4863636567164179</v>
      </c>
      <c r="Z25" s="812">
        <f t="shared" si="239"/>
        <v>0.4885412447257384</v>
      </c>
      <c r="AA25" s="812">
        <f t="shared" si="239"/>
        <v>0.46167644335511987</v>
      </c>
      <c r="AB25" s="821">
        <f t="shared" ref="AB25:AE25" si="240">AB22/AB$10</f>
        <v>0.48776618296529972</v>
      </c>
      <c r="AC25" s="821">
        <f t="shared" si="240"/>
        <v>0.46592606754116661</v>
      </c>
      <c r="AD25" s="821">
        <f t="shared" si="240"/>
        <v>0.47825534237451711</v>
      </c>
      <c r="AE25" s="821">
        <f t="shared" si="240"/>
        <v>0.45653245739758652</v>
      </c>
      <c r="AF25" s="821">
        <f t="shared" ref="AF25:AL25" si="241">AF22/AF$10</f>
        <v>0.47257514071098738</v>
      </c>
      <c r="AG25" s="821">
        <f t="shared" si="241"/>
        <v>0.46644770793817297</v>
      </c>
      <c r="AH25" s="821">
        <f t="shared" si="241"/>
        <v>0.46892474501207837</v>
      </c>
      <c r="AI25" s="821">
        <f t="shared" si="241"/>
        <v>0.44805181816515727</v>
      </c>
      <c r="AJ25" s="821" t="e">
        <f t="shared" si="241"/>
        <v>#VALUE!</v>
      </c>
      <c r="AK25" s="821" t="e">
        <f t="shared" si="241"/>
        <v>#VALUE!</v>
      </c>
      <c r="AL25" s="821" t="e">
        <f t="shared" si="241"/>
        <v>#VALUE!</v>
      </c>
      <c r="AM25" s="821" t="e">
        <f t="shared" ref="AM25:AP25" si="242">AM22/AM$10</f>
        <v>#VALUE!</v>
      </c>
      <c r="AN25" s="821" t="e">
        <f t="shared" si="242"/>
        <v>#VALUE!</v>
      </c>
      <c r="AO25" s="821" t="e">
        <f t="shared" si="242"/>
        <v>#VALUE!</v>
      </c>
      <c r="AP25" s="821" t="e">
        <f t="shared" si="242"/>
        <v>#VALUE!</v>
      </c>
      <c r="AQ25" s="821" t="e">
        <f t="shared" ref="AQ25:AU25" si="243">AQ22/AQ$10</f>
        <v>#VALUE!</v>
      </c>
      <c r="AR25" s="821" t="e">
        <f t="shared" si="243"/>
        <v>#VALUE!</v>
      </c>
      <c r="AS25" s="821" t="e">
        <f t="shared" si="243"/>
        <v>#VALUE!</v>
      </c>
      <c r="AT25" s="821" t="e">
        <f t="shared" si="243"/>
        <v>#VALUE!</v>
      </c>
      <c r="AU25" s="821" t="e">
        <f t="shared" si="243"/>
        <v>#VALUE!</v>
      </c>
      <c r="AV25" s="805"/>
      <c r="AW25" s="805"/>
      <c r="AX25" s="812">
        <v>0.54178046756013198</v>
      </c>
      <c r="AY25" s="812">
        <v>0.49916421184514481</v>
      </c>
      <c r="AZ25" s="812">
        <v>0.50202754957507079</v>
      </c>
      <c r="BA25" s="812">
        <v>0.50492117117117119</v>
      </c>
      <c r="BB25" s="812">
        <f t="shared" ref="BB25:BD25" si="244">BB22/BB$10</f>
        <v>0.48131175147109723</v>
      </c>
      <c r="BC25" s="821">
        <f t="shared" si="244"/>
        <v>0.47220886331902456</v>
      </c>
      <c r="BD25" s="821">
        <f t="shared" si="244"/>
        <v>0.46607286504692558</v>
      </c>
      <c r="BE25" s="821">
        <f t="shared" ref="BE25:BG25" si="245">BE22/BE$10</f>
        <v>0.48027800985978075</v>
      </c>
      <c r="BF25" s="821">
        <f t="shared" si="245"/>
        <v>0.45796060662091576</v>
      </c>
      <c r="BG25" s="821">
        <f t="shared" si="245"/>
        <v>0.4535354609822822</v>
      </c>
    </row>
    <row r="26" spans="1:59">
      <c r="A26" s="783"/>
      <c r="D26" s="810"/>
      <c r="AB26" s="822"/>
      <c r="AC26" s="822"/>
      <c r="AD26" s="822"/>
      <c r="AE26" s="822"/>
      <c r="AF26" s="822"/>
      <c r="AG26" s="822"/>
      <c r="AH26" s="822"/>
      <c r="AI26" s="822"/>
      <c r="AJ26" s="822"/>
      <c r="AK26" s="822"/>
      <c r="AL26" s="822"/>
      <c r="AM26" s="822"/>
      <c r="AN26" s="822"/>
      <c r="AO26" s="822"/>
      <c r="AP26" s="822"/>
      <c r="AQ26" s="822"/>
      <c r="AR26" s="822"/>
      <c r="AS26" s="822"/>
      <c r="AT26" s="822"/>
      <c r="AU26" s="822"/>
      <c r="BC26" s="822"/>
      <c r="BD26" s="822"/>
      <c r="BE26" s="822"/>
      <c r="BF26" s="822"/>
      <c r="BG26" s="822"/>
    </row>
    <row r="27" spans="1:59">
      <c r="A27" s="783" t="s">
        <v>582</v>
      </c>
      <c r="C27" s="783" t="s">
        <v>4</v>
      </c>
      <c r="D27" s="813">
        <v>334.93245999999999</v>
      </c>
      <c r="E27" s="813">
        <v>378.88830000000002</v>
      </c>
      <c r="F27" s="813">
        <v>359.74515000000002</v>
      </c>
      <c r="G27" s="813">
        <v>395.78548000000001</v>
      </c>
      <c r="H27" s="813">
        <v>444.02470000000005</v>
      </c>
      <c r="I27" s="813">
        <v>485.1934</v>
      </c>
      <c r="J27" s="813">
        <v>617.73082699999998</v>
      </c>
      <c r="K27" s="813">
        <v>683.92000900000005</v>
      </c>
      <c r="L27" s="813">
        <v>741.50833999999998</v>
      </c>
      <c r="M27" s="813">
        <v>852.24619999999993</v>
      </c>
      <c r="N27" s="813">
        <v>1019.76724</v>
      </c>
      <c r="O27" s="813">
        <v>1001.40551</v>
      </c>
      <c r="P27" s="813">
        <v>925.00414999999998</v>
      </c>
      <c r="Q27" s="813">
        <v>2476.90625</v>
      </c>
      <c r="R27" s="813">
        <v>781.66669999999999</v>
      </c>
      <c r="S27" s="813">
        <v>776.54829999999993</v>
      </c>
      <c r="T27" s="813">
        <v>874.59375</v>
      </c>
      <c r="U27" s="813">
        <v>809.36670000000004</v>
      </c>
      <c r="V27" s="813">
        <v>837.14820000000009</v>
      </c>
      <c r="W27" s="813">
        <v>889.2813000000001</v>
      </c>
      <c r="X27" s="813">
        <f t="shared" ref="X27:BD27" si="246">X22-X32</f>
        <v>967.8438000000001</v>
      </c>
      <c r="Y27" s="813">
        <f t="shared" si="246"/>
        <v>1012.4546</v>
      </c>
      <c r="Z27" s="813">
        <f t="shared" si="246"/>
        <v>1046.4113</v>
      </c>
      <c r="AA27" s="813">
        <f t="shared" si="246"/>
        <v>1064.3314399999999</v>
      </c>
      <c r="AB27" s="820">
        <f t="shared" ref="AB27:AE27" si="247">AB22-AB32</f>
        <v>1163.4361800000001</v>
      </c>
      <c r="AC27" s="820">
        <f t="shared" si="247"/>
        <v>1234.5894000000001</v>
      </c>
      <c r="AD27" s="820">
        <f t="shared" si="247"/>
        <v>1247.1261000000002</v>
      </c>
      <c r="AE27" s="820">
        <f t="shared" si="247"/>
        <v>1318.9399600000002</v>
      </c>
      <c r="AF27" s="820">
        <f t="shared" ref="AF27:AL27" si="248">AF22-AF32</f>
        <v>1368.9721</v>
      </c>
      <c r="AG27" s="820">
        <f t="shared" si="248"/>
        <v>1461.6373000000001</v>
      </c>
      <c r="AH27" s="820">
        <f t="shared" si="248"/>
        <v>1478.2802299999998</v>
      </c>
      <c r="AI27" s="820">
        <f t="shared" si="248"/>
        <v>1567.3012999999999</v>
      </c>
      <c r="AJ27" s="820" t="e">
        <f t="shared" si="248"/>
        <v>#VALUE!</v>
      </c>
      <c r="AK27" s="820" t="e">
        <f t="shared" si="248"/>
        <v>#VALUE!</v>
      </c>
      <c r="AL27" s="820" t="e">
        <f t="shared" si="248"/>
        <v>#VALUE!</v>
      </c>
      <c r="AM27" s="820" t="e">
        <f t="shared" ref="AM27:AP27" si="249">AM22-AM32</f>
        <v>#VALUE!</v>
      </c>
      <c r="AN27" s="820" t="e">
        <f t="shared" si="249"/>
        <v>#VALUE!</v>
      </c>
      <c r="AO27" s="820" t="e">
        <f t="shared" si="249"/>
        <v>#VALUE!</v>
      </c>
      <c r="AP27" s="820" t="e">
        <f t="shared" si="249"/>
        <v>#VALUE!</v>
      </c>
      <c r="AQ27" s="820" t="e">
        <f t="shared" ref="AQ27:AU27" si="250">AQ22-AQ32</f>
        <v>#VALUE!</v>
      </c>
      <c r="AR27" s="820" t="e">
        <f t="shared" si="250"/>
        <v>#VALUE!</v>
      </c>
      <c r="AS27" s="820" t="e">
        <f t="shared" si="250"/>
        <v>#VALUE!</v>
      </c>
      <c r="AT27" s="820" t="e">
        <f t="shared" si="250"/>
        <v>#VALUE!</v>
      </c>
      <c r="AU27" s="820" t="e">
        <f t="shared" si="250"/>
        <v>#VALUE!</v>
      </c>
      <c r="AV27" s="813"/>
      <c r="AW27" s="813">
        <v>1467.2506000000001</v>
      </c>
      <c r="AX27" s="813">
        <v>2228.2356300000001</v>
      </c>
      <c r="AY27" s="813">
        <v>3617.4201999999996</v>
      </c>
      <c r="AZ27" s="813">
        <v>4953.3733000000002</v>
      </c>
      <c r="BA27" s="813">
        <v>3408.6523999999999</v>
      </c>
      <c r="BB27" s="813">
        <f t="shared" si="246"/>
        <v>4094.0385999999999</v>
      </c>
      <c r="BC27" s="820">
        <f t="shared" si="246"/>
        <v>4958.8913999999995</v>
      </c>
      <c r="BD27" s="820">
        <f t="shared" si="246"/>
        <v>5813.9541999999992</v>
      </c>
      <c r="BE27" s="820">
        <f t="shared" ref="BE27:BG27" si="251">BE22-BE32</f>
        <v>6589.0009999999993</v>
      </c>
      <c r="BF27" s="820">
        <f t="shared" si="251"/>
        <v>7857.4165000000003</v>
      </c>
      <c r="BG27" s="820">
        <f t="shared" si="251"/>
        <v>8833.9750000000004</v>
      </c>
    </row>
    <row r="28" spans="1:59">
      <c r="A28" s="783" t="s">
        <v>584</v>
      </c>
      <c r="C28" s="783" t="s">
        <v>474</v>
      </c>
      <c r="D28" s="810"/>
      <c r="E28" s="805"/>
      <c r="F28" s="805"/>
      <c r="G28" s="805"/>
      <c r="H28" s="812">
        <v>0.32571414547279187</v>
      </c>
      <c r="I28" s="812">
        <v>0.28057108123951036</v>
      </c>
      <c r="J28" s="812">
        <v>0.71713455205719923</v>
      </c>
      <c r="K28" s="812">
        <v>0.72800682076563294</v>
      </c>
      <c r="L28" s="812">
        <v>0.66997092729300856</v>
      </c>
      <c r="M28" s="812">
        <v>0.75650822950188501</v>
      </c>
      <c r="N28" s="812">
        <v>0.65082782893073921</v>
      </c>
      <c r="O28" s="812">
        <v>0.46421437715240166</v>
      </c>
      <c r="P28" s="812">
        <v>0.24746290783459024</v>
      </c>
      <c r="Q28" s="812">
        <v>1.9063271270672724</v>
      </c>
      <c r="R28" s="812">
        <v>-0.23348518236377158</v>
      </c>
      <c r="S28" s="812">
        <v>-0.22454161451538257</v>
      </c>
      <c r="T28" s="812">
        <v>-5.4497485227498643E-2</v>
      </c>
      <c r="U28" s="812">
        <v>-0.67323482671174983</v>
      </c>
      <c r="V28" s="812">
        <v>7.0978461791963321E-2</v>
      </c>
      <c r="W28" s="812">
        <v>0.14517191010526997</v>
      </c>
      <c r="X28" s="812">
        <f t="shared" ref="X28:AA28" si="252">X27/T27-1</f>
        <v>0.10662098831600408</v>
      </c>
      <c r="Y28" s="812">
        <f t="shared" si="252"/>
        <v>0.25092198628878593</v>
      </c>
      <c r="Z28" s="812">
        <f t="shared" si="252"/>
        <v>0.24997139096757293</v>
      </c>
      <c r="AA28" s="812">
        <f t="shared" si="252"/>
        <v>0.19684450803137299</v>
      </c>
      <c r="AB28" s="821">
        <f t="shared" ref="AB28" si="253">AB27/X27-1</f>
        <v>0.20209085391671677</v>
      </c>
      <c r="AC28" s="821">
        <f t="shared" ref="AC28" si="254">AC27/Y27-1</f>
        <v>0.21940223294950711</v>
      </c>
      <c r="AD28" s="821">
        <f t="shared" ref="AD28" si="255">AD27/Z27-1</f>
        <v>0.19181253107645158</v>
      </c>
      <c r="AE28" s="821">
        <f t="shared" ref="AE28" si="256">AE27/AA27-1</f>
        <v>0.23921920412310693</v>
      </c>
      <c r="AF28" s="821">
        <f t="shared" ref="AF28" si="257">AF27/AB27-1</f>
        <v>0.17666282305231373</v>
      </c>
      <c r="AG28" s="821">
        <f t="shared" ref="AG28" si="258">AG27/AC27-1</f>
        <v>0.18390559646794302</v>
      </c>
      <c r="AH28" s="821">
        <f t="shared" ref="AH28" si="259">AH27/AD27-1</f>
        <v>0.18534944461510316</v>
      </c>
      <c r="AI28" s="821">
        <f t="shared" ref="AI28" si="260">AI27/AE27-1</f>
        <v>0.18830374962632845</v>
      </c>
      <c r="AJ28" s="821" t="e">
        <f t="shared" ref="AJ28" si="261">AJ27/AF27-1</f>
        <v>#VALUE!</v>
      </c>
      <c r="AK28" s="821" t="e">
        <f t="shared" ref="AK28" si="262">AK27/AG27-1</f>
        <v>#VALUE!</v>
      </c>
      <c r="AL28" s="821" t="e">
        <f t="shared" ref="AL28:AM28" si="263">AL27/AH27-1</f>
        <v>#VALUE!</v>
      </c>
      <c r="AM28" s="821" t="e">
        <f t="shared" si="263"/>
        <v>#VALUE!</v>
      </c>
      <c r="AN28" s="821" t="e">
        <f t="shared" ref="AN28" si="264">AN27/AJ27-1</f>
        <v>#VALUE!</v>
      </c>
      <c r="AO28" s="821" t="e">
        <f t="shared" ref="AO28" si="265">AO27/AK27-1</f>
        <v>#VALUE!</v>
      </c>
      <c r="AP28" s="821" t="e">
        <f t="shared" ref="AP28" si="266">AP27/AL27-1</f>
        <v>#VALUE!</v>
      </c>
      <c r="AQ28" s="821" t="e">
        <f t="shared" ref="AQ28" si="267">AQ27/AM27-1</f>
        <v>#VALUE!</v>
      </c>
      <c r="AR28" s="821" t="e">
        <f t="shared" ref="AR28" si="268">AR27/AN27-1</f>
        <v>#VALUE!</v>
      </c>
      <c r="AS28" s="821" t="e">
        <f t="shared" ref="AS28" si="269">AS27/AO27-1</f>
        <v>#VALUE!</v>
      </c>
      <c r="AT28" s="821" t="e">
        <f t="shared" ref="AT28" si="270">AT27/AP27-1</f>
        <v>#VALUE!</v>
      </c>
      <c r="AU28" s="821" t="e">
        <f t="shared" ref="AU28" si="271">AU27/AQ27-1</f>
        <v>#VALUE!</v>
      </c>
      <c r="AV28" s="805"/>
      <c r="AW28" s="805"/>
      <c r="AX28" s="812">
        <v>0.51864693733981104</v>
      </c>
      <c r="AY28" s="812">
        <v>0.62344599076355278</v>
      </c>
      <c r="AZ28" s="812">
        <v>0.3693110078834636</v>
      </c>
      <c r="BA28" s="812">
        <v>-0.31185230880943304</v>
      </c>
      <c r="BB28" s="812">
        <f t="shared" ref="BB28:BE28" si="272">BB27/BA27-1</f>
        <v>0.20107248248604059</v>
      </c>
      <c r="BC28" s="821">
        <f t="shared" si="272"/>
        <v>0.21124686025187933</v>
      </c>
      <c r="BD28" s="821">
        <f t="shared" si="272"/>
        <v>0.17243023309605032</v>
      </c>
      <c r="BE28" s="821">
        <f t="shared" si="272"/>
        <v>0.13330803328309671</v>
      </c>
      <c r="BF28" s="821">
        <f t="shared" ref="BF28" si="273">BF27/BE27-1</f>
        <v>0.19250497913113107</v>
      </c>
      <c r="BG28" s="821">
        <f t="shared" ref="BG28" si="274">BG27/BF27-1</f>
        <v>0.124284935131032</v>
      </c>
    </row>
    <row r="29" spans="1:59">
      <c r="A29" s="783" t="s">
        <v>699</v>
      </c>
      <c r="C29" s="783" t="s">
        <v>475</v>
      </c>
      <c r="D29" s="810"/>
      <c r="E29" s="812">
        <v>0.13123792181862592</v>
      </c>
      <c r="F29" s="812">
        <v>-5.0524521343097706E-2</v>
      </c>
      <c r="G29" s="812">
        <v>0.10018294895706026</v>
      </c>
      <c r="H29" s="812">
        <v>0.12188223782236784</v>
      </c>
      <c r="I29" s="812">
        <v>9.2717139384362879E-2</v>
      </c>
      <c r="J29" s="812">
        <v>0.27316411764875603</v>
      </c>
      <c r="K29" s="812">
        <v>0.10714890548921896</v>
      </c>
      <c r="L29" s="812">
        <v>8.4203313607103425E-2</v>
      </c>
      <c r="M29" s="812">
        <v>0.1493413546771436</v>
      </c>
      <c r="N29" s="812">
        <v>0.19656413839099551</v>
      </c>
      <c r="O29" s="812">
        <v>-1.800580493250592E-2</v>
      </c>
      <c r="P29" s="812">
        <v>-7.6294127840379145E-2</v>
      </c>
      <c r="Q29" s="812">
        <v>1.6777244729118244</v>
      </c>
      <c r="R29" s="812">
        <v>-0.68441813249895911</v>
      </c>
      <c r="S29" s="812">
        <v>-6.5480594222576682E-3</v>
      </c>
      <c r="T29" s="812">
        <v>0.12625801897963096</v>
      </c>
      <c r="U29" s="812">
        <v>-7.4579826347947242E-2</v>
      </c>
      <c r="V29" s="812">
        <v>3.432498520139271E-2</v>
      </c>
      <c r="W29" s="812">
        <v>6.2274636677233541E-2</v>
      </c>
      <c r="X29" s="812">
        <f t="shared" ref="X29:AA29" si="275">X27/W27-1</f>
        <v>8.8343812019886059E-2</v>
      </c>
      <c r="Y29" s="812">
        <f t="shared" si="275"/>
        <v>4.6092974920126428E-2</v>
      </c>
      <c r="Z29" s="812">
        <f t="shared" si="275"/>
        <v>3.3538985353022133E-2</v>
      </c>
      <c r="AA29" s="812">
        <f t="shared" si="275"/>
        <v>1.7125331119799636E-2</v>
      </c>
      <c r="AB29" s="821">
        <f t="shared" ref="AB29" si="276">AB27/AA27-1</f>
        <v>9.3114547100102696E-2</v>
      </c>
      <c r="AC29" s="821">
        <f t="shared" ref="AC29" si="277">AC27/AB27-1</f>
        <v>6.1157819589210183E-2</v>
      </c>
      <c r="AD29" s="821">
        <f t="shared" ref="AD29" si="278">AD27/AC27-1</f>
        <v>1.0154550168663512E-2</v>
      </c>
      <c r="AE29" s="821">
        <f t="shared" ref="AE29" si="279">AE27/AD27-1</f>
        <v>5.758347932899488E-2</v>
      </c>
      <c r="AF29" s="821">
        <f t="shared" ref="AF29" si="280">AF27/AE27-1</f>
        <v>3.7933599342914626E-2</v>
      </c>
      <c r="AG29" s="821">
        <f t="shared" ref="AG29" si="281">AG27/AF27-1</f>
        <v>6.7689619094501774E-2</v>
      </c>
      <c r="AH29" s="821">
        <f t="shared" ref="AH29" si="282">AH27/AG27-1</f>
        <v>1.1386497867836187E-2</v>
      </c>
      <c r="AI29" s="821">
        <f t="shared" ref="AI29" si="283">AI27/AH27-1</f>
        <v>6.0219346909618165E-2</v>
      </c>
      <c r="AJ29" s="821" t="e">
        <f t="shared" ref="AJ29" si="284">AJ27/AI27-1</f>
        <v>#VALUE!</v>
      </c>
      <c r="AK29" s="821" t="e">
        <f t="shared" ref="AK29" si="285">AK27/AJ27-1</f>
        <v>#VALUE!</v>
      </c>
      <c r="AL29" s="821" t="e">
        <f t="shared" ref="AL29:AM29" si="286">AL27/AK27-1</f>
        <v>#VALUE!</v>
      </c>
      <c r="AM29" s="821" t="e">
        <f t="shared" si="286"/>
        <v>#VALUE!</v>
      </c>
      <c r="AN29" s="821" t="e">
        <f t="shared" ref="AN29" si="287">AN27/AM27-1</f>
        <v>#VALUE!</v>
      </c>
      <c r="AO29" s="821" t="e">
        <f t="shared" ref="AO29" si="288">AO27/AN27-1</f>
        <v>#VALUE!</v>
      </c>
      <c r="AP29" s="821" t="e">
        <f t="shared" ref="AP29" si="289">AP27/AO27-1</f>
        <v>#VALUE!</v>
      </c>
      <c r="AQ29" s="821" t="e">
        <f t="shared" ref="AQ29" si="290">AQ27/AP27-1</f>
        <v>#VALUE!</v>
      </c>
      <c r="AR29" s="821" t="e">
        <f t="shared" ref="AR29" si="291">AR27/AQ27-1</f>
        <v>#VALUE!</v>
      </c>
      <c r="AS29" s="821" t="e">
        <f t="shared" ref="AS29" si="292">AS27/AR27-1</f>
        <v>#VALUE!</v>
      </c>
      <c r="AT29" s="821" t="e">
        <f t="shared" ref="AT29" si="293">AT27/AS27-1</f>
        <v>#VALUE!</v>
      </c>
      <c r="AU29" s="821" t="e">
        <f t="shared" ref="AU29" si="294">AU27/AT27-1</f>
        <v>#VALUE!</v>
      </c>
      <c r="AV29" s="805"/>
      <c r="AW29" s="805"/>
      <c r="AX29" s="805"/>
      <c r="AY29" s="805"/>
      <c r="AZ29" s="805"/>
      <c r="BA29" s="805"/>
      <c r="BB29" s="805"/>
      <c r="BC29" s="827"/>
      <c r="BD29" s="827"/>
      <c r="BE29" s="827"/>
      <c r="BF29" s="827"/>
      <c r="BG29" s="827"/>
    </row>
    <row r="30" spans="1:59">
      <c r="A30" s="783"/>
      <c r="D30" s="812"/>
      <c r="E30" s="812"/>
      <c r="F30" s="812"/>
      <c r="G30" s="812"/>
      <c r="H30" s="812"/>
      <c r="I30" s="812"/>
      <c r="J30" s="812"/>
      <c r="K30" s="812"/>
      <c r="L30" s="812"/>
      <c r="M30" s="812"/>
      <c r="N30" s="812"/>
      <c r="O30" s="812"/>
      <c r="P30" s="812"/>
      <c r="Q30" s="812"/>
      <c r="R30" s="812"/>
      <c r="S30" s="812"/>
      <c r="T30" s="812"/>
      <c r="U30" s="812"/>
      <c r="V30" s="812"/>
      <c r="W30" s="812"/>
      <c r="X30" s="812"/>
      <c r="Y30" s="812"/>
      <c r="Z30" s="812"/>
      <c r="AA30" s="812"/>
      <c r="AB30" s="821"/>
      <c r="AC30" s="821"/>
      <c r="AD30" s="821"/>
      <c r="AE30" s="821"/>
      <c r="AF30" s="821"/>
      <c r="AG30" s="821"/>
      <c r="AH30" s="821"/>
      <c r="AI30" s="821"/>
      <c r="AJ30" s="821"/>
      <c r="AK30" s="821"/>
      <c r="AL30" s="821"/>
      <c r="AM30" s="821"/>
      <c r="AN30" s="821"/>
      <c r="AO30" s="821"/>
      <c r="AP30" s="821"/>
      <c r="AQ30" s="821"/>
      <c r="AR30" s="821"/>
      <c r="AS30" s="821"/>
      <c r="AT30" s="821"/>
      <c r="AU30" s="821"/>
      <c r="AX30" s="805"/>
      <c r="AY30" s="805"/>
      <c r="AZ30" s="805"/>
      <c r="BA30" s="805"/>
      <c r="BB30" s="805"/>
      <c r="BC30" s="827"/>
      <c r="BD30" s="827"/>
      <c r="BE30" s="827"/>
      <c r="BF30" s="827"/>
      <c r="BG30" s="827"/>
    </row>
    <row r="31" spans="1:59">
      <c r="A31" s="783"/>
      <c r="B31" s="790" t="s">
        <v>126</v>
      </c>
      <c r="D31" s="810"/>
      <c r="AB31" s="822"/>
      <c r="AC31" s="822"/>
      <c r="AD31" s="822"/>
      <c r="AE31" s="822"/>
      <c r="AF31" s="822"/>
      <c r="AG31" s="822"/>
      <c r="AH31" s="822"/>
      <c r="AI31" s="822"/>
      <c r="AJ31" s="822"/>
      <c r="AK31" s="822"/>
      <c r="AL31" s="822"/>
      <c r="AM31" s="822"/>
      <c r="AN31" s="822"/>
      <c r="AO31" s="822"/>
      <c r="AP31" s="822"/>
      <c r="AQ31" s="822"/>
      <c r="AR31" s="822"/>
      <c r="AS31" s="822"/>
      <c r="AT31" s="822"/>
      <c r="AU31" s="822"/>
      <c r="BC31" s="822"/>
      <c r="BD31" s="822"/>
      <c r="BE31" s="822"/>
      <c r="BF31" s="822"/>
      <c r="BG31" s="822"/>
    </row>
    <row r="32" spans="1:59">
      <c r="A32" s="783" t="s">
        <v>126</v>
      </c>
      <c r="B32" s="790" t="s">
        <v>488</v>
      </c>
      <c r="C32" s="783" t="s">
        <v>477</v>
      </c>
      <c r="D32" s="813">
        <v>-73.233000000000004</v>
      </c>
      <c r="E32" s="813">
        <v>0.28399999999999997</v>
      </c>
      <c r="F32" s="813">
        <v>50.561</v>
      </c>
      <c r="G32" s="813">
        <v>112.541</v>
      </c>
      <c r="H32" s="813">
        <v>118.899</v>
      </c>
      <c r="I32" s="813">
        <v>139.441</v>
      </c>
      <c r="J32" s="813">
        <v>-4.0850770000000001</v>
      </c>
      <c r="K32" s="813">
        <v>14.329091</v>
      </c>
      <c r="L32" s="813">
        <v>-97.989639999999994</v>
      </c>
      <c r="M32" s="813">
        <v>-190.1491</v>
      </c>
      <c r="N32" s="813">
        <v>-345.25760000000002</v>
      </c>
      <c r="O32" s="813">
        <v>-188.80906999999999</v>
      </c>
      <c r="P32" s="813">
        <v>-193</v>
      </c>
      <c r="Q32" s="813">
        <v>-1636</v>
      </c>
      <c r="R32" s="813">
        <v>122</v>
      </c>
      <c r="S32" s="813">
        <v>289</v>
      </c>
      <c r="T32" s="813">
        <v>86</v>
      </c>
      <c r="U32" s="813">
        <v>241</v>
      </c>
      <c r="V32" s="813">
        <v>283</v>
      </c>
      <c r="W32" s="813">
        <v>465</v>
      </c>
      <c r="X32" s="813">
        <v>203</v>
      </c>
      <c r="Y32" s="813">
        <v>291</v>
      </c>
      <c r="Z32" s="813">
        <v>343</v>
      </c>
      <c r="AA32" s="813">
        <v>630.94446000000005</v>
      </c>
      <c r="AB32" s="820">
        <v>382.78262000000001</v>
      </c>
      <c r="AC32" s="820">
        <v>434.82369999999997</v>
      </c>
      <c r="AD32" s="820">
        <v>499.22949999999997</v>
      </c>
      <c r="AE32" s="820">
        <v>806.86443999999995</v>
      </c>
      <c r="AF32" s="820">
        <v>491.9117</v>
      </c>
      <c r="AG32" s="820">
        <v>564.34870000000001</v>
      </c>
      <c r="AH32" s="820">
        <v>634.96027000000004</v>
      </c>
      <c r="AI32" s="820">
        <v>999.70630000000006</v>
      </c>
      <c r="AJ32" s="820" t="s">
        <v>835</v>
      </c>
      <c r="AK32" s="820" t="s">
        <v>835</v>
      </c>
      <c r="AL32" s="820" t="s">
        <v>835</v>
      </c>
      <c r="AM32" s="820" t="s">
        <v>835</v>
      </c>
      <c r="AN32" s="820" t="s">
        <v>835</v>
      </c>
      <c r="AO32" s="820" t="s">
        <v>835</v>
      </c>
      <c r="AP32" s="820" t="s">
        <v>835</v>
      </c>
      <c r="AQ32" s="820" t="s">
        <v>835</v>
      </c>
      <c r="AR32" s="820" t="s">
        <v>835</v>
      </c>
      <c r="AS32" s="820" t="s">
        <v>835</v>
      </c>
      <c r="AT32" s="820" t="s">
        <v>835</v>
      </c>
      <c r="AU32" s="820" t="s">
        <v>835</v>
      </c>
      <c r="AV32" s="814"/>
      <c r="AW32" s="813">
        <v>90.153000000000006</v>
      </c>
      <c r="AX32" s="813">
        <v>270.37786999999997</v>
      </c>
      <c r="AY32" s="813">
        <v>-822.16849999999999</v>
      </c>
      <c r="AZ32" s="813">
        <v>-1409.0588</v>
      </c>
      <c r="BA32" s="813">
        <v>1075.0476000000001</v>
      </c>
      <c r="BB32" s="813">
        <v>1468</v>
      </c>
      <c r="BC32" s="820">
        <v>2113.6296000000002</v>
      </c>
      <c r="BD32" s="820">
        <v>2886.6768000000002</v>
      </c>
      <c r="BE32" s="820">
        <v>4683.6570000000002</v>
      </c>
      <c r="BF32" s="820">
        <v>5071.3334999999997</v>
      </c>
      <c r="BG32" s="820">
        <v>6302</v>
      </c>
    </row>
    <row r="33" spans="1:59">
      <c r="A33" s="783" t="s">
        <v>453</v>
      </c>
      <c r="C33" s="783" t="s">
        <v>474</v>
      </c>
      <c r="D33" s="812"/>
      <c r="E33" s="805"/>
      <c r="F33" s="805"/>
      <c r="G33" s="805"/>
      <c r="H33" s="812">
        <v>-2.6235713407889882</v>
      </c>
      <c r="I33" s="812">
        <v>489.98943661971839</v>
      </c>
      <c r="J33" s="812">
        <v>-1.0807950198769802</v>
      </c>
      <c r="K33" s="812">
        <v>-0.87267670448991919</v>
      </c>
      <c r="L33" s="812">
        <v>-1.8241418346663973</v>
      </c>
      <c r="M33" s="812">
        <v>-2.3636527276769383</v>
      </c>
      <c r="N33" s="812">
        <v>83.516791237961982</v>
      </c>
      <c r="O33" s="812">
        <v>-14.176625788753801</v>
      </c>
      <c r="P33" s="812">
        <v>0.96959596953310578</v>
      </c>
      <c r="Q33" s="812">
        <v>7.6037746168664491</v>
      </c>
      <c r="R33" s="812">
        <v>-1.3533593467602161</v>
      </c>
      <c r="S33" s="812">
        <v>-2.5306468063213279</v>
      </c>
      <c r="T33" s="812">
        <v>-1.4455958549222798</v>
      </c>
      <c r="U33" s="812">
        <v>-1.1473105134474328</v>
      </c>
      <c r="V33" s="812">
        <v>1.319672131147541</v>
      </c>
      <c r="W33" s="812">
        <v>0.60899653979238755</v>
      </c>
      <c r="X33" s="812">
        <f t="shared" ref="X33:AA33" si="295">X32/T32-1</f>
        <v>1.36046511627907</v>
      </c>
      <c r="Y33" s="812">
        <f t="shared" si="295"/>
        <v>0.20746887966804972</v>
      </c>
      <c r="Z33" s="812">
        <f t="shared" si="295"/>
        <v>0.21201413427561833</v>
      </c>
      <c r="AA33" s="812">
        <f t="shared" si="295"/>
        <v>0.35686980645161293</v>
      </c>
      <c r="AB33" s="821">
        <f t="shared" ref="AB33" si="296">AB32/X32-1</f>
        <v>0.88562866995073897</v>
      </c>
      <c r="AC33" s="821">
        <f t="shared" ref="AC33" si="297">AC32/Y32-1</f>
        <v>0.49423951890034346</v>
      </c>
      <c r="AD33" s="821">
        <f t="shared" ref="AD33" si="298">AD32/Z32-1</f>
        <v>0.4554795918367347</v>
      </c>
      <c r="AE33" s="821">
        <f t="shared" ref="AE33" si="299">AE32/AA32-1</f>
        <v>0.27882007237213857</v>
      </c>
      <c r="AF33" s="821">
        <f t="shared" ref="AF33" si="300">AF32/AB32-1</f>
        <v>0.28509413515169513</v>
      </c>
      <c r="AG33" s="821">
        <f t="shared" ref="AG33" si="301">AG32/AC32-1</f>
        <v>0.29787934742287514</v>
      </c>
      <c r="AH33" s="821">
        <f t="shared" ref="AH33" si="302">AH32/AD32-1</f>
        <v>0.27188050786261653</v>
      </c>
      <c r="AI33" s="821">
        <f t="shared" ref="AI33" si="303">AI32/AE32-1</f>
        <v>0.23900156016294405</v>
      </c>
      <c r="AJ33" s="821" t="e">
        <f t="shared" ref="AJ33" si="304">AJ32/AF32-1</f>
        <v>#VALUE!</v>
      </c>
      <c r="AK33" s="821" t="e">
        <f t="shared" ref="AK33" si="305">AK32/AG32-1</f>
        <v>#VALUE!</v>
      </c>
      <c r="AL33" s="821" t="e">
        <f t="shared" ref="AL33:AM33" si="306">AL32/AH32-1</f>
        <v>#VALUE!</v>
      </c>
      <c r="AM33" s="821" t="e">
        <f t="shared" si="306"/>
        <v>#VALUE!</v>
      </c>
      <c r="AN33" s="821" t="e">
        <f t="shared" ref="AN33" si="307">AN32/AJ32-1</f>
        <v>#VALUE!</v>
      </c>
      <c r="AO33" s="821" t="e">
        <f t="shared" ref="AO33" si="308">AO32/AK32-1</f>
        <v>#VALUE!</v>
      </c>
      <c r="AP33" s="821" t="e">
        <f t="shared" ref="AP33" si="309">AP32/AL32-1</f>
        <v>#VALUE!</v>
      </c>
      <c r="AQ33" s="821" t="e">
        <f t="shared" ref="AQ33" si="310">AQ32/AM32-1</f>
        <v>#VALUE!</v>
      </c>
      <c r="AR33" s="821" t="e">
        <f t="shared" ref="AR33" si="311">AR32/AN32-1</f>
        <v>#VALUE!</v>
      </c>
      <c r="AS33" s="821" t="e">
        <f t="shared" ref="AS33" si="312">AS32/AO32-1</f>
        <v>#VALUE!</v>
      </c>
      <c r="AT33" s="821" t="e">
        <f t="shared" ref="AT33" si="313">AT32/AP32-1</f>
        <v>#VALUE!</v>
      </c>
      <c r="AU33" s="821" t="e">
        <f t="shared" ref="AU33" si="314">AU32/AQ32-1</f>
        <v>#VALUE!</v>
      </c>
      <c r="AV33" s="805"/>
      <c r="AW33" s="805"/>
      <c r="AX33" s="812">
        <v>1.9991000854103573</v>
      </c>
      <c r="AY33" s="812">
        <v>-4.0408128446311089</v>
      </c>
      <c r="AZ33" s="812">
        <v>0.71383214024862296</v>
      </c>
      <c r="BA33" s="812">
        <v>-1.7629543919671771</v>
      </c>
      <c r="BB33" s="812">
        <f t="shared" ref="BB33:BE33" si="315">BB32/BA32-1</f>
        <v>0.36552093135224872</v>
      </c>
      <c r="BC33" s="821">
        <f t="shared" si="315"/>
        <v>0.43980217983651237</v>
      </c>
      <c r="BD33" s="821">
        <f t="shared" si="315"/>
        <v>0.36574393167090391</v>
      </c>
      <c r="BE33" s="821">
        <f t="shared" si="315"/>
        <v>0.6225082766453105</v>
      </c>
      <c r="BF33" s="821">
        <f t="shared" ref="BF33" si="316">BF32/BE32-1</f>
        <v>8.2772179944005098E-2</v>
      </c>
      <c r="BG33" s="821">
        <f t="shared" ref="BG33" si="317">BG32/BF32-1</f>
        <v>0.24267118303302282</v>
      </c>
    </row>
    <row r="34" spans="1:59">
      <c r="A34" s="783" t="s">
        <v>454</v>
      </c>
      <c r="C34" s="783" t="s">
        <v>475</v>
      </c>
      <c r="D34" s="812"/>
      <c r="E34" s="812">
        <v>-1.0038780331271422</v>
      </c>
      <c r="F34" s="812">
        <v>177.03169014084509</v>
      </c>
      <c r="G34" s="812">
        <v>1.2258460077925672</v>
      </c>
      <c r="H34" s="812">
        <v>5.6494966278956227E-2</v>
      </c>
      <c r="I34" s="812">
        <v>0.17276848417564494</v>
      </c>
      <c r="J34" s="812">
        <v>-1.0292960965569669</v>
      </c>
      <c r="K34" s="812">
        <v>-4.507667297336134</v>
      </c>
      <c r="L34" s="812">
        <v>-7.8385105517160856</v>
      </c>
      <c r="M34" s="812">
        <v>0.94050207756656734</v>
      </c>
      <c r="N34" s="812">
        <v>0.81572040046468808</v>
      </c>
      <c r="O34" s="812">
        <v>-0.45313565870816463</v>
      </c>
      <c r="P34" s="812">
        <v>2.2196656124623626E-2</v>
      </c>
      <c r="Q34" s="812">
        <v>7.4766839378238341</v>
      </c>
      <c r="R34" s="812">
        <v>-1.0745721271393642</v>
      </c>
      <c r="S34" s="812">
        <v>1.3688524590163933</v>
      </c>
      <c r="T34" s="812">
        <v>-0.70242214532871972</v>
      </c>
      <c r="U34" s="812">
        <v>1.8023255813953489</v>
      </c>
      <c r="V34" s="812">
        <v>0.17427385892116187</v>
      </c>
      <c r="W34" s="812">
        <v>0.64310954063604231</v>
      </c>
      <c r="X34" s="812">
        <f t="shared" ref="X34:AA34" si="318">X32/W32-1</f>
        <v>-0.5634408602150538</v>
      </c>
      <c r="Y34" s="812">
        <f t="shared" si="318"/>
        <v>0.43349753694581272</v>
      </c>
      <c r="Z34" s="812">
        <f t="shared" si="318"/>
        <v>0.17869415807560141</v>
      </c>
      <c r="AA34" s="812">
        <f t="shared" si="318"/>
        <v>0.83948822157434422</v>
      </c>
      <c r="AB34" s="821">
        <f t="shared" ref="AB34" si="319">AB32/AA32-1</f>
        <v>-0.39331804260552505</v>
      </c>
      <c r="AC34" s="821">
        <f t="shared" ref="AC34" si="320">AC32/AB32-1</f>
        <v>0.13595465750247482</v>
      </c>
      <c r="AD34" s="821">
        <f t="shared" ref="AD34" si="321">AD32/AC32-1</f>
        <v>0.1481193412410593</v>
      </c>
      <c r="AE34" s="821">
        <f t="shared" ref="AE34" si="322">AE32/AD32-1</f>
        <v>0.61621947420975731</v>
      </c>
      <c r="AF34" s="821">
        <f t="shared" ref="AF34" si="323">AF32/AE32-1</f>
        <v>-0.39034157955951065</v>
      </c>
      <c r="AG34" s="821">
        <f t="shared" ref="AG34" si="324">AG32/AF32-1</f>
        <v>0.14725610307703607</v>
      </c>
      <c r="AH34" s="821">
        <f t="shared" ref="AH34" si="325">AH32/AG32-1</f>
        <v>0.12512046187047132</v>
      </c>
      <c r="AI34" s="821">
        <f t="shared" ref="AI34" si="326">AI32/AH32-1</f>
        <v>0.57443913774321653</v>
      </c>
      <c r="AJ34" s="821" t="e">
        <f t="shared" ref="AJ34" si="327">AJ32/AI32-1</f>
        <v>#VALUE!</v>
      </c>
      <c r="AK34" s="821" t="e">
        <f t="shared" ref="AK34" si="328">AK32/AJ32-1</f>
        <v>#VALUE!</v>
      </c>
      <c r="AL34" s="821" t="e">
        <f t="shared" ref="AL34:AM34" si="329">AL32/AK32-1</f>
        <v>#VALUE!</v>
      </c>
      <c r="AM34" s="821" t="e">
        <f t="shared" si="329"/>
        <v>#VALUE!</v>
      </c>
      <c r="AN34" s="821" t="e">
        <f t="shared" ref="AN34" si="330">AN32/AM32-1</f>
        <v>#VALUE!</v>
      </c>
      <c r="AO34" s="821" t="e">
        <f t="shared" ref="AO34" si="331">AO32/AN32-1</f>
        <v>#VALUE!</v>
      </c>
      <c r="AP34" s="821" t="e">
        <f t="shared" ref="AP34" si="332">AP32/AO32-1</f>
        <v>#VALUE!</v>
      </c>
      <c r="AQ34" s="821" t="e">
        <f t="shared" ref="AQ34" si="333">AQ32/AP32-1</f>
        <v>#VALUE!</v>
      </c>
      <c r="AR34" s="821" t="e">
        <f t="shared" ref="AR34" si="334">AR32/AQ32-1</f>
        <v>#VALUE!</v>
      </c>
      <c r="AS34" s="821" t="e">
        <f t="shared" ref="AS34" si="335">AS32/AR32-1</f>
        <v>#VALUE!</v>
      </c>
      <c r="AT34" s="821" t="e">
        <f t="shared" ref="AT34" si="336">AT32/AS32-1</f>
        <v>#VALUE!</v>
      </c>
      <c r="AU34" s="821" t="e">
        <f t="shared" ref="AU34" si="337">AU32/AT32-1</f>
        <v>#VALUE!</v>
      </c>
      <c r="AV34" s="805"/>
      <c r="AW34" s="805"/>
      <c r="AX34" s="805"/>
      <c r="AY34" s="805"/>
      <c r="AZ34" s="805"/>
      <c r="BA34" s="805"/>
      <c r="BB34" s="805"/>
      <c r="BC34" s="827"/>
      <c r="BD34" s="827"/>
      <c r="BE34" s="827"/>
      <c r="BF34" s="827"/>
      <c r="BG34" s="827"/>
    </row>
    <row r="35" spans="1:59">
      <c r="A35" s="783" t="s">
        <v>400</v>
      </c>
      <c r="C35" s="783" t="s">
        <v>58</v>
      </c>
      <c r="D35" s="812">
        <v>-0.15581456209667641</v>
      </c>
      <c r="E35" s="812">
        <v>3.9756922814174179E-4</v>
      </c>
      <c r="F35" s="812">
        <v>6.5885679660674615E-2</v>
      </c>
      <c r="G35" s="812">
        <v>0.11510272627599862</v>
      </c>
      <c r="H35" s="812">
        <v>0.12026436129376815</v>
      </c>
      <c r="I35" s="812">
        <v>0.12456762551366803</v>
      </c>
      <c r="J35" s="812">
        <v>-3.6352510367166782E-3</v>
      </c>
      <c r="K35" s="812">
        <v>1.0383218697645838E-2</v>
      </c>
      <c r="L35" s="812">
        <v>-8.1412236223468631E-2</v>
      </c>
      <c r="M35" s="812">
        <v>-0.14682613896003513</v>
      </c>
      <c r="N35" s="812">
        <v>-0.25271380471380472</v>
      </c>
      <c r="O35" s="812">
        <v>-0.10882505138393685</v>
      </c>
      <c r="P35" s="812">
        <v>-0.12798408488063662</v>
      </c>
      <c r="Q35" s="812">
        <v>-0.96576151121605669</v>
      </c>
      <c r="R35" s="812">
        <v>7.1178529754959155E-2</v>
      </c>
      <c r="S35" s="812">
        <v>0.13479477611940299</v>
      </c>
      <c r="T35" s="812">
        <v>4.6211714132186998E-2</v>
      </c>
      <c r="U35" s="812">
        <v>0.11784841075794621</v>
      </c>
      <c r="V35" s="812">
        <v>0.13089731729879742</v>
      </c>
      <c r="W35" s="812">
        <v>0.16536273115220484</v>
      </c>
      <c r="X35" s="812">
        <f t="shared" ref="X35:AA35" si="338">X32/X$10</f>
        <v>8.6016949152542377E-2</v>
      </c>
      <c r="Y35" s="812">
        <f t="shared" si="338"/>
        <v>0.1085820895522388</v>
      </c>
      <c r="Z35" s="812">
        <f t="shared" si="338"/>
        <v>0.12060478199718706</v>
      </c>
      <c r="AA35" s="812">
        <f t="shared" si="338"/>
        <v>0.17182583333333334</v>
      </c>
      <c r="AB35" s="821">
        <f t="shared" ref="AB35:AE35" si="339">AB32/AB$10</f>
        <v>0.12075161514195584</v>
      </c>
      <c r="AC35" s="821">
        <f t="shared" si="339"/>
        <v>0.1213574379012001</v>
      </c>
      <c r="AD35" s="821">
        <f t="shared" si="339"/>
        <v>0.13671853283830565</v>
      </c>
      <c r="AE35" s="821">
        <f t="shared" si="339"/>
        <v>0.17328019717144602</v>
      </c>
      <c r="AF35" s="821">
        <f t="shared" ref="AF35:AL35" si="340">AF32/AF$10</f>
        <v>0.12492195420524431</v>
      </c>
      <c r="AG35" s="821">
        <f t="shared" si="340"/>
        <v>0.12993138037127974</v>
      </c>
      <c r="AH35" s="821">
        <f t="shared" si="340"/>
        <v>0.1408966857783345</v>
      </c>
      <c r="AI35" s="821">
        <f t="shared" si="340"/>
        <v>0.17449119564202389</v>
      </c>
      <c r="AJ35" s="821" t="e">
        <f t="shared" si="340"/>
        <v>#VALUE!</v>
      </c>
      <c r="AK35" s="821" t="e">
        <f t="shared" si="340"/>
        <v>#VALUE!</v>
      </c>
      <c r="AL35" s="821" t="e">
        <f t="shared" si="340"/>
        <v>#VALUE!</v>
      </c>
      <c r="AM35" s="821" t="e">
        <f t="shared" ref="AM35:AP35" si="341">AM32/AM$10</f>
        <v>#VALUE!</v>
      </c>
      <c r="AN35" s="821" t="e">
        <f t="shared" si="341"/>
        <v>#VALUE!</v>
      </c>
      <c r="AO35" s="821" t="e">
        <f t="shared" si="341"/>
        <v>#VALUE!</v>
      </c>
      <c r="AP35" s="821" t="e">
        <f t="shared" si="341"/>
        <v>#VALUE!</v>
      </c>
      <c r="AQ35" s="821" t="e">
        <f t="shared" ref="AQ35:AU35" si="342">AQ32/AQ$10</f>
        <v>#VALUE!</v>
      </c>
      <c r="AR35" s="821" t="e">
        <f t="shared" si="342"/>
        <v>#VALUE!</v>
      </c>
      <c r="AS35" s="821" t="e">
        <f t="shared" si="342"/>
        <v>#VALUE!</v>
      </c>
      <c r="AT35" s="821" t="e">
        <f t="shared" si="342"/>
        <v>#VALUE!</v>
      </c>
      <c r="AU35" s="821" t="e">
        <f t="shared" si="342"/>
        <v>#VALUE!</v>
      </c>
      <c r="AV35" s="805"/>
      <c r="AW35" s="805"/>
      <c r="AX35" s="812">
        <v>5.8626693895039217E-2</v>
      </c>
      <c r="AY35" s="812">
        <v>-0.14681936918468022</v>
      </c>
      <c r="AZ35" s="812">
        <v>-0.19958339943342776</v>
      </c>
      <c r="BA35" s="812">
        <v>0.12106391891891893</v>
      </c>
      <c r="BB35" s="812">
        <f t="shared" ref="BB35:BD35" si="343">BB32/BB$10</f>
        <v>0.12703357563170647</v>
      </c>
      <c r="BC35" s="821">
        <f t="shared" si="343"/>
        <v>0.14112006608300556</v>
      </c>
      <c r="BD35" s="821">
        <f t="shared" si="343"/>
        <v>0.15463266131393127</v>
      </c>
      <c r="BE35" s="821">
        <f t="shared" ref="BE35:BG35" si="344">BE32/BE$10</f>
        <v>0.19954987216198977</v>
      </c>
      <c r="BF35" s="821">
        <f t="shared" si="344"/>
        <v>0.17963615709461253</v>
      </c>
      <c r="BG35" s="821">
        <f t="shared" si="344"/>
        <v>0.18883358852735568</v>
      </c>
    </row>
    <row r="36" spans="1:59">
      <c r="A36" s="783"/>
      <c r="D36" s="810"/>
      <c r="AB36" s="822"/>
      <c r="AC36" s="822"/>
      <c r="AD36" s="822"/>
      <c r="AE36" s="822"/>
      <c r="AF36" s="822"/>
      <c r="AG36" s="822"/>
      <c r="AH36" s="822"/>
      <c r="AI36" s="822"/>
      <c r="AJ36" s="822"/>
      <c r="AK36" s="822"/>
      <c r="AL36" s="822"/>
      <c r="AM36" s="822"/>
      <c r="AN36" s="822"/>
      <c r="AO36" s="822"/>
      <c r="AP36" s="822"/>
      <c r="AQ36" s="822"/>
      <c r="AR36" s="822"/>
      <c r="AS36" s="822"/>
      <c r="AT36" s="822"/>
      <c r="AU36" s="822"/>
      <c r="BC36" s="822"/>
      <c r="BD36" s="822"/>
      <c r="BE36" s="822"/>
      <c r="BF36" s="822"/>
      <c r="BG36" s="822"/>
    </row>
    <row r="37" spans="1:59">
      <c r="A37" s="783" t="s">
        <v>455</v>
      </c>
      <c r="B37" s="790" t="s">
        <v>489</v>
      </c>
      <c r="C37" s="783" t="s">
        <v>478</v>
      </c>
      <c r="D37" s="813">
        <v>-7.2720000000000002</v>
      </c>
      <c r="E37" s="813">
        <v>113.7</v>
      </c>
      <c r="F37" s="813">
        <v>130.94</v>
      </c>
      <c r="G37" s="813">
        <v>200.00700000000001</v>
      </c>
      <c r="H37" s="813">
        <v>210.84200000000001</v>
      </c>
      <c r="I37" s="813">
        <v>236.803</v>
      </c>
      <c r="J37" s="813">
        <v>140.16113000000001</v>
      </c>
      <c r="K37" s="813">
        <v>130.17845</v>
      </c>
      <c r="L37" s="813">
        <v>31.925599999999999</v>
      </c>
      <c r="M37" s="813">
        <v>-41.803856000000003</v>
      </c>
      <c r="N37" s="813">
        <v>-45.073193000000003</v>
      </c>
      <c r="O37" s="813">
        <v>60.997430000000001</v>
      </c>
      <c r="P37" s="813">
        <v>-30.995705000000001</v>
      </c>
      <c r="Q37" s="813">
        <v>146</v>
      </c>
      <c r="R37" s="813">
        <v>271.02902</v>
      </c>
      <c r="S37" s="813">
        <v>398.58066000000002</v>
      </c>
      <c r="T37" s="813">
        <v>201</v>
      </c>
      <c r="U37" s="813">
        <v>299</v>
      </c>
      <c r="V37" s="813">
        <v>400.45557000000002</v>
      </c>
      <c r="W37" s="813">
        <v>582.01074000000006</v>
      </c>
      <c r="X37" s="813">
        <v>328.94</v>
      </c>
      <c r="Y37" s="813">
        <v>424</v>
      </c>
      <c r="Z37" s="813">
        <v>464.51724000000002</v>
      </c>
      <c r="AA37" s="813">
        <v>759.84609999999998</v>
      </c>
      <c r="AB37" s="820">
        <v>522.70000000000005</v>
      </c>
      <c r="AC37" s="820">
        <v>592.32529999999997</v>
      </c>
      <c r="AD37" s="820">
        <v>660.91112999999996</v>
      </c>
      <c r="AE37" s="820">
        <v>965.81280000000004</v>
      </c>
      <c r="AF37" s="820">
        <v>668.21704</v>
      </c>
      <c r="AG37" s="820">
        <v>781.99959999999999</v>
      </c>
      <c r="AH37" s="820">
        <v>876.38549999999998</v>
      </c>
      <c r="AI37" s="820">
        <v>1267.7617</v>
      </c>
      <c r="AJ37" s="820">
        <v>895.0847</v>
      </c>
      <c r="AK37" s="820">
        <v>1065.7257999999999</v>
      </c>
      <c r="AL37" s="820">
        <v>1238.3016</v>
      </c>
      <c r="AM37" s="820">
        <v>1748.9903999999999</v>
      </c>
      <c r="AN37" s="820" t="s">
        <v>835</v>
      </c>
      <c r="AO37" s="820" t="s">
        <v>835</v>
      </c>
      <c r="AP37" s="820" t="s">
        <v>835</v>
      </c>
      <c r="AQ37" s="820" t="s">
        <v>835</v>
      </c>
      <c r="AR37" s="820" t="s">
        <v>835</v>
      </c>
      <c r="AS37" s="820" t="s">
        <v>835</v>
      </c>
      <c r="AT37" s="820" t="s">
        <v>835</v>
      </c>
      <c r="AU37" s="820" t="s">
        <v>835</v>
      </c>
      <c r="AV37" s="814"/>
      <c r="AW37" s="813">
        <v>437.351</v>
      </c>
      <c r="AX37" s="813">
        <v>711.47619999999995</v>
      </c>
      <c r="AY37" s="813">
        <v>6.0746799999999999</v>
      </c>
      <c r="AZ37" s="813">
        <v>770.36429999999996</v>
      </c>
      <c r="BA37" s="813">
        <v>1484.7844</v>
      </c>
      <c r="BB37" s="813">
        <v>1976.2412999999999</v>
      </c>
      <c r="BC37" s="820">
        <v>2733.95</v>
      </c>
      <c r="BD37" s="820">
        <v>3564.6752999999999</v>
      </c>
      <c r="BE37" s="820">
        <v>5170.7983000000004</v>
      </c>
      <c r="BF37" s="820">
        <v>6207.7334000000001</v>
      </c>
      <c r="BG37" s="820">
        <v>7394.7334000000001</v>
      </c>
    </row>
    <row r="38" spans="1:59">
      <c r="A38" s="783" t="s">
        <v>456</v>
      </c>
      <c r="C38" s="783" t="s">
        <v>474</v>
      </c>
      <c r="D38" s="812"/>
      <c r="E38" s="805"/>
      <c r="F38" s="805"/>
      <c r="G38" s="805"/>
      <c r="H38" s="812">
        <v>-29.993674367436743</v>
      </c>
      <c r="I38" s="812">
        <v>1.0827000879507476</v>
      </c>
      <c r="J38" s="812">
        <v>7.0422559951122787E-2</v>
      </c>
      <c r="K38" s="812">
        <v>-0.34913053043143494</v>
      </c>
      <c r="L38" s="812">
        <v>-0.84858045360981205</v>
      </c>
      <c r="M38" s="812">
        <v>-1.1765343175550986</v>
      </c>
      <c r="N38" s="812">
        <v>-1.3215812615095213</v>
      </c>
      <c r="O38" s="812">
        <v>-0.53143219941549469</v>
      </c>
      <c r="P38" s="812">
        <v>-1.9708730611170973</v>
      </c>
      <c r="Q38" s="812">
        <v>-4.4925007874871632</v>
      </c>
      <c r="R38" s="812">
        <v>-7.0130867586860326</v>
      </c>
      <c r="S38" s="812">
        <v>5.5343844814445466</v>
      </c>
      <c r="T38" s="812">
        <v>-7.4847694220860594</v>
      </c>
      <c r="U38" s="812">
        <v>1.047945205479452</v>
      </c>
      <c r="V38" s="812">
        <v>0.47753760833434011</v>
      </c>
      <c r="W38" s="812">
        <v>0.46020817969441885</v>
      </c>
      <c r="X38" s="812">
        <f t="shared" ref="X38:AA38" si="345">X37/T37-1</f>
        <v>0.63651741293532327</v>
      </c>
      <c r="Y38" s="812">
        <f t="shared" si="345"/>
        <v>0.41806020066889626</v>
      </c>
      <c r="Z38" s="812">
        <f t="shared" si="345"/>
        <v>0.15997197891391535</v>
      </c>
      <c r="AA38" s="812">
        <f t="shared" si="345"/>
        <v>0.30555339923795888</v>
      </c>
      <c r="AB38" s="821">
        <f t="shared" ref="AB38" si="346">AB37/X37-1</f>
        <v>0.58904359457651867</v>
      </c>
      <c r="AC38" s="821">
        <f t="shared" ref="AC38" si="347">AC37/Y37-1</f>
        <v>0.39699363207547167</v>
      </c>
      <c r="AD38" s="821">
        <f t="shared" ref="AD38" si="348">AD37/Z37-1</f>
        <v>0.4227913909072567</v>
      </c>
      <c r="AE38" s="821">
        <f t="shared" ref="AE38" si="349">AE37/AA37-1</f>
        <v>0.27106370618997722</v>
      </c>
      <c r="AF38" s="821">
        <f t="shared" ref="AF38" si="350">AF37/AB37-1</f>
        <v>0.27839494930170261</v>
      </c>
      <c r="AG38" s="821">
        <f t="shared" ref="AG38" si="351">AG37/AC37-1</f>
        <v>0.32021981840046343</v>
      </c>
      <c r="AH38" s="821">
        <f t="shared" ref="AH38" si="352">AH37/AD37-1</f>
        <v>0.32602623895893545</v>
      </c>
      <c r="AI38" s="821">
        <f t="shared" ref="AI38" si="353">AI37/AE37-1</f>
        <v>0.31263708660725964</v>
      </c>
      <c r="AJ38" s="821">
        <f t="shared" ref="AJ38" si="354">AJ37/AF37-1</f>
        <v>0.33951193462531282</v>
      </c>
      <c r="AK38" s="821">
        <f t="shared" ref="AK38" si="355">AK37/AG37-1</f>
        <v>0.36282141320788397</v>
      </c>
      <c r="AL38" s="821">
        <f t="shared" ref="AL38:AM38" si="356">AL37/AH37-1</f>
        <v>0.41296450021137954</v>
      </c>
      <c r="AM38" s="821">
        <f t="shared" si="356"/>
        <v>0.37958923983900128</v>
      </c>
      <c r="AN38" s="821" t="e">
        <f t="shared" ref="AN38" si="357">AN37/AJ37-1</f>
        <v>#VALUE!</v>
      </c>
      <c r="AO38" s="821" t="e">
        <f t="shared" ref="AO38" si="358">AO37/AK37-1</f>
        <v>#VALUE!</v>
      </c>
      <c r="AP38" s="821" t="e">
        <f t="shared" ref="AP38" si="359">AP37/AL37-1</f>
        <v>#VALUE!</v>
      </c>
      <c r="AQ38" s="821" t="e">
        <f t="shared" ref="AQ38" si="360">AQ37/AM37-1</f>
        <v>#VALUE!</v>
      </c>
      <c r="AR38" s="821" t="e">
        <f t="shared" ref="AR38" si="361">AR37/AN37-1</f>
        <v>#VALUE!</v>
      </c>
      <c r="AS38" s="821" t="e">
        <f t="shared" ref="AS38" si="362">AS37/AO37-1</f>
        <v>#VALUE!</v>
      </c>
      <c r="AT38" s="821" t="e">
        <f t="shared" ref="AT38" si="363">AT37/AP37-1</f>
        <v>#VALUE!</v>
      </c>
      <c r="AU38" s="821" t="e">
        <f t="shared" ref="AU38" si="364">AU37/AQ37-1</f>
        <v>#VALUE!</v>
      </c>
      <c r="AV38" s="805"/>
      <c r="AW38" s="805"/>
      <c r="AX38" s="812">
        <v>0.62678535089664811</v>
      </c>
      <c r="AY38" s="812">
        <v>-0.99146186478198428</v>
      </c>
      <c r="AZ38" s="812">
        <v>125.8156182712505</v>
      </c>
      <c r="BA38" s="812">
        <v>0.92737955276484141</v>
      </c>
      <c r="BB38" s="812">
        <f t="shared" ref="BB38:BE38" si="365">BB37/BA37-1</f>
        <v>0.33099546304500493</v>
      </c>
      <c r="BC38" s="821">
        <f t="shared" si="365"/>
        <v>0.38340899970059317</v>
      </c>
      <c r="BD38" s="821">
        <f t="shared" si="365"/>
        <v>0.30385533751531679</v>
      </c>
      <c r="BE38" s="821">
        <f t="shared" si="365"/>
        <v>0.45056642325880292</v>
      </c>
      <c r="BF38" s="821">
        <f t="shared" ref="BF38" si="366">BF37/BE37-1</f>
        <v>0.20053675270992488</v>
      </c>
      <c r="BG38" s="821">
        <f t="shared" ref="BG38" si="367">BG37/BF37-1</f>
        <v>0.19121310847530926</v>
      </c>
    </row>
    <row r="39" spans="1:59">
      <c r="A39" s="783" t="s">
        <v>457</v>
      </c>
      <c r="C39" s="783" t="s">
        <v>475</v>
      </c>
      <c r="D39" s="812"/>
      <c r="E39" s="812">
        <v>-16.635313531353134</v>
      </c>
      <c r="F39" s="812">
        <v>0.15162708883025511</v>
      </c>
      <c r="G39" s="812">
        <v>0.52747059722010081</v>
      </c>
      <c r="H39" s="812">
        <v>5.4173103941361989E-2</v>
      </c>
      <c r="I39" s="812">
        <v>0.12313011639047233</v>
      </c>
      <c r="J39" s="812">
        <v>-0.40811083474449217</v>
      </c>
      <c r="K39" s="812">
        <v>-7.1222884689928101E-2</v>
      </c>
      <c r="L39" s="812">
        <v>-0.75475510731614948</v>
      </c>
      <c r="M39" s="812">
        <v>-2.3094148896183628</v>
      </c>
      <c r="N39" s="812">
        <v>7.8206589363430945E-2</v>
      </c>
      <c r="O39" s="812">
        <v>-2.3532972913634049</v>
      </c>
      <c r="P39" s="812">
        <v>-1.5081477203219873</v>
      </c>
      <c r="Q39" s="812">
        <v>-5.7103300279829092</v>
      </c>
      <c r="R39" s="812">
        <v>0.85636315068493163</v>
      </c>
      <c r="S39" s="812">
        <v>0.47061986203543826</v>
      </c>
      <c r="T39" s="812">
        <v>-0.49571060472427342</v>
      </c>
      <c r="U39" s="812">
        <v>0.48756218905472637</v>
      </c>
      <c r="V39" s="812">
        <v>0.3393162876254181</v>
      </c>
      <c r="W39" s="812">
        <v>0.45381963452098484</v>
      </c>
      <c r="X39" s="812">
        <f t="shared" ref="X39:AA39" si="368">X37/W37-1</f>
        <v>-0.43482142614756569</v>
      </c>
      <c r="Y39" s="812">
        <f t="shared" si="368"/>
        <v>0.28898887335076306</v>
      </c>
      <c r="Z39" s="812">
        <f t="shared" si="368"/>
        <v>9.5559528301886854E-2</v>
      </c>
      <c r="AA39" s="812">
        <f t="shared" si="368"/>
        <v>0.63577588638044946</v>
      </c>
      <c r="AB39" s="821">
        <f t="shared" ref="AB39" si="369">AB37/AA37-1</f>
        <v>-0.31209754185748917</v>
      </c>
      <c r="AC39" s="821">
        <f t="shared" ref="AC39" si="370">AC37/AB37-1</f>
        <v>0.13320317581786867</v>
      </c>
      <c r="AD39" s="821">
        <f t="shared" ref="AD39" si="371">AD37/AC37-1</f>
        <v>0.11579081629638299</v>
      </c>
      <c r="AE39" s="821">
        <f t="shared" ref="AE39" si="372">AE37/AD37-1</f>
        <v>0.46133535381678326</v>
      </c>
      <c r="AF39" s="821">
        <f t="shared" ref="AF39" si="373">AF37/AE37-1</f>
        <v>-0.30812985704890228</v>
      </c>
      <c r="AG39" s="821">
        <f t="shared" ref="AG39" si="374">AG37/AF37-1</f>
        <v>0.17027784864630213</v>
      </c>
      <c r="AH39" s="821">
        <f t="shared" ref="AH39" si="375">AH37/AG37-1</f>
        <v>0.12069814357961306</v>
      </c>
      <c r="AI39" s="821">
        <f t="shared" ref="AI39" si="376">AI37/AH37-1</f>
        <v>0.4465799582489669</v>
      </c>
      <c r="AJ39" s="821">
        <f t="shared" ref="AJ39" si="377">AJ37/AI37-1</f>
        <v>-0.29396455185544734</v>
      </c>
      <c r="AK39" s="821">
        <f t="shared" ref="AK39" si="378">AK37/AJ37-1</f>
        <v>0.19064240512657626</v>
      </c>
      <c r="AL39" s="821">
        <f t="shared" ref="AL39:AM39" si="379">AL37/AK37-1</f>
        <v>0.16193264721563483</v>
      </c>
      <c r="AM39" s="821">
        <f t="shared" si="379"/>
        <v>0.41241067604208848</v>
      </c>
      <c r="AN39" s="821" t="e">
        <f t="shared" ref="AN39" si="380">AN37/AM37-1</f>
        <v>#VALUE!</v>
      </c>
      <c r="AO39" s="821" t="e">
        <f t="shared" ref="AO39" si="381">AO37/AN37-1</f>
        <v>#VALUE!</v>
      </c>
      <c r="AP39" s="821" t="e">
        <f t="shared" ref="AP39" si="382">AP37/AO37-1</f>
        <v>#VALUE!</v>
      </c>
      <c r="AQ39" s="821" t="e">
        <f t="shared" ref="AQ39" si="383">AQ37/AP37-1</f>
        <v>#VALUE!</v>
      </c>
      <c r="AR39" s="821" t="e">
        <f t="shared" ref="AR39" si="384">AR37/AQ37-1</f>
        <v>#VALUE!</v>
      </c>
      <c r="AS39" s="821" t="e">
        <f t="shared" ref="AS39" si="385">AS37/AR37-1</f>
        <v>#VALUE!</v>
      </c>
      <c r="AT39" s="821" t="e">
        <f t="shared" ref="AT39" si="386">AT37/AS37-1</f>
        <v>#VALUE!</v>
      </c>
      <c r="AU39" s="821" t="e">
        <f t="shared" ref="AU39" si="387">AU37/AT37-1</f>
        <v>#VALUE!</v>
      </c>
      <c r="AV39" s="805"/>
      <c r="AW39" s="805"/>
      <c r="AX39" s="805"/>
      <c r="AY39" s="805"/>
      <c r="AZ39" s="805"/>
      <c r="BA39" s="805"/>
      <c r="BB39" s="805"/>
      <c r="BC39" s="827"/>
      <c r="BD39" s="827"/>
      <c r="BE39" s="827"/>
      <c r="BF39" s="827"/>
      <c r="BG39" s="827"/>
    </row>
    <row r="40" spans="1:59">
      <c r="A40" s="783" t="s">
        <v>458</v>
      </c>
      <c r="C40" s="783" t="s">
        <v>58</v>
      </c>
      <c r="D40" s="812">
        <v>-1.5472307505728712E-2</v>
      </c>
      <c r="E40" s="812">
        <v>0.15916768042153537</v>
      </c>
      <c r="F40" s="812">
        <v>0.17062698314449345</v>
      </c>
      <c r="G40" s="812">
        <v>0.20455968024349933</v>
      </c>
      <c r="H40" s="812">
        <v>0.21326317684674106</v>
      </c>
      <c r="I40" s="812">
        <v>0.21154457745220651</v>
      </c>
      <c r="J40" s="812">
        <v>0.12472736576076318</v>
      </c>
      <c r="K40" s="812">
        <v>9.4330569613282095E-2</v>
      </c>
      <c r="L40" s="812">
        <v>2.6524584525220937E-2</v>
      </c>
      <c r="M40" s="812">
        <v>-3.227939953500332E-2</v>
      </c>
      <c r="N40" s="812">
        <v>-3.2991650563607089E-2</v>
      </c>
      <c r="O40" s="812">
        <v>3.5157465973631945E-2</v>
      </c>
      <c r="P40" s="812">
        <v>-2.0554181034482758E-2</v>
      </c>
      <c r="Q40" s="812">
        <v>8.6186540731995276E-2</v>
      </c>
      <c r="R40" s="812">
        <v>0.15812661610268378</v>
      </c>
      <c r="S40" s="812">
        <v>0.18590515858208956</v>
      </c>
      <c r="T40" s="812">
        <v>0.10800644814615798</v>
      </c>
      <c r="U40" s="812">
        <v>0.14621026894865527</v>
      </c>
      <c r="V40" s="812">
        <v>0.18522459296947272</v>
      </c>
      <c r="W40" s="812">
        <v>0.20697394736842106</v>
      </c>
      <c r="X40" s="812">
        <f t="shared" ref="X40:AA40" si="388">X37/X$10</f>
        <v>0.13938135593220338</v>
      </c>
      <c r="Y40" s="812">
        <f t="shared" si="388"/>
        <v>0.15820895522388059</v>
      </c>
      <c r="Z40" s="812">
        <f t="shared" si="388"/>
        <v>0.16333236286919831</v>
      </c>
      <c r="AA40" s="812">
        <f t="shared" si="388"/>
        <v>0.20692976579520697</v>
      </c>
      <c r="AB40" s="821">
        <f t="shared" ref="AB40:AE40" si="389">AB37/AB$10</f>
        <v>0.16488958990536279</v>
      </c>
      <c r="AC40" s="821">
        <f t="shared" si="389"/>
        <v>0.16531546190343288</v>
      </c>
      <c r="AD40" s="821">
        <f t="shared" si="389"/>
        <v>0.18099651569089306</v>
      </c>
      <c r="AE40" s="821">
        <f t="shared" si="389"/>
        <v>0.2074155510121457</v>
      </c>
      <c r="AF40" s="821">
        <f t="shared" ref="AF40:AL40" si="390">AF37/AF$10</f>
        <v>0.16969504581827166</v>
      </c>
      <c r="AG40" s="821">
        <f t="shared" si="390"/>
        <v>0.1800416789793059</v>
      </c>
      <c r="AH40" s="821">
        <f t="shared" si="390"/>
        <v>0.19446856480357197</v>
      </c>
      <c r="AI40" s="821">
        <f t="shared" si="390"/>
        <v>0.22127824424249881</v>
      </c>
      <c r="AJ40" s="821">
        <f t="shared" si="390"/>
        <v>0.18863701264338478</v>
      </c>
      <c r="AK40" s="821">
        <f t="shared" si="390"/>
        <v>0.20315340512949451</v>
      </c>
      <c r="AL40" s="821">
        <f t="shared" si="390"/>
        <v>0.22664973540604003</v>
      </c>
      <c r="AM40" s="821">
        <f t="shared" ref="AM40:AP40" si="391">AM37/AM$10</f>
        <v>0.25170252725403586</v>
      </c>
      <c r="AN40" s="821" t="e">
        <f t="shared" si="391"/>
        <v>#VALUE!</v>
      </c>
      <c r="AO40" s="821" t="e">
        <f t="shared" si="391"/>
        <v>#VALUE!</v>
      </c>
      <c r="AP40" s="821" t="e">
        <f t="shared" si="391"/>
        <v>#VALUE!</v>
      </c>
      <c r="AQ40" s="821" t="e">
        <f t="shared" ref="AQ40:AU40" si="392">AQ37/AQ$10</f>
        <v>#VALUE!</v>
      </c>
      <c r="AR40" s="821" t="e">
        <f t="shared" si="392"/>
        <v>#VALUE!</v>
      </c>
      <c r="AS40" s="821" t="e">
        <f t="shared" si="392"/>
        <v>#VALUE!</v>
      </c>
      <c r="AT40" s="821" t="e">
        <f t="shared" si="392"/>
        <v>#VALUE!</v>
      </c>
      <c r="AU40" s="821" t="e">
        <f t="shared" si="392"/>
        <v>#VALUE!</v>
      </c>
      <c r="AV40" s="805"/>
      <c r="AW40" s="805"/>
      <c r="AX40" s="812">
        <v>0.15427112208186899</v>
      </c>
      <c r="AY40" s="812">
        <v>1.084790630629601E-3</v>
      </c>
      <c r="AZ40" s="812">
        <v>0.10911675637393767</v>
      </c>
      <c r="BA40" s="812">
        <v>0.16720545045045046</v>
      </c>
      <c r="BB40" s="812">
        <f t="shared" ref="BB40:BD40" si="393">BB37/BB$10</f>
        <v>0.17101430425752856</v>
      </c>
      <c r="BC40" s="821">
        <f t="shared" si="393"/>
        <v>0.18253680998204844</v>
      </c>
      <c r="BD40" s="821">
        <f t="shared" si="393"/>
        <v>0.19095148731546124</v>
      </c>
      <c r="BE40" s="821">
        <f t="shared" ref="BE40:BG40" si="394">BE37/BE$10</f>
        <v>0.22030480450221571</v>
      </c>
      <c r="BF40" s="821">
        <f t="shared" si="394"/>
        <v>0.21988957583717839</v>
      </c>
      <c r="BG40" s="821">
        <f t="shared" si="394"/>
        <v>0.22157633197795842</v>
      </c>
    </row>
    <row r="41" spans="1:59">
      <c r="A41" s="783"/>
      <c r="D41" s="810"/>
      <c r="AB41" s="822"/>
      <c r="AC41" s="822"/>
      <c r="AD41" s="822"/>
      <c r="AE41" s="822"/>
      <c r="AF41" s="822"/>
      <c r="AG41" s="822"/>
      <c r="AH41" s="822"/>
      <c r="AI41" s="822"/>
      <c r="AJ41" s="822"/>
      <c r="AK41" s="822"/>
      <c r="AL41" s="822"/>
      <c r="AM41" s="822"/>
      <c r="AN41" s="822"/>
      <c r="AO41" s="822"/>
      <c r="AP41" s="822"/>
      <c r="AQ41" s="822"/>
      <c r="AR41" s="822"/>
      <c r="AS41" s="822"/>
      <c r="AT41" s="822"/>
      <c r="AU41" s="822"/>
      <c r="BC41" s="822"/>
      <c r="BD41" s="822"/>
      <c r="BE41" s="822"/>
      <c r="BF41" s="822"/>
      <c r="BG41" s="822"/>
    </row>
    <row r="42" spans="1:59">
      <c r="A42" s="783" t="s">
        <v>2</v>
      </c>
      <c r="B42" s="790" t="s">
        <v>490</v>
      </c>
      <c r="C42" s="783" t="s">
        <v>479</v>
      </c>
      <c r="D42" s="813">
        <v>-58.883499999999998</v>
      </c>
      <c r="E42" s="813">
        <v>20.2075</v>
      </c>
      <c r="F42" s="813">
        <v>68.415499999999994</v>
      </c>
      <c r="G42" s="813">
        <v>137.27799999999999</v>
      </c>
      <c r="H42" s="813">
        <v>134.6995</v>
      </c>
      <c r="I42" s="813">
        <v>154.10400000000001</v>
      </c>
      <c r="J42" s="813">
        <v>13.551500000000001</v>
      </c>
      <c r="K42" s="813">
        <v>90.482500000000002</v>
      </c>
      <c r="L42" s="813">
        <v>-16.361000000000001</v>
      </c>
      <c r="M42" s="813">
        <v>-99.586500000000001</v>
      </c>
      <c r="N42" s="813">
        <v>-167.596</v>
      </c>
      <c r="O42" s="813">
        <v>90.813999999999993</v>
      </c>
      <c r="P42" s="813">
        <v>-2</v>
      </c>
      <c r="Q42" s="813">
        <v>-728</v>
      </c>
      <c r="R42" s="813">
        <v>209.5</v>
      </c>
      <c r="S42" s="813">
        <v>352.5</v>
      </c>
      <c r="T42" s="813">
        <v>96</v>
      </c>
      <c r="U42" s="813">
        <v>251</v>
      </c>
      <c r="V42" s="813">
        <v>291</v>
      </c>
      <c r="W42" s="813">
        <v>473</v>
      </c>
      <c r="X42" s="813">
        <v>211</v>
      </c>
      <c r="Y42" s="813">
        <v>299</v>
      </c>
      <c r="Z42" s="813">
        <v>381.5</v>
      </c>
      <c r="AA42" s="813">
        <v>638</v>
      </c>
      <c r="AB42" s="820">
        <v>389</v>
      </c>
      <c r="AC42" s="820">
        <v>425.68448000000001</v>
      </c>
      <c r="AD42" s="820">
        <v>526.19104000000004</v>
      </c>
      <c r="AE42" s="820">
        <v>810.29034000000001</v>
      </c>
      <c r="AF42" s="820">
        <v>420</v>
      </c>
      <c r="AG42" s="820">
        <v>568</v>
      </c>
      <c r="AH42" s="820">
        <v>667</v>
      </c>
      <c r="AI42" s="820">
        <v>1021</v>
      </c>
      <c r="AJ42" s="820" t="s">
        <v>835</v>
      </c>
      <c r="AK42" s="820" t="s">
        <v>835</v>
      </c>
      <c r="AL42" s="820" t="s">
        <v>835</v>
      </c>
      <c r="AM42" s="820" t="s">
        <v>835</v>
      </c>
      <c r="AN42" s="820" t="s">
        <v>835</v>
      </c>
      <c r="AO42" s="820" t="s">
        <v>835</v>
      </c>
      <c r="AP42" s="820" t="s">
        <v>835</v>
      </c>
      <c r="AQ42" s="820" t="s">
        <v>835</v>
      </c>
      <c r="AR42" s="820" t="s">
        <v>835</v>
      </c>
      <c r="AS42" s="820" t="s">
        <v>835</v>
      </c>
      <c r="AT42" s="820" t="s">
        <v>835</v>
      </c>
      <c r="AU42" s="820" t="s">
        <v>835</v>
      </c>
      <c r="AV42" s="814"/>
      <c r="AW42" s="813">
        <v>193.471</v>
      </c>
      <c r="AX42" s="813">
        <v>484.74831999999998</v>
      </c>
      <c r="AY42" s="813">
        <v>-317.71050000000002</v>
      </c>
      <c r="AZ42" s="813">
        <v>-132</v>
      </c>
      <c r="BA42" s="813">
        <v>1111</v>
      </c>
      <c r="BB42" s="813">
        <v>1499</v>
      </c>
      <c r="BC42" s="820">
        <v>2198.1723999999999</v>
      </c>
      <c r="BD42" s="820">
        <v>2879.9872999999998</v>
      </c>
      <c r="BE42" s="820">
        <v>4219</v>
      </c>
      <c r="BF42" s="820">
        <v>5510</v>
      </c>
      <c r="BG42" s="820">
        <v>6994</v>
      </c>
    </row>
    <row r="43" spans="1:59">
      <c r="A43" s="783" t="s">
        <v>459</v>
      </c>
      <c r="C43" s="783" t="s">
        <v>474</v>
      </c>
      <c r="D43" s="812"/>
      <c r="E43" s="805"/>
      <c r="F43" s="805"/>
      <c r="G43" s="805"/>
      <c r="H43" s="812">
        <v>-3.2875593332597419</v>
      </c>
      <c r="I43" s="812">
        <v>6.6260794259557105</v>
      </c>
      <c r="J43" s="812">
        <v>-0.80192354071811212</v>
      </c>
      <c r="K43" s="812">
        <v>-0.34088127740788754</v>
      </c>
      <c r="L43" s="812">
        <v>-1.1214629601446182</v>
      </c>
      <c r="M43" s="812">
        <v>-1.6462291699112286</v>
      </c>
      <c r="N43" s="812">
        <v>-13.367339408921522</v>
      </c>
      <c r="O43" s="812">
        <v>3.6636918741193014E-3</v>
      </c>
      <c r="P43" s="812">
        <v>-0.87775808324674531</v>
      </c>
      <c r="Q43" s="812">
        <v>6.310227791919587</v>
      </c>
      <c r="R43" s="812">
        <v>-2.2500298336475808</v>
      </c>
      <c r="S43" s="812">
        <v>2.8815601118770235</v>
      </c>
      <c r="T43" s="812">
        <v>-49</v>
      </c>
      <c r="U43" s="812">
        <v>-1.3447802197802199</v>
      </c>
      <c r="V43" s="812">
        <v>0.38902147971360379</v>
      </c>
      <c r="W43" s="812">
        <v>0.34184397163120561</v>
      </c>
      <c r="X43" s="812">
        <f t="shared" ref="X43:AA43" si="395">X42/T42-1</f>
        <v>1.1979166666666665</v>
      </c>
      <c r="Y43" s="812">
        <f t="shared" si="395"/>
        <v>0.19123505976095623</v>
      </c>
      <c r="Z43" s="812">
        <f t="shared" si="395"/>
        <v>0.31099656357388317</v>
      </c>
      <c r="AA43" s="812">
        <f t="shared" si="395"/>
        <v>0.34883720930232553</v>
      </c>
      <c r="AB43" s="821">
        <f t="shared" ref="AB43" si="396">AB42/X42-1</f>
        <v>0.84360189573459721</v>
      </c>
      <c r="AC43" s="821">
        <f t="shared" ref="AC43" si="397">AC42/Y42-1</f>
        <v>0.42369391304347825</v>
      </c>
      <c r="AD43" s="821">
        <f t="shared" ref="AD43" si="398">AD42/Z42-1</f>
        <v>0.37926878112712981</v>
      </c>
      <c r="AE43" s="821">
        <f t="shared" ref="AE43" si="399">AE42/AA42-1</f>
        <v>0.27004755485893428</v>
      </c>
      <c r="AF43" s="821">
        <f t="shared" ref="AF43" si="400">AF42/AB42-1</f>
        <v>7.9691516709511578E-2</v>
      </c>
      <c r="AG43" s="821">
        <f t="shared" ref="AG43" si="401">AG42/AC42-1</f>
        <v>0.3343216083424041</v>
      </c>
      <c r="AH43" s="821">
        <f t="shared" ref="AH43" si="402">AH42/AD42-1</f>
        <v>0.26760045172947056</v>
      </c>
      <c r="AI43" s="821">
        <f t="shared" ref="AI43" si="403">AI42/AE42-1</f>
        <v>0.2600421720441588</v>
      </c>
      <c r="AJ43" s="821" t="e">
        <f t="shared" ref="AJ43" si="404">AJ42/AF42-1</f>
        <v>#VALUE!</v>
      </c>
      <c r="AK43" s="821" t="e">
        <f t="shared" ref="AK43" si="405">AK42/AG42-1</f>
        <v>#VALUE!</v>
      </c>
      <c r="AL43" s="821" t="e">
        <f t="shared" ref="AL43:AM43" si="406">AL42/AH42-1</f>
        <v>#VALUE!</v>
      </c>
      <c r="AM43" s="821" t="e">
        <f t="shared" si="406"/>
        <v>#VALUE!</v>
      </c>
      <c r="AN43" s="821" t="e">
        <f t="shared" ref="AN43" si="407">AN42/AJ42-1</f>
        <v>#VALUE!</v>
      </c>
      <c r="AO43" s="821" t="e">
        <f t="shared" ref="AO43" si="408">AO42/AK42-1</f>
        <v>#VALUE!</v>
      </c>
      <c r="AP43" s="821" t="e">
        <f t="shared" ref="AP43" si="409">AP42/AL42-1</f>
        <v>#VALUE!</v>
      </c>
      <c r="AQ43" s="821" t="e">
        <f t="shared" ref="AQ43" si="410">AQ42/AM42-1</f>
        <v>#VALUE!</v>
      </c>
      <c r="AR43" s="821" t="e">
        <f t="shared" ref="AR43" si="411">AR42/AN42-1</f>
        <v>#VALUE!</v>
      </c>
      <c r="AS43" s="821" t="e">
        <f t="shared" ref="AS43" si="412">AS42/AO42-1</f>
        <v>#VALUE!</v>
      </c>
      <c r="AT43" s="821" t="e">
        <f t="shared" ref="AT43" si="413">AT42/AP42-1</f>
        <v>#VALUE!</v>
      </c>
      <c r="AU43" s="821" t="e">
        <f t="shared" ref="AU43" si="414">AU42/AQ42-1</f>
        <v>#VALUE!</v>
      </c>
      <c r="AV43" s="805"/>
      <c r="AW43" s="805"/>
      <c r="AX43" s="812">
        <v>1.5055347829907322</v>
      </c>
      <c r="AY43" s="812">
        <v>-1.6554133080853175</v>
      </c>
      <c r="AZ43" s="812">
        <v>-0.58452742355068532</v>
      </c>
      <c r="BA43" s="812">
        <v>-9.4166666666666661</v>
      </c>
      <c r="BB43" s="812">
        <f t="shared" ref="BB43:BE43" si="415">BB42/BA42-1</f>
        <v>0.3492349234923493</v>
      </c>
      <c r="BC43" s="821">
        <f t="shared" si="415"/>
        <v>0.46642588392261497</v>
      </c>
      <c r="BD43" s="821">
        <f t="shared" si="415"/>
        <v>0.3101735332497122</v>
      </c>
      <c r="BE43" s="821">
        <f t="shared" si="415"/>
        <v>0.46493701552086719</v>
      </c>
      <c r="BF43" s="821">
        <f t="shared" ref="BF43" si="416">BF42/BE42-1</f>
        <v>0.30599668167812277</v>
      </c>
      <c r="BG43" s="821">
        <f t="shared" ref="BG43" si="417">BG42/BF42-1</f>
        <v>0.26932849364791278</v>
      </c>
    </row>
    <row r="44" spans="1:59">
      <c r="A44" s="783" t="s">
        <v>460</v>
      </c>
      <c r="C44" s="783" t="s">
        <v>475</v>
      </c>
      <c r="D44" s="812"/>
      <c r="E44" s="812">
        <v>-1.3431776304058012</v>
      </c>
      <c r="F44" s="812">
        <v>2.3856488927378448</v>
      </c>
      <c r="G44" s="812">
        <v>1.0065336071504265</v>
      </c>
      <c r="H44" s="812">
        <v>-1.8783053366162039E-2</v>
      </c>
      <c r="I44" s="812">
        <v>0.14405769880363328</v>
      </c>
      <c r="J44" s="812">
        <v>-0.91206263302704671</v>
      </c>
      <c r="K44" s="812">
        <v>5.6769361325314538</v>
      </c>
      <c r="L44" s="812">
        <v>-1.1808194954825519</v>
      </c>
      <c r="M44" s="812">
        <v>5.0868223213739991</v>
      </c>
      <c r="N44" s="812">
        <v>0.68291886952548797</v>
      </c>
      <c r="O44" s="812">
        <v>-1.5418625742857826</v>
      </c>
      <c r="P44" s="812">
        <v>-1.0220230360957561</v>
      </c>
      <c r="Q44" s="812">
        <v>363</v>
      </c>
      <c r="R44" s="812">
        <v>-1.2877747252747254</v>
      </c>
      <c r="S44" s="812">
        <v>0.68257756563245819</v>
      </c>
      <c r="T44" s="812">
        <v>-0.72765957446808516</v>
      </c>
      <c r="U44" s="812">
        <v>1.6145833333333335</v>
      </c>
      <c r="V44" s="812">
        <v>0.15936254980079689</v>
      </c>
      <c r="W44" s="812">
        <v>0.62542955326460481</v>
      </c>
      <c r="X44" s="812">
        <f t="shared" ref="X44:AA44" si="418">X42/W42-1</f>
        <v>-0.55391120507399583</v>
      </c>
      <c r="Y44" s="812">
        <f t="shared" si="418"/>
        <v>0.41706161137440767</v>
      </c>
      <c r="Z44" s="812">
        <f t="shared" si="418"/>
        <v>0.2759197324414715</v>
      </c>
      <c r="AA44" s="812">
        <f t="shared" si="418"/>
        <v>0.67234600262123201</v>
      </c>
      <c r="AB44" s="821">
        <f t="shared" ref="AB44" si="419">AB42/AA42-1</f>
        <v>-0.39028213166144199</v>
      </c>
      <c r="AC44" s="821">
        <f t="shared" ref="AC44" si="420">AC42/AB42-1</f>
        <v>9.430457583547569E-2</v>
      </c>
      <c r="AD44" s="821">
        <f t="shared" ref="AD44" si="421">AD42/AC42-1</f>
        <v>0.23610576547211681</v>
      </c>
      <c r="AE44" s="821">
        <f t="shared" ref="AE44" si="422">AE42/AD42-1</f>
        <v>0.53991664320243826</v>
      </c>
      <c r="AF44" s="821">
        <f t="shared" ref="AF44" si="423">AF42/AE42-1</f>
        <v>-0.48166727496714323</v>
      </c>
      <c r="AG44" s="821">
        <f t="shared" ref="AG44" si="424">AG42/AF42-1</f>
        <v>0.35238095238095246</v>
      </c>
      <c r="AH44" s="821">
        <f t="shared" ref="AH44" si="425">AH42/AG42-1</f>
        <v>0.17429577464788726</v>
      </c>
      <c r="AI44" s="821">
        <f t="shared" ref="AI44" si="426">AI42/AH42-1</f>
        <v>0.53073463268365817</v>
      </c>
      <c r="AJ44" s="821" t="e">
        <f t="shared" ref="AJ44" si="427">AJ42/AI42-1</f>
        <v>#VALUE!</v>
      </c>
      <c r="AK44" s="821" t="e">
        <f t="shared" ref="AK44" si="428">AK42/AJ42-1</f>
        <v>#VALUE!</v>
      </c>
      <c r="AL44" s="821" t="e">
        <f t="shared" ref="AL44:AM44" si="429">AL42/AK42-1</f>
        <v>#VALUE!</v>
      </c>
      <c r="AM44" s="821" t="e">
        <f t="shared" si="429"/>
        <v>#VALUE!</v>
      </c>
      <c r="AN44" s="821" t="e">
        <f t="shared" ref="AN44" si="430">AN42/AM42-1</f>
        <v>#VALUE!</v>
      </c>
      <c r="AO44" s="821" t="e">
        <f t="shared" ref="AO44" si="431">AO42/AN42-1</f>
        <v>#VALUE!</v>
      </c>
      <c r="AP44" s="821" t="e">
        <f t="shared" ref="AP44" si="432">AP42/AO42-1</f>
        <v>#VALUE!</v>
      </c>
      <c r="AQ44" s="821" t="e">
        <f t="shared" ref="AQ44" si="433">AQ42/AP42-1</f>
        <v>#VALUE!</v>
      </c>
      <c r="AR44" s="821" t="e">
        <f t="shared" ref="AR44" si="434">AR42/AQ42-1</f>
        <v>#VALUE!</v>
      </c>
      <c r="AS44" s="821" t="e">
        <f t="shared" ref="AS44" si="435">AS42/AR42-1</f>
        <v>#VALUE!</v>
      </c>
      <c r="AT44" s="821" t="e">
        <f t="shared" ref="AT44" si="436">AT42/AS42-1</f>
        <v>#VALUE!</v>
      </c>
      <c r="AU44" s="821" t="e">
        <f t="shared" ref="AU44" si="437">AU42/AT42-1</f>
        <v>#VALUE!</v>
      </c>
      <c r="AV44" s="805"/>
      <c r="AW44" s="805"/>
      <c r="AX44" s="805"/>
      <c r="AY44" s="805"/>
      <c r="AZ44" s="805"/>
      <c r="BA44" s="805"/>
      <c r="BB44" s="805"/>
      <c r="BC44" s="827"/>
      <c r="BD44" s="827"/>
      <c r="BE44" s="827"/>
      <c r="BF44" s="827"/>
      <c r="BG44" s="827"/>
    </row>
    <row r="45" spans="1:59">
      <c r="A45" s="783" t="s">
        <v>461</v>
      </c>
      <c r="C45" s="783" t="s">
        <v>58</v>
      </c>
      <c r="D45" s="812">
        <v>-0.12528377599196597</v>
      </c>
      <c r="E45" s="812">
        <v>2.8288310484768479E-2</v>
      </c>
      <c r="F45" s="812">
        <v>8.9151751682618685E-2</v>
      </c>
      <c r="G45" s="812">
        <v>0.14040280482416664</v>
      </c>
      <c r="H45" s="812">
        <v>0.13624630429263426</v>
      </c>
      <c r="I45" s="812">
        <v>0.1376666071109523</v>
      </c>
      <c r="J45" s="812">
        <v>1.2059284176054961E-2</v>
      </c>
      <c r="K45" s="812">
        <v>6.5565888709181883E-2</v>
      </c>
      <c r="L45" s="812">
        <v>-1.3593126751482814E-2</v>
      </c>
      <c r="M45" s="812">
        <v>-7.6897031264116109E-2</v>
      </c>
      <c r="N45" s="812">
        <v>-0.12267310789049919</v>
      </c>
      <c r="O45" s="812">
        <v>5.234302682800588E-2</v>
      </c>
      <c r="P45" s="812">
        <v>-1.3262599469496021E-3</v>
      </c>
      <c r="Q45" s="812">
        <v>-0.42975206611570249</v>
      </c>
      <c r="R45" s="812">
        <v>0.12222870478413068</v>
      </c>
      <c r="S45" s="812">
        <v>0.16441231343283583</v>
      </c>
      <c r="T45" s="812">
        <v>5.1585169263836647E-2</v>
      </c>
      <c r="U45" s="812">
        <v>0.12273838630806846</v>
      </c>
      <c r="V45" s="812">
        <v>0.13459759481961148</v>
      </c>
      <c r="W45" s="812">
        <v>0.16820768136557609</v>
      </c>
      <c r="X45" s="812">
        <f t="shared" ref="X45:AA45" si="438">X42/X$10</f>
        <v>8.9406779661016955E-2</v>
      </c>
      <c r="Y45" s="812">
        <f t="shared" si="438"/>
        <v>0.11156716417910448</v>
      </c>
      <c r="Z45" s="812">
        <f t="shared" si="438"/>
        <v>0.13414205344585092</v>
      </c>
      <c r="AA45" s="812">
        <f t="shared" si="438"/>
        <v>0.17374727668845316</v>
      </c>
      <c r="AB45" s="821">
        <f t="shared" ref="AB45:AE45" si="439">AB42/AB$10</f>
        <v>0.12271293375394322</v>
      </c>
      <c r="AC45" s="821">
        <f t="shared" si="439"/>
        <v>0.11880672062517443</v>
      </c>
      <c r="AD45" s="821">
        <f t="shared" si="439"/>
        <v>0.14410219544610686</v>
      </c>
      <c r="AE45" s="821">
        <f t="shared" si="439"/>
        <v>0.17401593492125894</v>
      </c>
      <c r="AF45" s="821">
        <f t="shared" ref="AF45:AL45" si="440">AF42/AF$10</f>
        <v>0.106659835019583</v>
      </c>
      <c r="AG45" s="821">
        <f t="shared" si="440"/>
        <v>0.13077202809342325</v>
      </c>
      <c r="AH45" s="821">
        <f t="shared" si="440"/>
        <v>0.14800625150003338</v>
      </c>
      <c r="AI45" s="821">
        <f t="shared" si="440"/>
        <v>0.17820785039616774</v>
      </c>
      <c r="AJ45" s="821" t="e">
        <f t="shared" si="440"/>
        <v>#VALUE!</v>
      </c>
      <c r="AK45" s="821" t="e">
        <f t="shared" si="440"/>
        <v>#VALUE!</v>
      </c>
      <c r="AL45" s="821" t="e">
        <f t="shared" si="440"/>
        <v>#VALUE!</v>
      </c>
      <c r="AM45" s="821" t="e">
        <f t="shared" ref="AM45:AP45" si="441">AM42/AM$10</f>
        <v>#VALUE!</v>
      </c>
      <c r="AN45" s="821" t="e">
        <f t="shared" si="441"/>
        <v>#VALUE!</v>
      </c>
      <c r="AO45" s="821" t="e">
        <f t="shared" si="441"/>
        <v>#VALUE!</v>
      </c>
      <c r="AP45" s="821" t="e">
        <f t="shared" si="441"/>
        <v>#VALUE!</v>
      </c>
      <c r="AQ45" s="821" t="e">
        <f t="shared" ref="AQ45:AU45" si="442">AQ42/AQ$10</f>
        <v>#VALUE!</v>
      </c>
      <c r="AR45" s="821" t="e">
        <f t="shared" si="442"/>
        <v>#VALUE!</v>
      </c>
      <c r="AS45" s="821" t="e">
        <f t="shared" si="442"/>
        <v>#VALUE!</v>
      </c>
      <c r="AT45" s="821" t="e">
        <f t="shared" si="442"/>
        <v>#VALUE!</v>
      </c>
      <c r="AU45" s="821" t="e">
        <f t="shared" si="442"/>
        <v>#VALUE!</v>
      </c>
      <c r="AV45" s="805"/>
      <c r="AW45" s="805"/>
      <c r="AX45" s="812">
        <v>0.10510916212474977</v>
      </c>
      <c r="AY45" s="812">
        <v>-5.673539571675313E-2</v>
      </c>
      <c r="AZ45" s="812">
        <v>-1.8696883852691217E-2</v>
      </c>
      <c r="BA45" s="812">
        <v>0.12511261261261261</v>
      </c>
      <c r="BB45" s="812">
        <f t="shared" ref="BB45:BD45" si="443">BB42/BB$10</f>
        <v>0.12971616476289374</v>
      </c>
      <c r="BC45" s="821">
        <f t="shared" si="443"/>
        <v>0.14676470955452126</v>
      </c>
      <c r="BD45" s="821">
        <f t="shared" si="443"/>
        <v>0.15427432012801826</v>
      </c>
      <c r="BE45" s="821">
        <f t="shared" ref="BE45:BG45" si="444">BE42/BE$10</f>
        <v>0.17975289622007651</v>
      </c>
      <c r="BF45" s="821">
        <f t="shared" si="444"/>
        <v>0.19517454838876502</v>
      </c>
      <c r="BG45" s="821">
        <f t="shared" si="444"/>
        <v>0.20956872709621163</v>
      </c>
    </row>
    <row r="46" spans="1:59">
      <c r="A46" s="783"/>
      <c r="D46" s="810"/>
      <c r="AB46" s="822"/>
      <c r="AC46" s="822"/>
      <c r="AD46" s="822"/>
      <c r="AE46" s="822"/>
      <c r="AF46" s="822"/>
      <c r="AG46" s="822"/>
      <c r="AH46" s="822"/>
      <c r="AI46" s="822"/>
      <c r="AJ46" s="822"/>
      <c r="AK46" s="822"/>
      <c r="AL46" s="822"/>
      <c r="AM46" s="822"/>
      <c r="AN46" s="822"/>
      <c r="AO46" s="822"/>
      <c r="AP46" s="822"/>
      <c r="AQ46" s="822"/>
      <c r="AR46" s="822"/>
      <c r="AS46" s="822"/>
      <c r="AT46" s="822"/>
      <c r="AU46" s="822"/>
      <c r="BC46" s="822"/>
      <c r="BD46" s="822"/>
      <c r="BE46" s="822"/>
      <c r="BF46" s="822"/>
      <c r="BG46" s="822"/>
    </row>
    <row r="47" spans="1:59">
      <c r="A47" s="783" t="s">
        <v>403</v>
      </c>
      <c r="B47" s="790" t="s">
        <v>342</v>
      </c>
      <c r="C47" s="783" t="s">
        <v>480</v>
      </c>
      <c r="D47" s="813">
        <v>4.4897</v>
      </c>
      <c r="E47" s="813">
        <v>131.75458</v>
      </c>
      <c r="F47" s="813">
        <v>146.30779999999999</v>
      </c>
      <c r="G47" s="813">
        <v>212.45651000000001</v>
      </c>
      <c r="H47" s="813">
        <v>225.19382999999999</v>
      </c>
      <c r="I47" s="813">
        <v>248.38783000000001</v>
      </c>
      <c r="J47" s="813">
        <v>151.15600000000001</v>
      </c>
      <c r="K47" s="813">
        <v>147.48819</v>
      </c>
      <c r="L47" s="813">
        <v>47.487569999999998</v>
      </c>
      <c r="M47" s="813">
        <v>-27.44143</v>
      </c>
      <c r="N47" s="813">
        <v>-23.876249999999999</v>
      </c>
      <c r="O47" s="813">
        <v>85.808390000000003</v>
      </c>
      <c r="P47" s="813">
        <v>-1.9851000000000001</v>
      </c>
      <c r="Q47" s="813">
        <v>157.85714999999999</v>
      </c>
      <c r="R47" s="813">
        <v>281.92856</v>
      </c>
      <c r="S47" s="813">
        <v>404</v>
      </c>
      <c r="T47" s="813">
        <v>209.07142999999999</v>
      </c>
      <c r="U47" s="813">
        <v>307.92856</v>
      </c>
      <c r="V47" s="813">
        <v>406.5625</v>
      </c>
      <c r="W47" s="813">
        <v>591.6</v>
      </c>
      <c r="X47" s="813">
        <v>335.5</v>
      </c>
      <c r="Y47" s="813">
        <v>428.70587</v>
      </c>
      <c r="Z47" s="813">
        <v>471.05883999999998</v>
      </c>
      <c r="AA47" s="813">
        <v>764.93335000000002</v>
      </c>
      <c r="AB47" s="820">
        <v>528.66669999999999</v>
      </c>
      <c r="AC47" s="820">
        <v>594.84550000000002</v>
      </c>
      <c r="AD47" s="820">
        <v>668.07587000000001</v>
      </c>
      <c r="AE47" s="820">
        <v>970.72040000000004</v>
      </c>
      <c r="AF47" s="820">
        <v>652.57934999999998</v>
      </c>
      <c r="AG47" s="820">
        <v>755.56799999999998</v>
      </c>
      <c r="AH47" s="820">
        <v>837.26153999999997</v>
      </c>
      <c r="AI47" s="820">
        <v>1191.6364000000001</v>
      </c>
      <c r="AJ47" s="820">
        <v>982.45654000000002</v>
      </c>
      <c r="AK47" s="820">
        <v>1076.2710999999999</v>
      </c>
      <c r="AL47" s="820">
        <v>1279.4641999999999</v>
      </c>
      <c r="AM47" s="820">
        <v>1833.9670000000001</v>
      </c>
      <c r="AN47" s="820" t="s">
        <v>835</v>
      </c>
      <c r="AO47" s="820" t="s">
        <v>835</v>
      </c>
      <c r="AP47" s="820" t="s">
        <v>835</v>
      </c>
      <c r="AQ47" s="820" t="s">
        <v>835</v>
      </c>
      <c r="AR47" s="820" t="s">
        <v>835</v>
      </c>
      <c r="AS47" s="820" t="s">
        <v>835</v>
      </c>
      <c r="AT47" s="820" t="s">
        <v>835</v>
      </c>
      <c r="AU47" s="820" t="s">
        <v>835</v>
      </c>
      <c r="AV47" s="814"/>
      <c r="AW47" s="813">
        <v>480.82114000000001</v>
      </c>
      <c r="AX47" s="813">
        <v>760.82240000000002</v>
      </c>
      <c r="AY47" s="813">
        <v>79.164000000000001</v>
      </c>
      <c r="AZ47" s="813">
        <v>824.5797</v>
      </c>
      <c r="BA47" s="813">
        <v>1484.2858000000001</v>
      </c>
      <c r="BB47" s="813">
        <v>1998.7893999999999</v>
      </c>
      <c r="BC47" s="820">
        <v>2760.9684999999999</v>
      </c>
      <c r="BD47" s="820">
        <v>3575.3566999999998</v>
      </c>
      <c r="BE47" s="820">
        <v>5274.8657000000003</v>
      </c>
      <c r="BF47" s="820">
        <v>5374</v>
      </c>
      <c r="BG47" s="820">
        <v>6657.5</v>
      </c>
    </row>
    <row r="48" spans="1:59">
      <c r="A48" s="783" t="s">
        <v>462</v>
      </c>
      <c r="C48" s="783" t="s">
        <v>474</v>
      </c>
      <c r="D48" s="812"/>
      <c r="E48" s="805"/>
      <c r="F48" s="805"/>
      <c r="G48" s="805"/>
      <c r="H48" s="812">
        <v>49.157879145599928</v>
      </c>
      <c r="I48" s="812">
        <v>0.88523108646393922</v>
      </c>
      <c r="J48" s="812">
        <v>3.3136989278767182E-2</v>
      </c>
      <c r="K48" s="812">
        <v>-0.30579585440803858</v>
      </c>
      <c r="L48" s="812">
        <v>-0.7891257944322897</v>
      </c>
      <c r="M48" s="812">
        <v>-1.1104781582898002</v>
      </c>
      <c r="N48" s="812">
        <v>-1.1579576728677656</v>
      </c>
      <c r="O48" s="812">
        <v>-0.41820162007547856</v>
      </c>
      <c r="P48" s="812">
        <v>-1.0418025180062909</v>
      </c>
      <c r="Q48" s="812">
        <v>-6.7525118042317764</v>
      </c>
      <c r="R48" s="812">
        <v>-12.807907858227319</v>
      </c>
      <c r="S48" s="812">
        <v>3.708164318197789</v>
      </c>
      <c r="T48" s="812">
        <v>-106.32035161956576</v>
      </c>
      <c r="U48" s="812">
        <v>0.95067857236748554</v>
      </c>
      <c r="V48" s="812">
        <v>0.44207631890859167</v>
      </c>
      <c r="W48" s="812">
        <v>0.46435643564356432</v>
      </c>
      <c r="X48" s="812">
        <f t="shared" ref="X48:AA48" si="445">X47/T47-1</f>
        <v>0.60471471400946553</v>
      </c>
      <c r="Y48" s="812">
        <f t="shared" si="445"/>
        <v>0.39222509922431348</v>
      </c>
      <c r="Z48" s="812">
        <f t="shared" si="445"/>
        <v>0.15863819215987696</v>
      </c>
      <c r="AA48" s="812">
        <f t="shared" si="445"/>
        <v>0.29299078769438802</v>
      </c>
      <c r="AB48" s="821">
        <f t="shared" ref="AB48" si="446">AB47/X47-1</f>
        <v>0.57575767511177345</v>
      </c>
      <c r="AC48" s="821">
        <f t="shared" ref="AC48" si="447">AC47/Y47-1</f>
        <v>0.38753756742355772</v>
      </c>
      <c r="AD48" s="821">
        <f t="shared" ref="AD48" si="448">AD47/Z47-1</f>
        <v>0.41824293118031708</v>
      </c>
      <c r="AE48" s="821">
        <f t="shared" ref="AE48" si="449">AE47/AA47-1</f>
        <v>0.26902611841933677</v>
      </c>
      <c r="AF48" s="821">
        <f t="shared" ref="AF48" si="450">AF47/AB47-1</f>
        <v>0.23438709114835499</v>
      </c>
      <c r="AG48" s="821">
        <f t="shared" ref="AG48" si="451">AG47/AC47-1</f>
        <v>0.27019200784069142</v>
      </c>
      <c r="AH48" s="821">
        <f t="shared" ref="AH48" si="452">AH47/AD47-1</f>
        <v>0.25324319826129926</v>
      </c>
      <c r="AI48" s="821">
        <f t="shared" ref="AI48" si="453">AI47/AE47-1</f>
        <v>0.22757943481974841</v>
      </c>
      <c r="AJ48" s="821">
        <f t="shared" ref="AJ48" si="454">AJ47/AF47-1</f>
        <v>0.5054974387405915</v>
      </c>
      <c r="AK48" s="821">
        <f t="shared" ref="AK48" si="455">AK47/AG47-1</f>
        <v>0.42445299430362327</v>
      </c>
      <c r="AL48" s="821">
        <f t="shared" ref="AL48:AM48" si="456">AL47/AH47-1</f>
        <v>0.52815355641440309</v>
      </c>
      <c r="AM48" s="821">
        <f t="shared" si="456"/>
        <v>0.53903237598314391</v>
      </c>
      <c r="AN48" s="821" t="e">
        <f t="shared" ref="AN48" si="457">AN47/AJ47-1</f>
        <v>#VALUE!</v>
      </c>
      <c r="AO48" s="821" t="e">
        <f t="shared" ref="AO48" si="458">AO47/AK47-1</f>
        <v>#VALUE!</v>
      </c>
      <c r="AP48" s="821" t="e">
        <f t="shared" ref="AP48" si="459">AP47/AL47-1</f>
        <v>#VALUE!</v>
      </c>
      <c r="AQ48" s="821" t="e">
        <f t="shared" ref="AQ48" si="460">AQ47/AM47-1</f>
        <v>#VALUE!</v>
      </c>
      <c r="AR48" s="821" t="e">
        <f t="shared" ref="AR48" si="461">AR47/AN47-1</f>
        <v>#VALUE!</v>
      </c>
      <c r="AS48" s="821" t="e">
        <f t="shared" ref="AS48" si="462">AS47/AO47-1</f>
        <v>#VALUE!</v>
      </c>
      <c r="AT48" s="821" t="e">
        <f t="shared" ref="AT48" si="463">AT47/AP47-1</f>
        <v>#VALUE!</v>
      </c>
      <c r="AU48" s="821" t="e">
        <f t="shared" ref="AU48" si="464">AU47/AQ47-1</f>
        <v>#VALUE!</v>
      </c>
      <c r="AV48" s="805"/>
      <c r="AW48" s="805"/>
      <c r="AX48" s="812">
        <v>0.5823397448789378</v>
      </c>
      <c r="AY48" s="812">
        <v>-0.89594943576845265</v>
      </c>
      <c r="AZ48" s="812">
        <v>9.4160944368652419</v>
      </c>
      <c r="BA48" s="812">
        <v>0.80005134737127293</v>
      </c>
      <c r="BB48" s="812">
        <f t="shared" ref="BB48:BE48" si="465">BB47/BA47-1</f>
        <v>0.34663378171508463</v>
      </c>
      <c r="BC48" s="821">
        <f t="shared" si="465"/>
        <v>0.38132036321585461</v>
      </c>
      <c r="BD48" s="821">
        <f t="shared" si="465"/>
        <v>0.29496468358838568</v>
      </c>
      <c r="BE48" s="821">
        <f t="shared" si="465"/>
        <v>0.47533970526633063</v>
      </c>
      <c r="BF48" s="821">
        <f t="shared" ref="BF48" si="466">BF47/BE47-1</f>
        <v>1.8793710710018674E-2</v>
      </c>
      <c r="BG48" s="821">
        <f t="shared" ref="BG48" si="467">BG47/BF47-1</f>
        <v>0.23883513211760321</v>
      </c>
    </row>
    <row r="49" spans="1:59">
      <c r="A49" s="783" t="s">
        <v>463</v>
      </c>
      <c r="C49" s="783" t="s">
        <v>475</v>
      </c>
      <c r="D49" s="812"/>
      <c r="E49" s="812">
        <v>28.345965209256743</v>
      </c>
      <c r="F49" s="812">
        <v>0.11045703306860366</v>
      </c>
      <c r="G49" s="812">
        <v>0.45212018771384721</v>
      </c>
      <c r="H49" s="812">
        <v>5.9952599240192583E-2</v>
      </c>
      <c r="I49" s="812">
        <v>0.10299571706738164</v>
      </c>
      <c r="J49" s="812">
        <v>-0.39145166653293761</v>
      </c>
      <c r="K49" s="812">
        <v>-2.4265063907486284E-2</v>
      </c>
      <c r="L49" s="812">
        <v>-0.67802459301995643</v>
      </c>
      <c r="M49" s="812">
        <v>-1.5778655340755487</v>
      </c>
      <c r="N49" s="812">
        <v>-0.12991961424750831</v>
      </c>
      <c r="O49" s="812">
        <v>-4.593880529815193</v>
      </c>
      <c r="P49" s="812">
        <v>-1.0231341014555804</v>
      </c>
      <c r="Q49" s="812">
        <v>-80.521006498413172</v>
      </c>
      <c r="R49" s="812">
        <v>0.78597269746729892</v>
      </c>
      <c r="S49" s="812">
        <v>0.43298713688318768</v>
      </c>
      <c r="T49" s="812">
        <v>-0.48249646039603966</v>
      </c>
      <c r="U49" s="812">
        <v>0.47283901965945341</v>
      </c>
      <c r="V49" s="812">
        <v>0.32031436122716261</v>
      </c>
      <c r="W49" s="812">
        <v>0.45512682551883166</v>
      </c>
      <c r="X49" s="812">
        <f t="shared" ref="X49:AA49" si="468">X47/W47-1</f>
        <v>-0.43289384719405011</v>
      </c>
      <c r="Y49" s="812">
        <f t="shared" si="468"/>
        <v>0.27781183308494795</v>
      </c>
      <c r="Z49" s="812">
        <f t="shared" si="468"/>
        <v>9.8792605755549712E-2</v>
      </c>
      <c r="AA49" s="812">
        <f t="shared" si="468"/>
        <v>0.62385945246245678</v>
      </c>
      <c r="AB49" s="821">
        <f t="shared" ref="AB49" si="469">AB47/AA47-1</f>
        <v>-0.30887220435610507</v>
      </c>
      <c r="AC49" s="821">
        <f t="shared" ref="AC49" si="470">AC47/AB47-1</f>
        <v>0.12518057218281387</v>
      </c>
      <c r="AD49" s="821">
        <f t="shared" ref="AD49" si="471">AD47/AC47-1</f>
        <v>0.1231082188568291</v>
      </c>
      <c r="AE49" s="821">
        <f t="shared" ref="AE49" si="472">AE47/AD47-1</f>
        <v>0.45300922184182468</v>
      </c>
      <c r="AF49" s="821">
        <f t="shared" ref="AF49" si="473">AF47/AE47-1</f>
        <v>-0.32773706002263892</v>
      </c>
      <c r="AG49" s="821">
        <f t="shared" ref="AG49" si="474">AG47/AF47-1</f>
        <v>0.15781781939621586</v>
      </c>
      <c r="AH49" s="821">
        <f t="shared" ref="AH49" si="475">AH47/AG47-1</f>
        <v>0.10812202210787114</v>
      </c>
      <c r="AI49" s="821">
        <f t="shared" ref="AI49" si="476">AI47/AH47-1</f>
        <v>0.42325467380240611</v>
      </c>
      <c r="AJ49" s="821">
        <f t="shared" ref="AJ49" si="477">AJ47/AI47-1</f>
        <v>-0.17554000532377168</v>
      </c>
      <c r="AK49" s="821">
        <f t="shared" ref="AK49" si="478">AK47/AJ47-1</f>
        <v>9.5489781156121056E-2</v>
      </c>
      <c r="AL49" s="821">
        <f t="shared" ref="AL49:AM49" si="479">AL47/AK47-1</f>
        <v>0.18879360413932877</v>
      </c>
      <c r="AM49" s="821">
        <f t="shared" si="479"/>
        <v>0.43338672547461687</v>
      </c>
      <c r="AN49" s="821" t="e">
        <f t="shared" ref="AN49" si="480">AN47/AM47-1</f>
        <v>#VALUE!</v>
      </c>
      <c r="AO49" s="821" t="e">
        <f t="shared" ref="AO49" si="481">AO47/AN47-1</f>
        <v>#VALUE!</v>
      </c>
      <c r="AP49" s="821" t="e">
        <f t="shared" ref="AP49" si="482">AP47/AO47-1</f>
        <v>#VALUE!</v>
      </c>
      <c r="AQ49" s="821" t="e">
        <f t="shared" ref="AQ49" si="483">AQ47/AP47-1</f>
        <v>#VALUE!</v>
      </c>
      <c r="AR49" s="821" t="e">
        <f t="shared" ref="AR49" si="484">AR47/AQ47-1</f>
        <v>#VALUE!</v>
      </c>
      <c r="AS49" s="821" t="e">
        <f t="shared" ref="AS49" si="485">AS47/AR47-1</f>
        <v>#VALUE!</v>
      </c>
      <c r="AT49" s="821" t="e">
        <f t="shared" ref="AT49" si="486">AT47/AS47-1</f>
        <v>#VALUE!</v>
      </c>
      <c r="AU49" s="821" t="e">
        <f t="shared" ref="AU49" si="487">AU47/AT47-1</f>
        <v>#VALUE!</v>
      </c>
      <c r="AV49" s="805"/>
      <c r="AW49" s="805"/>
      <c r="AX49" s="805"/>
      <c r="AY49" s="805"/>
      <c r="AZ49" s="805"/>
      <c r="BA49" s="805"/>
      <c r="BB49" s="805"/>
      <c r="BC49" s="827"/>
      <c r="BD49" s="827"/>
      <c r="BE49" s="827"/>
      <c r="BF49" s="827"/>
      <c r="BG49" s="827"/>
    </row>
    <row r="50" spans="1:59">
      <c r="A50" s="783" t="s">
        <v>404</v>
      </c>
      <c r="C50" s="783" t="s">
        <v>58</v>
      </c>
      <c r="D50" s="812">
        <v>9.5525328669513482E-3</v>
      </c>
      <c r="E50" s="812">
        <v>0.18444213617865979</v>
      </c>
      <c r="F50" s="812">
        <v>0.19065265407444568</v>
      </c>
      <c r="G50" s="812">
        <v>0.21729257351617601</v>
      </c>
      <c r="H50" s="812">
        <v>0.22777981423096411</v>
      </c>
      <c r="I50" s="812">
        <v>0.2218937198499196</v>
      </c>
      <c r="J50" s="812">
        <v>0.1345115418157225</v>
      </c>
      <c r="K50" s="812">
        <v>0.10687364132797691</v>
      </c>
      <c r="L50" s="812">
        <v>3.945385722938162E-2</v>
      </c>
      <c r="M50" s="812">
        <v>-2.118926260730173E-2</v>
      </c>
      <c r="N50" s="812">
        <v>-1.7476394378568291E-2</v>
      </c>
      <c r="O50" s="812">
        <v>4.9457912434624531E-2</v>
      </c>
      <c r="P50" s="812">
        <v>-1.3163793103448276E-3</v>
      </c>
      <c r="Q50" s="812">
        <v>9.3186038961038956E-2</v>
      </c>
      <c r="R50" s="812">
        <v>0.16448574095682614</v>
      </c>
      <c r="S50" s="812">
        <v>0.18843283582089551</v>
      </c>
      <c r="T50" s="812">
        <v>0.11234359484148307</v>
      </c>
      <c r="U50" s="812">
        <v>0.15057631295843521</v>
      </c>
      <c r="V50" s="812">
        <v>0.18804925994449584</v>
      </c>
      <c r="W50" s="812">
        <v>0.21038406827880513</v>
      </c>
      <c r="X50" s="812">
        <f t="shared" ref="X50:AA50" si="488">X47/X$10</f>
        <v>0.14216101694915254</v>
      </c>
      <c r="Y50" s="812">
        <f t="shared" si="488"/>
        <v>0.15996487686567165</v>
      </c>
      <c r="Z50" s="812">
        <f t="shared" si="488"/>
        <v>0.1656325035161744</v>
      </c>
      <c r="AA50" s="812">
        <f t="shared" si="488"/>
        <v>0.20831518246187364</v>
      </c>
      <c r="AB50" s="821">
        <f t="shared" ref="AB50:AE50" si="489">AB47/AB$10</f>
        <v>0.16677182965299683</v>
      </c>
      <c r="AC50" s="821">
        <f t="shared" si="489"/>
        <v>0.16601883896176389</v>
      </c>
      <c r="AD50" s="821">
        <f t="shared" si="489"/>
        <v>0.18295864481380733</v>
      </c>
      <c r="AE50" s="821">
        <f t="shared" si="489"/>
        <v>0.20846949496292705</v>
      </c>
      <c r="AF50" s="821">
        <f t="shared" ref="AF50:AL50" si="490">AF47/AF$10</f>
        <v>0.16572382335282551</v>
      </c>
      <c r="AG50" s="821">
        <f t="shared" si="490"/>
        <v>0.17395626711706272</v>
      </c>
      <c r="AH50" s="821">
        <f t="shared" si="490"/>
        <v>0.18578701958102736</v>
      </c>
      <c r="AI50" s="821">
        <f t="shared" si="490"/>
        <v>0.20799114720649159</v>
      </c>
      <c r="AJ50" s="821">
        <f t="shared" si="490"/>
        <v>0.20705042411914323</v>
      </c>
      <c r="AK50" s="821">
        <f t="shared" si="490"/>
        <v>0.20516359724749714</v>
      </c>
      <c r="AL50" s="821">
        <f t="shared" si="490"/>
        <v>0.23418383888989619</v>
      </c>
      <c r="AM50" s="821">
        <f t="shared" ref="AM50:AP50" si="491">AM47/AM$10</f>
        <v>0.26393176817923208</v>
      </c>
      <c r="AN50" s="821" t="e">
        <f t="shared" si="491"/>
        <v>#VALUE!</v>
      </c>
      <c r="AO50" s="821" t="e">
        <f t="shared" si="491"/>
        <v>#VALUE!</v>
      </c>
      <c r="AP50" s="821" t="e">
        <f t="shared" si="491"/>
        <v>#VALUE!</v>
      </c>
      <c r="AQ50" s="821" t="e">
        <f t="shared" ref="AQ50:AU50" si="492">AQ47/AQ$10</f>
        <v>#VALUE!</v>
      </c>
      <c r="AR50" s="821" t="e">
        <f t="shared" si="492"/>
        <v>#VALUE!</v>
      </c>
      <c r="AS50" s="821" t="e">
        <f t="shared" si="492"/>
        <v>#VALUE!</v>
      </c>
      <c r="AT50" s="821" t="e">
        <f t="shared" si="492"/>
        <v>#VALUE!</v>
      </c>
      <c r="AU50" s="821" t="e">
        <f t="shared" si="492"/>
        <v>#VALUE!</v>
      </c>
      <c r="AV50" s="805"/>
      <c r="AW50" s="805"/>
      <c r="AX50" s="812">
        <v>0.16497097914592304</v>
      </c>
      <c r="AY50" s="812">
        <v>1.413677189303169E-2</v>
      </c>
      <c r="AZ50" s="812">
        <v>0.11679599150141642</v>
      </c>
      <c r="BA50" s="812">
        <v>0.16714930180180182</v>
      </c>
      <c r="BB50" s="812">
        <f t="shared" ref="BB50:BD50" si="493">BB47/BB$10</f>
        <v>0.1729655070958809</v>
      </c>
      <c r="BC50" s="821">
        <f t="shared" si="493"/>
        <v>0.18434074597228234</v>
      </c>
      <c r="BD50" s="821">
        <f t="shared" si="493"/>
        <v>0.19152366543687707</v>
      </c>
      <c r="BE50" s="821">
        <f t="shared" ref="BE50:BG50" si="494">BE47/BE$10</f>
        <v>0.22473865530859002</v>
      </c>
      <c r="BF50" s="821">
        <f t="shared" si="494"/>
        <v>0.19035717296573926</v>
      </c>
      <c r="BG50" s="821">
        <f t="shared" si="494"/>
        <v>0.19948581650600927</v>
      </c>
    </row>
    <row r="51" spans="1:59">
      <c r="A51" s="783"/>
      <c r="D51" s="810"/>
      <c r="AB51" s="822"/>
      <c r="AC51" s="822"/>
      <c r="AD51" s="822"/>
      <c r="AE51" s="822"/>
      <c r="AF51" s="822"/>
      <c r="AG51" s="822"/>
      <c r="AH51" s="822"/>
      <c r="AI51" s="822"/>
      <c r="AJ51" s="822"/>
      <c r="AK51" s="822"/>
      <c r="AL51" s="822"/>
      <c r="AM51" s="822"/>
      <c r="AN51" s="822"/>
      <c r="AO51" s="822"/>
      <c r="AP51" s="822"/>
      <c r="AQ51" s="822"/>
      <c r="AR51" s="822"/>
      <c r="AS51" s="822"/>
      <c r="AT51" s="822"/>
      <c r="AU51" s="822"/>
      <c r="BC51" s="822"/>
      <c r="BD51" s="822"/>
      <c r="BE51" s="822"/>
      <c r="BF51" s="822"/>
      <c r="BG51" s="822"/>
    </row>
    <row r="52" spans="1:59">
      <c r="A52" s="783" t="s">
        <v>405</v>
      </c>
      <c r="B52" s="790" t="s">
        <v>491</v>
      </c>
      <c r="C52" s="783" t="s">
        <v>481</v>
      </c>
      <c r="D52" s="813">
        <v>22.332000000000001</v>
      </c>
      <c r="E52" s="813">
        <v>129.4</v>
      </c>
      <c r="F52" s="813">
        <v>140.75399999999999</v>
      </c>
      <c r="G52" s="813">
        <v>198.839</v>
      </c>
      <c r="H52" s="813">
        <v>254.11</v>
      </c>
      <c r="I52" s="813">
        <v>284.61399999999998</v>
      </c>
      <c r="J52" s="813">
        <v>102.82</v>
      </c>
      <c r="K52" s="813">
        <v>172.8</v>
      </c>
      <c r="L52" s="813">
        <v>25.082000000000001</v>
      </c>
      <c r="M52" s="813">
        <v>-38.453000000000003</v>
      </c>
      <c r="N52" s="813">
        <v>-30</v>
      </c>
      <c r="O52" s="813">
        <v>90.995999999999995</v>
      </c>
      <c r="P52" s="813">
        <v>12</v>
      </c>
      <c r="Q52" s="813">
        <v>178</v>
      </c>
      <c r="R52" s="813">
        <v>316</v>
      </c>
      <c r="S52" s="813">
        <v>441</v>
      </c>
      <c r="T52" s="813">
        <v>256</v>
      </c>
      <c r="U52" s="813">
        <v>345</v>
      </c>
      <c r="V52" s="813">
        <v>344</v>
      </c>
      <c r="W52" s="813">
        <v>458</v>
      </c>
      <c r="X52" s="813">
        <v>226</v>
      </c>
      <c r="Y52" s="813">
        <v>338</v>
      </c>
      <c r="Z52" s="813">
        <v>367</v>
      </c>
      <c r="AA52" s="813">
        <v>594</v>
      </c>
      <c r="AB52" s="820">
        <v>360</v>
      </c>
      <c r="AC52" s="820">
        <v>439</v>
      </c>
      <c r="AD52" s="820">
        <v>567.30179999999996</v>
      </c>
      <c r="AE52" s="820">
        <v>810.01919999999996</v>
      </c>
      <c r="AF52" s="820">
        <v>540.88559999999995</v>
      </c>
      <c r="AG52" s="820">
        <v>650.56650000000002</v>
      </c>
      <c r="AH52" s="820">
        <v>725.73099999999999</v>
      </c>
      <c r="AI52" s="820">
        <v>1029.3108</v>
      </c>
      <c r="AJ52" s="820">
        <v>749.03740000000005</v>
      </c>
      <c r="AK52" s="820">
        <v>830.24383999999998</v>
      </c>
      <c r="AL52" s="820">
        <v>958.56079999999997</v>
      </c>
      <c r="AM52" s="820">
        <v>1330.6472000000001</v>
      </c>
      <c r="AN52" s="820" t="s">
        <v>835</v>
      </c>
      <c r="AO52" s="820" t="s">
        <v>835</v>
      </c>
      <c r="AP52" s="820" t="s">
        <v>835</v>
      </c>
      <c r="AQ52" s="820" t="s">
        <v>835</v>
      </c>
      <c r="AR52" s="820" t="s">
        <v>835</v>
      </c>
      <c r="AS52" s="820" t="s">
        <v>835</v>
      </c>
      <c r="AT52" s="820" t="s">
        <v>835</v>
      </c>
      <c r="AU52" s="820" t="s">
        <v>835</v>
      </c>
      <c r="AV52" s="814"/>
      <c r="AW52" s="813">
        <v>491.291</v>
      </c>
      <c r="AX52" s="813">
        <v>814.4</v>
      </c>
      <c r="AY52" s="813">
        <v>47.585999999999999</v>
      </c>
      <c r="AZ52" s="813">
        <v>947</v>
      </c>
      <c r="BA52" s="813">
        <v>1237</v>
      </c>
      <c r="BB52" s="813">
        <v>1525</v>
      </c>
      <c r="BC52" s="820">
        <v>2396.5302999999999</v>
      </c>
      <c r="BD52" s="820">
        <v>3046.1842999999999</v>
      </c>
      <c r="BE52" s="820">
        <v>4330.6580000000004</v>
      </c>
      <c r="BF52" s="820">
        <v>4964.2749999999996</v>
      </c>
      <c r="BG52" s="820">
        <v>5937.0249999999996</v>
      </c>
    </row>
    <row r="53" spans="1:59">
      <c r="A53" s="783" t="s">
        <v>406</v>
      </c>
      <c r="C53" s="783" t="s">
        <v>474</v>
      </c>
      <c r="D53" s="812"/>
      <c r="E53" s="805"/>
      <c r="F53" s="805"/>
      <c r="G53" s="805"/>
      <c r="H53" s="812">
        <v>10.378739029195772</v>
      </c>
      <c r="I53" s="812">
        <v>1.1994899536321482</v>
      </c>
      <c r="J53" s="812">
        <v>-0.26950566236128282</v>
      </c>
      <c r="K53" s="812">
        <v>-0.13095519490643182</v>
      </c>
      <c r="L53" s="812">
        <v>-0.90129471488725355</v>
      </c>
      <c r="M53" s="812">
        <v>-1.1351057924065577</v>
      </c>
      <c r="N53" s="812">
        <v>-1.2917720287881735</v>
      </c>
      <c r="O53" s="812">
        <v>-0.47340277777777784</v>
      </c>
      <c r="P53" s="812">
        <v>-0.52156925285064992</v>
      </c>
      <c r="Q53" s="812">
        <v>-5.6290276441369977</v>
      </c>
      <c r="R53" s="812">
        <v>-11.533333333333333</v>
      </c>
      <c r="S53" s="812">
        <v>3.8463668732691554</v>
      </c>
      <c r="T53" s="812">
        <v>20.333333333333332</v>
      </c>
      <c r="U53" s="812">
        <v>0.9382022471910112</v>
      </c>
      <c r="V53" s="812">
        <v>8.8607594936708889E-2</v>
      </c>
      <c r="W53" s="812">
        <v>3.8548752834467015E-2</v>
      </c>
      <c r="X53" s="812">
        <f t="shared" ref="X53:AA53" si="495">X52/T52-1</f>
        <v>-0.1171875</v>
      </c>
      <c r="Y53" s="812">
        <f t="shared" si="495"/>
        <v>-2.0289855072463725E-2</v>
      </c>
      <c r="Z53" s="812">
        <f t="shared" si="495"/>
        <v>6.6860465116278966E-2</v>
      </c>
      <c r="AA53" s="812">
        <f t="shared" si="495"/>
        <v>0.29694323144104806</v>
      </c>
      <c r="AB53" s="821">
        <f t="shared" ref="AB53" si="496">AB52/X52-1</f>
        <v>0.59292035398230092</v>
      </c>
      <c r="AC53" s="821">
        <f t="shared" ref="AC53" si="497">AC52/Y52-1</f>
        <v>0.29881656804733736</v>
      </c>
      <c r="AD53" s="821">
        <f t="shared" ref="AD53" si="498">AD52/Z52-1</f>
        <v>0.54578147138964561</v>
      </c>
      <c r="AE53" s="821">
        <f t="shared" ref="AE53" si="499">AE52/AA52-1</f>
        <v>0.3636686868686867</v>
      </c>
      <c r="AF53" s="821">
        <f t="shared" ref="AF53" si="500">AF52/AB52-1</f>
        <v>0.50245999999999991</v>
      </c>
      <c r="AG53" s="821">
        <f t="shared" ref="AG53" si="501">AG52/AC52-1</f>
        <v>0.48192824601366757</v>
      </c>
      <c r="AH53" s="821">
        <f t="shared" ref="AH53" si="502">AH52/AD52-1</f>
        <v>0.27926793110827441</v>
      </c>
      <c r="AI53" s="821">
        <f t="shared" ref="AI53" si="503">AI52/AE52-1</f>
        <v>0.27072395320999809</v>
      </c>
      <c r="AJ53" s="821">
        <f t="shared" ref="AJ53" si="504">AJ52/AF52-1</f>
        <v>0.38483516662303474</v>
      </c>
      <c r="AK53" s="821">
        <f t="shared" ref="AK53" si="505">AK52/AG52-1</f>
        <v>0.27618597022748625</v>
      </c>
      <c r="AL53" s="821">
        <f t="shared" ref="AL53:AM53" si="506">AL52/AH52-1</f>
        <v>0.32082107557758999</v>
      </c>
      <c r="AM53" s="821">
        <f t="shared" si="506"/>
        <v>0.29275550203106793</v>
      </c>
      <c r="AN53" s="821" t="e">
        <f t="shared" ref="AN53" si="507">AN52/AJ52-1</f>
        <v>#VALUE!</v>
      </c>
      <c r="AO53" s="821" t="e">
        <f t="shared" ref="AO53" si="508">AO52/AK52-1</f>
        <v>#VALUE!</v>
      </c>
      <c r="AP53" s="821" t="e">
        <f t="shared" ref="AP53" si="509">AP52/AL52-1</f>
        <v>#VALUE!</v>
      </c>
      <c r="AQ53" s="821" t="e">
        <f t="shared" ref="AQ53" si="510">AQ52/AM52-1</f>
        <v>#VALUE!</v>
      </c>
      <c r="AR53" s="821" t="e">
        <f t="shared" ref="AR53" si="511">AR52/AN52-1</f>
        <v>#VALUE!</v>
      </c>
      <c r="AS53" s="821" t="e">
        <f t="shared" ref="AS53" si="512">AS52/AO52-1</f>
        <v>#VALUE!</v>
      </c>
      <c r="AT53" s="821" t="e">
        <f t="shared" ref="AT53" si="513">AT52/AP52-1</f>
        <v>#VALUE!</v>
      </c>
      <c r="AU53" s="821" t="e">
        <f t="shared" ref="AU53" si="514">AU52/AQ52-1</f>
        <v>#VALUE!</v>
      </c>
      <c r="AV53" s="805"/>
      <c r="AW53" s="805"/>
      <c r="AX53" s="812">
        <v>0.6576733544884803</v>
      </c>
      <c r="AY53" s="812">
        <v>-0.94156925343811393</v>
      </c>
      <c r="AZ53" s="812">
        <v>18.900811162947086</v>
      </c>
      <c r="BA53" s="812">
        <v>0.30623020063357975</v>
      </c>
      <c r="BB53" s="812">
        <f t="shared" ref="BB53:BE53" si="515">BB52/BA52-1</f>
        <v>0.23282134195634607</v>
      </c>
      <c r="BC53" s="821">
        <f t="shared" si="515"/>
        <v>0.57149527868852457</v>
      </c>
      <c r="BD53" s="821">
        <f t="shared" si="515"/>
        <v>0.27108107082977417</v>
      </c>
      <c r="BE53" s="821">
        <f t="shared" si="515"/>
        <v>0.42166644349128868</v>
      </c>
      <c r="BF53" s="821">
        <f t="shared" ref="BF53" si="516">BF52/BE52-1</f>
        <v>0.14630963701128086</v>
      </c>
      <c r="BG53" s="821">
        <f t="shared" ref="BG53" si="517">BG52/BF52-1</f>
        <v>0.19595006320157538</v>
      </c>
    </row>
    <row r="54" spans="1:59">
      <c r="A54" s="783" t="s">
        <v>464</v>
      </c>
      <c r="C54" s="783" t="s">
        <v>475</v>
      </c>
      <c r="D54" s="812"/>
      <c r="E54" s="812">
        <v>4.7943757836288734</v>
      </c>
      <c r="F54" s="812">
        <v>8.7743431221019907E-2</v>
      </c>
      <c r="G54" s="812">
        <v>0.4126703326370833</v>
      </c>
      <c r="H54" s="812">
        <v>0.27796860776809384</v>
      </c>
      <c r="I54" s="812">
        <v>0.12004250127897342</v>
      </c>
      <c r="J54" s="812">
        <v>-0.63873878305353915</v>
      </c>
      <c r="K54" s="812">
        <v>0.68060688581987971</v>
      </c>
      <c r="L54" s="812">
        <v>-0.85484953703703703</v>
      </c>
      <c r="M54" s="812">
        <v>-2.5330914600111631</v>
      </c>
      <c r="N54" s="812">
        <v>-0.21982680154994416</v>
      </c>
      <c r="O54" s="812">
        <v>-4.0331999999999999</v>
      </c>
      <c r="P54" s="812">
        <v>-0.86812607147566923</v>
      </c>
      <c r="Q54" s="812">
        <v>13.833333333333334</v>
      </c>
      <c r="R54" s="812">
        <v>0.77528089887640439</v>
      </c>
      <c r="S54" s="812">
        <v>0.39556962025316467</v>
      </c>
      <c r="T54" s="812">
        <v>-0.41950113378684806</v>
      </c>
      <c r="U54" s="812">
        <v>0.34765625</v>
      </c>
      <c r="V54" s="812">
        <v>-2.8985507246376274E-3</v>
      </c>
      <c r="W54" s="812">
        <v>0.33139534883720922</v>
      </c>
      <c r="X54" s="812">
        <f t="shared" ref="X54:AA54" si="518">X52/W52-1</f>
        <v>-0.50655021834061142</v>
      </c>
      <c r="Y54" s="812">
        <f t="shared" si="518"/>
        <v>0.49557522123893816</v>
      </c>
      <c r="Z54" s="812">
        <f t="shared" si="518"/>
        <v>8.5798816568047442E-2</v>
      </c>
      <c r="AA54" s="812">
        <f t="shared" si="518"/>
        <v>0.61852861035422335</v>
      </c>
      <c r="AB54" s="821">
        <f t="shared" ref="AB54" si="519">AB52/AA52-1</f>
        <v>-0.39393939393939392</v>
      </c>
      <c r="AC54" s="821">
        <f t="shared" ref="AC54" si="520">AC52/AB52-1</f>
        <v>0.21944444444444455</v>
      </c>
      <c r="AD54" s="821">
        <f t="shared" ref="AD54" si="521">AD52/AC52-1</f>
        <v>0.29225922551252848</v>
      </c>
      <c r="AE54" s="821">
        <f t="shared" ref="AE54" si="522">AE52/AD52-1</f>
        <v>0.42784528446763259</v>
      </c>
      <c r="AF54" s="821">
        <f t="shared" ref="AF54" si="523">AF52/AE52-1</f>
        <v>-0.33225582801000275</v>
      </c>
      <c r="AG54" s="821">
        <f t="shared" ref="AG54" si="524">AG52/AF52-1</f>
        <v>0.20278021821989722</v>
      </c>
      <c r="AH54" s="821">
        <f t="shared" ref="AH54" si="525">AH52/AG52-1</f>
        <v>0.11553699737075296</v>
      </c>
      <c r="AI54" s="821">
        <f t="shared" ref="AI54" si="526">AI52/AH52-1</f>
        <v>0.41830898776543912</v>
      </c>
      <c r="AJ54" s="821">
        <f t="shared" ref="AJ54" si="527">AJ52/AI52-1</f>
        <v>-0.27229229499972207</v>
      </c>
      <c r="AK54" s="821">
        <f t="shared" ref="AK54" si="528">AK52/AJ52-1</f>
        <v>0.10841439960140842</v>
      </c>
      <c r="AL54" s="821">
        <f t="shared" ref="AL54:AM54" si="529">AL52/AK52-1</f>
        <v>0.15455334182304803</v>
      </c>
      <c r="AM54" s="821">
        <f t="shared" si="529"/>
        <v>0.38817193442502562</v>
      </c>
      <c r="AN54" s="821" t="e">
        <f t="shared" ref="AN54" si="530">AN52/AM52-1</f>
        <v>#VALUE!</v>
      </c>
      <c r="AO54" s="821" t="e">
        <f t="shared" ref="AO54" si="531">AO52/AN52-1</f>
        <v>#VALUE!</v>
      </c>
      <c r="AP54" s="821" t="e">
        <f t="shared" ref="AP54" si="532">AP52/AO52-1</f>
        <v>#VALUE!</v>
      </c>
      <c r="AQ54" s="821" t="e">
        <f t="shared" ref="AQ54" si="533">AQ52/AP52-1</f>
        <v>#VALUE!</v>
      </c>
      <c r="AR54" s="821" t="e">
        <f t="shared" ref="AR54" si="534">AR52/AQ52-1</f>
        <v>#VALUE!</v>
      </c>
      <c r="AS54" s="821" t="e">
        <f t="shared" ref="AS54" si="535">AS52/AR52-1</f>
        <v>#VALUE!</v>
      </c>
      <c r="AT54" s="821" t="e">
        <f t="shared" ref="AT54" si="536">AT52/AS52-1</f>
        <v>#VALUE!</v>
      </c>
      <c r="AU54" s="821" t="e">
        <f t="shared" ref="AU54" si="537">AU52/AT52-1</f>
        <v>#VALUE!</v>
      </c>
      <c r="AV54" s="805"/>
      <c r="AW54" s="805"/>
      <c r="AX54" s="805"/>
      <c r="AY54" s="805"/>
      <c r="AZ54" s="805"/>
      <c r="BA54" s="805"/>
      <c r="BB54" s="805"/>
      <c r="BC54" s="827"/>
      <c r="BD54" s="827"/>
      <c r="BE54" s="827"/>
      <c r="BF54" s="827"/>
      <c r="BG54" s="827"/>
    </row>
    <row r="55" spans="1:59">
      <c r="A55" s="783" t="s">
        <v>493</v>
      </c>
      <c r="C55" s="783" t="s">
        <v>58</v>
      </c>
      <c r="D55" s="812">
        <v>4.7514792521718044E-2</v>
      </c>
      <c r="E55" s="812">
        <v>0.1811459793012021</v>
      </c>
      <c r="F55" s="812">
        <v>0.1834155367765391</v>
      </c>
      <c r="G55" s="812">
        <v>0.20336509352141255</v>
      </c>
      <c r="H55" s="812">
        <v>0.25702803933051938</v>
      </c>
      <c r="I55" s="812">
        <v>0.25425585134893691</v>
      </c>
      <c r="J55" s="812">
        <v>9.1498033352910804E-2</v>
      </c>
      <c r="K55" s="812">
        <v>0.12521521364845831</v>
      </c>
      <c r="L55" s="812">
        <v>2.083875100425964E-2</v>
      </c>
      <c r="M55" s="812">
        <v>-2.9691991818158653E-2</v>
      </c>
      <c r="N55" s="812">
        <v>-2.1958717610891524E-2</v>
      </c>
      <c r="O55" s="812">
        <v>5.2447927293602564E-2</v>
      </c>
      <c r="P55" s="812">
        <v>7.9575596816976128E-3</v>
      </c>
      <c r="Q55" s="812">
        <v>0.1050767414403778</v>
      </c>
      <c r="R55" s="812">
        <v>0.18436406067677946</v>
      </c>
      <c r="S55" s="812">
        <v>0.20569029850746268</v>
      </c>
      <c r="T55" s="812">
        <v>0.13756045137023107</v>
      </c>
      <c r="U55" s="812">
        <v>0.1687041564792176</v>
      </c>
      <c r="V55" s="812">
        <v>0.15911193339500462</v>
      </c>
      <c r="W55" s="812">
        <v>0.16287339971550499</v>
      </c>
      <c r="X55" s="812">
        <f t="shared" ref="X55:AA55" si="538">X52/X$10</f>
        <v>9.5762711864406783E-2</v>
      </c>
      <c r="Y55" s="812">
        <f t="shared" si="538"/>
        <v>0.12611940298507462</v>
      </c>
      <c r="Z55" s="812">
        <f t="shared" si="538"/>
        <v>0.1290436005625879</v>
      </c>
      <c r="AA55" s="812">
        <f t="shared" si="538"/>
        <v>0.16176470588235295</v>
      </c>
      <c r="AB55" s="821">
        <f t="shared" ref="AB55:AE55" si="539">AB52/AB$10</f>
        <v>0.11356466876971609</v>
      </c>
      <c r="AC55" s="821">
        <f t="shared" si="539"/>
        <v>0.12252302539771141</v>
      </c>
      <c r="AD55" s="821">
        <f t="shared" si="539"/>
        <v>0.15536075046152101</v>
      </c>
      <c r="AE55" s="821">
        <f t="shared" si="539"/>
        <v>0.17395770557029006</v>
      </c>
      <c r="AF55" s="821">
        <f t="shared" ref="AF55:AL55" si="540">AF52/AF$10</f>
        <v>0.13735897347730514</v>
      </c>
      <c r="AG55" s="821">
        <f t="shared" si="540"/>
        <v>0.14978151516661981</v>
      </c>
      <c r="AH55" s="821">
        <f t="shared" si="540"/>
        <v>0.16103856807701758</v>
      </c>
      <c r="AI55" s="821">
        <f t="shared" si="540"/>
        <v>0.17965843786244831</v>
      </c>
      <c r="AJ55" s="821">
        <f t="shared" si="540"/>
        <v>0.15785788483946611</v>
      </c>
      <c r="AK55" s="821">
        <f t="shared" si="540"/>
        <v>0.1582647836655425</v>
      </c>
      <c r="AL55" s="821">
        <f t="shared" si="540"/>
        <v>0.17544801015407074</v>
      </c>
      <c r="AM55" s="821">
        <f t="shared" ref="AM55:AP55" si="541">AM52/AM$10</f>
        <v>0.19149748513399875</v>
      </c>
      <c r="AN55" s="821" t="e">
        <f t="shared" si="541"/>
        <v>#VALUE!</v>
      </c>
      <c r="AO55" s="821" t="e">
        <f t="shared" si="541"/>
        <v>#VALUE!</v>
      </c>
      <c r="AP55" s="821" t="e">
        <f t="shared" si="541"/>
        <v>#VALUE!</v>
      </c>
      <c r="AQ55" s="821" t="e">
        <f t="shared" ref="AQ55:AU55" si="542">AQ52/AQ$10</f>
        <v>#VALUE!</v>
      </c>
      <c r="AR55" s="821" t="e">
        <f t="shared" si="542"/>
        <v>#VALUE!</v>
      </c>
      <c r="AS55" s="821" t="e">
        <f t="shared" si="542"/>
        <v>#VALUE!</v>
      </c>
      <c r="AT55" s="821" t="e">
        <f t="shared" si="542"/>
        <v>#VALUE!</v>
      </c>
      <c r="AU55" s="821" t="e">
        <f t="shared" si="542"/>
        <v>#VALUE!</v>
      </c>
      <c r="AV55" s="805"/>
      <c r="AW55" s="805"/>
      <c r="AX55" s="812">
        <v>0.17658834100631068</v>
      </c>
      <c r="AY55" s="812">
        <v>8.4977063728690558E-3</v>
      </c>
      <c r="AZ55" s="812">
        <v>0.13413597733711047</v>
      </c>
      <c r="BA55" s="812">
        <v>0.13930180180180179</v>
      </c>
      <c r="BB55" s="812">
        <f t="shared" ref="BB55:BD55" si="543">BB52/BB$10</f>
        <v>0.13196607822776046</v>
      </c>
      <c r="BC55" s="821">
        <f t="shared" si="543"/>
        <v>0.16000841126842902</v>
      </c>
      <c r="BD55" s="821">
        <f t="shared" si="543"/>
        <v>0.16317711257516421</v>
      </c>
      <c r="BE55" s="821">
        <f t="shared" ref="BE55:BG55" si="544">BE52/BE$10</f>
        <v>0.18451014885959804</v>
      </c>
      <c r="BF55" s="821">
        <f t="shared" si="544"/>
        <v>0.17584394395692132</v>
      </c>
      <c r="BG55" s="821">
        <f t="shared" si="544"/>
        <v>0.17789745095630335</v>
      </c>
    </row>
    <row r="56" spans="1:59">
      <c r="A56" s="783"/>
      <c r="D56" s="812"/>
      <c r="E56" s="812"/>
      <c r="F56" s="812"/>
      <c r="G56" s="812"/>
      <c r="H56" s="812"/>
      <c r="I56" s="812"/>
      <c r="J56" s="812"/>
      <c r="K56" s="812"/>
      <c r="L56" s="812"/>
      <c r="M56" s="812"/>
      <c r="N56" s="812"/>
      <c r="O56" s="812"/>
      <c r="P56" s="812"/>
      <c r="Q56" s="812"/>
      <c r="R56" s="812"/>
      <c r="S56" s="812"/>
      <c r="T56" s="812"/>
      <c r="U56" s="812"/>
      <c r="V56" s="812"/>
      <c r="W56" s="812"/>
      <c r="X56" s="812"/>
      <c r="Y56" s="812"/>
      <c r="Z56" s="812"/>
      <c r="AA56" s="812"/>
      <c r="AB56" s="821"/>
      <c r="AC56" s="821"/>
      <c r="AD56" s="821"/>
      <c r="AE56" s="821"/>
      <c r="AF56" s="821"/>
      <c r="AG56" s="821"/>
      <c r="AH56" s="821"/>
      <c r="AI56" s="821"/>
      <c r="AJ56" s="821"/>
      <c r="AK56" s="821"/>
      <c r="AL56" s="821"/>
      <c r="AM56" s="821"/>
      <c r="AN56" s="821"/>
      <c r="AO56" s="821"/>
      <c r="AP56" s="821"/>
      <c r="AQ56" s="821"/>
      <c r="AR56" s="821"/>
      <c r="AS56" s="821"/>
      <c r="AT56" s="821"/>
      <c r="AU56" s="821"/>
      <c r="AV56" s="805"/>
      <c r="AW56" s="805"/>
      <c r="AX56" s="812"/>
      <c r="AY56" s="812"/>
      <c r="AZ56" s="812"/>
      <c r="BA56" s="812"/>
      <c r="BB56" s="812"/>
      <c r="BC56" s="821"/>
      <c r="BD56" s="821"/>
      <c r="BE56" s="821"/>
      <c r="BF56" s="821"/>
      <c r="BG56" s="821"/>
    </row>
    <row r="57" spans="1:59">
      <c r="A57" s="783" t="s">
        <v>593</v>
      </c>
      <c r="B57" s="790" t="s">
        <v>80</v>
      </c>
      <c r="C57" s="783" t="s">
        <v>80</v>
      </c>
      <c r="D57" s="815">
        <v>1.9E-2</v>
      </c>
      <c r="E57" s="815">
        <v>0.105</v>
      </c>
      <c r="F57" s="815">
        <v>0.113</v>
      </c>
      <c r="G57" s="815">
        <v>0.158</v>
      </c>
      <c r="H57" s="815">
        <v>0.20100000000000001</v>
      </c>
      <c r="I57" s="815">
        <v>0.224</v>
      </c>
      <c r="J57" s="815">
        <v>8.1000000000000003E-2</v>
      </c>
      <c r="K57" s="815">
        <v>0.13600000000000001</v>
      </c>
      <c r="L57" s="815">
        <v>0.02</v>
      </c>
      <c r="M57" s="815">
        <v>-0.03</v>
      </c>
      <c r="N57" s="815">
        <v>-0.02</v>
      </c>
      <c r="O57" s="815">
        <v>7.0000000000000007E-2</v>
      </c>
      <c r="P57" s="815">
        <v>0.01</v>
      </c>
      <c r="Q57" s="815">
        <v>0.14000000000000001</v>
      </c>
      <c r="R57" s="815">
        <v>0.24</v>
      </c>
      <c r="S57" s="815">
        <v>0.34</v>
      </c>
      <c r="T57" s="815">
        <v>0.2</v>
      </c>
      <c r="U57" s="815">
        <v>0.26</v>
      </c>
      <c r="V57" s="815">
        <v>0.36053659999999998</v>
      </c>
      <c r="W57" s="815">
        <v>0.44007017999999998</v>
      </c>
      <c r="X57" s="815">
        <v>0.25566137</v>
      </c>
      <c r="Y57" s="815">
        <v>0.34882723999999998</v>
      </c>
      <c r="Z57" s="815">
        <v>0.33815532999999998</v>
      </c>
      <c r="AA57" s="815">
        <v>0.48115477000000001</v>
      </c>
      <c r="AB57" s="823">
        <v>0.36001422999999999</v>
      </c>
      <c r="AC57" s="823">
        <v>0.41153960000000001</v>
      </c>
      <c r="AD57" s="823">
        <v>0.45402429</v>
      </c>
      <c r="AE57" s="823">
        <v>0.64575570000000004</v>
      </c>
      <c r="AF57" s="823">
        <v>0.44013613000000001</v>
      </c>
      <c r="AG57" s="823">
        <v>0.53064270000000002</v>
      </c>
      <c r="AH57" s="823">
        <v>0.58788640000000003</v>
      </c>
      <c r="AI57" s="823">
        <v>0.82372372999999999</v>
      </c>
      <c r="AJ57" s="823">
        <v>0.59835249999999995</v>
      </c>
      <c r="AK57" s="823">
        <v>0.66848450000000004</v>
      </c>
      <c r="AL57" s="823">
        <v>0.75442724999999999</v>
      </c>
      <c r="AM57" s="823">
        <v>1.0448862000000001</v>
      </c>
      <c r="AN57" s="823" t="s">
        <v>835</v>
      </c>
      <c r="AO57" s="823" t="s">
        <v>835</v>
      </c>
      <c r="AP57" s="823" t="s">
        <v>835</v>
      </c>
      <c r="AQ57" s="823" t="s">
        <v>835</v>
      </c>
      <c r="AR57" s="823" t="s">
        <v>835</v>
      </c>
      <c r="AS57" s="823" t="s">
        <v>835</v>
      </c>
      <c r="AT57" s="823" t="s">
        <v>835</v>
      </c>
      <c r="AU57" s="823" t="s">
        <v>835</v>
      </c>
      <c r="AV57" s="816"/>
      <c r="AW57" s="815">
        <v>0.39800000000000002</v>
      </c>
      <c r="AX57" s="815">
        <v>0.64100000000000001</v>
      </c>
      <c r="AY57" s="815">
        <v>0.04</v>
      </c>
      <c r="AZ57" s="815">
        <v>0.73</v>
      </c>
      <c r="BA57" s="815">
        <v>1.2607212000000001</v>
      </c>
      <c r="BB57" s="815">
        <v>1.4241035</v>
      </c>
      <c r="BC57" s="823">
        <v>1.8687165999999999</v>
      </c>
      <c r="BD57" s="823">
        <v>2.4000979999999998</v>
      </c>
      <c r="BE57" s="823">
        <v>3.2661427999999999</v>
      </c>
      <c r="BF57" s="823">
        <v>3.78</v>
      </c>
      <c r="BG57" s="823">
        <v>4.4866666999999998</v>
      </c>
    </row>
    <row r="58" spans="1:59">
      <c r="A58" s="783" t="s">
        <v>594</v>
      </c>
      <c r="C58" s="783" t="s">
        <v>474</v>
      </c>
      <c r="D58" s="812"/>
      <c r="E58" s="805"/>
      <c r="F58" s="805"/>
      <c r="G58" s="805"/>
      <c r="H58" s="812">
        <v>9.5789473684210531</v>
      </c>
      <c r="I58" s="812">
        <v>1.1333333333333333</v>
      </c>
      <c r="J58" s="812">
        <v>-0.2831858407079646</v>
      </c>
      <c r="K58" s="812">
        <v>-0.13924050632911389</v>
      </c>
      <c r="L58" s="812">
        <v>-0.90049751243781095</v>
      </c>
      <c r="M58" s="812">
        <v>-1.1339285714285714</v>
      </c>
      <c r="N58" s="812">
        <v>-1.2469135802469136</v>
      </c>
      <c r="O58" s="812">
        <v>-0.48529411764705876</v>
      </c>
      <c r="P58" s="812">
        <v>-0.5</v>
      </c>
      <c r="Q58" s="812">
        <v>-5.666666666666667</v>
      </c>
      <c r="R58" s="812">
        <v>-13</v>
      </c>
      <c r="S58" s="812">
        <v>3.8571428571428568</v>
      </c>
      <c r="T58" s="812">
        <v>19</v>
      </c>
      <c r="U58" s="812">
        <v>0.85714285714285698</v>
      </c>
      <c r="V58" s="812">
        <v>0.50223583333333344</v>
      </c>
      <c r="W58" s="812">
        <v>0.29432405882352919</v>
      </c>
      <c r="X58" s="812">
        <f t="shared" ref="X58:AA58" si="545">X57/T57-1</f>
        <v>0.27830684999999988</v>
      </c>
      <c r="Y58" s="812">
        <f t="shared" si="545"/>
        <v>0.34164323076923075</v>
      </c>
      <c r="Z58" s="812">
        <f t="shared" si="545"/>
        <v>-6.2077664237139896E-2</v>
      </c>
      <c r="AA58" s="812">
        <f t="shared" si="545"/>
        <v>9.3359177393024018E-2</v>
      </c>
      <c r="AB58" s="821">
        <f t="shared" ref="AB58" si="546">AB57/X57-1</f>
        <v>0.40816827352524943</v>
      </c>
      <c r="AC58" s="821">
        <f t="shared" ref="AC58" si="547">AC57/Y57-1</f>
        <v>0.17978056988898006</v>
      </c>
      <c r="AD58" s="821">
        <f t="shared" ref="AD58" si="548">AD57/Z57-1</f>
        <v>0.34265010697894382</v>
      </c>
      <c r="AE58" s="821">
        <f t="shared" ref="AE58" si="549">AE57/AA57-1</f>
        <v>0.34209560054865507</v>
      </c>
      <c r="AF58" s="821">
        <f t="shared" ref="AF58" si="550">AF57/AB57-1</f>
        <v>0.22255203634589682</v>
      </c>
      <c r="AG58" s="821">
        <f t="shared" ref="AG58" si="551">AG57/AC57-1</f>
        <v>0.28940860126218726</v>
      </c>
      <c r="AH58" s="821">
        <f t="shared" ref="AH58" si="552">AH57/AD57-1</f>
        <v>0.29483468824982917</v>
      </c>
      <c r="AI58" s="821">
        <f t="shared" ref="AI58" si="553">AI57/AE57-1</f>
        <v>0.27559652977124305</v>
      </c>
      <c r="AJ58" s="821">
        <f t="shared" ref="AJ58" si="554">AJ57/AF57-1</f>
        <v>0.35947144352816474</v>
      </c>
      <c r="AK58" s="821">
        <f t="shared" ref="AK58" si="555">AK57/AG57-1</f>
        <v>0.25976386747617553</v>
      </c>
      <c r="AL58" s="821">
        <f t="shared" ref="AL58:AM58" si="556">AL57/AH57-1</f>
        <v>0.28328746846329489</v>
      </c>
      <c r="AM58" s="821">
        <f t="shared" si="556"/>
        <v>0.26849107527835825</v>
      </c>
      <c r="AN58" s="821" t="e">
        <f t="shared" ref="AN58" si="557">AN57/AJ57-1</f>
        <v>#VALUE!</v>
      </c>
      <c r="AO58" s="821" t="e">
        <f t="shared" ref="AO58" si="558">AO57/AK57-1</f>
        <v>#VALUE!</v>
      </c>
      <c r="AP58" s="821" t="e">
        <f t="shared" ref="AP58" si="559">AP57/AL57-1</f>
        <v>#VALUE!</v>
      </c>
      <c r="AQ58" s="821" t="e">
        <f t="shared" ref="AQ58" si="560">AQ57/AM57-1</f>
        <v>#VALUE!</v>
      </c>
      <c r="AR58" s="821" t="e">
        <f t="shared" ref="AR58" si="561">AR57/AN57-1</f>
        <v>#VALUE!</v>
      </c>
      <c r="AS58" s="821" t="e">
        <f t="shared" ref="AS58" si="562">AS57/AO57-1</f>
        <v>#VALUE!</v>
      </c>
      <c r="AT58" s="821" t="e">
        <f t="shared" ref="AT58" si="563">AT57/AP57-1</f>
        <v>#VALUE!</v>
      </c>
      <c r="AU58" s="821" t="e">
        <f t="shared" ref="AU58" si="564">AU57/AQ57-1</f>
        <v>#VALUE!</v>
      </c>
      <c r="AW58" s="805"/>
      <c r="AX58" s="812">
        <v>0.61055276381909551</v>
      </c>
      <c r="AY58" s="812">
        <v>-0.93759750390015606</v>
      </c>
      <c r="AZ58" s="812">
        <v>17.25</v>
      </c>
      <c r="BA58" s="812">
        <v>0.7270153424657535</v>
      </c>
      <c r="BB58" s="812">
        <f t="shared" ref="BB58:BE58" si="565">BB57/BA57-1</f>
        <v>0.12959431474619443</v>
      </c>
      <c r="BC58" s="821">
        <f t="shared" si="565"/>
        <v>0.3122056086513374</v>
      </c>
      <c r="BD58" s="821">
        <f t="shared" si="565"/>
        <v>0.28435633311118447</v>
      </c>
      <c r="BE58" s="821">
        <f t="shared" si="565"/>
        <v>0.3608372658116461</v>
      </c>
      <c r="BF58" s="821">
        <f t="shared" ref="BF58" si="566">BF57/BE57-1</f>
        <v>0.157328454836696</v>
      </c>
      <c r="BG58" s="821">
        <f t="shared" ref="BG58" si="567">BG57/BF57-1</f>
        <v>0.18694886243386244</v>
      </c>
    </row>
    <row r="59" spans="1:59">
      <c r="A59" s="783" t="s">
        <v>595</v>
      </c>
      <c r="C59" s="783" t="s">
        <v>475</v>
      </c>
      <c r="D59" s="812"/>
      <c r="E59" s="812">
        <v>4.5263157894736841</v>
      </c>
      <c r="F59" s="812">
        <v>7.6190476190476364E-2</v>
      </c>
      <c r="G59" s="812">
        <v>0.39823008849557517</v>
      </c>
      <c r="H59" s="812">
        <v>0.27215189873417733</v>
      </c>
      <c r="I59" s="812">
        <v>0.11442786069651745</v>
      </c>
      <c r="J59" s="812">
        <v>-0.63839285714285721</v>
      </c>
      <c r="K59" s="812">
        <v>0.67901234567901247</v>
      </c>
      <c r="L59" s="812">
        <v>-0.8529411764705882</v>
      </c>
      <c r="M59" s="812">
        <v>-2.5</v>
      </c>
      <c r="N59" s="812">
        <v>-0.33333333333333326</v>
      </c>
      <c r="O59" s="812">
        <v>-4.5</v>
      </c>
      <c r="P59" s="812">
        <v>-0.85714285714285721</v>
      </c>
      <c r="Q59" s="812">
        <v>13.000000000000002</v>
      </c>
      <c r="R59" s="812">
        <v>0.71428571428571397</v>
      </c>
      <c r="S59" s="812">
        <v>0.41666666666666674</v>
      </c>
      <c r="T59" s="812">
        <v>-0.41176470588235292</v>
      </c>
      <c r="U59" s="812">
        <v>0.30000000000000004</v>
      </c>
      <c r="V59" s="812">
        <v>0.38667923076923061</v>
      </c>
      <c r="W59" s="812">
        <v>0.22059779783800026</v>
      </c>
      <c r="X59" s="812">
        <f t="shared" ref="X59:AA59" si="568">X57/W57-1</f>
        <v>-0.41904409428514333</v>
      </c>
      <c r="Y59" s="812">
        <f t="shared" si="568"/>
        <v>0.36441121316059588</v>
      </c>
      <c r="Z59" s="812">
        <f t="shared" si="568"/>
        <v>-3.0593682993335092E-2</v>
      </c>
      <c r="AA59" s="812">
        <f t="shared" si="568"/>
        <v>0.42288092871403227</v>
      </c>
      <c r="AB59" s="821">
        <f t="shared" ref="AB59" si="569">AB57/AA57-1</f>
        <v>-0.25177042305950748</v>
      </c>
      <c r="AC59" s="821">
        <f t="shared" ref="AC59" si="570">AC57/AB57-1</f>
        <v>0.14312037054757543</v>
      </c>
      <c r="AD59" s="821">
        <f t="shared" ref="AD59" si="571">AD57/AC57-1</f>
        <v>0.1032335405875886</v>
      </c>
      <c r="AE59" s="821">
        <f t="shared" ref="AE59" si="572">AE57/AD57-1</f>
        <v>0.42229328743622951</v>
      </c>
      <c r="AF59" s="821">
        <f t="shared" ref="AF59" si="573">AF57/AE57-1</f>
        <v>-0.31841696480573078</v>
      </c>
      <c r="AG59" s="821">
        <f t="shared" ref="AG59" si="574">AG57/AF57-1</f>
        <v>0.20563312991369287</v>
      </c>
      <c r="AH59" s="821">
        <f t="shared" ref="AH59" si="575">AH57/AG57-1</f>
        <v>0.10787616601528671</v>
      </c>
      <c r="AI59" s="821">
        <f t="shared" ref="AI59" si="576">AI57/AH57-1</f>
        <v>0.40116139784829175</v>
      </c>
      <c r="AJ59" s="821">
        <f t="shared" ref="AJ59" si="577">AJ57/AI57-1</f>
        <v>-0.27360050681069981</v>
      </c>
      <c r="AK59" s="821">
        <f t="shared" ref="AK59" si="578">AK57/AJ57-1</f>
        <v>0.11720850167752306</v>
      </c>
      <c r="AL59" s="821">
        <f t="shared" ref="AL59:AM59" si="579">AL57/AK57-1</f>
        <v>0.1285635643010421</v>
      </c>
      <c r="AM59" s="821">
        <f t="shared" si="579"/>
        <v>0.38500591011260554</v>
      </c>
      <c r="AN59" s="821" t="e">
        <f t="shared" ref="AN59" si="580">AN57/AM57-1</f>
        <v>#VALUE!</v>
      </c>
      <c r="AO59" s="821" t="e">
        <f t="shared" ref="AO59" si="581">AO57/AN57-1</f>
        <v>#VALUE!</v>
      </c>
      <c r="AP59" s="821" t="e">
        <f t="shared" ref="AP59" si="582">AP57/AO57-1</f>
        <v>#VALUE!</v>
      </c>
      <c r="AQ59" s="821" t="e">
        <f t="shared" ref="AQ59" si="583">AQ57/AP57-1</f>
        <v>#VALUE!</v>
      </c>
      <c r="AR59" s="821" t="e">
        <f t="shared" ref="AR59" si="584">AR57/AQ57-1</f>
        <v>#VALUE!</v>
      </c>
      <c r="AS59" s="821" t="e">
        <f t="shared" ref="AS59" si="585">AS57/AR57-1</f>
        <v>#VALUE!</v>
      </c>
      <c r="AT59" s="821" t="e">
        <f t="shared" ref="AT59" si="586">AT57/AS57-1</f>
        <v>#VALUE!</v>
      </c>
      <c r="AU59" s="821" t="e">
        <f t="shared" ref="AU59" si="587">AU57/AT57-1</f>
        <v>#VALUE!</v>
      </c>
      <c r="AW59" s="805"/>
      <c r="AX59" s="805"/>
      <c r="AY59" s="805"/>
      <c r="AZ59" s="805"/>
      <c r="BA59" s="805"/>
      <c r="BB59" s="805"/>
      <c r="BC59" s="827"/>
      <c r="BD59" s="827"/>
      <c r="BE59" s="827"/>
      <c r="BF59" s="827"/>
      <c r="BG59" s="827"/>
    </row>
    <row r="60" spans="1:59">
      <c r="A60" s="783"/>
      <c r="D60" s="812"/>
      <c r="E60" s="812"/>
      <c r="F60" s="812"/>
      <c r="G60" s="812"/>
      <c r="H60" s="812"/>
      <c r="I60" s="812"/>
      <c r="J60" s="812"/>
      <c r="K60" s="812"/>
      <c r="L60" s="812"/>
      <c r="M60" s="812"/>
      <c r="N60" s="812"/>
      <c r="O60" s="812"/>
      <c r="P60" s="812"/>
      <c r="Q60" s="812"/>
      <c r="R60" s="812"/>
      <c r="S60" s="812"/>
      <c r="T60" s="812"/>
      <c r="U60" s="812"/>
      <c r="V60" s="812"/>
      <c r="W60" s="812"/>
      <c r="X60" s="812"/>
      <c r="Y60" s="812"/>
      <c r="Z60" s="812"/>
      <c r="AA60" s="812"/>
      <c r="AB60" s="821"/>
      <c r="AC60" s="821"/>
      <c r="AD60" s="821"/>
      <c r="AE60" s="821"/>
      <c r="AF60" s="821"/>
      <c r="AG60" s="821"/>
      <c r="AH60" s="821"/>
      <c r="AI60" s="821"/>
      <c r="AJ60" s="821"/>
      <c r="AK60" s="821"/>
      <c r="AL60" s="821"/>
      <c r="AM60" s="821"/>
      <c r="AN60" s="821"/>
      <c r="AO60" s="821"/>
      <c r="AP60" s="821"/>
      <c r="AQ60" s="821"/>
      <c r="AR60" s="821"/>
      <c r="AS60" s="821"/>
      <c r="AT60" s="821"/>
      <c r="AU60" s="821"/>
      <c r="AW60" s="805"/>
      <c r="AX60" s="812"/>
      <c r="AY60" s="812"/>
      <c r="AZ60" s="812"/>
      <c r="BA60" s="812"/>
      <c r="BB60" s="812"/>
      <c r="BC60" s="821"/>
      <c r="BD60" s="821"/>
      <c r="BE60" s="821"/>
      <c r="BF60" s="821"/>
      <c r="BG60" s="821"/>
    </row>
    <row r="61" spans="1:59">
      <c r="A61" s="783" t="s">
        <v>80</v>
      </c>
      <c r="B61" s="790" t="s">
        <v>346</v>
      </c>
      <c r="C61" s="783" t="s">
        <v>80</v>
      </c>
      <c r="D61" s="815">
        <v>-2.7E-2</v>
      </c>
      <c r="E61" s="815">
        <v>2.9000000000000001E-2</v>
      </c>
      <c r="F61" s="815">
        <v>0.154</v>
      </c>
      <c r="G61" s="815">
        <v>9.9000000000000005E-2</v>
      </c>
      <c r="H61" s="815">
        <v>0.99399999999999999</v>
      </c>
      <c r="I61" s="815">
        <v>0.69</v>
      </c>
      <c r="J61" s="815">
        <v>0.9</v>
      </c>
      <c r="K61" s="815">
        <v>-0.28999999999999998</v>
      </c>
      <c r="L61" s="815">
        <v>-1.155</v>
      </c>
      <c r="M61" s="815">
        <v>-0.95</v>
      </c>
      <c r="N61" s="815">
        <v>-0.12</v>
      </c>
      <c r="O61" s="815">
        <v>-0.48</v>
      </c>
      <c r="P61" s="815">
        <v>0.05</v>
      </c>
      <c r="Q61" s="815">
        <v>-1.01</v>
      </c>
      <c r="R61" s="815">
        <v>0.55000000000000004</v>
      </c>
      <c r="S61" s="815">
        <v>0.51</v>
      </c>
      <c r="T61" s="815">
        <v>-0.21</v>
      </c>
      <c r="U61" s="815">
        <v>0.13</v>
      </c>
      <c r="V61" s="815">
        <v>0.63923269999999999</v>
      </c>
      <c r="W61" s="815">
        <v>0.99075069999999998</v>
      </c>
      <c r="X61" s="815">
        <v>-0.52877337000000002</v>
      </c>
      <c r="Y61" s="815">
        <v>0.69134830000000003</v>
      </c>
      <c r="Z61" s="815">
        <v>0.20030481999999999</v>
      </c>
      <c r="AA61" s="815">
        <v>0.56969499999999995</v>
      </c>
      <c r="AB61" s="823">
        <v>-0.44940332</v>
      </c>
      <c r="AC61" s="823">
        <v>0.42264079999999998</v>
      </c>
      <c r="AD61" s="823">
        <v>0.36635869999999998</v>
      </c>
      <c r="AE61" s="823">
        <v>0.55158079999999998</v>
      </c>
      <c r="AF61" s="823">
        <v>0.36926809999999999</v>
      </c>
      <c r="AG61" s="823">
        <v>0.41964309999999999</v>
      </c>
      <c r="AH61" s="823">
        <v>0.45314853999999999</v>
      </c>
      <c r="AI61" s="823">
        <v>0.6872509</v>
      </c>
      <c r="AJ61" s="823">
        <v>0.55736300000000005</v>
      </c>
      <c r="AK61" s="823">
        <v>0.60841900000000004</v>
      </c>
      <c r="AL61" s="823">
        <v>0.71960449999999998</v>
      </c>
      <c r="AM61" s="823">
        <v>1.035042</v>
      </c>
      <c r="AN61" s="823" t="s">
        <v>835</v>
      </c>
      <c r="AO61" s="823" t="s">
        <v>835</v>
      </c>
      <c r="AP61" s="823" t="s">
        <v>835</v>
      </c>
      <c r="AQ61" s="823" t="s">
        <v>835</v>
      </c>
      <c r="AR61" s="823" t="s">
        <v>835</v>
      </c>
      <c r="AS61" s="823" t="s">
        <v>835</v>
      </c>
      <c r="AT61" s="823" t="s">
        <v>835</v>
      </c>
      <c r="AU61" s="823" t="s">
        <v>835</v>
      </c>
      <c r="AV61" s="816"/>
      <c r="AW61" s="815">
        <v>0.25900000000000001</v>
      </c>
      <c r="AX61" s="815">
        <v>2.29</v>
      </c>
      <c r="AY61" s="815">
        <v>-2.69</v>
      </c>
      <c r="AZ61" s="815">
        <v>0.1</v>
      </c>
      <c r="BA61" s="815">
        <v>1.5520631</v>
      </c>
      <c r="BB61" s="815">
        <v>0.94059413999999997</v>
      </c>
      <c r="BC61" s="823">
        <v>0.89964180000000005</v>
      </c>
      <c r="BD61" s="823">
        <v>2.0756657000000001</v>
      </c>
      <c r="BE61" s="823">
        <v>3.053137</v>
      </c>
      <c r="BF61" s="823">
        <v>3.5633333</v>
      </c>
      <c r="BG61" s="823">
        <v>4.4233330000000004</v>
      </c>
    </row>
    <row r="62" spans="1:59">
      <c r="A62" s="783" t="s">
        <v>465</v>
      </c>
      <c r="C62" s="783" t="s">
        <v>474</v>
      </c>
      <c r="D62" s="812"/>
      <c r="E62" s="805"/>
      <c r="F62" s="805"/>
      <c r="G62" s="805"/>
      <c r="H62" s="812">
        <v>-37.814814814814817</v>
      </c>
      <c r="I62" s="812">
        <v>22.793103448275858</v>
      </c>
      <c r="J62" s="812">
        <v>4.8441558441558445</v>
      </c>
      <c r="K62" s="812">
        <v>-3.9292929292929291</v>
      </c>
      <c r="L62" s="812">
        <v>-2.1619718309859155</v>
      </c>
      <c r="M62" s="812">
        <v>-2.3768115942028984</v>
      </c>
      <c r="N62" s="812">
        <v>-1.1333333333333333</v>
      </c>
      <c r="O62" s="812">
        <v>0.65517241379310343</v>
      </c>
      <c r="P62" s="812">
        <v>-1.0432900432900434</v>
      </c>
      <c r="Q62" s="812">
        <v>6.315789473684208E-2</v>
      </c>
      <c r="R62" s="812">
        <v>-5.5833333333333339</v>
      </c>
      <c r="S62" s="812">
        <v>-2.0625</v>
      </c>
      <c r="T62" s="812">
        <v>-5.1999999999999993</v>
      </c>
      <c r="U62" s="812">
        <v>-1.1287128712871288</v>
      </c>
      <c r="V62" s="812">
        <v>0.16224127272727262</v>
      </c>
      <c r="W62" s="812">
        <v>0.94264843137254895</v>
      </c>
      <c r="X62" s="812">
        <f t="shared" ref="X62:AA62" si="588">X61/T61-1</f>
        <v>1.5179684285714288</v>
      </c>
      <c r="Y62" s="812">
        <f t="shared" si="588"/>
        <v>4.3180638461538461</v>
      </c>
      <c r="Z62" s="812">
        <f t="shared" si="588"/>
        <v>-0.68664803912565797</v>
      </c>
      <c r="AA62" s="812">
        <f t="shared" si="588"/>
        <v>-0.42498652789243552</v>
      </c>
      <c r="AB62" s="821">
        <f t="shared" ref="AB62" si="589">AB61/X61-1</f>
        <v>-0.15010220730291324</v>
      </c>
      <c r="AC62" s="821">
        <f t="shared" ref="AC62" si="590">AC61/Y61-1</f>
        <v>-0.38867167244064971</v>
      </c>
      <c r="AD62" s="821">
        <f t="shared" ref="AD62" si="591">AD61/Z61-1</f>
        <v>0.82900591208938446</v>
      </c>
      <c r="AE62" s="821">
        <f t="shared" ref="AE62" si="592">AE61/AA61-1</f>
        <v>-3.179631206171718E-2</v>
      </c>
      <c r="AF62" s="821">
        <f t="shared" ref="AF62" si="593">AF61/AB61-1</f>
        <v>-1.8216852959608754</v>
      </c>
      <c r="AG62" s="821">
        <f t="shared" ref="AG62" si="594">AG61/AC61-1</f>
        <v>-7.0927842271735209E-3</v>
      </c>
      <c r="AH62" s="821">
        <f t="shared" ref="AH62" si="595">AH61/AD61-1</f>
        <v>0.23689853687110474</v>
      </c>
      <c r="AI62" s="821">
        <f t="shared" ref="AI62" si="596">AI61/AE61-1</f>
        <v>0.24596595820594191</v>
      </c>
      <c r="AJ62" s="821">
        <f t="shared" ref="AJ62" si="597">AJ61/AF61-1</f>
        <v>0.5093721878494244</v>
      </c>
      <c r="AK62" s="821">
        <f t="shared" ref="AK62" si="598">AK61/AG61-1</f>
        <v>0.44984869285352258</v>
      </c>
      <c r="AL62" s="821">
        <f t="shared" ref="AL62:AM62" si="599">AL61/AH61-1</f>
        <v>0.58801019197810933</v>
      </c>
      <c r="AM62" s="821">
        <f t="shared" si="599"/>
        <v>0.50606132345552401</v>
      </c>
      <c r="AN62" s="821" t="e">
        <f t="shared" ref="AN62" si="600">AN61/AJ61-1</f>
        <v>#VALUE!</v>
      </c>
      <c r="AO62" s="821" t="e">
        <f t="shared" ref="AO62" si="601">AO61/AK61-1</f>
        <v>#VALUE!</v>
      </c>
      <c r="AP62" s="821" t="e">
        <f t="shared" ref="AP62" si="602">AP61/AL61-1</f>
        <v>#VALUE!</v>
      </c>
      <c r="AQ62" s="821" t="e">
        <f t="shared" ref="AQ62" si="603">AQ61/AM61-1</f>
        <v>#VALUE!</v>
      </c>
      <c r="AR62" s="821" t="e">
        <f t="shared" ref="AR62" si="604">AR61/AN61-1</f>
        <v>#VALUE!</v>
      </c>
      <c r="AS62" s="821" t="e">
        <f t="shared" ref="AS62" si="605">AS61/AO61-1</f>
        <v>#VALUE!</v>
      </c>
      <c r="AT62" s="821" t="e">
        <f t="shared" ref="AT62" si="606">AT61/AP61-1</f>
        <v>#VALUE!</v>
      </c>
      <c r="AU62" s="821" t="e">
        <f t="shared" ref="AU62" si="607">AU61/AQ61-1</f>
        <v>#VALUE!</v>
      </c>
      <c r="AW62" s="805"/>
      <c r="AX62" s="812">
        <v>7.8416988416988413</v>
      </c>
      <c r="AY62" s="812">
        <v>-2.1746724890829694</v>
      </c>
      <c r="AZ62" s="812">
        <v>-1.037174721189591</v>
      </c>
      <c r="BA62" s="812">
        <v>14.520631</v>
      </c>
      <c r="BB62" s="812">
        <f t="shared" ref="BB62:BE62" si="608">BB61/BA61-1</f>
        <v>-0.39397171416548726</v>
      </c>
      <c r="BC62" s="821">
        <f t="shared" si="608"/>
        <v>-4.3538799848359622E-2</v>
      </c>
      <c r="BD62" s="821">
        <f t="shared" si="608"/>
        <v>1.3072134931925126</v>
      </c>
      <c r="BE62" s="821">
        <f t="shared" si="608"/>
        <v>0.47091942599427261</v>
      </c>
      <c r="BF62" s="821">
        <f t="shared" ref="BF62" si="609">BF61/BE61-1</f>
        <v>0.16710560318780332</v>
      </c>
      <c r="BG62" s="821">
        <f t="shared" ref="BG62" si="610">BG61/BF61-1</f>
        <v>0.24134697138771743</v>
      </c>
    </row>
    <row r="63" spans="1:59">
      <c r="A63" s="783" t="s">
        <v>466</v>
      </c>
      <c r="C63" s="783" t="s">
        <v>475</v>
      </c>
      <c r="D63" s="812"/>
      <c r="E63" s="812">
        <v>-2.0740740740740744</v>
      </c>
      <c r="F63" s="812">
        <v>4.3103448275862064</v>
      </c>
      <c r="G63" s="812">
        <v>-0.3571428571428571</v>
      </c>
      <c r="H63" s="812">
        <v>9.0404040404040398</v>
      </c>
      <c r="I63" s="812">
        <v>-0.30583501006036218</v>
      </c>
      <c r="J63" s="812">
        <v>0.30434782608695676</v>
      </c>
      <c r="K63" s="812">
        <v>-1.3222222222222222</v>
      </c>
      <c r="L63" s="812">
        <v>2.9827586206896557</v>
      </c>
      <c r="M63" s="812">
        <v>-0.17748917748917759</v>
      </c>
      <c r="N63" s="812">
        <v>-0.87368421052631584</v>
      </c>
      <c r="O63" s="812">
        <v>3</v>
      </c>
      <c r="P63" s="812">
        <v>-1.1041666666666667</v>
      </c>
      <c r="Q63" s="812">
        <v>-21.2</v>
      </c>
      <c r="R63" s="812">
        <v>-1.5445544554455446</v>
      </c>
      <c r="S63" s="812">
        <v>-7.2727272727272751E-2</v>
      </c>
      <c r="T63" s="812">
        <v>-1.4117647058823528</v>
      </c>
      <c r="U63" s="812">
        <v>-1.6190476190476191</v>
      </c>
      <c r="V63" s="812">
        <v>3.9171746153846154</v>
      </c>
      <c r="W63" s="812">
        <v>0.54990616093325628</v>
      </c>
      <c r="X63" s="812">
        <f t="shared" ref="X63:AA63" si="611">X61/W61-1</f>
        <v>-1.533709812165664</v>
      </c>
      <c r="Y63" s="812">
        <f t="shared" si="611"/>
        <v>-2.3074567276336175</v>
      </c>
      <c r="Z63" s="812">
        <f t="shared" si="611"/>
        <v>-0.71026930998456206</v>
      </c>
      <c r="AA63" s="812">
        <f t="shared" si="611"/>
        <v>1.8441402458512979</v>
      </c>
      <c r="AB63" s="821">
        <f t="shared" ref="AB63" si="612">AB61/AA61-1</f>
        <v>-1.7888489805948797</v>
      </c>
      <c r="AC63" s="821">
        <f t="shared" ref="AC63" si="613">AC61/AB61-1</f>
        <v>-1.9404487710504674</v>
      </c>
      <c r="AD63" s="821">
        <f t="shared" ref="AD63" si="614">AD61/AC61-1</f>
        <v>-0.13316769228148351</v>
      </c>
      <c r="AE63" s="821">
        <f t="shared" ref="AE63" si="615">AE61/AD61-1</f>
        <v>0.50557581954516162</v>
      </c>
      <c r="AF63" s="821">
        <f t="shared" ref="AF63" si="616">AF61/AE61-1</f>
        <v>-0.330527639830828</v>
      </c>
      <c r="AG63" s="821">
        <f t="shared" ref="AG63" si="617">AG61/AF61-1</f>
        <v>0.13641849918798843</v>
      </c>
      <c r="AH63" s="821">
        <f t="shared" ref="AH63" si="618">AH61/AG61-1</f>
        <v>7.9842704431456246E-2</v>
      </c>
      <c r="AI63" s="821">
        <f t="shared" ref="AI63" si="619">AI61/AH61-1</f>
        <v>0.51661285281863645</v>
      </c>
      <c r="AJ63" s="821">
        <f t="shared" ref="AJ63" si="620">AJ61/AI61-1</f>
        <v>-0.18899633307137165</v>
      </c>
      <c r="AK63" s="821">
        <f t="shared" ref="AK63" si="621">AK61/AJ61-1</f>
        <v>9.1602779517119037E-2</v>
      </c>
      <c r="AL63" s="821">
        <f t="shared" ref="AL63:AM63" si="622">AL61/AK61-1</f>
        <v>0.18274495043711636</v>
      </c>
      <c r="AM63" s="821">
        <f t="shared" si="622"/>
        <v>0.43834842611462266</v>
      </c>
      <c r="AN63" s="821" t="e">
        <f t="shared" ref="AN63" si="623">AN61/AM61-1</f>
        <v>#VALUE!</v>
      </c>
      <c r="AO63" s="821" t="e">
        <f t="shared" ref="AO63" si="624">AO61/AN61-1</f>
        <v>#VALUE!</v>
      </c>
      <c r="AP63" s="821" t="e">
        <f t="shared" ref="AP63" si="625">AP61/AO61-1</f>
        <v>#VALUE!</v>
      </c>
      <c r="AQ63" s="821" t="e">
        <f t="shared" ref="AQ63" si="626">AQ61/AP61-1</f>
        <v>#VALUE!</v>
      </c>
      <c r="AR63" s="821" t="e">
        <f t="shared" ref="AR63" si="627">AR61/AQ61-1</f>
        <v>#VALUE!</v>
      </c>
      <c r="AS63" s="821" t="e">
        <f t="shared" ref="AS63" si="628">AS61/AR61-1</f>
        <v>#VALUE!</v>
      </c>
      <c r="AT63" s="821" t="e">
        <f t="shared" ref="AT63" si="629">AT61/AS61-1</f>
        <v>#VALUE!</v>
      </c>
      <c r="AU63" s="821" t="e">
        <f t="shared" ref="AU63" si="630">AU61/AT61-1</f>
        <v>#VALUE!</v>
      </c>
      <c r="AW63" s="805"/>
      <c r="AX63" s="805"/>
      <c r="AY63" s="805"/>
      <c r="AZ63" s="805"/>
      <c r="BA63" s="805"/>
      <c r="BB63" s="805"/>
      <c r="BC63" s="827"/>
      <c r="BD63" s="827"/>
      <c r="BE63" s="827"/>
      <c r="BF63" s="827"/>
      <c r="BG63" s="827"/>
    </row>
    <row r="64" spans="1:59">
      <c r="A64" s="783"/>
      <c r="D64" s="812"/>
      <c r="E64" s="812"/>
      <c r="F64" s="812"/>
      <c r="G64" s="812"/>
      <c r="H64" s="812"/>
      <c r="I64" s="812"/>
      <c r="J64" s="812"/>
      <c r="K64" s="812"/>
      <c r="L64" s="812"/>
      <c r="M64" s="812"/>
      <c r="N64" s="812"/>
      <c r="O64" s="812"/>
      <c r="P64" s="812"/>
      <c r="Q64" s="812"/>
      <c r="R64" s="812"/>
      <c r="S64" s="812"/>
      <c r="T64" s="812"/>
      <c r="U64" s="812"/>
      <c r="V64" s="812"/>
      <c r="W64" s="812"/>
      <c r="X64" s="812"/>
      <c r="Y64" s="812"/>
      <c r="Z64" s="812"/>
      <c r="AA64" s="812"/>
      <c r="AB64" s="821"/>
      <c r="AC64" s="821"/>
      <c r="AD64" s="821"/>
      <c r="AE64" s="821"/>
      <c r="AF64" s="821"/>
      <c r="AG64" s="821"/>
      <c r="AH64" s="821"/>
      <c r="AI64" s="821"/>
      <c r="AJ64" s="821"/>
      <c r="AK64" s="821"/>
      <c r="AL64" s="821"/>
      <c r="AM64" s="821"/>
      <c r="AN64" s="821"/>
      <c r="AO64" s="821"/>
      <c r="AP64" s="821"/>
      <c r="AQ64" s="821"/>
      <c r="AR64" s="821"/>
      <c r="AS64" s="821"/>
      <c r="AT64" s="821"/>
      <c r="AU64" s="821"/>
      <c r="AW64" s="805"/>
      <c r="AX64" s="812"/>
      <c r="AY64" s="812"/>
      <c r="AZ64" s="812"/>
      <c r="BA64" s="812"/>
      <c r="BB64" s="812"/>
      <c r="BC64" s="821"/>
      <c r="BD64" s="821"/>
      <c r="BE64" s="821"/>
      <c r="BF64" s="821"/>
      <c r="BG64" s="821"/>
    </row>
    <row r="65" spans="1:59">
      <c r="A65" s="783"/>
      <c r="B65" s="790" t="s">
        <v>482</v>
      </c>
      <c r="D65" s="810"/>
      <c r="AB65" s="822"/>
      <c r="AC65" s="822"/>
      <c r="AD65" s="822"/>
      <c r="AE65" s="822"/>
      <c r="AF65" s="822"/>
      <c r="AG65" s="822"/>
      <c r="AH65" s="822"/>
      <c r="AI65" s="822"/>
      <c r="AJ65" s="822"/>
      <c r="AK65" s="822"/>
      <c r="AL65" s="822"/>
      <c r="AM65" s="822"/>
      <c r="AN65" s="822"/>
      <c r="AO65" s="822"/>
      <c r="AP65" s="822"/>
      <c r="AQ65" s="822"/>
      <c r="AR65" s="822"/>
      <c r="AS65" s="822"/>
      <c r="AT65" s="822"/>
      <c r="AU65" s="822"/>
      <c r="BC65" s="822"/>
      <c r="BD65" s="822"/>
      <c r="BE65" s="822"/>
      <c r="BF65" s="822"/>
      <c r="BG65" s="822"/>
    </row>
    <row r="66" spans="1:59">
      <c r="A66" s="783" t="s">
        <v>407</v>
      </c>
      <c r="B66" s="790" t="s">
        <v>407</v>
      </c>
      <c r="C66" s="783" t="s">
        <v>407</v>
      </c>
      <c r="D66" s="817">
        <v>-84.961426000000003</v>
      </c>
      <c r="E66" s="817">
        <v>158.63487000000001</v>
      </c>
      <c r="F66" s="817">
        <v>82.707499999999996</v>
      </c>
      <c r="G66" s="817">
        <v>245.3245</v>
      </c>
      <c r="H66" s="817">
        <v>135.75282000000001</v>
      </c>
      <c r="I66" s="817">
        <v>83.849723999999995</v>
      </c>
      <c r="J66" s="817">
        <v>41.887</v>
      </c>
      <c r="K66" s="817">
        <v>260.55259999999998</v>
      </c>
      <c r="L66" s="817">
        <v>-53.7</v>
      </c>
      <c r="M66" s="817">
        <v>-130.13921999999999</v>
      </c>
      <c r="N66" s="817">
        <v>-214.07300000000001</v>
      </c>
      <c r="O66" s="817">
        <v>255.3125</v>
      </c>
      <c r="P66" s="817">
        <v>100</v>
      </c>
      <c r="Q66" s="817">
        <v>118</v>
      </c>
      <c r="R66" s="817">
        <v>310.83334000000002</v>
      </c>
      <c r="S66" s="817">
        <v>448</v>
      </c>
      <c r="T66" s="817">
        <v>233.75</v>
      </c>
      <c r="U66" s="817">
        <v>340</v>
      </c>
      <c r="V66" s="817">
        <v>423</v>
      </c>
      <c r="W66" s="817">
        <v>615</v>
      </c>
      <c r="X66" s="817">
        <v>367</v>
      </c>
      <c r="Y66" s="817">
        <v>428</v>
      </c>
      <c r="Z66" s="817">
        <v>513</v>
      </c>
      <c r="AA66" s="817">
        <v>725</v>
      </c>
      <c r="AB66" s="824">
        <v>481</v>
      </c>
      <c r="AC66" s="824">
        <v>588.56946000000005</v>
      </c>
      <c r="AD66" s="824">
        <v>660.99959999999999</v>
      </c>
      <c r="AE66" s="824">
        <v>958.26244999999994</v>
      </c>
      <c r="AF66" s="824">
        <v>601.98979999999995</v>
      </c>
      <c r="AG66" s="824">
        <v>771.32939999999996</v>
      </c>
      <c r="AH66" s="824">
        <v>847.58460000000002</v>
      </c>
      <c r="AI66" s="824">
        <v>1238.278</v>
      </c>
      <c r="AJ66" s="824">
        <v>568.875</v>
      </c>
      <c r="AK66" s="824" t="s">
        <v>835</v>
      </c>
      <c r="AL66" s="824" t="s">
        <v>835</v>
      </c>
      <c r="AM66" s="824" t="s">
        <v>835</v>
      </c>
      <c r="AN66" s="824" t="s">
        <v>835</v>
      </c>
      <c r="AO66" s="824" t="s">
        <v>835</v>
      </c>
      <c r="AP66" s="824" t="s">
        <v>835</v>
      </c>
      <c r="AQ66" s="824" t="s">
        <v>835</v>
      </c>
      <c r="AR66" s="824" t="s">
        <v>835</v>
      </c>
      <c r="AS66" s="824" t="s">
        <v>835</v>
      </c>
      <c r="AT66" s="824" t="s">
        <v>835</v>
      </c>
      <c r="AU66" s="824" t="s">
        <v>835</v>
      </c>
      <c r="AV66" s="818"/>
      <c r="AW66" s="817">
        <v>385.94445999999999</v>
      </c>
      <c r="AX66" s="817">
        <v>552.46460000000002</v>
      </c>
      <c r="AY66" s="817">
        <v>-141.92905999999999</v>
      </c>
      <c r="AZ66" s="817">
        <v>944.07690000000002</v>
      </c>
      <c r="BA66" s="817">
        <v>1615.9523999999999</v>
      </c>
      <c r="BB66" s="817">
        <v>2043.8334</v>
      </c>
      <c r="BC66" s="824">
        <v>2684.8560000000002</v>
      </c>
      <c r="BD66" s="824">
        <v>3439.8595999999998</v>
      </c>
      <c r="BE66" s="824">
        <v>4703.2075000000004</v>
      </c>
      <c r="BF66" s="824">
        <v>5843.5</v>
      </c>
      <c r="BG66" s="824">
        <v>7215.5</v>
      </c>
    </row>
    <row r="67" spans="1:59">
      <c r="A67" s="783" t="s">
        <v>408</v>
      </c>
      <c r="C67" s="783" t="s">
        <v>474</v>
      </c>
      <c r="D67" s="812"/>
      <c r="E67" s="805"/>
      <c r="F67" s="805"/>
      <c r="G67" s="805"/>
      <c r="H67" s="812">
        <v>-2.59781710820155</v>
      </c>
      <c r="I67" s="812">
        <v>-0.47142942784269315</v>
      </c>
      <c r="J67" s="812">
        <v>-0.49355257987486012</v>
      </c>
      <c r="K67" s="812">
        <v>6.2073294758574704E-2</v>
      </c>
      <c r="L67" s="812">
        <v>-1.3955718930921654</v>
      </c>
      <c r="M67" s="812">
        <v>-2.5520530514805273</v>
      </c>
      <c r="N67" s="812">
        <v>-6.1107264783823148</v>
      </c>
      <c r="O67" s="812">
        <v>-2.0111486126025979E-2</v>
      </c>
      <c r="P67" s="812">
        <v>-2.8621973929236497</v>
      </c>
      <c r="Q67" s="812">
        <v>-1.9067212789503425</v>
      </c>
      <c r="R67" s="812">
        <v>-2.4519969356247637</v>
      </c>
      <c r="S67" s="812">
        <v>0.75471236230110161</v>
      </c>
      <c r="T67" s="812">
        <v>1.3374999999999999</v>
      </c>
      <c r="U67" s="812">
        <v>1.8813559322033897</v>
      </c>
      <c r="V67" s="812">
        <v>0.36085787965988447</v>
      </c>
      <c r="W67" s="812">
        <v>0.37276785714285721</v>
      </c>
      <c r="X67" s="812">
        <f t="shared" ref="X67:AA67" si="631">X66/T66-1</f>
        <v>0.57005347593582889</v>
      </c>
      <c r="Y67" s="812">
        <f t="shared" si="631"/>
        <v>0.25882352941176467</v>
      </c>
      <c r="Z67" s="812">
        <f t="shared" si="631"/>
        <v>0.2127659574468086</v>
      </c>
      <c r="AA67" s="812">
        <f t="shared" si="631"/>
        <v>0.17886178861788626</v>
      </c>
      <c r="AB67" s="821">
        <f t="shared" ref="AB67" si="632">AB66/X66-1</f>
        <v>0.31062670299727513</v>
      </c>
      <c r="AC67" s="821">
        <f t="shared" ref="AC67" si="633">AC66/Y66-1</f>
        <v>0.37516228971962629</v>
      </c>
      <c r="AD67" s="821">
        <f t="shared" ref="AD67" si="634">AD66/Z66-1</f>
        <v>0.28849824561403503</v>
      </c>
      <c r="AE67" s="821">
        <f t="shared" ref="AE67" si="635">AE66/AA66-1</f>
        <v>0.32174131034482745</v>
      </c>
      <c r="AF67" s="821">
        <f t="shared" ref="AF67" si="636">AF66/AB66-1</f>
        <v>0.25153804573804561</v>
      </c>
      <c r="AG67" s="821">
        <f t="shared" ref="AG67" si="637">AG66/AC66-1</f>
        <v>0.31051549973387993</v>
      </c>
      <c r="AH67" s="821">
        <f t="shared" ref="AH67" si="638">AH66/AD66-1</f>
        <v>0.28227702407081634</v>
      </c>
      <c r="AI67" s="821">
        <f t="shared" ref="AI67" si="639">AI66/AE66-1</f>
        <v>0.29221175263624288</v>
      </c>
      <c r="AJ67" s="821">
        <f t="shared" ref="AJ67" si="640">AJ66/AF66-1</f>
        <v>-5.5008905466504499E-2</v>
      </c>
      <c r="AK67" s="821" t="e">
        <f t="shared" ref="AK67" si="641">AK66/AG66-1</f>
        <v>#VALUE!</v>
      </c>
      <c r="AL67" s="821" t="e">
        <f t="shared" ref="AL67:AM67" si="642">AL66/AH66-1</f>
        <v>#VALUE!</v>
      </c>
      <c r="AM67" s="821" t="e">
        <f t="shared" si="642"/>
        <v>#VALUE!</v>
      </c>
      <c r="AN67" s="821" t="e">
        <f t="shared" ref="AN67" si="643">AN66/AJ66-1</f>
        <v>#VALUE!</v>
      </c>
      <c r="AO67" s="821" t="e">
        <f t="shared" ref="AO67" si="644">AO66/AK66-1</f>
        <v>#VALUE!</v>
      </c>
      <c r="AP67" s="821" t="e">
        <f t="shared" ref="AP67" si="645">AP66/AL66-1</f>
        <v>#VALUE!</v>
      </c>
      <c r="AQ67" s="821" t="e">
        <f t="shared" ref="AQ67" si="646">AQ66/AM66-1</f>
        <v>#VALUE!</v>
      </c>
      <c r="AR67" s="821" t="e">
        <f t="shared" ref="AR67" si="647">AR66/AN66-1</f>
        <v>#VALUE!</v>
      </c>
      <c r="AS67" s="821" t="e">
        <f t="shared" ref="AS67" si="648">AS66/AO66-1</f>
        <v>#VALUE!</v>
      </c>
      <c r="AT67" s="821" t="e">
        <f t="shared" ref="AT67" si="649">AT66/AP66-1</f>
        <v>#VALUE!</v>
      </c>
      <c r="AU67" s="821" t="e">
        <f t="shared" ref="AU67" si="650">AU66/AQ66-1</f>
        <v>#VALUE!</v>
      </c>
      <c r="AW67" s="805"/>
      <c r="AX67" s="812">
        <v>0.43146140768544794</v>
      </c>
      <c r="AY67" s="812">
        <v>-1.2569016367745554</v>
      </c>
      <c r="AZ67" s="812">
        <v>-7.6517519386093307</v>
      </c>
      <c r="BA67" s="812">
        <v>0.71167454685100329</v>
      </c>
      <c r="BB67" s="812">
        <f t="shared" ref="BB67:BE67" si="651">BB66/BA66-1</f>
        <v>0.26478564591382781</v>
      </c>
      <c r="BC67" s="821">
        <f t="shared" si="651"/>
        <v>0.31363740312688893</v>
      </c>
      <c r="BD67" s="821">
        <f t="shared" si="651"/>
        <v>0.28120822867222661</v>
      </c>
      <c r="BE67" s="821">
        <f t="shared" si="651"/>
        <v>0.36726728614156245</v>
      </c>
      <c r="BF67" s="821">
        <f t="shared" ref="BF67" si="652">BF66/BE66-1</f>
        <v>0.24244996632617188</v>
      </c>
      <c r="BG67" s="821">
        <f t="shared" ref="BG67" si="653">BG66/BF66-1</f>
        <v>0.23479079318901341</v>
      </c>
    </row>
    <row r="68" spans="1:59">
      <c r="A68" s="783" t="s">
        <v>467</v>
      </c>
      <c r="C68" s="783" t="s">
        <v>475</v>
      </c>
      <c r="D68" s="812"/>
      <c r="E68" s="812">
        <v>-2.8671399182965693</v>
      </c>
      <c r="F68" s="812">
        <v>-0.47862976153981784</v>
      </c>
      <c r="G68" s="812">
        <v>1.9661699362210201</v>
      </c>
      <c r="H68" s="812">
        <v>-0.44663977711154002</v>
      </c>
      <c r="I68" s="812">
        <v>-0.38233530618369482</v>
      </c>
      <c r="J68" s="812">
        <v>-0.5004515459108726</v>
      </c>
      <c r="K68" s="812">
        <v>5.2203690882612737</v>
      </c>
      <c r="L68" s="812">
        <v>-1.2061004188789519</v>
      </c>
      <c r="M68" s="812">
        <v>1.4234491620111731</v>
      </c>
      <c r="N68" s="812">
        <v>0.64495376566726015</v>
      </c>
      <c r="O68" s="812">
        <v>-2.1926422295198367</v>
      </c>
      <c r="P68" s="812">
        <v>-0.6083231334149326</v>
      </c>
      <c r="Q68" s="812">
        <v>0.17999999999999994</v>
      </c>
      <c r="R68" s="812">
        <v>1.6341808474576274</v>
      </c>
      <c r="S68" s="812">
        <v>0.44128683235845934</v>
      </c>
      <c r="T68" s="812">
        <v>-0.4782366071428571</v>
      </c>
      <c r="U68" s="812">
        <v>0.45454545454545459</v>
      </c>
      <c r="V68" s="812">
        <v>0.24411764705882355</v>
      </c>
      <c r="W68" s="812">
        <v>0.45390070921985815</v>
      </c>
      <c r="X68" s="812">
        <f t="shared" ref="X68:AA68" si="654">X66/W66-1</f>
        <v>-0.40325203252032515</v>
      </c>
      <c r="Y68" s="812">
        <f t="shared" si="654"/>
        <v>0.1662125340599454</v>
      </c>
      <c r="Z68" s="812">
        <f t="shared" si="654"/>
        <v>0.19859813084112155</v>
      </c>
      <c r="AA68" s="812">
        <f t="shared" si="654"/>
        <v>0.41325536062378165</v>
      </c>
      <c r="AB68" s="821">
        <f t="shared" ref="AB68" si="655">AB66/AA66-1</f>
        <v>-0.336551724137931</v>
      </c>
      <c r="AC68" s="821">
        <f t="shared" ref="AC68" si="656">AC66/AB66-1</f>
        <v>0.223637130977131</v>
      </c>
      <c r="AD68" s="821">
        <f t="shared" ref="AD68" si="657">AD66/AC66-1</f>
        <v>0.12306132907405676</v>
      </c>
      <c r="AE68" s="821">
        <f t="shared" ref="AE68" si="658">AE66/AD66-1</f>
        <v>0.44971714052474465</v>
      </c>
      <c r="AF68" s="821">
        <f t="shared" ref="AF68" si="659">AF66/AE66-1</f>
        <v>-0.37179026476514865</v>
      </c>
      <c r="AG68" s="821">
        <f t="shared" ref="AG68" si="660">AG66/AF66-1</f>
        <v>0.2812997828202406</v>
      </c>
      <c r="AH68" s="821">
        <f t="shared" ref="AH68" si="661">AH66/AG66-1</f>
        <v>9.8862042598143018E-2</v>
      </c>
      <c r="AI68" s="821">
        <f t="shared" ref="AI68" si="662">AI66/AH66-1</f>
        <v>0.46094914891091698</v>
      </c>
      <c r="AJ68" s="821">
        <f t="shared" ref="AJ68" si="663">AJ66/AI66-1</f>
        <v>-0.54059185417168032</v>
      </c>
      <c r="AK68" s="821" t="e">
        <f t="shared" ref="AK68" si="664">AK66/AJ66-1</f>
        <v>#VALUE!</v>
      </c>
      <c r="AL68" s="821" t="e">
        <f t="shared" ref="AL68:AM68" si="665">AL66/AK66-1</f>
        <v>#VALUE!</v>
      </c>
      <c r="AM68" s="821" t="e">
        <f t="shared" si="665"/>
        <v>#VALUE!</v>
      </c>
      <c r="AN68" s="821" t="e">
        <f t="shared" ref="AN68" si="666">AN66/AM66-1</f>
        <v>#VALUE!</v>
      </c>
      <c r="AO68" s="821" t="e">
        <f t="shared" ref="AO68" si="667">AO66/AN66-1</f>
        <v>#VALUE!</v>
      </c>
      <c r="AP68" s="821" t="e">
        <f t="shared" ref="AP68" si="668">AP66/AO66-1</f>
        <v>#VALUE!</v>
      </c>
      <c r="AQ68" s="821" t="e">
        <f t="shared" ref="AQ68" si="669">AQ66/AP66-1</f>
        <v>#VALUE!</v>
      </c>
      <c r="AR68" s="821" t="e">
        <f t="shared" ref="AR68" si="670">AR66/AQ66-1</f>
        <v>#VALUE!</v>
      </c>
      <c r="AS68" s="821" t="e">
        <f t="shared" ref="AS68" si="671">AS66/AR66-1</f>
        <v>#VALUE!</v>
      </c>
      <c r="AT68" s="821" t="e">
        <f t="shared" ref="AT68" si="672">AT66/AS66-1</f>
        <v>#VALUE!</v>
      </c>
      <c r="AU68" s="821" t="e">
        <f t="shared" ref="AU68" si="673">AU66/AT66-1</f>
        <v>#VALUE!</v>
      </c>
      <c r="AW68" s="805"/>
      <c r="AX68" s="805"/>
      <c r="AY68" s="805"/>
      <c r="AZ68" s="805"/>
      <c r="BA68" s="805"/>
      <c r="BB68" s="805"/>
      <c r="BC68" s="827"/>
      <c r="BD68" s="827"/>
      <c r="BE68" s="827"/>
      <c r="BF68" s="827"/>
      <c r="BG68" s="827"/>
    </row>
    <row r="69" spans="1:59">
      <c r="A69" s="783" t="s">
        <v>468</v>
      </c>
      <c r="C69" s="783" t="s">
        <v>412</v>
      </c>
      <c r="D69" s="812">
        <v>-0.18076860687530455</v>
      </c>
      <c r="E69" s="812">
        <v>0.22207162965586463</v>
      </c>
      <c r="F69" s="812">
        <v>0.10777555528045817</v>
      </c>
      <c r="G69" s="812">
        <v>0.25090872457412167</v>
      </c>
      <c r="H69" s="812">
        <v>0.13731171995666805</v>
      </c>
      <c r="I69" s="812">
        <v>7.4905953189208493E-2</v>
      </c>
      <c r="J69" s="812">
        <v>3.7274636481748447E-2</v>
      </c>
      <c r="K69" s="812">
        <v>0.18880294835452138</v>
      </c>
      <c r="L69" s="812">
        <v>-4.4615298976506762E-2</v>
      </c>
      <c r="M69" s="812">
        <v>-0.10048871753729353</v>
      </c>
      <c r="N69" s="812">
        <v>-0.15669228517054604</v>
      </c>
      <c r="O69" s="812">
        <v>0.14715604462996071</v>
      </c>
      <c r="P69" s="812">
        <v>6.6312997347480113E-2</v>
      </c>
      <c r="Q69" s="812">
        <v>6.9657615112160565E-2</v>
      </c>
      <c r="R69" s="812">
        <v>0.18134967327887982</v>
      </c>
      <c r="S69" s="812">
        <v>0.20895522388059701</v>
      </c>
      <c r="T69" s="812">
        <v>0.1256045137023106</v>
      </c>
      <c r="U69" s="812">
        <v>0.16625916870415647</v>
      </c>
      <c r="V69" s="812">
        <v>0.19565217391304349</v>
      </c>
      <c r="W69" s="812">
        <v>0.21870554765291608</v>
      </c>
      <c r="X69" s="812">
        <f t="shared" ref="X69:AA69" si="674">X66/X$10</f>
        <v>0.15550847457627118</v>
      </c>
      <c r="Y69" s="812">
        <f t="shared" si="674"/>
        <v>0.15970149253731344</v>
      </c>
      <c r="Z69" s="812">
        <f t="shared" si="674"/>
        <v>0.18037974683544303</v>
      </c>
      <c r="AA69" s="812">
        <f t="shared" si="674"/>
        <v>0.1974400871459695</v>
      </c>
      <c r="AB69" s="821">
        <f t="shared" ref="AB69:AE69" si="675">AB66/AB$10</f>
        <v>0.15173501577287066</v>
      </c>
      <c r="AC69" s="821">
        <f t="shared" si="675"/>
        <v>0.16426722299748817</v>
      </c>
      <c r="AD69" s="821">
        <f t="shared" si="675"/>
        <v>0.18102074400392384</v>
      </c>
      <c r="AE69" s="821">
        <f t="shared" si="675"/>
        <v>0.20579405665466299</v>
      </c>
      <c r="AF69" s="821">
        <f t="shared" ref="AF69:AL69" si="676">AF66/AF$10</f>
        <v>0.15287650655112325</v>
      </c>
      <c r="AG69" s="821">
        <f t="shared" si="676"/>
        <v>0.17758505275718892</v>
      </c>
      <c r="AH69" s="821">
        <f t="shared" si="676"/>
        <v>0.18807769036754901</v>
      </c>
      <c r="AI69" s="821">
        <f t="shared" si="676"/>
        <v>0.21613208675109286</v>
      </c>
      <c r="AJ69" s="821">
        <f t="shared" si="676"/>
        <v>0.11988907928769817</v>
      </c>
      <c r="AK69" s="821" t="e">
        <f t="shared" si="676"/>
        <v>#VALUE!</v>
      </c>
      <c r="AL69" s="821" t="e">
        <f t="shared" si="676"/>
        <v>#VALUE!</v>
      </c>
      <c r="AM69" s="821" t="e">
        <f t="shared" ref="AM69:AP69" si="677">AM66/AM$10</f>
        <v>#VALUE!</v>
      </c>
      <c r="AN69" s="821" t="e">
        <f t="shared" si="677"/>
        <v>#VALUE!</v>
      </c>
      <c r="AO69" s="821" t="e">
        <f t="shared" si="677"/>
        <v>#VALUE!</v>
      </c>
      <c r="AP69" s="821" t="e">
        <f t="shared" si="677"/>
        <v>#VALUE!</v>
      </c>
      <c r="AQ69" s="821" t="e">
        <f t="shared" ref="AQ69:AU69" si="678">AQ66/AQ$10</f>
        <v>#VALUE!</v>
      </c>
      <c r="AR69" s="821" t="e">
        <f t="shared" si="678"/>
        <v>#VALUE!</v>
      </c>
      <c r="AS69" s="821" t="e">
        <f t="shared" si="678"/>
        <v>#VALUE!</v>
      </c>
      <c r="AT69" s="821" t="e">
        <f t="shared" si="678"/>
        <v>#VALUE!</v>
      </c>
      <c r="AU69" s="821" t="e">
        <f t="shared" si="678"/>
        <v>#VALUE!</v>
      </c>
      <c r="AV69" s="805"/>
      <c r="AW69" s="805"/>
      <c r="AX69" s="812">
        <v>0.11979224850038683</v>
      </c>
      <c r="AY69" s="812">
        <v>-2.5345090523627004E-2</v>
      </c>
      <c r="AZ69" s="812">
        <v>0.13372194050991501</v>
      </c>
      <c r="BA69" s="812">
        <v>0.18197662162162162</v>
      </c>
      <c r="BB69" s="812">
        <f t="shared" ref="BB69:BD69" si="679">BB66/BB$10</f>
        <v>0.17686339563862929</v>
      </c>
      <c r="BC69" s="821">
        <f t="shared" si="679"/>
        <v>0.17925896578253542</v>
      </c>
      <c r="BD69" s="821">
        <f t="shared" si="679"/>
        <v>0.18426539628346167</v>
      </c>
      <c r="BE69" s="821">
        <f t="shared" ref="BE69:BG69" si="680">BE66/BE$10</f>
        <v>0.20038283234154672</v>
      </c>
      <c r="BF69" s="821">
        <f t="shared" si="680"/>
        <v>0.20698774473861134</v>
      </c>
      <c r="BG69" s="821">
        <f t="shared" si="680"/>
        <v>0.21620576928263011</v>
      </c>
    </row>
    <row r="70" spans="1:59">
      <c r="A70" s="783"/>
      <c r="D70" s="810"/>
      <c r="AB70" s="822"/>
      <c r="AC70" s="822"/>
      <c r="AD70" s="822"/>
      <c r="AE70" s="822"/>
      <c r="AF70" s="822"/>
      <c r="AG70" s="822"/>
      <c r="AH70" s="822"/>
      <c r="AI70" s="822"/>
      <c r="AJ70" s="822"/>
      <c r="AK70" s="822"/>
      <c r="AL70" s="822"/>
      <c r="AM70" s="822"/>
      <c r="AN70" s="822"/>
      <c r="AO70" s="822"/>
      <c r="AP70" s="822"/>
      <c r="AQ70" s="822"/>
      <c r="AR70" s="822"/>
      <c r="AS70" s="822"/>
      <c r="AT70" s="822"/>
      <c r="AU70" s="822"/>
      <c r="BC70" s="822"/>
      <c r="BD70" s="822"/>
      <c r="BE70" s="822"/>
      <c r="BF70" s="822"/>
      <c r="BG70" s="822"/>
    </row>
    <row r="71" spans="1:59">
      <c r="A71" s="783" t="s">
        <v>164</v>
      </c>
      <c r="C71" s="783" t="s">
        <v>409</v>
      </c>
      <c r="D71" s="817">
        <v>-16.734285</v>
      </c>
      <c r="E71" s="817">
        <v>-8.5903749999999999</v>
      </c>
      <c r="F71" s="817">
        <v>-10.042</v>
      </c>
      <c r="G71" s="817">
        <v>-6.3170000000000002</v>
      </c>
      <c r="H71" s="817">
        <v>-5.1684445999999999</v>
      </c>
      <c r="I71" s="817">
        <v>-8.2141000000000002</v>
      </c>
      <c r="J71" s="817">
        <v>-11.902445</v>
      </c>
      <c r="K71" s="817">
        <v>-25.981249999999999</v>
      </c>
      <c r="L71" s="817">
        <v>-15.9375</v>
      </c>
      <c r="M71" s="817">
        <v>-12.535</v>
      </c>
      <c r="N71" s="817">
        <v>-13.914444</v>
      </c>
      <c r="O71" s="817">
        <v>-7.6604443</v>
      </c>
      <c r="P71" s="817">
        <v>-14</v>
      </c>
      <c r="Q71" s="817">
        <v>-21</v>
      </c>
      <c r="R71" s="817">
        <v>-2</v>
      </c>
      <c r="S71" s="817">
        <v>-2</v>
      </c>
      <c r="T71" s="817">
        <v>-6</v>
      </c>
      <c r="U71" s="817">
        <v>-7</v>
      </c>
      <c r="V71" s="817">
        <v>-2</v>
      </c>
      <c r="W71" s="817">
        <v>-4</v>
      </c>
      <c r="X71" s="817">
        <f t="shared" ref="X71:AU71" si="681">-X72</f>
        <v>-4</v>
      </c>
      <c r="Y71" s="817">
        <f t="shared" si="681"/>
        <v>-6</v>
      </c>
      <c r="Z71" s="817">
        <f t="shared" si="681"/>
        <v>-6</v>
      </c>
      <c r="AA71" s="817">
        <f t="shared" si="681"/>
        <v>-10</v>
      </c>
      <c r="AB71" s="824">
        <f t="shared" si="681"/>
        <v>-5</v>
      </c>
      <c r="AC71" s="824">
        <f t="shared" si="681"/>
        <v>-5.8347499999999997</v>
      </c>
      <c r="AD71" s="824">
        <f t="shared" si="681"/>
        <v>-6.3125</v>
      </c>
      <c r="AE71" s="824">
        <f t="shared" si="681"/>
        <v>-6.9235454000000001</v>
      </c>
      <c r="AF71" s="824">
        <f t="shared" si="681"/>
        <v>-5.6805000000000003</v>
      </c>
      <c r="AG71" s="824">
        <f t="shared" si="681"/>
        <v>-6.4790000000000001</v>
      </c>
      <c r="AH71" s="824">
        <f t="shared" si="681"/>
        <v>-6.8010000000000002</v>
      </c>
      <c r="AI71" s="824">
        <f t="shared" si="681"/>
        <v>-7.9273334000000002</v>
      </c>
      <c r="AJ71" s="824">
        <f t="shared" si="681"/>
        <v>-6.5265000000000004</v>
      </c>
      <c r="AK71" s="824">
        <f t="shared" si="681"/>
        <v>-7.9859999999999998</v>
      </c>
      <c r="AL71" s="824">
        <f t="shared" si="681"/>
        <v>-7.9859999999999998</v>
      </c>
      <c r="AM71" s="824">
        <f t="shared" si="681"/>
        <v>-7.9859999999999998</v>
      </c>
      <c r="AN71" s="824" t="e">
        <f t="shared" si="681"/>
        <v>#VALUE!</v>
      </c>
      <c r="AO71" s="824" t="e">
        <f t="shared" si="681"/>
        <v>#VALUE!</v>
      </c>
      <c r="AP71" s="824" t="e">
        <f t="shared" si="681"/>
        <v>#VALUE!</v>
      </c>
      <c r="AQ71" s="824" t="e">
        <f t="shared" si="681"/>
        <v>#VALUE!</v>
      </c>
      <c r="AR71" s="824" t="e">
        <f t="shared" si="681"/>
        <v>#VALUE!</v>
      </c>
      <c r="AS71" s="824" t="e">
        <f t="shared" si="681"/>
        <v>#VALUE!</v>
      </c>
      <c r="AT71" s="824" t="e">
        <f t="shared" si="681"/>
        <v>#VALUE!</v>
      </c>
      <c r="AU71" s="824" t="e">
        <f t="shared" si="681"/>
        <v>#VALUE!</v>
      </c>
      <c r="AW71" s="817">
        <v>-41.732999999999997</v>
      </c>
      <c r="AX71" s="817">
        <v>-50.850285</v>
      </c>
      <c r="AY71" s="817">
        <v>-50.018000000000001</v>
      </c>
      <c r="AZ71" s="817">
        <v>-39</v>
      </c>
      <c r="BA71" s="817">
        <v>-18.863636</v>
      </c>
      <c r="BB71" s="817">
        <f t="shared" ref="BB71:BG71" si="682">-BB72</f>
        <v>-26.1</v>
      </c>
      <c r="BC71" s="824">
        <f t="shared" si="682"/>
        <v>-28.134440000000001</v>
      </c>
      <c r="BD71" s="824">
        <f t="shared" si="682"/>
        <v>-32.478830000000002</v>
      </c>
      <c r="BE71" s="824">
        <f t="shared" si="682"/>
        <v>-40.304096000000001</v>
      </c>
      <c r="BF71" s="824">
        <f t="shared" si="682"/>
        <v>-44.65</v>
      </c>
      <c r="BG71" s="824">
        <f t="shared" si="682"/>
        <v>-53.05</v>
      </c>
    </row>
    <row r="72" spans="1:59">
      <c r="A72" s="783"/>
      <c r="B72" s="790" t="s">
        <v>164</v>
      </c>
      <c r="D72" s="817">
        <v>16.734285</v>
      </c>
      <c r="E72" s="817">
        <v>8.5903749999999999</v>
      </c>
      <c r="F72" s="817">
        <v>10.042</v>
      </c>
      <c r="G72" s="817">
        <v>6.3170000000000002</v>
      </c>
      <c r="H72" s="817">
        <v>5.1684445999999999</v>
      </c>
      <c r="I72" s="817">
        <v>8.2141000000000002</v>
      </c>
      <c r="J72" s="817">
        <v>11.902445</v>
      </c>
      <c r="K72" s="817">
        <v>25.981249999999999</v>
      </c>
      <c r="L72" s="817">
        <v>15.9375</v>
      </c>
      <c r="M72" s="817">
        <v>12.535</v>
      </c>
      <c r="N72" s="817">
        <v>13.914444</v>
      </c>
      <c r="O72" s="817">
        <v>7.6604443</v>
      </c>
      <c r="P72" s="817">
        <v>14</v>
      </c>
      <c r="Q72" s="817">
        <v>21</v>
      </c>
      <c r="R72" s="817">
        <v>2</v>
      </c>
      <c r="S72" s="817">
        <v>2</v>
      </c>
      <c r="T72" s="817">
        <v>6</v>
      </c>
      <c r="U72" s="817">
        <v>7</v>
      </c>
      <c r="V72" s="817">
        <v>2</v>
      </c>
      <c r="W72" s="817">
        <v>4</v>
      </c>
      <c r="X72" s="817">
        <v>4</v>
      </c>
      <c r="Y72" s="817">
        <v>6</v>
      </c>
      <c r="Z72" s="817">
        <v>6</v>
      </c>
      <c r="AA72" s="817">
        <v>10</v>
      </c>
      <c r="AB72" s="824">
        <v>5</v>
      </c>
      <c r="AC72" s="824">
        <v>5.8347499999999997</v>
      </c>
      <c r="AD72" s="824">
        <v>6.3125</v>
      </c>
      <c r="AE72" s="824">
        <v>6.9235454000000001</v>
      </c>
      <c r="AF72" s="824">
        <v>5.6805000000000003</v>
      </c>
      <c r="AG72" s="824">
        <v>6.4790000000000001</v>
      </c>
      <c r="AH72" s="824">
        <v>6.8010000000000002</v>
      </c>
      <c r="AI72" s="824">
        <v>7.9273334000000002</v>
      </c>
      <c r="AJ72" s="824">
        <v>6.5265000000000004</v>
      </c>
      <c r="AK72" s="824">
        <v>7.9859999999999998</v>
      </c>
      <c r="AL72" s="824">
        <v>7.9859999999999998</v>
      </c>
      <c r="AM72" s="824">
        <v>7.9859999999999998</v>
      </c>
      <c r="AN72" s="824" t="s">
        <v>835</v>
      </c>
      <c r="AO72" s="824" t="s">
        <v>835</v>
      </c>
      <c r="AP72" s="824" t="s">
        <v>835</v>
      </c>
      <c r="AQ72" s="824" t="s">
        <v>835</v>
      </c>
      <c r="AR72" s="824" t="s">
        <v>835</v>
      </c>
      <c r="AS72" s="824" t="s">
        <v>835</v>
      </c>
      <c r="AT72" s="824" t="s">
        <v>835</v>
      </c>
      <c r="AU72" s="824" t="s">
        <v>835</v>
      </c>
      <c r="AV72" s="818"/>
      <c r="AW72" s="817">
        <v>41.732999999999997</v>
      </c>
      <c r="AX72" s="817">
        <v>50.850285</v>
      </c>
      <c r="AY72" s="817">
        <v>50.018000000000001</v>
      </c>
      <c r="AZ72" s="817">
        <v>39</v>
      </c>
      <c r="BA72" s="817">
        <v>18.863636</v>
      </c>
      <c r="BB72" s="817">
        <v>26.1</v>
      </c>
      <c r="BC72" s="824">
        <v>28.134440000000001</v>
      </c>
      <c r="BD72" s="824">
        <v>32.478830000000002</v>
      </c>
      <c r="BE72" s="824">
        <v>40.304096000000001</v>
      </c>
      <c r="BF72" s="824">
        <v>44.65</v>
      </c>
      <c r="BG72" s="824">
        <v>53.05</v>
      </c>
    </row>
    <row r="73" spans="1:59">
      <c r="A73" s="783" t="s">
        <v>410</v>
      </c>
      <c r="C73" s="783" t="s">
        <v>474</v>
      </c>
      <c r="D73" s="812"/>
      <c r="E73" s="805"/>
      <c r="F73" s="805"/>
      <c r="G73" s="805"/>
      <c r="H73" s="812">
        <v>-0.69114637404585855</v>
      </c>
      <c r="I73" s="812">
        <v>-4.3801929485034141E-2</v>
      </c>
      <c r="J73" s="812">
        <v>0.18526638119896432</v>
      </c>
      <c r="K73" s="812">
        <v>3.1129096089916093</v>
      </c>
      <c r="L73" s="812">
        <v>2.0836162972512078</v>
      </c>
      <c r="M73" s="812">
        <v>0.52603450164960242</v>
      </c>
      <c r="N73" s="812">
        <v>0.16904081472336152</v>
      </c>
      <c r="O73" s="812">
        <v>-0.70515489824392596</v>
      </c>
      <c r="P73" s="812">
        <v>-0.1215686274509804</v>
      </c>
      <c r="Q73" s="812">
        <v>0.67530913442361395</v>
      </c>
      <c r="R73" s="812">
        <v>-0.85626446877791162</v>
      </c>
      <c r="S73" s="812">
        <v>-0.73891853766236504</v>
      </c>
      <c r="T73" s="812">
        <v>-0.5714285714285714</v>
      </c>
      <c r="U73" s="812">
        <v>-0.66666666666666674</v>
      </c>
      <c r="V73" s="812">
        <v>0</v>
      </c>
      <c r="W73" s="812">
        <v>1</v>
      </c>
      <c r="X73" s="812">
        <f t="shared" ref="X73:AA73" si="683">X72/T72-1</f>
        <v>-0.33333333333333337</v>
      </c>
      <c r="Y73" s="812">
        <f t="shared" si="683"/>
        <v>-0.1428571428571429</v>
      </c>
      <c r="Z73" s="812">
        <f t="shared" si="683"/>
        <v>2</v>
      </c>
      <c r="AA73" s="812">
        <f t="shared" si="683"/>
        <v>1.5</v>
      </c>
      <c r="AB73" s="821">
        <f t="shared" ref="AB73" si="684">AB72/X72-1</f>
        <v>0.25</v>
      </c>
      <c r="AC73" s="821">
        <f t="shared" ref="AC73" si="685">AC72/Y72-1</f>
        <v>-2.7541666666666687E-2</v>
      </c>
      <c r="AD73" s="821">
        <f t="shared" ref="AD73" si="686">AD72/Z72-1</f>
        <v>5.2083333333333259E-2</v>
      </c>
      <c r="AE73" s="821">
        <f t="shared" ref="AE73" si="687">AE72/AA72-1</f>
        <v>-0.30764546000000004</v>
      </c>
      <c r="AF73" s="821">
        <f t="shared" ref="AF73" si="688">AF72/AB72-1</f>
        <v>0.13610000000000011</v>
      </c>
      <c r="AG73" s="821">
        <f t="shared" ref="AG73" si="689">AG72/AC72-1</f>
        <v>0.11041604181841569</v>
      </c>
      <c r="AH73" s="821">
        <f t="shared" ref="AH73" si="690">AH72/AD72-1</f>
        <v>7.7386138613861455E-2</v>
      </c>
      <c r="AI73" s="821">
        <f t="shared" ref="AI73" si="691">AI72/AE72-1</f>
        <v>0.14498178924341287</v>
      </c>
      <c r="AJ73" s="821">
        <f t="shared" ref="AJ73" si="692">AJ72/AF72-1</f>
        <v>0.14893055188803794</v>
      </c>
      <c r="AK73" s="821">
        <f t="shared" ref="AK73" si="693">AK72/AG72-1</f>
        <v>0.23259762308998289</v>
      </c>
      <c r="AL73" s="821">
        <f t="shared" ref="AL73:AM73" si="694">AL72/AH72-1</f>
        <v>0.17423908248786946</v>
      </c>
      <c r="AM73" s="821">
        <f t="shared" si="694"/>
        <v>7.4005465696698192E-3</v>
      </c>
      <c r="AN73" s="821" t="e">
        <f t="shared" ref="AN73" si="695">AN72/AJ72-1</f>
        <v>#VALUE!</v>
      </c>
      <c r="AO73" s="821" t="e">
        <f t="shared" ref="AO73" si="696">AO72/AK72-1</f>
        <v>#VALUE!</v>
      </c>
      <c r="AP73" s="821" t="e">
        <f t="shared" ref="AP73" si="697">AP72/AL72-1</f>
        <v>#VALUE!</v>
      </c>
      <c r="AQ73" s="821" t="e">
        <f t="shared" ref="AQ73" si="698">AQ72/AM72-1</f>
        <v>#VALUE!</v>
      </c>
      <c r="AR73" s="821" t="e">
        <f t="shared" ref="AR73" si="699">AR72/AN72-1</f>
        <v>#VALUE!</v>
      </c>
      <c r="AS73" s="821" t="e">
        <f t="shared" ref="AS73" si="700">AS72/AO72-1</f>
        <v>#VALUE!</v>
      </c>
      <c r="AT73" s="821" t="e">
        <f t="shared" ref="AT73" si="701">AT72/AP72-1</f>
        <v>#VALUE!</v>
      </c>
      <c r="AU73" s="821" t="e">
        <f t="shared" ref="AU73" si="702">AU72/AQ72-1</f>
        <v>#VALUE!</v>
      </c>
      <c r="AW73" s="805"/>
      <c r="AX73" s="812">
        <v>0.2184670404715694</v>
      </c>
      <c r="AY73" s="812">
        <v>-1.6367361559527116E-2</v>
      </c>
      <c r="AZ73" s="812">
        <v>-0.22028069894837854</v>
      </c>
      <c r="BA73" s="812">
        <v>-0.51631702564102566</v>
      </c>
      <c r="BB73" s="812">
        <f t="shared" ref="BB73:BE73" si="703">BB72/BA72-1</f>
        <v>0.38361448450341196</v>
      </c>
      <c r="BC73" s="821">
        <f t="shared" si="703"/>
        <v>7.7947892720306555E-2</v>
      </c>
      <c r="BD73" s="821">
        <f t="shared" si="703"/>
        <v>0.15441537133847349</v>
      </c>
      <c r="BE73" s="821">
        <f t="shared" si="703"/>
        <v>0.24093435631763827</v>
      </c>
      <c r="BF73" s="821">
        <f t="shared" ref="BF73" si="704">BF72/BE72-1</f>
        <v>0.10782784955653146</v>
      </c>
      <c r="BG73" s="821">
        <f t="shared" ref="BG73" si="705">BG72/BF72-1</f>
        <v>0.18812989921612533</v>
      </c>
    </row>
    <row r="74" spans="1:59">
      <c r="A74" s="783" t="s">
        <v>469</v>
      </c>
      <c r="C74" s="783" t="s">
        <v>475</v>
      </c>
      <c r="D74" s="812"/>
      <c r="E74" s="812">
        <v>-0.48666017102015413</v>
      </c>
      <c r="F74" s="812">
        <v>0.1689827277621756</v>
      </c>
      <c r="G74" s="812">
        <v>-0.37094204341764581</v>
      </c>
      <c r="H74" s="812">
        <v>-0.18181975621339241</v>
      </c>
      <c r="I74" s="812">
        <v>0.58927890994517007</v>
      </c>
      <c r="J74" s="812">
        <v>0.44902606493712027</v>
      </c>
      <c r="K74" s="812">
        <v>1.1828498262331815</v>
      </c>
      <c r="L74" s="812">
        <v>-0.38657685831128219</v>
      </c>
      <c r="M74" s="812">
        <v>-0.21349019607843134</v>
      </c>
      <c r="N74" s="812">
        <v>0.11004738731551655</v>
      </c>
      <c r="O74" s="812">
        <v>-0.44946098457114059</v>
      </c>
      <c r="P74" s="812">
        <v>0.82757023636344429</v>
      </c>
      <c r="Q74" s="812">
        <v>0.5</v>
      </c>
      <c r="R74" s="812">
        <v>-0.90476190476190477</v>
      </c>
      <c r="S74" s="812">
        <v>0</v>
      </c>
      <c r="T74" s="812">
        <v>2</v>
      </c>
      <c r="U74" s="812">
        <v>0.16666666666666674</v>
      </c>
      <c r="V74" s="812">
        <v>-0.7142857142857143</v>
      </c>
      <c r="W74" s="812">
        <v>1</v>
      </c>
      <c r="X74" s="812">
        <f t="shared" ref="X74:AA74" si="706">X72/W72-1</f>
        <v>0</v>
      </c>
      <c r="Y74" s="812">
        <f t="shared" si="706"/>
        <v>0.5</v>
      </c>
      <c r="Z74" s="812">
        <f t="shared" si="706"/>
        <v>0</v>
      </c>
      <c r="AA74" s="812">
        <f t="shared" si="706"/>
        <v>0.66666666666666674</v>
      </c>
      <c r="AB74" s="821">
        <f t="shared" ref="AB74" si="707">AB72/AA72-1</f>
        <v>-0.5</v>
      </c>
      <c r="AC74" s="821">
        <f t="shared" ref="AC74" si="708">AC72/AB72-1</f>
        <v>0.16694999999999993</v>
      </c>
      <c r="AD74" s="821">
        <f t="shared" ref="AD74" si="709">AD72/AC72-1</f>
        <v>8.1880114829255835E-2</v>
      </c>
      <c r="AE74" s="821">
        <f t="shared" ref="AE74" si="710">AE72/AD72-1</f>
        <v>9.6799271287128619E-2</v>
      </c>
      <c r="AF74" s="821">
        <f t="shared" ref="AF74" si="711">AF72/AE72-1</f>
        <v>-0.17953885302752548</v>
      </c>
      <c r="AG74" s="821">
        <f t="shared" ref="AG74" si="712">AG72/AF72-1</f>
        <v>0.14056861191796499</v>
      </c>
      <c r="AH74" s="821">
        <f t="shared" ref="AH74" si="713">AH72/AG72-1</f>
        <v>4.9699027627720271E-2</v>
      </c>
      <c r="AI74" s="821">
        <f t="shared" ref="AI74" si="714">AI72/AH72-1</f>
        <v>0.16561290986619626</v>
      </c>
      <c r="AJ74" s="821">
        <f t="shared" ref="AJ74" si="715">AJ72/AI72-1</f>
        <v>-0.17670928284661269</v>
      </c>
      <c r="AK74" s="821">
        <f t="shared" ref="AK74" si="716">AK72/AJ72-1</f>
        <v>0.2236267524706963</v>
      </c>
      <c r="AL74" s="821">
        <f t="shared" ref="AL74:AM74" si="717">AL72/AK72-1</f>
        <v>0</v>
      </c>
      <c r="AM74" s="821">
        <f t="shared" si="717"/>
        <v>0</v>
      </c>
      <c r="AN74" s="821" t="e">
        <f t="shared" ref="AN74" si="718">AN72/AM72-1</f>
        <v>#VALUE!</v>
      </c>
      <c r="AO74" s="821" t="e">
        <f t="shared" ref="AO74" si="719">AO72/AN72-1</f>
        <v>#VALUE!</v>
      </c>
      <c r="AP74" s="821" t="e">
        <f t="shared" ref="AP74" si="720">AP72/AO72-1</f>
        <v>#VALUE!</v>
      </c>
      <c r="AQ74" s="821" t="e">
        <f t="shared" ref="AQ74" si="721">AQ72/AP72-1</f>
        <v>#VALUE!</v>
      </c>
      <c r="AR74" s="821" t="e">
        <f t="shared" ref="AR74" si="722">AR72/AQ72-1</f>
        <v>#VALUE!</v>
      </c>
      <c r="AS74" s="821" t="e">
        <f t="shared" ref="AS74" si="723">AS72/AR72-1</f>
        <v>#VALUE!</v>
      </c>
      <c r="AT74" s="821" t="e">
        <f t="shared" ref="AT74" si="724">AT72/AS72-1</f>
        <v>#VALUE!</v>
      </c>
      <c r="AU74" s="821" t="e">
        <f t="shared" ref="AU74" si="725">AU72/AT72-1</f>
        <v>#VALUE!</v>
      </c>
      <c r="AW74" s="805"/>
      <c r="AX74" s="805"/>
      <c r="AY74" s="805"/>
      <c r="AZ74" s="805"/>
      <c r="BA74" s="805"/>
      <c r="BB74" s="805"/>
      <c r="BC74" s="827"/>
      <c r="BD74" s="827"/>
      <c r="BE74" s="827"/>
      <c r="BF74" s="827"/>
      <c r="BG74" s="827"/>
    </row>
    <row r="75" spans="1:59">
      <c r="A75" s="783" t="s">
        <v>411</v>
      </c>
      <c r="C75" s="783" t="s">
        <v>412</v>
      </c>
      <c r="D75" s="812">
        <v>3.5604785947263941E-2</v>
      </c>
      <c r="E75" s="812">
        <v>1.2025594219007448E-2</v>
      </c>
      <c r="F75" s="812">
        <v>1.3085658811188356E-2</v>
      </c>
      <c r="G75" s="812">
        <v>6.4607913727928786E-3</v>
      </c>
      <c r="H75" s="812">
        <v>5.2277957653237197E-3</v>
      </c>
      <c r="I75" s="812">
        <v>7.3379489011970696E-3</v>
      </c>
      <c r="J75" s="812">
        <v>1.0591813942726966E-2</v>
      </c>
      <c r="K75" s="812">
        <v>1.8826665333356522E-2</v>
      </c>
      <c r="L75" s="812">
        <v>1.3241272391770512E-2</v>
      </c>
      <c r="M75" s="812">
        <v>9.679065806065033E-3</v>
      </c>
      <c r="N75" s="812">
        <v>1.018477821695213E-2</v>
      </c>
      <c r="O75" s="812">
        <v>4.415297657953011E-3</v>
      </c>
      <c r="P75" s="812">
        <v>9.2838196286472146E-3</v>
      </c>
      <c r="Q75" s="812">
        <v>1.2396694214876033E-2</v>
      </c>
      <c r="R75" s="812">
        <v>1.1668611435239206E-3</v>
      </c>
      <c r="S75" s="812">
        <v>9.3283582089552237E-4</v>
      </c>
      <c r="T75" s="812">
        <v>3.2240730789897904E-3</v>
      </c>
      <c r="U75" s="812">
        <v>3.4229828850855745E-3</v>
      </c>
      <c r="V75" s="812">
        <v>9.2506938020351531E-4</v>
      </c>
      <c r="W75" s="812">
        <v>1.4224751066856331E-3</v>
      </c>
      <c r="X75" s="812">
        <f t="shared" ref="X75:AA75" si="726">X72/X$10</f>
        <v>1.6949152542372881E-3</v>
      </c>
      <c r="Y75" s="812">
        <f t="shared" si="726"/>
        <v>2.2388059701492539E-3</v>
      </c>
      <c r="Z75" s="812">
        <f t="shared" si="726"/>
        <v>2.1097046413502108E-3</v>
      </c>
      <c r="AA75" s="812">
        <f t="shared" si="726"/>
        <v>2.7233115468409588E-3</v>
      </c>
      <c r="AB75" s="821">
        <f t="shared" ref="AB75:AE75" si="727">AB72/AB$10</f>
        <v>1.5772870662460567E-3</v>
      </c>
      <c r="AC75" s="821">
        <f t="shared" si="727"/>
        <v>1.6284538096567121E-3</v>
      </c>
      <c r="AD75" s="821">
        <f t="shared" si="727"/>
        <v>1.728735458425042E-3</v>
      </c>
      <c r="AE75" s="821">
        <f t="shared" si="727"/>
        <v>1.4868833630063783E-3</v>
      </c>
      <c r="AF75" s="821">
        <f t="shared" ref="AF75:AL75" si="728">AF72/AF$10</f>
        <v>1.4425742686398602E-3</v>
      </c>
      <c r="AG75" s="821">
        <f t="shared" si="728"/>
        <v>1.4916760035515657E-3</v>
      </c>
      <c r="AH75" s="821">
        <f t="shared" si="728"/>
        <v>1.5091312090730542E-3</v>
      </c>
      <c r="AI75" s="821">
        <f t="shared" si="728"/>
        <v>1.383656263063412E-3</v>
      </c>
      <c r="AJ75" s="821">
        <f t="shared" si="728"/>
        <v>1.3754446512347389E-3</v>
      </c>
      <c r="AK75" s="821">
        <f t="shared" si="728"/>
        <v>1.5223269375332221E-3</v>
      </c>
      <c r="AL75" s="821">
        <f t="shared" si="728"/>
        <v>1.4616994655846651E-3</v>
      </c>
      <c r="AM75" s="821">
        <f t="shared" ref="AM75:AP75" si="729">AM72/AM$10</f>
        <v>1.1492895459293145E-3</v>
      </c>
      <c r="AN75" s="821" t="e">
        <f t="shared" si="729"/>
        <v>#VALUE!</v>
      </c>
      <c r="AO75" s="821" t="e">
        <f t="shared" si="729"/>
        <v>#VALUE!</v>
      </c>
      <c r="AP75" s="821" t="e">
        <f t="shared" si="729"/>
        <v>#VALUE!</v>
      </c>
      <c r="AQ75" s="821" t="e">
        <f t="shared" ref="AQ75:AU75" si="730">AQ72/AQ$10</f>
        <v>#VALUE!</v>
      </c>
      <c r="AR75" s="821" t="e">
        <f t="shared" si="730"/>
        <v>#VALUE!</v>
      </c>
      <c r="AS75" s="821" t="e">
        <f t="shared" si="730"/>
        <v>#VALUE!</v>
      </c>
      <c r="AT75" s="821" t="e">
        <f t="shared" si="730"/>
        <v>#VALUE!</v>
      </c>
      <c r="AU75" s="821" t="e">
        <f t="shared" si="730"/>
        <v>#VALUE!</v>
      </c>
      <c r="AV75" s="805"/>
      <c r="AW75" s="805"/>
      <c r="AX75" s="812">
        <v>1.1025991488025645E-2</v>
      </c>
      <c r="AY75" s="812">
        <v>8.9320026343496922E-3</v>
      </c>
      <c r="AZ75" s="812">
        <v>5.5240793201133146E-3</v>
      </c>
      <c r="BA75" s="812">
        <v>2.1242833333333334E-3</v>
      </c>
      <c r="BB75" s="812">
        <f t="shared" ref="BB75:BD75" si="731">BB72/BB$10</f>
        <v>2.2585669781931468E-3</v>
      </c>
      <c r="BC75" s="821">
        <f t="shared" si="731"/>
        <v>1.8784436175611635E-3</v>
      </c>
      <c r="BD75" s="821">
        <f t="shared" si="731"/>
        <v>1.7398164973864583E-3</v>
      </c>
      <c r="BE75" s="821">
        <f t="shared" ref="BE75:BG75" si="732">BE72/BE$10</f>
        <v>1.7171789489291303E-3</v>
      </c>
      <c r="BF75" s="821">
        <f t="shared" si="732"/>
        <v>1.5815868576330959E-3</v>
      </c>
      <c r="BG75" s="821">
        <f t="shared" si="732"/>
        <v>1.589594076702034E-3</v>
      </c>
    </row>
    <row r="76" spans="1:59">
      <c r="A76" s="783"/>
      <c r="D76" s="810"/>
      <c r="AB76" s="822"/>
      <c r="AC76" s="822"/>
      <c r="AD76" s="822"/>
      <c r="AE76" s="822"/>
      <c r="AF76" s="822"/>
      <c r="AG76" s="822"/>
      <c r="AH76" s="822"/>
      <c r="AI76" s="822"/>
      <c r="AJ76" s="822"/>
      <c r="AK76" s="822"/>
      <c r="AL76" s="822"/>
      <c r="AM76" s="822"/>
      <c r="AN76" s="822"/>
      <c r="AO76" s="822"/>
      <c r="AP76" s="822"/>
      <c r="AQ76" s="822"/>
      <c r="AR76" s="822"/>
      <c r="AS76" s="822"/>
      <c r="AT76" s="822"/>
      <c r="AU76" s="822"/>
      <c r="BC76" s="822"/>
      <c r="BD76" s="822"/>
      <c r="BE76" s="822"/>
      <c r="BF76" s="822"/>
      <c r="BG76" s="822"/>
    </row>
    <row r="77" spans="1:59">
      <c r="A77" s="783" t="s">
        <v>168</v>
      </c>
      <c r="B77" s="790" t="s">
        <v>168</v>
      </c>
      <c r="C77" s="783" t="s">
        <v>168</v>
      </c>
      <c r="D77" s="817">
        <v>-101.69583</v>
      </c>
      <c r="E77" s="817">
        <v>137.33199999999999</v>
      </c>
      <c r="F77" s="817">
        <v>72.653000000000006</v>
      </c>
      <c r="G77" s="817">
        <v>239.00749999999999</v>
      </c>
      <c r="H77" s="817">
        <v>130.49562</v>
      </c>
      <c r="I77" s="817">
        <v>85.336910000000003</v>
      </c>
      <c r="J77" s="817">
        <v>45.402999999999999</v>
      </c>
      <c r="K77" s="817">
        <v>229.98567</v>
      </c>
      <c r="L77" s="817">
        <v>-65.67</v>
      </c>
      <c r="M77" s="817">
        <v>-220.7698</v>
      </c>
      <c r="N77" s="817">
        <v>-81.087909999999994</v>
      </c>
      <c r="O77" s="817">
        <v>220.33885000000001</v>
      </c>
      <c r="P77" s="817">
        <v>87.764279999999999</v>
      </c>
      <c r="Q77" s="817">
        <v>81.25</v>
      </c>
      <c r="R77" s="817">
        <v>276</v>
      </c>
      <c r="S77" s="817">
        <v>446</v>
      </c>
      <c r="T77" s="817">
        <v>227.2</v>
      </c>
      <c r="U77" s="817">
        <v>333</v>
      </c>
      <c r="V77" s="817">
        <v>421</v>
      </c>
      <c r="W77" s="817">
        <v>611</v>
      </c>
      <c r="X77" s="817">
        <v>363</v>
      </c>
      <c r="Y77" s="817">
        <v>422.1</v>
      </c>
      <c r="Z77" s="817">
        <v>507</v>
      </c>
      <c r="AA77" s="817">
        <v>718.11109999999996</v>
      </c>
      <c r="AB77" s="824">
        <v>472.90474999999998</v>
      </c>
      <c r="AC77" s="824">
        <v>599.70680000000004</v>
      </c>
      <c r="AD77" s="824">
        <v>664.67145000000005</v>
      </c>
      <c r="AE77" s="824">
        <v>954.06899999999996</v>
      </c>
      <c r="AF77" s="824">
        <v>557.83483999999999</v>
      </c>
      <c r="AG77" s="824">
        <v>722.45330000000001</v>
      </c>
      <c r="AH77" s="824">
        <v>848.16</v>
      </c>
      <c r="AI77" s="824">
        <v>1290.2925</v>
      </c>
      <c r="AJ77" s="824" t="s">
        <v>835</v>
      </c>
      <c r="AK77" s="824" t="s">
        <v>835</v>
      </c>
      <c r="AL77" s="824" t="s">
        <v>835</v>
      </c>
      <c r="AM77" s="824" t="s">
        <v>835</v>
      </c>
      <c r="AN77" s="824" t="s">
        <v>835</v>
      </c>
      <c r="AO77" s="824" t="s">
        <v>835</v>
      </c>
      <c r="AP77" s="824" t="s">
        <v>835</v>
      </c>
      <c r="AQ77" s="824" t="s">
        <v>835</v>
      </c>
      <c r="AR77" s="824" t="s">
        <v>835</v>
      </c>
      <c r="AS77" s="824" t="s">
        <v>835</v>
      </c>
      <c r="AT77" s="824" t="s">
        <v>835</v>
      </c>
      <c r="AU77" s="824" t="s">
        <v>835</v>
      </c>
      <c r="AV77" s="818"/>
      <c r="AW77" s="817">
        <v>347.32400000000001</v>
      </c>
      <c r="AX77" s="817">
        <v>474.27332000000001</v>
      </c>
      <c r="AY77" s="817">
        <v>-190.18100000000001</v>
      </c>
      <c r="AZ77" s="817">
        <v>904.91330000000005</v>
      </c>
      <c r="BA77" s="817">
        <v>1604.45</v>
      </c>
      <c r="BB77" s="817">
        <v>2023.6470999999999</v>
      </c>
      <c r="BC77" s="824">
        <v>2738.17</v>
      </c>
      <c r="BD77" s="824">
        <v>3606.2523999999999</v>
      </c>
      <c r="BE77" s="824">
        <v>5300.0829999999996</v>
      </c>
      <c r="BF77" s="824">
        <v>5796.2665999999999</v>
      </c>
      <c r="BG77" s="824">
        <v>7107.6665000000003</v>
      </c>
    </row>
    <row r="78" spans="1:59">
      <c r="A78" s="783" t="s">
        <v>413</v>
      </c>
      <c r="C78" s="783" t="s">
        <v>474</v>
      </c>
      <c r="D78" s="812"/>
      <c r="E78" s="805"/>
      <c r="F78" s="805"/>
      <c r="G78" s="805"/>
      <c r="H78" s="812">
        <v>-2.283195387657488</v>
      </c>
      <c r="I78" s="812">
        <v>-0.37860870008446679</v>
      </c>
      <c r="J78" s="812">
        <v>-0.37507054078978164</v>
      </c>
      <c r="K78" s="812">
        <v>-3.7747058146710866E-2</v>
      </c>
      <c r="L78" s="812">
        <v>-1.5032352810002358</v>
      </c>
      <c r="M78" s="812">
        <v>-3.5870376604918084</v>
      </c>
      <c r="N78" s="812">
        <v>-2.7859592978437546</v>
      </c>
      <c r="O78" s="812">
        <v>-4.1945309027297206E-2</v>
      </c>
      <c r="P78" s="812">
        <v>-2.3364440383736866</v>
      </c>
      <c r="Q78" s="812">
        <v>-1.3680304099564342</v>
      </c>
      <c r="R78" s="812">
        <v>-4.4037133279178118</v>
      </c>
      <c r="S78" s="812">
        <v>1.024155068432099</v>
      </c>
      <c r="T78" s="812">
        <v>1.5887525084237004</v>
      </c>
      <c r="U78" s="812">
        <v>3.0984615384615388</v>
      </c>
      <c r="V78" s="812">
        <v>0.5253623188405796</v>
      </c>
      <c r="W78" s="812">
        <v>0.36995515695067271</v>
      </c>
      <c r="X78" s="812">
        <f t="shared" ref="X78:AA78" si="733">X77/T77-1</f>
        <v>0.59771126760563398</v>
      </c>
      <c r="Y78" s="812">
        <f t="shared" si="733"/>
        <v>0.26756756756756772</v>
      </c>
      <c r="Z78" s="812">
        <f t="shared" si="733"/>
        <v>0.20427553444180524</v>
      </c>
      <c r="AA78" s="812">
        <f t="shared" si="733"/>
        <v>0.17530458265139104</v>
      </c>
      <c r="AB78" s="821">
        <f t="shared" ref="AB78" si="734">AB77/X77-1</f>
        <v>0.30276790633608819</v>
      </c>
      <c r="AC78" s="821">
        <f t="shared" ref="AC78" si="735">AC77/Y77-1</f>
        <v>0.42076948590381424</v>
      </c>
      <c r="AD78" s="821">
        <f t="shared" ref="AD78" si="736">AD77/Z77-1</f>
        <v>0.31098905325443793</v>
      </c>
      <c r="AE78" s="821">
        <f t="shared" ref="AE78" si="737">AE77/AA77-1</f>
        <v>0.32858132954636132</v>
      </c>
      <c r="AF78" s="821">
        <f t="shared" ref="AF78" si="738">AF77/AB77-1</f>
        <v>0.17959238091814478</v>
      </c>
      <c r="AG78" s="821">
        <f t="shared" ref="AG78" si="739">AG77/AC77-1</f>
        <v>0.20467751908099086</v>
      </c>
      <c r="AH78" s="821">
        <f t="shared" ref="AH78" si="740">AH77/AD77-1</f>
        <v>0.27605902134054339</v>
      </c>
      <c r="AI78" s="821">
        <f t="shared" ref="AI78" si="741">AI77/AE77-1</f>
        <v>0.35241004581429647</v>
      </c>
      <c r="AJ78" s="821" t="e">
        <f t="shared" ref="AJ78" si="742">AJ77/AF77-1</f>
        <v>#VALUE!</v>
      </c>
      <c r="AK78" s="821" t="e">
        <f t="shared" ref="AK78" si="743">AK77/AG77-1</f>
        <v>#VALUE!</v>
      </c>
      <c r="AL78" s="821" t="e">
        <f t="shared" ref="AL78:AM78" si="744">AL77/AH77-1</f>
        <v>#VALUE!</v>
      </c>
      <c r="AM78" s="821" t="e">
        <f t="shared" si="744"/>
        <v>#VALUE!</v>
      </c>
      <c r="AN78" s="821" t="e">
        <f t="shared" ref="AN78" si="745">AN77/AJ77-1</f>
        <v>#VALUE!</v>
      </c>
      <c r="AO78" s="821" t="e">
        <f t="shared" ref="AO78" si="746">AO77/AK77-1</f>
        <v>#VALUE!</v>
      </c>
      <c r="AP78" s="821" t="e">
        <f t="shared" ref="AP78" si="747">AP77/AL77-1</f>
        <v>#VALUE!</v>
      </c>
      <c r="AQ78" s="821" t="e">
        <f t="shared" ref="AQ78" si="748">AQ77/AM77-1</f>
        <v>#VALUE!</v>
      </c>
      <c r="AR78" s="821" t="e">
        <f t="shared" ref="AR78" si="749">AR77/AN77-1</f>
        <v>#VALUE!</v>
      </c>
      <c r="AS78" s="821" t="e">
        <f t="shared" ref="AS78" si="750">AS77/AO77-1</f>
        <v>#VALUE!</v>
      </c>
      <c r="AT78" s="821" t="e">
        <f t="shared" ref="AT78" si="751">AT77/AP77-1</f>
        <v>#VALUE!</v>
      </c>
      <c r="AU78" s="821" t="e">
        <f t="shared" ref="AU78" si="752">AU77/AQ77-1</f>
        <v>#VALUE!</v>
      </c>
      <c r="AW78" s="805"/>
      <c r="AX78" s="812">
        <v>0.36550690421623622</v>
      </c>
      <c r="AY78" s="812">
        <v>-1.4009945151458236</v>
      </c>
      <c r="AZ78" s="812">
        <v>-5.7581687970932949</v>
      </c>
      <c r="BA78" s="812">
        <v>0.77304278763501433</v>
      </c>
      <c r="BB78" s="812">
        <f t="shared" ref="BB78:BE78" si="753">BB77/BA77-1</f>
        <v>0.26127152606812287</v>
      </c>
      <c r="BC78" s="821">
        <f t="shared" si="753"/>
        <v>0.35308671161093264</v>
      </c>
      <c r="BD78" s="821">
        <f t="shared" si="753"/>
        <v>0.31703013326418739</v>
      </c>
      <c r="BE78" s="821">
        <f t="shared" si="753"/>
        <v>0.46969274807276373</v>
      </c>
      <c r="BF78" s="821">
        <f t="shared" ref="BF78" si="754">BF77/BE77-1</f>
        <v>9.3618081075334203E-2</v>
      </c>
      <c r="BG78" s="821">
        <f t="shared" ref="BG78" si="755">BG77/BF77-1</f>
        <v>0.22624906521725552</v>
      </c>
    </row>
    <row r="79" spans="1:59">
      <c r="A79" s="783" t="s">
        <v>470</v>
      </c>
      <c r="C79" s="783" t="s">
        <v>475</v>
      </c>
      <c r="D79" s="812"/>
      <c r="E79" s="812">
        <v>-2.3504191863127524</v>
      </c>
      <c r="F79" s="812">
        <v>-0.47096816473946346</v>
      </c>
      <c r="G79" s="812">
        <v>2.2897127441399525</v>
      </c>
      <c r="H79" s="812">
        <v>-0.4540103553235777</v>
      </c>
      <c r="I79" s="812">
        <v>-0.34605536952121452</v>
      </c>
      <c r="J79" s="812">
        <v>-0.46795589387991676</v>
      </c>
      <c r="K79" s="812">
        <v>4.0654289364138938</v>
      </c>
      <c r="L79" s="812">
        <v>-1.2855395294845979</v>
      </c>
      <c r="M79" s="812">
        <v>2.3618059996954468</v>
      </c>
      <c r="N79" s="812">
        <v>-0.63270379372540997</v>
      </c>
      <c r="O79" s="812">
        <v>-3.7172836246488536</v>
      </c>
      <c r="P79" s="812">
        <v>-0.60168495024822</v>
      </c>
      <c r="Q79" s="812">
        <v>-7.4224730152175789E-2</v>
      </c>
      <c r="R79" s="812">
        <v>2.3969230769230769</v>
      </c>
      <c r="S79" s="812">
        <v>0.61594202898550732</v>
      </c>
      <c r="T79" s="812">
        <v>-0.49058295964125564</v>
      </c>
      <c r="U79" s="812">
        <v>0.465669014084507</v>
      </c>
      <c r="V79" s="812">
        <v>0.2642642642642643</v>
      </c>
      <c r="W79" s="812">
        <v>0.45130641330166266</v>
      </c>
      <c r="X79" s="812">
        <f t="shared" ref="X79:AA79" si="756">X77/W77-1</f>
        <v>-0.40589198036006546</v>
      </c>
      <c r="Y79" s="812">
        <f t="shared" si="756"/>
        <v>0.16280991735537187</v>
      </c>
      <c r="Z79" s="812">
        <f t="shared" si="756"/>
        <v>0.20113717128642494</v>
      </c>
      <c r="AA79" s="812">
        <f t="shared" si="756"/>
        <v>0.41639270216962521</v>
      </c>
      <c r="AB79" s="821">
        <f t="shared" ref="AB79" si="757">AB77/AA77-1</f>
        <v>-0.34146018631378905</v>
      </c>
      <c r="AC79" s="821">
        <f t="shared" ref="AC79" si="758">AC77/AB77-1</f>
        <v>0.2681344393347711</v>
      </c>
      <c r="AD79" s="821">
        <f t="shared" ref="AD79" si="759">AD77/AC77-1</f>
        <v>0.10832735263298665</v>
      </c>
      <c r="AE79" s="821">
        <f t="shared" ref="AE79" si="760">AE77/AD77-1</f>
        <v>0.43539939920693138</v>
      </c>
      <c r="AF79" s="821">
        <f t="shared" ref="AF79" si="761">AF77/AE77-1</f>
        <v>-0.41530975222966049</v>
      </c>
      <c r="AG79" s="821">
        <f t="shared" ref="AG79" si="762">AG77/AF77-1</f>
        <v>0.29510250740165311</v>
      </c>
      <c r="AH79" s="821">
        <f t="shared" ref="AH79" si="763">AH77/AG77-1</f>
        <v>0.17399975887714803</v>
      </c>
      <c r="AI79" s="821">
        <f t="shared" ref="AI79" si="764">AI77/AH77-1</f>
        <v>0.52128430956423322</v>
      </c>
      <c r="AJ79" s="821" t="e">
        <f t="shared" ref="AJ79" si="765">AJ77/AI77-1</f>
        <v>#VALUE!</v>
      </c>
      <c r="AK79" s="821" t="e">
        <f t="shared" ref="AK79" si="766">AK77/AJ77-1</f>
        <v>#VALUE!</v>
      </c>
      <c r="AL79" s="821" t="e">
        <f t="shared" ref="AL79:AM79" si="767">AL77/AK77-1</f>
        <v>#VALUE!</v>
      </c>
      <c r="AM79" s="821" t="e">
        <f t="shared" si="767"/>
        <v>#VALUE!</v>
      </c>
      <c r="AN79" s="821" t="e">
        <f t="shared" ref="AN79" si="768">AN77/AM77-1</f>
        <v>#VALUE!</v>
      </c>
      <c r="AO79" s="821" t="e">
        <f t="shared" ref="AO79" si="769">AO77/AN77-1</f>
        <v>#VALUE!</v>
      </c>
      <c r="AP79" s="821" t="e">
        <f t="shared" ref="AP79" si="770">AP77/AO77-1</f>
        <v>#VALUE!</v>
      </c>
      <c r="AQ79" s="821" t="e">
        <f t="shared" ref="AQ79" si="771">AQ77/AP77-1</f>
        <v>#VALUE!</v>
      </c>
      <c r="AR79" s="821" t="e">
        <f t="shared" ref="AR79" si="772">AR77/AQ77-1</f>
        <v>#VALUE!</v>
      </c>
      <c r="AS79" s="821" t="e">
        <f t="shared" ref="AS79" si="773">AS77/AR77-1</f>
        <v>#VALUE!</v>
      </c>
      <c r="AT79" s="821" t="e">
        <f t="shared" ref="AT79" si="774">AT77/AS77-1</f>
        <v>#VALUE!</v>
      </c>
      <c r="AU79" s="821" t="e">
        <f t="shared" ref="AU79" si="775">AU77/AT77-1</f>
        <v>#VALUE!</v>
      </c>
      <c r="AW79" s="805"/>
      <c r="AX79" s="805"/>
      <c r="AY79" s="805"/>
      <c r="AZ79" s="805"/>
      <c r="BA79" s="805"/>
      <c r="BB79" s="805"/>
      <c r="BC79" s="827"/>
      <c r="BD79" s="827"/>
      <c r="BE79" s="827"/>
      <c r="BF79" s="827"/>
      <c r="BG79" s="827"/>
    </row>
    <row r="80" spans="1:59">
      <c r="A80" s="783" t="s">
        <v>414</v>
      </c>
      <c r="C80" s="783" t="s">
        <v>412</v>
      </c>
      <c r="D80" s="812">
        <v>-0.21637364601351913</v>
      </c>
      <c r="E80" s="812">
        <v>0.19224991985620313</v>
      </c>
      <c r="F80" s="812">
        <v>9.4673607808132609E-2</v>
      </c>
      <c r="G80" s="812">
        <v>0.24444793320132877</v>
      </c>
      <c r="H80" s="812">
        <v>0.13199414958018382</v>
      </c>
      <c r="I80" s="812">
        <v>7.6234509558692154E-2</v>
      </c>
      <c r="J80" s="812">
        <v>4.0403474113229039E-2</v>
      </c>
      <c r="K80" s="812">
        <v>0.16665338428896889</v>
      </c>
      <c r="L80" s="812">
        <v>-5.4560273441102404E-2</v>
      </c>
      <c r="M80" s="812">
        <v>-0.17047031688805872</v>
      </c>
      <c r="N80" s="812">
        <v>-5.9352883911579557E-2</v>
      </c>
      <c r="O80" s="812">
        <v>0.1269980656815245</v>
      </c>
      <c r="P80" s="812">
        <v>5.8199124668435014E-2</v>
      </c>
      <c r="Q80" s="812">
        <v>4.796340023612751E-2</v>
      </c>
      <c r="R80" s="812">
        <v>0.16102683780630106</v>
      </c>
      <c r="S80" s="812">
        <v>0.2080223880597015</v>
      </c>
      <c r="T80" s="812">
        <v>0.12208490059108006</v>
      </c>
      <c r="U80" s="812">
        <v>0.16283618581907092</v>
      </c>
      <c r="V80" s="812">
        <v>0.19472710453283995</v>
      </c>
      <c r="W80" s="812">
        <v>0.21728307254623044</v>
      </c>
      <c r="X80" s="812">
        <f t="shared" ref="X80:AA80" si="776">X77/X$10</f>
        <v>0.15381355932203389</v>
      </c>
      <c r="Y80" s="812">
        <f t="shared" si="776"/>
        <v>0.1575</v>
      </c>
      <c r="Z80" s="812">
        <f t="shared" si="776"/>
        <v>0.17827004219409281</v>
      </c>
      <c r="AA80" s="812">
        <f t="shared" si="776"/>
        <v>0.19556402505446621</v>
      </c>
      <c r="AB80" s="821">
        <f t="shared" ref="AB80:AE80" si="777">AB77/AB$10</f>
        <v>0.14918130914826497</v>
      </c>
      <c r="AC80" s="821">
        <f t="shared" si="777"/>
        <v>0.16737560703321241</v>
      </c>
      <c r="AD80" s="821">
        <f t="shared" si="777"/>
        <v>0.18202631347608514</v>
      </c>
      <c r="AE80" s="821">
        <f t="shared" si="777"/>
        <v>0.20489348177887767</v>
      </c>
      <c r="AF80" s="821">
        <f t="shared" ref="AF80:AL80" si="778">AF77/AF$10</f>
        <v>0.14166326667279877</v>
      </c>
      <c r="AG80" s="821">
        <f t="shared" si="778"/>
        <v>0.166332188809483</v>
      </c>
      <c r="AH80" s="821">
        <f t="shared" si="778"/>
        <v>0.18820537072304094</v>
      </c>
      <c r="AI80" s="821">
        <f t="shared" si="778"/>
        <v>0.22521082547237734</v>
      </c>
      <c r="AJ80" s="821" t="e">
        <f t="shared" si="778"/>
        <v>#VALUE!</v>
      </c>
      <c r="AK80" s="821" t="e">
        <f t="shared" si="778"/>
        <v>#VALUE!</v>
      </c>
      <c r="AL80" s="821" t="e">
        <f t="shared" si="778"/>
        <v>#VALUE!</v>
      </c>
      <c r="AM80" s="821" t="e">
        <f t="shared" ref="AM80:AP80" si="779">AM77/AM$10</f>
        <v>#VALUE!</v>
      </c>
      <c r="AN80" s="821" t="e">
        <f t="shared" si="779"/>
        <v>#VALUE!</v>
      </c>
      <c r="AO80" s="821" t="e">
        <f t="shared" si="779"/>
        <v>#VALUE!</v>
      </c>
      <c r="AP80" s="821" t="e">
        <f t="shared" si="779"/>
        <v>#VALUE!</v>
      </c>
      <c r="AQ80" s="821" t="e">
        <f t="shared" ref="AQ80:AU80" si="780">AQ77/AQ$10</f>
        <v>#VALUE!</v>
      </c>
      <c r="AR80" s="821" t="e">
        <f t="shared" si="780"/>
        <v>#VALUE!</v>
      </c>
      <c r="AS80" s="821" t="e">
        <f t="shared" si="780"/>
        <v>#VALUE!</v>
      </c>
      <c r="AT80" s="821" t="e">
        <f t="shared" si="780"/>
        <v>#VALUE!</v>
      </c>
      <c r="AU80" s="821" t="e">
        <f t="shared" si="780"/>
        <v>#VALUE!</v>
      </c>
      <c r="AV80" s="805"/>
      <c r="AW80" s="805"/>
      <c r="AX80" s="812">
        <v>0.10283784229169342</v>
      </c>
      <c r="AY80" s="812">
        <v>-3.3961717641714163E-2</v>
      </c>
      <c r="AZ80" s="812">
        <v>0.12817468838526913</v>
      </c>
      <c r="BA80" s="812">
        <v>0.1806813063063063</v>
      </c>
      <c r="BB80" s="812">
        <f t="shared" ref="BB80:BD80" si="781">BB77/BB$10</f>
        <v>0.17511657147802007</v>
      </c>
      <c r="BC80" s="821">
        <f t="shared" si="781"/>
        <v>0.18281856544141098</v>
      </c>
      <c r="BD80" s="821">
        <f t="shared" si="781"/>
        <v>0.19317867728792906</v>
      </c>
      <c r="BE80" s="821">
        <f t="shared" ref="BE80:BG80" si="782">BE77/BE$10</f>
        <v>0.22581305272737417</v>
      </c>
      <c r="BF80" s="821">
        <f t="shared" si="782"/>
        <v>0.20531464900106761</v>
      </c>
      <c r="BG80" s="821">
        <f t="shared" si="782"/>
        <v>0.21297463840854813</v>
      </c>
    </row>
    <row r="81" spans="1:59">
      <c r="A81" s="783"/>
      <c r="D81" s="810"/>
      <c r="AB81" s="822"/>
      <c r="AC81" s="822"/>
      <c r="AD81" s="822"/>
      <c r="AE81" s="822"/>
      <c r="AF81" s="822"/>
      <c r="AG81" s="822"/>
      <c r="AH81" s="822"/>
      <c r="AI81" s="822"/>
      <c r="AJ81" s="822"/>
      <c r="AK81" s="822"/>
      <c r="AL81" s="822"/>
      <c r="AM81" s="822"/>
      <c r="AN81" s="822"/>
      <c r="AO81" s="822"/>
      <c r="AP81" s="822"/>
      <c r="AQ81" s="822"/>
      <c r="AR81" s="822"/>
      <c r="AS81" s="822"/>
      <c r="AT81" s="822"/>
      <c r="AU81" s="822"/>
      <c r="BC81" s="822"/>
      <c r="BD81" s="822"/>
      <c r="BE81" s="822"/>
      <c r="BF81" s="822"/>
      <c r="BG81" s="822"/>
    </row>
    <row r="82" spans="1:59">
      <c r="A82" s="783" t="s">
        <v>471</v>
      </c>
      <c r="B82" s="790" t="s">
        <v>492</v>
      </c>
      <c r="C82" s="783" t="s">
        <v>471</v>
      </c>
      <c r="D82" s="817">
        <v>14.3796</v>
      </c>
      <c r="E82" s="817">
        <v>19.920666000000001</v>
      </c>
      <c r="F82" s="817">
        <v>18.013334</v>
      </c>
      <c r="G82" s="817">
        <v>24.7486</v>
      </c>
      <c r="H82" s="817">
        <v>15.836364</v>
      </c>
      <c r="I82" s="817">
        <v>14.7378</v>
      </c>
      <c r="J82" s="817">
        <v>18.304500000000001</v>
      </c>
      <c r="K82" s="817">
        <v>20.654667</v>
      </c>
      <c r="L82" s="817">
        <v>16.745100000000001</v>
      </c>
      <c r="M82" s="817">
        <v>16.357222</v>
      </c>
      <c r="N82" s="817">
        <v>27.712499999999999</v>
      </c>
      <c r="O82" s="817">
        <v>29.832000000000001</v>
      </c>
      <c r="P82" s="817">
        <v>29</v>
      </c>
      <c r="Q82" s="817">
        <v>17</v>
      </c>
      <c r="R82" s="817">
        <v>13</v>
      </c>
      <c r="S82" s="817">
        <v>10</v>
      </c>
      <c r="T82" s="817">
        <v>10</v>
      </c>
      <c r="U82" s="817">
        <v>10</v>
      </c>
      <c r="V82" s="817">
        <v>8</v>
      </c>
      <c r="W82" s="817">
        <v>8</v>
      </c>
      <c r="X82" s="817">
        <v>8</v>
      </c>
      <c r="Y82" s="817">
        <v>8</v>
      </c>
      <c r="Z82" s="817">
        <v>8</v>
      </c>
      <c r="AA82" s="817">
        <v>7</v>
      </c>
      <c r="AB82" s="824">
        <v>7</v>
      </c>
      <c r="AC82" s="824">
        <v>9.7947000000000006</v>
      </c>
      <c r="AD82" s="824">
        <v>11.605</v>
      </c>
      <c r="AE82" s="824">
        <v>12.319000000000001</v>
      </c>
      <c r="AF82" s="824">
        <v>24.603332999999999</v>
      </c>
      <c r="AG82" s="824">
        <v>26.618334000000001</v>
      </c>
      <c r="AH82" s="824">
        <v>27.436167000000001</v>
      </c>
      <c r="AI82" s="824">
        <v>33.398665999999999</v>
      </c>
      <c r="AJ82" s="824" t="s">
        <v>835</v>
      </c>
      <c r="AK82" s="824" t="s">
        <v>835</v>
      </c>
      <c r="AL82" s="824" t="s">
        <v>835</v>
      </c>
      <c r="AM82" s="824" t="s">
        <v>835</v>
      </c>
      <c r="AN82" s="824" t="s">
        <v>835</v>
      </c>
      <c r="AO82" s="824" t="s">
        <v>835</v>
      </c>
      <c r="AP82" s="824" t="s">
        <v>835</v>
      </c>
      <c r="AQ82" s="824" t="s">
        <v>835</v>
      </c>
      <c r="AR82" s="824" t="s">
        <v>835</v>
      </c>
      <c r="AS82" s="824" t="s">
        <v>835</v>
      </c>
      <c r="AT82" s="824" t="s">
        <v>835</v>
      </c>
      <c r="AU82" s="824" t="s">
        <v>835</v>
      </c>
      <c r="AV82" s="818"/>
      <c r="AW82" s="817">
        <v>66.026229999999998</v>
      </c>
      <c r="AX82" s="817">
        <v>64.227540000000005</v>
      </c>
      <c r="AY82" s="817">
        <v>90.758330000000001</v>
      </c>
      <c r="AZ82" s="817">
        <v>69.230770000000007</v>
      </c>
      <c r="BA82" s="817">
        <v>35.22222</v>
      </c>
      <c r="BB82" s="817">
        <v>31</v>
      </c>
      <c r="BC82" s="824">
        <v>40.144627</v>
      </c>
      <c r="BD82" s="824">
        <v>47.271926999999998</v>
      </c>
      <c r="BE82" s="824">
        <v>46.225000000000001</v>
      </c>
      <c r="BF82" s="824" t="s">
        <v>835</v>
      </c>
      <c r="BG82" s="824" t="s">
        <v>835</v>
      </c>
    </row>
    <row r="83" spans="1:59">
      <c r="A83" s="783"/>
    </row>
    <row r="84" spans="1:59">
      <c r="A84" s="1294" t="s">
        <v>500</v>
      </c>
      <c r="B84" s="1295" t="s">
        <v>500</v>
      </c>
      <c r="C84" s="1294" t="s">
        <v>500</v>
      </c>
      <c r="D84" s="817" t="e">
        <v>#NUM!</v>
      </c>
      <c r="E84" s="817" t="e">
        <v>#NUM!</v>
      </c>
      <c r="F84" s="817" t="e">
        <v>#NUM!</v>
      </c>
      <c r="G84" s="817" t="e">
        <v>#NUM!</v>
      </c>
      <c r="H84" s="817" t="e">
        <v>#NUM!</v>
      </c>
      <c r="I84" s="817" t="e">
        <v>#NUM!</v>
      </c>
      <c r="J84" s="817" t="e">
        <v>#NUM!</v>
      </c>
      <c r="K84" s="817" t="e">
        <v>#NUM!</v>
      </c>
      <c r="L84" s="817" t="e">
        <v>#NUM!</v>
      </c>
      <c r="M84" s="817" t="e">
        <v>#NUM!</v>
      </c>
      <c r="N84" s="817" t="e">
        <v>#NUM!</v>
      </c>
      <c r="O84" s="817" t="e">
        <v>#NUM!</v>
      </c>
      <c r="P84" s="817" t="e">
        <v>#NUM!</v>
      </c>
      <c r="Q84" s="817" t="e">
        <v>#NUM!</v>
      </c>
      <c r="R84" s="817" t="e">
        <v>#NUM!</v>
      </c>
      <c r="S84" s="817" t="e">
        <v>#NUM!</v>
      </c>
      <c r="T84" s="817" t="e">
        <v>#NUM!</v>
      </c>
      <c r="U84" s="817" t="e">
        <v>#NUM!</v>
      </c>
      <c r="V84" s="817" t="e">
        <v>#NUM!</v>
      </c>
      <c r="W84" s="817" t="e">
        <v>#NUM!</v>
      </c>
      <c r="X84" s="817" t="e">
        <v>#NUM!</v>
      </c>
      <c r="Y84" s="817" t="e">
        <v>#NUM!</v>
      </c>
      <c r="Z84" s="817" t="e">
        <v>#NUM!</v>
      </c>
      <c r="AA84" s="817" t="e">
        <v>#NUM!</v>
      </c>
      <c r="AB84" s="824" t="e">
        <v>#NUM!</v>
      </c>
      <c r="AC84" s="824" t="e">
        <v>#NUM!</v>
      </c>
      <c r="AD84" s="824" t="e">
        <v>#NUM!</v>
      </c>
      <c r="AE84" s="824" t="e">
        <v>#NUM!</v>
      </c>
      <c r="AF84" s="824" t="e">
        <v>#NUM!</v>
      </c>
      <c r="AG84" s="824" t="e">
        <v>#NUM!</v>
      </c>
      <c r="AH84" s="824" t="e">
        <v>#NUM!</v>
      </c>
      <c r="AI84" s="824" t="e">
        <v>#NUM!</v>
      </c>
      <c r="AJ84" s="824" t="e">
        <v>#NUM!</v>
      </c>
      <c r="AK84" s="824" t="e">
        <v>#NUM!</v>
      </c>
      <c r="AL84" s="824" t="e">
        <v>#NUM!</v>
      </c>
      <c r="AM84" s="824" t="e">
        <v>#NUM!</v>
      </c>
      <c r="AN84" s="824" t="e">
        <v>#NUM!</v>
      </c>
      <c r="AO84" s="824" t="e">
        <v>#NUM!</v>
      </c>
      <c r="AP84" s="824" t="e">
        <v>#NUM!</v>
      </c>
      <c r="AQ84" s="824" t="e">
        <v>#NUM!</v>
      </c>
      <c r="AR84" s="824" t="e">
        <v>#NUM!</v>
      </c>
      <c r="AS84" s="824" t="e">
        <v>#NUM!</v>
      </c>
      <c r="AT84" s="824" t="e">
        <v>#NUM!</v>
      </c>
      <c r="AU84" s="824" t="e">
        <v>#NUM!</v>
      </c>
      <c r="AV84" s="818"/>
      <c r="AW84" s="817" t="e">
        <v>#NUM!</v>
      </c>
      <c r="AX84" s="817" t="e">
        <v>#NUM!</v>
      </c>
      <c r="AY84" s="817" t="e">
        <v>#NUM!</v>
      </c>
      <c r="AZ84" s="817" t="e">
        <v>#NUM!</v>
      </c>
      <c r="BA84" s="817" t="e">
        <v>#NUM!</v>
      </c>
      <c r="BB84" s="817" t="e">
        <v>#NUM!</v>
      </c>
      <c r="BC84" s="824" t="e">
        <v>#NUM!</v>
      </c>
      <c r="BD84" s="824" t="e">
        <v>#NUM!</v>
      </c>
      <c r="BE84" s="824" t="e">
        <v>#NUM!</v>
      </c>
      <c r="BF84" s="824" t="e">
        <v>#NUM!</v>
      </c>
      <c r="BG84" s="824" t="e">
        <v>#NUM!</v>
      </c>
    </row>
    <row r="85" spans="1:59">
      <c r="A85" s="783" t="s">
        <v>714</v>
      </c>
      <c r="C85" s="783" t="s">
        <v>474</v>
      </c>
      <c r="D85" s="812"/>
      <c r="E85" s="805"/>
      <c r="F85" s="805"/>
      <c r="G85" s="805"/>
      <c r="H85" s="812" t="e">
        <v>#NUM!</v>
      </c>
      <c r="I85" s="812" t="e">
        <v>#NUM!</v>
      </c>
      <c r="J85" s="812" t="e">
        <v>#NUM!</v>
      </c>
      <c r="K85" s="812" t="e">
        <v>#NUM!</v>
      </c>
      <c r="L85" s="812" t="e">
        <v>#NUM!</v>
      </c>
      <c r="M85" s="812" t="e">
        <v>#NUM!</v>
      </c>
      <c r="N85" s="812" t="e">
        <v>#NUM!</v>
      </c>
      <c r="O85" s="812" t="e">
        <v>#NUM!</v>
      </c>
      <c r="P85" s="812" t="e">
        <v>#NUM!</v>
      </c>
      <c r="Q85" s="812" t="e">
        <v>#NUM!</v>
      </c>
      <c r="R85" s="812" t="e">
        <v>#NUM!</v>
      </c>
      <c r="S85" s="812" t="e">
        <v>#NUM!</v>
      </c>
      <c r="T85" s="812" t="e">
        <v>#NUM!</v>
      </c>
      <c r="U85" s="812" t="e">
        <v>#NUM!</v>
      </c>
      <c r="V85" s="812" t="e">
        <v>#NUM!</v>
      </c>
      <c r="W85" s="812" t="e">
        <v>#NUM!</v>
      </c>
      <c r="X85" s="812" t="e">
        <f t="shared" ref="X85:AA85" si="783">X84/T84-1</f>
        <v>#NUM!</v>
      </c>
      <c r="Y85" s="812" t="e">
        <f t="shared" si="783"/>
        <v>#NUM!</v>
      </c>
      <c r="Z85" s="812" t="e">
        <f t="shared" si="783"/>
        <v>#NUM!</v>
      </c>
      <c r="AA85" s="812" t="e">
        <f t="shared" si="783"/>
        <v>#NUM!</v>
      </c>
      <c r="AB85" s="821" t="e">
        <f t="shared" ref="AB85" si="784">AB84/X84-1</f>
        <v>#NUM!</v>
      </c>
      <c r="AC85" s="821" t="e">
        <f t="shared" ref="AC85" si="785">AC84/Y84-1</f>
        <v>#NUM!</v>
      </c>
      <c r="AD85" s="821" t="e">
        <f t="shared" ref="AD85" si="786">AD84/Z84-1</f>
        <v>#NUM!</v>
      </c>
      <c r="AE85" s="821" t="e">
        <f t="shared" ref="AE85" si="787">AE84/AA84-1</f>
        <v>#NUM!</v>
      </c>
      <c r="AF85" s="821" t="e">
        <f t="shared" ref="AF85" si="788">AF84/AB84-1</f>
        <v>#NUM!</v>
      </c>
      <c r="AG85" s="821" t="e">
        <f t="shared" ref="AG85" si="789">AG84/AC84-1</f>
        <v>#NUM!</v>
      </c>
      <c r="AH85" s="821" t="e">
        <f t="shared" ref="AH85" si="790">AH84/AD84-1</f>
        <v>#NUM!</v>
      </c>
      <c r="AI85" s="821" t="e">
        <f t="shared" ref="AI85" si="791">AI84/AE84-1</f>
        <v>#NUM!</v>
      </c>
      <c r="AJ85" s="821" t="e">
        <f t="shared" ref="AJ85" si="792">AJ84/AF84-1</f>
        <v>#NUM!</v>
      </c>
      <c r="AK85" s="821" t="e">
        <f t="shared" ref="AK85" si="793">AK84/AG84-1</f>
        <v>#NUM!</v>
      </c>
      <c r="AL85" s="821" t="e">
        <f t="shared" ref="AL85:AM85" si="794">AL84/AH84-1</f>
        <v>#NUM!</v>
      </c>
      <c r="AM85" s="821" t="e">
        <f t="shared" si="794"/>
        <v>#NUM!</v>
      </c>
      <c r="AN85" s="821" t="e">
        <f t="shared" ref="AN85" si="795">AN84/AJ84-1</f>
        <v>#NUM!</v>
      </c>
      <c r="AO85" s="821" t="e">
        <f t="shared" ref="AO85" si="796">AO84/AK84-1</f>
        <v>#NUM!</v>
      </c>
      <c r="AP85" s="821" t="e">
        <f t="shared" ref="AP85" si="797">AP84/AL84-1</f>
        <v>#NUM!</v>
      </c>
      <c r="AQ85" s="821" t="e">
        <f t="shared" ref="AQ85" si="798">AQ84/AM84-1</f>
        <v>#NUM!</v>
      </c>
      <c r="AR85" s="821" t="e">
        <f t="shared" ref="AR85" si="799">AR84/AN84-1</f>
        <v>#NUM!</v>
      </c>
      <c r="AS85" s="821" t="e">
        <f t="shared" ref="AS85" si="800">AS84/AO84-1</f>
        <v>#NUM!</v>
      </c>
      <c r="AT85" s="821" t="e">
        <f t="shared" ref="AT85" si="801">AT84/AP84-1</f>
        <v>#NUM!</v>
      </c>
      <c r="AU85" s="821" t="e">
        <f t="shared" ref="AU85" si="802">AU84/AQ84-1</f>
        <v>#NUM!</v>
      </c>
      <c r="AW85" s="805"/>
      <c r="AX85" s="812" t="e">
        <v>#NUM!</v>
      </c>
      <c r="AY85" s="812" t="e">
        <v>#NUM!</v>
      </c>
      <c r="AZ85" s="812" t="e">
        <v>#NUM!</v>
      </c>
      <c r="BA85" s="812" t="e">
        <v>#NUM!</v>
      </c>
      <c r="BB85" s="812" t="e">
        <f t="shared" ref="BB85:BE85" si="803">BB84/BA84-1</f>
        <v>#NUM!</v>
      </c>
      <c r="BC85" s="821" t="e">
        <f t="shared" si="803"/>
        <v>#NUM!</v>
      </c>
      <c r="BD85" s="821" t="e">
        <f t="shared" si="803"/>
        <v>#NUM!</v>
      </c>
      <c r="BE85" s="821" t="e">
        <f t="shared" si="803"/>
        <v>#NUM!</v>
      </c>
      <c r="BF85" s="821" t="e">
        <f t="shared" ref="BF85" si="804">BF84/BE84-1</f>
        <v>#NUM!</v>
      </c>
      <c r="BG85" s="821" t="e">
        <f t="shared" ref="BG85" si="805">BG84/BF84-1</f>
        <v>#NUM!</v>
      </c>
    </row>
    <row r="86" spans="1:59">
      <c r="A86" s="783" t="s">
        <v>718</v>
      </c>
      <c r="C86" s="783" t="s">
        <v>475</v>
      </c>
      <c r="D86" s="812"/>
      <c r="E86" s="812" t="e">
        <v>#NUM!</v>
      </c>
      <c r="F86" s="812" t="e">
        <v>#NUM!</v>
      </c>
      <c r="G86" s="812" t="e">
        <v>#NUM!</v>
      </c>
      <c r="H86" s="812" t="e">
        <v>#NUM!</v>
      </c>
      <c r="I86" s="812" t="e">
        <v>#NUM!</v>
      </c>
      <c r="J86" s="812" t="e">
        <v>#NUM!</v>
      </c>
      <c r="K86" s="812" t="e">
        <v>#NUM!</v>
      </c>
      <c r="L86" s="812" t="e">
        <v>#NUM!</v>
      </c>
      <c r="M86" s="812" t="e">
        <v>#NUM!</v>
      </c>
      <c r="N86" s="812" t="e">
        <v>#NUM!</v>
      </c>
      <c r="O86" s="812" t="e">
        <v>#NUM!</v>
      </c>
      <c r="P86" s="812" t="e">
        <v>#NUM!</v>
      </c>
      <c r="Q86" s="812" t="e">
        <v>#NUM!</v>
      </c>
      <c r="R86" s="812" t="e">
        <v>#NUM!</v>
      </c>
      <c r="S86" s="812" t="e">
        <v>#NUM!</v>
      </c>
      <c r="T86" s="812" t="e">
        <v>#NUM!</v>
      </c>
      <c r="U86" s="812" t="e">
        <v>#NUM!</v>
      </c>
      <c r="V86" s="812" t="e">
        <v>#NUM!</v>
      </c>
      <c r="W86" s="812" t="e">
        <v>#NUM!</v>
      </c>
      <c r="X86" s="812" t="e">
        <f t="shared" ref="X86:AA86" si="806">X84/W84-1</f>
        <v>#NUM!</v>
      </c>
      <c r="Y86" s="812" t="e">
        <f t="shared" si="806"/>
        <v>#NUM!</v>
      </c>
      <c r="Z86" s="812" t="e">
        <f t="shared" si="806"/>
        <v>#NUM!</v>
      </c>
      <c r="AA86" s="812" t="e">
        <f t="shared" si="806"/>
        <v>#NUM!</v>
      </c>
      <c r="AB86" s="821" t="e">
        <f t="shared" ref="AB86" si="807">AB84/AA84-1</f>
        <v>#NUM!</v>
      </c>
      <c r="AC86" s="821" t="e">
        <f t="shared" ref="AC86" si="808">AC84/AB84-1</f>
        <v>#NUM!</v>
      </c>
      <c r="AD86" s="821" t="e">
        <f t="shared" ref="AD86" si="809">AD84/AC84-1</f>
        <v>#NUM!</v>
      </c>
      <c r="AE86" s="821" t="e">
        <f t="shared" ref="AE86" si="810">AE84/AD84-1</f>
        <v>#NUM!</v>
      </c>
      <c r="AF86" s="821" t="e">
        <f t="shared" ref="AF86" si="811">AF84/AE84-1</f>
        <v>#NUM!</v>
      </c>
      <c r="AG86" s="821" t="e">
        <f t="shared" ref="AG86" si="812">AG84/AF84-1</f>
        <v>#NUM!</v>
      </c>
      <c r="AH86" s="821" t="e">
        <f t="shared" ref="AH86" si="813">AH84/AG84-1</f>
        <v>#NUM!</v>
      </c>
      <c r="AI86" s="821" t="e">
        <f t="shared" ref="AI86" si="814">AI84/AH84-1</f>
        <v>#NUM!</v>
      </c>
      <c r="AJ86" s="821" t="e">
        <f t="shared" ref="AJ86" si="815">AJ84/AI84-1</f>
        <v>#NUM!</v>
      </c>
      <c r="AK86" s="821" t="e">
        <f t="shared" ref="AK86" si="816">AK84/AJ84-1</f>
        <v>#NUM!</v>
      </c>
      <c r="AL86" s="821" t="e">
        <f t="shared" ref="AL86:AM86" si="817">AL84/AK84-1</f>
        <v>#NUM!</v>
      </c>
      <c r="AM86" s="821" t="e">
        <f t="shared" si="817"/>
        <v>#NUM!</v>
      </c>
      <c r="AN86" s="821" t="e">
        <f t="shared" ref="AN86" si="818">AN84/AM84-1</f>
        <v>#NUM!</v>
      </c>
      <c r="AO86" s="821" t="e">
        <f t="shared" ref="AO86" si="819">AO84/AN84-1</f>
        <v>#NUM!</v>
      </c>
      <c r="AP86" s="821" t="e">
        <f t="shared" ref="AP86" si="820">AP84/AO84-1</f>
        <v>#NUM!</v>
      </c>
      <c r="AQ86" s="821" t="e">
        <f t="shared" ref="AQ86" si="821">AQ84/AP84-1</f>
        <v>#NUM!</v>
      </c>
      <c r="AR86" s="821" t="e">
        <f t="shared" ref="AR86" si="822">AR84/AQ84-1</f>
        <v>#NUM!</v>
      </c>
      <c r="AS86" s="821" t="e">
        <f t="shared" ref="AS86" si="823">AS84/AR84-1</f>
        <v>#NUM!</v>
      </c>
      <c r="AT86" s="821" t="e">
        <f t="shared" ref="AT86" si="824">AT84/AS84-1</f>
        <v>#NUM!</v>
      </c>
      <c r="AU86" s="821" t="e">
        <f t="shared" ref="AU86" si="825">AU84/AT84-1</f>
        <v>#NUM!</v>
      </c>
      <c r="AW86" s="805"/>
      <c r="AX86" s="805"/>
      <c r="AY86" s="805"/>
      <c r="AZ86" s="805"/>
      <c r="BA86" s="805"/>
      <c r="BB86" s="805"/>
      <c r="BC86" s="827"/>
      <c r="BD86" s="827"/>
      <c r="BE86" s="827"/>
      <c r="BF86" s="827"/>
      <c r="BG86" s="827"/>
    </row>
    <row r="87" spans="1:59">
      <c r="A87" s="783" t="s">
        <v>719</v>
      </c>
      <c r="C87" s="783" t="s">
        <v>412</v>
      </c>
      <c r="D87" s="812" t="e">
        <v>#NUM!</v>
      </c>
      <c r="E87" s="812" t="e">
        <v>#NUM!</v>
      </c>
      <c r="F87" s="812" t="e">
        <v>#NUM!</v>
      </c>
      <c r="G87" s="812" t="e">
        <v>#NUM!</v>
      </c>
      <c r="H87" s="812" t="e">
        <v>#NUM!</v>
      </c>
      <c r="I87" s="812" t="e">
        <v>#NUM!</v>
      </c>
      <c r="J87" s="812" t="e">
        <v>#NUM!</v>
      </c>
      <c r="K87" s="812" t="e">
        <v>#NUM!</v>
      </c>
      <c r="L87" s="812" t="e">
        <v>#NUM!</v>
      </c>
      <c r="M87" s="812" t="e">
        <v>#NUM!</v>
      </c>
      <c r="N87" s="812" t="e">
        <v>#NUM!</v>
      </c>
      <c r="O87" s="812" t="e">
        <v>#NUM!</v>
      </c>
      <c r="P87" s="812" t="e">
        <v>#NUM!</v>
      </c>
      <c r="Q87" s="812" t="e">
        <v>#NUM!</v>
      </c>
      <c r="R87" s="812" t="e">
        <v>#NUM!</v>
      </c>
      <c r="S87" s="812" t="e">
        <v>#NUM!</v>
      </c>
      <c r="T87" s="812" t="e">
        <v>#NUM!</v>
      </c>
      <c r="U87" s="812" t="e">
        <v>#NUM!</v>
      </c>
      <c r="V87" s="812" t="e">
        <v>#NUM!</v>
      </c>
      <c r="W87" s="812" t="e">
        <v>#NUM!</v>
      </c>
      <c r="X87" s="812" t="e">
        <f t="shared" ref="X87:AA87" si="826">X84/X$10</f>
        <v>#NUM!</v>
      </c>
      <c r="Y87" s="812" t="e">
        <f t="shared" si="826"/>
        <v>#NUM!</v>
      </c>
      <c r="Z87" s="812" t="e">
        <f t="shared" si="826"/>
        <v>#NUM!</v>
      </c>
      <c r="AA87" s="812" t="e">
        <f t="shared" si="826"/>
        <v>#NUM!</v>
      </c>
      <c r="AB87" s="821" t="e">
        <f t="shared" ref="AB87:AE87" si="827">AB84/AB$10</f>
        <v>#NUM!</v>
      </c>
      <c r="AC87" s="821" t="e">
        <f t="shared" si="827"/>
        <v>#NUM!</v>
      </c>
      <c r="AD87" s="821" t="e">
        <f t="shared" si="827"/>
        <v>#NUM!</v>
      </c>
      <c r="AE87" s="821" t="e">
        <f t="shared" si="827"/>
        <v>#NUM!</v>
      </c>
      <c r="AF87" s="821" t="e">
        <f t="shared" ref="AF87:AL87" si="828">AF84/AF$10</f>
        <v>#NUM!</v>
      </c>
      <c r="AG87" s="821" t="e">
        <f t="shared" si="828"/>
        <v>#NUM!</v>
      </c>
      <c r="AH87" s="821" t="e">
        <f t="shared" si="828"/>
        <v>#NUM!</v>
      </c>
      <c r="AI87" s="821" t="e">
        <f t="shared" si="828"/>
        <v>#NUM!</v>
      </c>
      <c r="AJ87" s="821" t="e">
        <f t="shared" si="828"/>
        <v>#NUM!</v>
      </c>
      <c r="AK87" s="821" t="e">
        <f t="shared" si="828"/>
        <v>#NUM!</v>
      </c>
      <c r="AL87" s="821" t="e">
        <f t="shared" si="828"/>
        <v>#NUM!</v>
      </c>
      <c r="AM87" s="821" t="e">
        <f t="shared" ref="AM87:AP87" si="829">AM84/AM$10</f>
        <v>#NUM!</v>
      </c>
      <c r="AN87" s="821" t="e">
        <f t="shared" si="829"/>
        <v>#NUM!</v>
      </c>
      <c r="AO87" s="821" t="e">
        <f t="shared" si="829"/>
        <v>#NUM!</v>
      </c>
      <c r="AP87" s="821" t="e">
        <f t="shared" si="829"/>
        <v>#NUM!</v>
      </c>
      <c r="AQ87" s="821" t="e">
        <f t="shared" ref="AQ87:AU87" si="830">AQ84/AQ$10</f>
        <v>#NUM!</v>
      </c>
      <c r="AR87" s="821" t="e">
        <f t="shared" si="830"/>
        <v>#NUM!</v>
      </c>
      <c r="AS87" s="821" t="e">
        <f t="shared" si="830"/>
        <v>#NUM!</v>
      </c>
      <c r="AT87" s="821" t="e">
        <f t="shared" si="830"/>
        <v>#NUM!</v>
      </c>
      <c r="AU87" s="821" t="e">
        <f t="shared" si="830"/>
        <v>#NUM!</v>
      </c>
      <c r="AV87" s="805"/>
      <c r="AW87" s="805"/>
      <c r="AX87" s="812" t="e">
        <v>#NUM!</v>
      </c>
      <c r="AY87" s="812" t="e">
        <v>#NUM!</v>
      </c>
      <c r="AZ87" s="812" t="e">
        <v>#NUM!</v>
      </c>
      <c r="BA87" s="812" t="e">
        <v>#NUM!</v>
      </c>
      <c r="BB87" s="812" t="e">
        <f t="shared" ref="BB87:BD87" si="831">BB84/BB$10</f>
        <v>#NUM!</v>
      </c>
      <c r="BC87" s="821" t="e">
        <f t="shared" si="831"/>
        <v>#NUM!</v>
      </c>
      <c r="BD87" s="821" t="e">
        <f t="shared" si="831"/>
        <v>#NUM!</v>
      </c>
      <c r="BE87" s="821" t="e">
        <f t="shared" ref="BE87:BG87" si="832">BE84/BE$10</f>
        <v>#NUM!</v>
      </c>
      <c r="BF87" s="821" t="e">
        <f t="shared" si="832"/>
        <v>#NUM!</v>
      </c>
      <c r="BG87" s="821" t="e">
        <f t="shared" si="832"/>
        <v>#NUM!</v>
      </c>
    </row>
    <row r="88" spans="1:59">
      <c r="A88" s="783"/>
    </row>
    <row r="89" spans="1:59">
      <c r="A89" s="783"/>
    </row>
    <row r="90" spans="1:59">
      <c r="A90" s="783"/>
    </row>
    <row r="91" spans="1:59">
      <c r="A91" s="783"/>
    </row>
    <row r="92" spans="1:59">
      <c r="A92" s="783"/>
    </row>
    <row r="93" spans="1:59">
      <c r="A93" s="783"/>
    </row>
    <row r="94" spans="1:59">
      <c r="A94" s="783"/>
    </row>
    <row r="95" spans="1:59">
      <c r="A95" s="783"/>
    </row>
    <row r="96" spans="1:59">
      <c r="A96" s="783"/>
    </row>
    <row r="97" spans="1:1">
      <c r="A97" s="783"/>
    </row>
    <row r="98" spans="1:1">
      <c r="A98" s="783"/>
    </row>
    <row r="99" spans="1:1">
      <c r="A99" s="783"/>
    </row>
    <row r="100" spans="1:1">
      <c r="A100" s="783"/>
    </row>
    <row r="101" spans="1:1">
      <c r="A101" s="783"/>
    </row>
    <row r="102" spans="1:1">
      <c r="A102" s="783"/>
    </row>
    <row r="103" spans="1:1">
      <c r="A103" s="783"/>
    </row>
    <row r="104" spans="1:1">
      <c r="A104" s="783"/>
    </row>
    <row r="105" spans="1:1">
      <c r="A105" s="783"/>
    </row>
    <row r="106" spans="1:1">
      <c r="A106" s="783"/>
    </row>
    <row r="107" spans="1:1">
      <c r="A107" s="783"/>
    </row>
    <row r="108" spans="1:1">
      <c r="A108" s="783"/>
    </row>
    <row r="109" spans="1:1">
      <c r="A109" s="783"/>
    </row>
    <row r="110" spans="1:1">
      <c r="A110" s="783"/>
    </row>
    <row r="111" spans="1:1">
      <c r="A111" s="783"/>
    </row>
    <row r="112" spans="1:1">
      <c r="A112" s="783"/>
    </row>
    <row r="113" spans="1:1">
      <c r="A113" s="783"/>
    </row>
    <row r="114" spans="1:1">
      <c r="A114" s="783"/>
    </row>
    <row r="115" spans="1:1">
      <c r="A115" s="783"/>
    </row>
    <row r="116" spans="1:1">
      <c r="A116" s="783"/>
    </row>
    <row r="117" spans="1:1">
      <c r="A117" s="783"/>
    </row>
    <row r="118" spans="1:1">
      <c r="A118" s="783"/>
    </row>
    <row r="119" spans="1:1">
      <c r="A119" s="783"/>
    </row>
    <row r="120" spans="1:1">
      <c r="A120" s="783"/>
    </row>
    <row r="121" spans="1:1">
      <c r="A121" s="783"/>
    </row>
    <row r="122" spans="1:1">
      <c r="A122" s="783"/>
    </row>
    <row r="123" spans="1:1">
      <c r="A123" s="783"/>
    </row>
    <row r="124" spans="1:1">
      <c r="A124" s="783"/>
    </row>
    <row r="125" spans="1:1">
      <c r="A125" s="783"/>
    </row>
  </sheetData>
  <dataValidations count="510">
    <dataValidation allowBlank="1" errorTitle="1x1xSingleCell" error="74775" promptTitle="FactSet Formula" prompt="=FDSRC(&quot;-&quot;,$C$2,&quot;FE_TIMESERIES(&quot;&amp;$B6&amp;&quot;,MEAN,&quot;&amp;X$5&amp;&quot;,,Q,'CURRENCY=USD')&quot;)" sqref="X6" xr:uid="{73A81AEA-BCA2-4F37-8392-A91ED2CD3B91}"/>
    <dataValidation allowBlank="1" errorTitle="1x1xSingleCell" error="2360" promptTitle="FactSet Formula" prompt="=FDSRC(&quot;-&quot;,$C$2,&quot;FE_TIMESERIES(&quot;&amp;$B10&amp;&quot;,MEAN,&quot;&amp;X$5&amp;&quot;,,Q,'CURRENCY=USD')&quot;)" sqref="X10" xr:uid="{6A74BC35-3B07-409B-847C-6588DFC2E125}"/>
    <dataValidation allowBlank="1" errorTitle="1x1xSingleCell" error="620" promptTitle="FactSet Formula" prompt="=FDSRC(&quot;-&quot;,$C$2,&quot;FE_TIMESERIES(&quot;&amp;$B14&amp;&quot;,MEAN,&quot;&amp;X$5&amp;&quot;,,Q,'CURRENCY=USD')&quot;)" sqref="X14" xr:uid="{2943C687-F941-4501-B6F7-4120F40BA2E3}"/>
    <dataValidation allowBlank="1" errorTitle="1x1xSingleCell" error="1740" promptTitle="FactSet Formula" prompt="=FDSRC(&quot;-&quot;,$C$2,&quot;FE_TIMESERIES(&quot;&amp;$B18&amp;&quot;,MEAN,&quot;&amp;X$5&amp;&quot;,,Q,'CURRENCY=USD')&quot;)" sqref="X18" xr:uid="{997EA94C-1EB5-4CB7-A227-96E89BEE9FD8}"/>
    <dataValidation allowBlank="1" errorTitle="1x1xSingleCell" error="1170.8438" promptTitle="FactSet Formula" prompt="=FDSRC(&quot;-&quot;,$C$2,&quot;FE_TIMESERIES(&quot;&amp;$B22&amp;&quot;,MEAN,&quot;&amp;X$5&amp;&quot;,,Q,'CURRENCY=USD')&quot;)" sqref="X22" xr:uid="{B848C836-41EE-4077-8771-93A1982E8D0A}"/>
    <dataValidation allowBlank="1" errorTitle="1x1xSingleCell" error="203" promptTitle="FactSet Formula" prompt="=FDSRC(&quot;-&quot;,$C$2,&quot;FE_TIMESERIES(&quot;&amp;$B32&amp;&quot;,MEAN,&quot;&amp;X$5&amp;&quot;,,Q,'CURRENCY=USD')&quot;)" sqref="X32" xr:uid="{E087DD20-CFEA-4514-BAF5-5489A471E9FB}"/>
    <dataValidation allowBlank="1" errorTitle="1x1xSingleCell" error="328.94" promptTitle="FactSet Formula" prompt="=FDSRC(&quot;-&quot;,$C$2,&quot;FE_TIMESERIES(&quot;&amp;$B37&amp;&quot;,MEAN,&quot;&amp;X$5&amp;&quot;,,Q,'CURRENCY=USD')&quot;)" sqref="X37" xr:uid="{63C4D6A1-8875-4D32-B0AE-3EC4BE874C50}"/>
    <dataValidation allowBlank="1" errorTitle="1x1xSingleCell" error="211" promptTitle="FactSet Formula" prompt="=FDSRC(&quot;-&quot;,$C$2,&quot;FE_TIMESERIES(&quot;&amp;$B42&amp;&quot;,MEAN,&quot;&amp;X$5&amp;&quot;,,Q,'CURRENCY=USD')&quot;)" sqref="X42" xr:uid="{8EECA2A5-6EEF-4111-A4CA-F7E24559EBED}"/>
    <dataValidation allowBlank="1" errorTitle="1x1xSingleCell" error="335.5" promptTitle="FactSet Formula" prompt="=FDSRC(&quot;-&quot;,$C$2,&quot;FE_TIMESERIES(&quot;&amp;$B47&amp;&quot;,MEAN,&quot;&amp;X$5&amp;&quot;,,Q,'CURRENCY=USD')&quot;)" sqref="X47" xr:uid="{7BDB0414-2A21-46AD-AE51-33F091F630D8}"/>
    <dataValidation allowBlank="1" errorTitle="1x1xSingleCell" error="226" promptTitle="FactSet Formula" prompt="=FDSRC(&quot;-&quot;,$C$2,&quot;FE_TIMESERIES(&quot;&amp;$B52&amp;&quot;,MEAN,&quot;&amp;X$5&amp;&quot;,,Q,'CURRENCY=USD')&quot;)" sqref="X52" xr:uid="{F1FF126F-6834-40EB-8419-DC90C423B77F}"/>
    <dataValidation allowBlank="1" errorTitle="1x1xSingleCell" error="0.25566137" promptTitle="FactSet Formula" prompt="=FDSRC(&quot;-&quot;,$C$2,&quot;FE_TIMESERIES(&quot;&amp;$B57&amp;&quot;,MEAN,&quot;&amp;X$5&amp;&quot;,,Q,'CURRENCY=USD')&quot;)" sqref="X57" xr:uid="{5A4AB7EE-C4D5-4D42-9F80-323919067ED3}"/>
    <dataValidation allowBlank="1" errorTitle="1x1xSingleCell" error="-0.52877337" promptTitle="FactSet Formula" prompt="=FDSRC(&quot;-&quot;,$C$2,&quot;FE_TIMESERIES(&quot;&amp;$B61&amp;&quot;,MEAN,&quot;&amp;X$5&amp;&quot;,,Q,'CURRENCY=USD')&quot;)" sqref="X61" xr:uid="{8DFD7348-F7D1-4446-AAF6-B963DB4771D8}"/>
    <dataValidation allowBlank="1" errorTitle="1x1xSingleCell" error="367" promptTitle="FactSet Formula" prompt="=FDSRC(&quot;-&quot;,$C$2,&quot;FE_TIMESERIES(&quot;&amp;$B66&amp;&quot;,MEAN,&quot;&amp;X$5&amp;&quot;,,Q,'CURRENCY=USD')&quot;)" sqref="X66" xr:uid="{A7C05190-A1BE-4D70-8CD8-3E2539DA9DD5}"/>
    <dataValidation allowBlank="1" errorTitle="1x1xSingleCell" error="4" promptTitle="FactSet Formula" prompt="=FDSRC(&quot;-&quot;,$C$2,&quot;FE_TIMESERIES(&quot;&amp;$B72&amp;&quot;,MEAN,&quot;&amp;X$5&amp;&quot;,,Q,'CURRENCY=USD')&quot;)" sqref="X72" xr:uid="{71DDDE54-B5E8-49A3-8232-5D9808609D16}"/>
    <dataValidation allowBlank="1" errorTitle="1x1xSingleCell" error="363" promptTitle="FactSet Formula" prompt="=FDSRC(&quot;-&quot;,$C$2,&quot;FE_TIMESERIES(&quot;&amp;$B77&amp;&quot;,MEAN,&quot;&amp;X$5&amp;&quot;,,Q,'CURRENCY=USD')&quot;)" sqref="X77" xr:uid="{C5818A0B-DC1D-448E-A2A9-153E15ED6C03}"/>
    <dataValidation allowBlank="1" errorTitle="1x1xSingleCell" error="8" promptTitle="FactSet Formula" prompt="=FDSRC(&quot;-&quot;,$C$2,&quot;FE_TIMESERIES(&quot;&amp;$B82&amp;&quot;,MEAN,&quot;&amp;X$5&amp;&quot;,,Q,'CURRENCY=USD')&quot;)" sqref="X82" xr:uid="{BEC710FC-313C-495B-BDC9-5630AC031AAC}"/>
    <dataValidation allowBlank="1" errorTitle="1x1xSingleCell" error="-2146826252" promptTitle="FactSet Formula" prompt="=FDSRC(&quot;-&quot;,$C$2,&quot;FE_TIMESERIES(&quot;&amp;$B84&amp;&quot;,MEAN,&quot;&amp;X$5&amp;&quot;,,Q,'CURRENCY=USD')&quot;)" sqref="X84" xr:uid="{F06E97F0-0BEB-434E-A9D3-BCF60E19C10D}"/>
    <dataValidation allowBlank="1" errorTitle="1x1xSingleCell" error="87837" promptTitle="FactSet Formula" prompt="=FDSRC(&quot;-&quot;,$C$2,&quot;FE_TIMESERIES(&quot;&amp;$B6&amp;&quot;,MEAN,&quot;&amp;Y$5&amp;&quot;,,Q,'CURRENCY=USD')&quot;)" sqref="Y6" xr:uid="{95F70ADA-44BA-4FE9-8D9E-C1C7AB0CB08F}"/>
    <dataValidation allowBlank="1" errorTitle="1x1xSingleCell" error="2680" promptTitle="FactSet Formula" prompt="=FDSRC(&quot;-&quot;,$C$2,&quot;FE_TIMESERIES(&quot;&amp;$B10&amp;&quot;,MEAN,&quot;&amp;Y$5&amp;&quot;,,Q,'CURRENCY=USD')&quot;)" sqref="Y10" xr:uid="{239025AF-6773-45A2-BFB1-9AB0F5B931E5}"/>
    <dataValidation allowBlank="1" errorTitle="1x1xSingleCell" error="656" promptTitle="FactSet Formula" prompt="=FDSRC(&quot;-&quot;,$C$2,&quot;FE_TIMESERIES(&quot;&amp;$B14&amp;&quot;,MEAN,&quot;&amp;Y$5&amp;&quot;,,Q,'CURRENCY=USD')&quot;)" sqref="Y14" xr:uid="{E105DA69-8B5A-4C61-97C6-866FB3C63ED8}"/>
    <dataValidation allowBlank="1" errorTitle="1x1xSingleCell" error="2024" promptTitle="FactSet Formula" prompt="=FDSRC(&quot;-&quot;,$C$2,&quot;FE_TIMESERIES(&quot;&amp;$B18&amp;&quot;,MEAN,&quot;&amp;Y$5&amp;&quot;,,Q,'CURRENCY=USD')&quot;)" sqref="Y18" xr:uid="{886CB90D-5D04-4903-BCAB-4EF972395524}"/>
    <dataValidation allowBlank="1" errorTitle="1x1xSingleCell" error="1303.4546" promptTitle="FactSet Formula" prompt="=FDSRC(&quot;-&quot;,$C$2,&quot;FE_TIMESERIES(&quot;&amp;$B22&amp;&quot;,MEAN,&quot;&amp;Y$5&amp;&quot;,,Q,'CURRENCY=USD')&quot;)" sqref="Y22" xr:uid="{CCEC7D86-FAFE-4940-9DC9-78AAD53EE742}"/>
    <dataValidation allowBlank="1" errorTitle="1x1xSingleCell" error="291" promptTitle="FactSet Formula" prompt="=FDSRC(&quot;-&quot;,$C$2,&quot;FE_TIMESERIES(&quot;&amp;$B32&amp;&quot;,MEAN,&quot;&amp;Y$5&amp;&quot;,,Q,'CURRENCY=USD')&quot;)" sqref="Y32" xr:uid="{8BDA766C-3ED5-49AA-AF85-2968BE89738E}"/>
    <dataValidation allowBlank="1" errorTitle="1x1xSingleCell" error="424" promptTitle="FactSet Formula" prompt="=FDSRC(&quot;-&quot;,$C$2,&quot;FE_TIMESERIES(&quot;&amp;$B37&amp;&quot;,MEAN,&quot;&amp;Y$5&amp;&quot;,,Q,'CURRENCY=USD')&quot;)" sqref="Y37" xr:uid="{CC18049F-D9F0-4EE0-BDB9-D8A2F1F9F455}"/>
    <dataValidation allowBlank="1" errorTitle="1x1xSingleCell" error="299" promptTitle="FactSet Formula" prompt="=FDSRC(&quot;-&quot;,$C$2,&quot;FE_TIMESERIES(&quot;&amp;$B42&amp;&quot;,MEAN,&quot;&amp;Y$5&amp;&quot;,,Q,'CURRENCY=USD')&quot;)" sqref="Y42" xr:uid="{1613CC02-7892-4737-9CE5-0599A6A40F6E}"/>
    <dataValidation allowBlank="1" errorTitle="1x1xSingleCell" error="428.70587" promptTitle="FactSet Formula" prompt="=FDSRC(&quot;-&quot;,$C$2,&quot;FE_TIMESERIES(&quot;&amp;$B47&amp;&quot;,MEAN,&quot;&amp;Y$5&amp;&quot;,,Q,'CURRENCY=USD')&quot;)" sqref="Y47" xr:uid="{15CEE6CE-2B1A-4176-861F-90BF818B107A}"/>
    <dataValidation allowBlank="1" errorTitle="1x1xSingleCell" error="338" promptTitle="FactSet Formula" prompt="=FDSRC(&quot;-&quot;,$C$2,&quot;FE_TIMESERIES(&quot;&amp;$B52&amp;&quot;,MEAN,&quot;&amp;Y$5&amp;&quot;,,Q,'CURRENCY=USD')&quot;)" sqref="Y52" xr:uid="{5EE2EB38-E49A-442D-BBFC-040B8B0E2103}"/>
    <dataValidation allowBlank="1" errorTitle="1x1xSingleCell" error="0.34882724" promptTitle="FactSet Formula" prompt="=FDSRC(&quot;-&quot;,$C$2,&quot;FE_TIMESERIES(&quot;&amp;$B57&amp;&quot;,MEAN,&quot;&amp;Y$5&amp;&quot;,,Q,'CURRENCY=USD')&quot;)" sqref="Y57" xr:uid="{CFAD14A6-221E-4F31-8110-8743901FC232}"/>
    <dataValidation allowBlank="1" errorTitle="1x1xSingleCell" error="0.6913483" promptTitle="FactSet Formula" prompt="=FDSRC(&quot;-&quot;,$C$2,&quot;FE_TIMESERIES(&quot;&amp;$B61&amp;&quot;,MEAN,&quot;&amp;Y$5&amp;&quot;,,Q,'CURRENCY=USD')&quot;)" sqref="Y61" xr:uid="{2B211F45-2A90-4B54-A400-EBF604190B12}"/>
    <dataValidation allowBlank="1" errorTitle="1x1xSingleCell" error="428" promptTitle="FactSet Formula" prompt="=FDSRC(&quot;-&quot;,$C$2,&quot;FE_TIMESERIES(&quot;&amp;$B66&amp;&quot;,MEAN,&quot;&amp;Y$5&amp;&quot;,,Q,'CURRENCY=USD')&quot;)" sqref="Y66" xr:uid="{514A1034-8186-4C65-B3F1-2F715609AF1B}"/>
    <dataValidation allowBlank="1" errorTitle="1x1xSingleCell" error="6" promptTitle="FactSet Formula" prompt="=FDSRC(&quot;-&quot;,$C$2,&quot;FE_TIMESERIES(&quot;&amp;$B72&amp;&quot;,MEAN,&quot;&amp;Y$5&amp;&quot;,,Q,'CURRENCY=USD')&quot;)" sqref="Y72" xr:uid="{C0194B78-9188-4292-8BA4-6F49866EECE5}"/>
    <dataValidation allowBlank="1" errorTitle="1x1xSingleCell" error="422.1" promptTitle="FactSet Formula" prompt="=FDSRC(&quot;-&quot;,$C$2,&quot;FE_TIMESERIES(&quot;&amp;$B77&amp;&quot;,MEAN,&quot;&amp;Y$5&amp;&quot;,,Q,'CURRENCY=USD')&quot;)" sqref="Y77" xr:uid="{7B8C7458-F030-4D7C-8824-2294B74E4759}"/>
    <dataValidation allowBlank="1" errorTitle="1x1xSingleCell" error="8" promptTitle="FactSet Formula" prompt="=FDSRC(&quot;-&quot;,$C$2,&quot;FE_TIMESERIES(&quot;&amp;$B82&amp;&quot;,MEAN,&quot;&amp;Y$5&amp;&quot;,,Q,'CURRENCY=USD')&quot;)" sqref="Y82" xr:uid="{5D4DCF11-03C3-4305-9CC7-6C6E0BDD35CE}"/>
    <dataValidation allowBlank="1" errorTitle="1x1xSingleCell" error="-2146826252" promptTitle="FactSet Formula" prompt="=FDSRC(&quot;-&quot;,$C$2,&quot;FE_TIMESERIES(&quot;&amp;$B84&amp;&quot;,MEAN,&quot;&amp;Y$5&amp;&quot;,,Q,'CURRENCY=USD')&quot;)" sqref="Y84" xr:uid="{38B2FDCE-9F48-47F3-A33D-D406653D99C9}"/>
    <dataValidation allowBlank="1" errorTitle="1x1xSingleCell" error="92010.7" promptTitle="FactSet Formula" prompt="=FDSRC(&quot;-&quot;,$C$2,&quot;FE_TIMESERIES(&quot;&amp;$B6&amp;&quot;,MEAN,&quot;&amp;Z$5&amp;&quot;,,Q,'CURRENCY=USD')&quot;)" sqref="Z6" xr:uid="{E0F0F363-5BDE-4658-9C01-FEF33156786D}"/>
    <dataValidation allowBlank="1" errorTitle="1x1xSingleCell" error="2844" promptTitle="FactSet Formula" prompt="=FDSRC(&quot;-&quot;,$C$2,&quot;FE_TIMESERIES(&quot;&amp;$B10&amp;&quot;,MEAN,&quot;&amp;Z$5&amp;&quot;,,Q,'CURRENCY=USD')&quot;)" sqref="Z10" xr:uid="{D369FB40-D3B7-4F23-B158-3458E68398CD}"/>
    <dataValidation allowBlank="1" errorTitle="1x1xSingleCell" error="699" promptTitle="FactSet Formula" prompt="=FDSRC(&quot;-&quot;,$C$2,&quot;FE_TIMESERIES(&quot;&amp;$B14&amp;&quot;,MEAN,&quot;&amp;Z$5&amp;&quot;,,Q,'CURRENCY=USD')&quot;)" sqref="Z14" xr:uid="{D9757997-D39F-42B0-9E1F-D42D59536D21}"/>
    <dataValidation allowBlank="1" errorTitle="1x1xSingleCell" error="2145" promptTitle="FactSet Formula" prompt="=FDSRC(&quot;-&quot;,$C$2,&quot;FE_TIMESERIES(&quot;&amp;$B18&amp;&quot;,MEAN,&quot;&amp;Z$5&amp;&quot;,,Q,'CURRENCY=USD')&quot;)" sqref="Z18" xr:uid="{DF33BA33-313A-4C16-9ACE-DA6B0E2DAB2B}"/>
    <dataValidation allowBlank="1" errorTitle="1x1xSingleCell" error="1389.4113" promptTitle="FactSet Formula" prompt="=FDSRC(&quot;-&quot;,$C$2,&quot;FE_TIMESERIES(&quot;&amp;$B22&amp;&quot;,MEAN,&quot;&amp;Z$5&amp;&quot;,,Q,'CURRENCY=USD')&quot;)" sqref="Z22" xr:uid="{43503B0F-AF65-42B1-AF7D-840F4DFDE0D0}"/>
    <dataValidation allowBlank="1" errorTitle="1x1xSingleCell" error="343" promptTitle="FactSet Formula" prompt="=FDSRC(&quot;-&quot;,$C$2,&quot;FE_TIMESERIES(&quot;&amp;$B32&amp;&quot;,MEAN,&quot;&amp;Z$5&amp;&quot;,,Q,'CURRENCY=USD')&quot;)" sqref="Z32" xr:uid="{535668E9-47C6-49DA-A8D7-DDBDB124B2CC}"/>
    <dataValidation allowBlank="1" errorTitle="1x1xSingleCell" error="464.51724" promptTitle="FactSet Formula" prompt="=FDSRC(&quot;-&quot;,$C$2,&quot;FE_TIMESERIES(&quot;&amp;$B37&amp;&quot;,MEAN,&quot;&amp;Z$5&amp;&quot;,,Q,'CURRENCY=USD')&quot;)" sqref="Z37" xr:uid="{976456C5-2264-461B-9BA8-249C753D0E66}"/>
    <dataValidation allowBlank="1" errorTitle="1x1xSingleCell" error="381.5" promptTitle="FactSet Formula" prompt="=FDSRC(&quot;-&quot;,$C$2,&quot;FE_TIMESERIES(&quot;&amp;$B42&amp;&quot;,MEAN,&quot;&amp;Z$5&amp;&quot;,,Q,'CURRENCY=USD')&quot;)" sqref="Z42" xr:uid="{AC03F4B7-8BB1-48F6-BCD7-29758F5E7B60}"/>
    <dataValidation allowBlank="1" errorTitle="1x1xSingleCell" error="471.05884" promptTitle="FactSet Formula" prompt="=FDSRC(&quot;-&quot;,$C$2,&quot;FE_TIMESERIES(&quot;&amp;$B47&amp;&quot;,MEAN,&quot;&amp;Z$5&amp;&quot;,,Q,'CURRENCY=USD')&quot;)" sqref="Z47" xr:uid="{431760EB-6EF9-4349-A533-2690632D21EC}"/>
    <dataValidation allowBlank="1" errorTitle="1x1xSingleCell" error="367" promptTitle="FactSet Formula" prompt="=FDSRC(&quot;-&quot;,$C$2,&quot;FE_TIMESERIES(&quot;&amp;$B52&amp;&quot;,MEAN,&quot;&amp;Z$5&amp;&quot;,,Q,'CURRENCY=USD')&quot;)" sqref="Z52" xr:uid="{9165D4CC-3CF1-4A52-8770-3DA1AA0825E3}"/>
    <dataValidation allowBlank="1" errorTitle="1x1xSingleCell" error="0.33815533" promptTitle="FactSet Formula" prompt="=FDSRC(&quot;-&quot;,$C$2,&quot;FE_TIMESERIES(&quot;&amp;$B57&amp;&quot;,MEAN,&quot;&amp;Z$5&amp;&quot;,,Q,'CURRENCY=USD')&quot;)" sqref="Z57" xr:uid="{205BE37B-CE4B-4B40-83D7-DA99F2DDE532}"/>
    <dataValidation allowBlank="1" errorTitle="1x1xSingleCell" error="0.20030482" promptTitle="FactSet Formula" prompt="=FDSRC(&quot;-&quot;,$C$2,&quot;FE_TIMESERIES(&quot;&amp;$B61&amp;&quot;,MEAN,&quot;&amp;Z$5&amp;&quot;,,Q,'CURRENCY=USD')&quot;)" sqref="Z61" xr:uid="{25F425B5-82B8-40B2-A6BD-4A7FE2B9312C}"/>
    <dataValidation allowBlank="1" errorTitle="1x1xSingleCell" error="513" promptTitle="FactSet Formula" prompt="=FDSRC(&quot;-&quot;,$C$2,&quot;FE_TIMESERIES(&quot;&amp;$B66&amp;&quot;,MEAN,&quot;&amp;Z$5&amp;&quot;,,Q,'CURRENCY=USD')&quot;)" sqref="Z66" xr:uid="{3D95E96B-8FF8-4F82-8B75-F0EF0DF01C64}"/>
    <dataValidation allowBlank="1" errorTitle="1x1xSingleCell" error="6" promptTitle="FactSet Formula" prompt="=FDSRC(&quot;-&quot;,$C$2,&quot;FE_TIMESERIES(&quot;&amp;$B72&amp;&quot;,MEAN,&quot;&amp;Z$5&amp;&quot;,,Q,'CURRENCY=USD')&quot;)" sqref="Z72" xr:uid="{AADE6F5F-2036-4FC9-AF87-1CBCF46294E6}"/>
    <dataValidation allowBlank="1" errorTitle="1x1xSingleCell" error="507" promptTitle="FactSet Formula" prompt="=FDSRC(&quot;-&quot;,$C$2,&quot;FE_TIMESERIES(&quot;&amp;$B77&amp;&quot;,MEAN,&quot;&amp;Z$5&amp;&quot;,,Q,'CURRENCY=USD')&quot;)" sqref="Z77" xr:uid="{0EB5EA11-CDAD-4324-AA55-C2D35061E48D}"/>
    <dataValidation allowBlank="1" errorTitle="1x1xSingleCell" error="8" promptTitle="FactSet Formula" prompt="=FDSRC(&quot;-&quot;,$C$2,&quot;FE_TIMESERIES(&quot;&amp;$B82&amp;&quot;,MEAN,&quot;&amp;Z$5&amp;&quot;,,Q,'CURRENCY=USD')&quot;)" sqref="Z82" xr:uid="{5A86F95A-DE18-4778-8DEE-EB530422153B}"/>
    <dataValidation allowBlank="1" errorTitle="1x1xSingleCell" error="-2146826252" promptTitle="FactSet Formula" prompt="=FDSRC(&quot;-&quot;,$C$2,&quot;FE_TIMESERIES(&quot;&amp;$B84&amp;&quot;,MEAN,&quot;&amp;Z$5&amp;&quot;,,Q,'CURRENCY=USD')&quot;)" sqref="Z84" xr:uid="{E487251A-4AEB-456B-8D4E-0A23F631F0EE}"/>
    <dataValidation allowBlank="1" errorTitle="1x1xSingleCell" error="123841" promptTitle="FactSet Formula" prompt="=FDSRC(&quot;-&quot;,$C$2,&quot;FE_TIMESERIES(&quot;&amp;$B6&amp;&quot;,MEAN,&quot;&amp;AA$5&amp;&quot;,,Q,'CURRENCY=USD')&quot;)" sqref="AA6" xr:uid="{D2C0766C-1A7A-4726-A09A-86421EE8E5A9}"/>
    <dataValidation allowBlank="1" errorTitle="1x1xSingleCell" error="3672" promptTitle="FactSet Formula" prompt="=FDSRC(&quot;-&quot;,$C$2,&quot;FE_TIMESERIES(&quot;&amp;$B10&amp;&quot;,MEAN,&quot;&amp;AA$5&amp;&quot;,,Q,'CURRENCY=USD')&quot;)" sqref="AA10" xr:uid="{3900EDF8-E0FC-486E-ABB7-18D19F1FEE72}"/>
    <dataValidation allowBlank="1" errorTitle="1x1xSingleCell" error="777" promptTitle="FactSet Formula" prompt="=FDSRC(&quot;-&quot;,$C$2,&quot;FE_TIMESERIES(&quot;&amp;$B14&amp;&quot;,MEAN,&quot;&amp;AA$5&amp;&quot;,,Q,'CURRENCY=USD')&quot;)" sqref="AA14" xr:uid="{46CED1FC-3143-434F-ABC9-0F25093D364E}"/>
    <dataValidation allowBlank="1" errorTitle="1x1xSingleCell" error="2895" promptTitle="FactSet Formula" prompt="=FDSRC(&quot;-&quot;,$C$2,&quot;FE_TIMESERIES(&quot;&amp;$B18&amp;&quot;,MEAN,&quot;&amp;AA$5&amp;&quot;,,Q,'CURRENCY=USD')&quot;)" sqref="AA18" xr:uid="{F2CC7D85-4D40-4F64-9C05-DECFF131B715}"/>
    <dataValidation allowBlank="1" errorTitle="1x1xSingleCell" error="1695.2759" promptTitle="FactSet Formula" prompt="=FDSRC(&quot;-&quot;,$C$2,&quot;FE_TIMESERIES(&quot;&amp;$B22&amp;&quot;,MEAN,&quot;&amp;AA$5&amp;&quot;,,Q,'CURRENCY=USD')&quot;)" sqref="AA22" xr:uid="{10CF2034-50A3-49D0-A03A-78BD8F7104F3}"/>
    <dataValidation allowBlank="1" errorTitle="1x1xSingleCell" error="630.94446" promptTitle="FactSet Formula" prompt="=FDSRC(&quot;-&quot;,$C$2,&quot;FE_TIMESERIES(&quot;&amp;$B32&amp;&quot;,MEAN,&quot;&amp;AA$5&amp;&quot;,,Q,'CURRENCY=USD')&quot;)" sqref="AA32" xr:uid="{05F67170-9BDE-4C90-8E90-A24AD04EA81C}"/>
    <dataValidation allowBlank="1" errorTitle="1x1xSingleCell" error="759.8461" promptTitle="FactSet Formula" prompt="=FDSRC(&quot;-&quot;,$C$2,&quot;FE_TIMESERIES(&quot;&amp;$B37&amp;&quot;,MEAN,&quot;&amp;AA$5&amp;&quot;,,Q,'CURRENCY=USD')&quot;)" sqref="AA37" xr:uid="{B5919FD4-8EDC-4EDC-AAD7-76795A176BD1}"/>
    <dataValidation allowBlank="1" errorTitle="1x1xSingleCell" error="638" promptTitle="FactSet Formula" prompt="=FDSRC(&quot;-&quot;,$C$2,&quot;FE_TIMESERIES(&quot;&amp;$B42&amp;&quot;,MEAN,&quot;&amp;AA$5&amp;&quot;,,Q,'CURRENCY=USD')&quot;)" sqref="AA42" xr:uid="{4C15907E-E2DD-4DCE-9DE3-2FE955FD6FE5}"/>
    <dataValidation allowBlank="1" errorTitle="1x1xSingleCell" error="764.93335" promptTitle="FactSet Formula" prompt="=FDSRC(&quot;-&quot;,$C$2,&quot;FE_TIMESERIES(&quot;&amp;$B47&amp;&quot;,MEAN,&quot;&amp;AA$5&amp;&quot;,,Q,'CURRENCY=USD')&quot;)" sqref="AA47" xr:uid="{D6D8F47C-C24D-4B36-87B5-17860F6D34C6}"/>
    <dataValidation allowBlank="1" errorTitle="1x1xSingleCell" error="594" promptTitle="FactSet Formula" prompt="=FDSRC(&quot;-&quot;,$C$2,&quot;FE_TIMESERIES(&quot;&amp;$B52&amp;&quot;,MEAN,&quot;&amp;AA$5&amp;&quot;,,Q,'CURRENCY=USD')&quot;)" sqref="AA52" xr:uid="{BC5BE2F3-B51E-41C5-8C77-AC58BF49A121}"/>
    <dataValidation allowBlank="1" errorTitle="1x1xSingleCell" error="0.48115477" promptTitle="FactSet Formula" prompt="=FDSRC(&quot;-&quot;,$C$2,&quot;FE_TIMESERIES(&quot;&amp;$B57&amp;&quot;,MEAN,&quot;&amp;AA$5&amp;&quot;,,Q,'CURRENCY=USD')&quot;)" sqref="AA57" xr:uid="{01AB2489-42A3-4073-AC1A-8318A4D35C51}"/>
    <dataValidation allowBlank="1" errorTitle="1x1xSingleCell" error="0.569695" promptTitle="FactSet Formula" prompt="=FDSRC(&quot;-&quot;,$C$2,&quot;FE_TIMESERIES(&quot;&amp;$B61&amp;&quot;,MEAN,&quot;&amp;AA$5&amp;&quot;,,Q,'CURRENCY=USD')&quot;)" sqref="AA61" xr:uid="{05C0F9F1-31CE-4927-9CE5-22737499F7F6}"/>
    <dataValidation allowBlank="1" errorTitle="1x1xSingleCell" error="725" promptTitle="FactSet Formula" prompt="=FDSRC(&quot;-&quot;,$C$2,&quot;FE_TIMESERIES(&quot;&amp;$B66&amp;&quot;,MEAN,&quot;&amp;AA$5&amp;&quot;,,Q,'CURRENCY=USD')&quot;)" sqref="AA66" xr:uid="{BACBFB6C-8F48-4782-8C47-787DDC0E7907}"/>
    <dataValidation allowBlank="1" errorTitle="1x1xSingleCell" error="10" promptTitle="FactSet Formula" prompt="=FDSRC(&quot;-&quot;,$C$2,&quot;FE_TIMESERIES(&quot;&amp;$B72&amp;&quot;,MEAN,&quot;&amp;AA$5&amp;&quot;,,Q,'CURRENCY=USD')&quot;)" sqref="AA72" xr:uid="{F06BACD5-1558-45FA-948A-82264B9998C9}"/>
    <dataValidation allowBlank="1" errorTitle="1x1xSingleCell" error="718.1111" promptTitle="FactSet Formula" prompt="=FDSRC(&quot;-&quot;,$C$2,&quot;FE_TIMESERIES(&quot;&amp;$B77&amp;&quot;,MEAN,&quot;&amp;AA$5&amp;&quot;,,Q,'CURRENCY=USD')&quot;)" sqref="AA77" xr:uid="{D9DCA961-1013-4BD2-B56E-6708F5E3DB0A}"/>
    <dataValidation allowBlank="1" errorTitle="1x1xSingleCell" error="7" promptTitle="FactSet Formula" prompt="=FDSRC(&quot;-&quot;,$C$2,&quot;FE_TIMESERIES(&quot;&amp;$B82&amp;&quot;,MEAN,&quot;&amp;AA$5&amp;&quot;,,Q,'CURRENCY=USD')&quot;)" sqref="AA82" xr:uid="{BC3CD69E-281A-4E9F-B8C4-7385A8A74EA9}"/>
    <dataValidation allowBlank="1" errorTitle="1x1xSingleCell" error="-2146826252" promptTitle="FactSet Formula" prompt="=FDSRC(&quot;-&quot;,$C$2,&quot;FE_TIMESERIES(&quot;&amp;$B84&amp;&quot;,MEAN,&quot;&amp;AA$5&amp;&quot;,,Q,'CURRENCY=USD')&quot;)" sqref="AA84" xr:uid="{BFF839AC-8419-46F2-B10B-A781F5F47428}"/>
    <dataValidation allowBlank="1" errorTitle="1x1xSingleCell" error="100743" promptTitle="FactSet Formula" prompt="=FDSRC(&quot;-&quot;,$C$2,&quot;FE_TIMESERIES(&quot;&amp;$B6&amp;&quot;,MEAN,&quot;&amp;AB$5&amp;&quot;,,Q,'CURRENCY=USD')&quot;)" sqref="AB6" xr:uid="{B2E220BE-9845-47C2-A9CD-30909B8B962A}"/>
    <dataValidation allowBlank="1" errorTitle="1x1xSingleCell" error="3170" promptTitle="FactSet Formula" prompt="=FDSRC(&quot;-&quot;,$C$2,&quot;FE_TIMESERIES(&quot;&amp;$B10&amp;&quot;,MEAN,&quot;&amp;AB$5&amp;&quot;,,Q,'CURRENCY=USD')&quot;)" sqref="AB10" xr:uid="{0AF2DDC1-79B3-4B1E-90F4-6F0409A0F707}"/>
    <dataValidation allowBlank="1" errorTitle="1x1xSingleCell" error="750" promptTitle="FactSet Formula" prompt="=FDSRC(&quot;-&quot;,$C$2,&quot;FE_TIMESERIES(&quot;&amp;$B14&amp;&quot;,MEAN,&quot;&amp;AB$5&amp;&quot;,,Q,'CURRENCY=USD')&quot;)" sqref="AB14" xr:uid="{FD45FE1A-3E9B-4371-B469-4B26FD3DB3D6}"/>
    <dataValidation allowBlank="1" errorTitle="1x1xSingleCell" error="2420" promptTitle="FactSet Formula" prompt="=FDSRC(&quot;-&quot;,$C$2,&quot;FE_TIMESERIES(&quot;&amp;$B18&amp;&quot;,MEAN,&quot;&amp;AB$5&amp;&quot;,,Q,'CURRENCY=USD')&quot;)" sqref="AB18" xr:uid="{0E6934C8-E819-4465-ABA6-3B67F336AB75}"/>
    <dataValidation allowBlank="1" errorTitle="1x1xSingleCell" error="1546.2188" promptTitle="FactSet Formula" prompt="=FDSRC(&quot;-&quot;,$C$2,&quot;FE_TIMESERIES(&quot;&amp;$B22&amp;&quot;,MEAN,&quot;&amp;AB$5&amp;&quot;,,Q,'CURRENCY=USD')&quot;)" sqref="AB22" xr:uid="{00497966-4411-443A-8546-2F78A8C84DDF}"/>
    <dataValidation allowBlank="1" errorTitle="1x1xSingleCell" error="382.78262" promptTitle="FactSet Formula" prompt="=FDSRC(&quot;-&quot;,$C$2,&quot;FE_TIMESERIES(&quot;&amp;$B32&amp;&quot;,MEAN,&quot;&amp;AB$5&amp;&quot;,,Q,'CURRENCY=USD')&quot;)" sqref="AB32" xr:uid="{9149E396-57D2-492F-BFBE-8A1081E3805E}"/>
    <dataValidation allowBlank="1" errorTitle="1x1xSingleCell" error="522.7" promptTitle="FactSet Formula" prompt="=FDSRC(&quot;-&quot;,$C$2,&quot;FE_TIMESERIES(&quot;&amp;$B37&amp;&quot;,MEAN,&quot;&amp;AB$5&amp;&quot;,,Q,'CURRENCY=USD')&quot;)" sqref="AB37" xr:uid="{92580F5D-0D8C-4769-A285-2BAE04B3266F}"/>
    <dataValidation allowBlank="1" errorTitle="1x1xSingleCell" error="389" promptTitle="FactSet Formula" prompt="=FDSRC(&quot;-&quot;,$C$2,&quot;FE_TIMESERIES(&quot;&amp;$B42&amp;&quot;,MEAN,&quot;&amp;AB$5&amp;&quot;,,Q,'CURRENCY=USD')&quot;)" sqref="AB42" xr:uid="{6923052B-6D16-42E5-8050-2045BE81C496}"/>
    <dataValidation allowBlank="1" errorTitle="1x1xSingleCell" error="528.6667" promptTitle="FactSet Formula" prompt="=FDSRC(&quot;-&quot;,$C$2,&quot;FE_TIMESERIES(&quot;&amp;$B47&amp;&quot;,MEAN,&quot;&amp;AB$5&amp;&quot;,,Q,'CURRENCY=USD')&quot;)" sqref="AB47" xr:uid="{D39CEA05-6512-486B-9DDA-FD111A6D3499}"/>
    <dataValidation allowBlank="1" errorTitle="1x1xSingleCell" error="360" promptTitle="FactSet Formula" prompt="=FDSRC(&quot;-&quot;,$C$2,&quot;FE_TIMESERIES(&quot;&amp;$B52&amp;&quot;,MEAN,&quot;&amp;AB$5&amp;&quot;,,Q,'CURRENCY=USD')&quot;)" sqref="AB52" xr:uid="{4AC7A642-6F2B-4705-845E-54F3B502496D}"/>
    <dataValidation allowBlank="1" errorTitle="1x1xSingleCell" error="0.36001423" promptTitle="FactSet Formula" prompt="=FDSRC(&quot;-&quot;,$C$2,&quot;FE_TIMESERIES(&quot;&amp;$B57&amp;&quot;,MEAN,&quot;&amp;AB$5&amp;&quot;,,Q,'CURRENCY=USD')&quot;)" sqref="AB57" xr:uid="{3980D41F-FCB6-44DD-9313-2177E48194CF}"/>
    <dataValidation allowBlank="1" errorTitle="1x1xSingleCell" error="-0.44940332" promptTitle="FactSet Formula" prompt="=FDSRC(&quot;-&quot;,$C$2,&quot;FE_TIMESERIES(&quot;&amp;$B61&amp;&quot;,MEAN,&quot;&amp;AB$5&amp;&quot;,,Q,'CURRENCY=USD')&quot;)" sqref="AB61" xr:uid="{3A2048F5-5790-4B3A-8B15-E079C0489E65}"/>
    <dataValidation allowBlank="1" errorTitle="1x1xSingleCell" error="481" promptTitle="FactSet Formula" prompt="=FDSRC(&quot;-&quot;,$C$2,&quot;FE_TIMESERIES(&quot;&amp;$B66&amp;&quot;,MEAN,&quot;&amp;AB$5&amp;&quot;,,Q,'CURRENCY=USD')&quot;)" sqref="AB66" xr:uid="{0F2AD022-CE85-4393-8EE2-A79E07C9E41B}"/>
    <dataValidation allowBlank="1" errorTitle="1x1xSingleCell" error="5" promptTitle="FactSet Formula" prompt="=FDSRC(&quot;-&quot;,$C$2,&quot;FE_TIMESERIES(&quot;&amp;$B72&amp;&quot;,MEAN,&quot;&amp;AB$5&amp;&quot;,,Q,'CURRENCY=USD')&quot;)" sqref="AB72" xr:uid="{DF7F75ED-B82D-4220-A1FF-8710659CA39B}"/>
    <dataValidation allowBlank="1" errorTitle="1x1xSingleCell" error="472.90475" promptTitle="FactSet Formula" prompt="=FDSRC(&quot;-&quot;,$C$2,&quot;FE_TIMESERIES(&quot;&amp;$B77&amp;&quot;,MEAN,&quot;&amp;AB$5&amp;&quot;,,Q,'CURRENCY=USD')&quot;)" sqref="AB77" xr:uid="{2D0FCAFE-1137-477F-AFBE-0F2EF34E6B6E}"/>
    <dataValidation allowBlank="1" errorTitle="1x1xSingleCell" error="7" promptTitle="FactSet Formula" prompt="=FDSRC(&quot;-&quot;,$C$2,&quot;FE_TIMESERIES(&quot;&amp;$B82&amp;&quot;,MEAN,&quot;&amp;AB$5&amp;&quot;,,Q,'CURRENCY=USD')&quot;)" sqref="AB82" xr:uid="{E7C59129-6FF4-4B6B-B4DC-36FC96E06233}"/>
    <dataValidation allowBlank="1" errorTitle="1x1xSingleCell" error="-2146826252" promptTitle="FactSet Formula" prompt="=FDSRC(&quot;-&quot;,$C$2,&quot;FE_TIMESERIES(&quot;&amp;$B84&amp;&quot;,MEAN,&quot;&amp;AB$5&amp;&quot;,,Q,'CURRENCY=USD')&quot;)" sqref="AB84" xr:uid="{6DF746DE-B6BA-433A-9E1E-E7DFED591A62}"/>
    <dataValidation allowBlank="1" errorTitle="1x1xSingleCell" error="115567" promptTitle="FactSet Formula" prompt="=FDSRC(&quot;-&quot;,$C$2,&quot;FE_TIMESERIES(&quot;&amp;$B6&amp;&quot;,MEAN,&quot;&amp;AC$5&amp;&quot;,,Q,'CURRENCY=USD')&quot;)" sqref="AC6" xr:uid="{B26210C7-E1FD-4D3E-A58F-48404CD41BD7}"/>
    <dataValidation allowBlank="1" errorTitle="1x1xSingleCell" error="3583" promptTitle="FactSet Formula" prompt="=FDSRC(&quot;-&quot;,$C$2,&quot;FE_TIMESERIES(&quot;&amp;$B10&amp;&quot;,MEAN,&quot;&amp;AC$5&amp;&quot;,,Q,'CURRENCY=USD')&quot;)" sqref="AC10" xr:uid="{F62A112E-C795-4990-ACE7-30E668C2F917}"/>
    <dataValidation allowBlank="1" errorTitle="1x1xSingleCell" error="802" promptTitle="FactSet Formula" prompt="=FDSRC(&quot;-&quot;,$C$2,&quot;FE_TIMESERIES(&quot;&amp;$B14&amp;&quot;,MEAN,&quot;&amp;AC$5&amp;&quot;,,Q,'CURRENCY=USD')&quot;)" sqref="AC14" xr:uid="{6D97B7CA-2B84-4648-81BE-B39E9796CB3E}"/>
    <dataValidation allowBlank="1" errorTitle="1x1xSingleCell" error="2781" promptTitle="FactSet Formula" prompt="=FDSRC(&quot;-&quot;,$C$2,&quot;FE_TIMESERIES(&quot;&amp;$B18&amp;&quot;,MEAN,&quot;&amp;AC$5&amp;&quot;,,Q,'CURRENCY=USD')&quot;)" sqref="AC18" xr:uid="{7E18B68A-FC4C-48DE-94F2-CE1B37462AA4}"/>
    <dataValidation allowBlank="1" errorTitle="1x1xSingleCell" error="1669.4131" promptTitle="FactSet Formula" prompt="=FDSRC(&quot;-&quot;,$C$2,&quot;FE_TIMESERIES(&quot;&amp;$B22&amp;&quot;,MEAN,&quot;&amp;AC$5&amp;&quot;,,Q,'CURRENCY=USD')&quot;)" sqref="AC22" xr:uid="{3327BEFB-72DA-49DC-8548-493025920635}"/>
    <dataValidation allowBlank="1" errorTitle="1x1xSingleCell" error="434.8237" promptTitle="FactSet Formula" prompt="=FDSRC(&quot;-&quot;,$C$2,&quot;FE_TIMESERIES(&quot;&amp;$B32&amp;&quot;,MEAN,&quot;&amp;AC$5&amp;&quot;,,Q,'CURRENCY=USD')&quot;)" sqref="AC32" xr:uid="{3986FA1D-8581-4B8D-B530-CFF2526F1322}"/>
    <dataValidation allowBlank="1" errorTitle="1x1xSingleCell" error="592.3253" promptTitle="FactSet Formula" prompt="=FDSRC(&quot;-&quot;,$C$2,&quot;FE_TIMESERIES(&quot;&amp;$B37&amp;&quot;,MEAN,&quot;&amp;AC$5&amp;&quot;,,Q,'CURRENCY=USD')&quot;)" sqref="AC37" xr:uid="{D88CE101-B3C7-497A-8487-23EE9B0B27B8}"/>
    <dataValidation allowBlank="1" errorTitle="1x1xSingleCell" error="425.68448" promptTitle="FactSet Formula" prompt="=FDSRC(&quot;-&quot;,$C$2,&quot;FE_TIMESERIES(&quot;&amp;$B42&amp;&quot;,MEAN,&quot;&amp;AC$5&amp;&quot;,,Q,'CURRENCY=USD')&quot;)" sqref="AC42" xr:uid="{AE1A2E16-E604-464B-A63C-EE3B1AFD796E}"/>
    <dataValidation allowBlank="1" errorTitle="1x1xSingleCell" error="594.8455" promptTitle="FactSet Formula" prompt="=FDSRC(&quot;-&quot;,$C$2,&quot;FE_TIMESERIES(&quot;&amp;$B47&amp;&quot;,MEAN,&quot;&amp;AC$5&amp;&quot;,,Q,'CURRENCY=USD')&quot;)" sqref="AC47" xr:uid="{CEFB47B9-AFAB-4CBA-B46C-CAD8E9276D95}"/>
    <dataValidation allowBlank="1" errorTitle="1x1xSingleCell" error="439" promptTitle="FactSet Formula" prompt="=FDSRC(&quot;-&quot;,$C$2,&quot;FE_TIMESERIES(&quot;&amp;$B52&amp;&quot;,MEAN,&quot;&amp;AC$5&amp;&quot;,,Q,'CURRENCY=USD')&quot;)" sqref="AC52" xr:uid="{6FD6B8B0-626C-45D5-A6C7-2149292E351F}"/>
    <dataValidation allowBlank="1" errorTitle="1x1xSingleCell" error="0.4115396" promptTitle="FactSet Formula" prompt="=FDSRC(&quot;-&quot;,$C$2,&quot;FE_TIMESERIES(&quot;&amp;$B57&amp;&quot;,MEAN,&quot;&amp;AC$5&amp;&quot;,,Q,'CURRENCY=USD')&quot;)" sqref="AC57" xr:uid="{B05464C8-5517-440A-A8FF-3965B19222FF}"/>
    <dataValidation allowBlank="1" errorTitle="1x1xSingleCell" error="0.4226408" promptTitle="FactSet Formula" prompt="=FDSRC(&quot;-&quot;,$C$2,&quot;FE_TIMESERIES(&quot;&amp;$B61&amp;&quot;,MEAN,&quot;&amp;AC$5&amp;&quot;,,Q,'CURRENCY=USD')&quot;)" sqref="AC61" xr:uid="{0514CD5A-F1B8-4735-AEE0-464D6802DE83}"/>
    <dataValidation allowBlank="1" errorTitle="1x1xSingleCell" error="588.56946" promptTitle="FactSet Formula" prompt="=FDSRC(&quot;-&quot;,$C$2,&quot;FE_TIMESERIES(&quot;&amp;$B66&amp;&quot;,MEAN,&quot;&amp;AC$5&amp;&quot;,,Q,'CURRENCY=USD')&quot;)" sqref="AC66" xr:uid="{1B573D65-7BFA-4B68-9C0A-5686113CDA9D}"/>
    <dataValidation allowBlank="1" errorTitle="1x1xSingleCell" error="5.83475" promptTitle="FactSet Formula" prompt="=FDSRC(&quot;-&quot;,$C$2,&quot;FE_TIMESERIES(&quot;&amp;$B72&amp;&quot;,MEAN,&quot;&amp;AC$5&amp;&quot;,,Q,'CURRENCY=USD')&quot;)" sqref="AC72" xr:uid="{4C6E2C28-BCD1-4BCE-88B8-7E924062712B}"/>
    <dataValidation allowBlank="1" errorTitle="1x1xSingleCell" error="599.7068" promptTitle="FactSet Formula" prompt="=FDSRC(&quot;-&quot;,$C$2,&quot;FE_TIMESERIES(&quot;&amp;$B77&amp;&quot;,MEAN,&quot;&amp;AC$5&amp;&quot;,,Q,'CURRENCY=USD')&quot;)" sqref="AC77" xr:uid="{C6142A27-49E0-40D6-BF99-F64DAC6FB98E}"/>
    <dataValidation allowBlank="1" errorTitle="1x1xSingleCell" error="9.7947" promptTitle="FactSet Formula" prompt="=FDSRC(&quot;-&quot;,$C$2,&quot;FE_TIMESERIES(&quot;&amp;$B82&amp;&quot;,MEAN,&quot;&amp;AC$5&amp;&quot;,,Q,'CURRENCY=USD')&quot;)" sqref="AC82" xr:uid="{FC4710E7-07A0-4182-932F-4F1808838DEC}"/>
    <dataValidation allowBlank="1" errorTitle="1x1xSingleCell" error="-2146826252" promptTitle="FactSet Formula" prompt="=FDSRC(&quot;-&quot;,$C$2,&quot;FE_TIMESERIES(&quot;&amp;$B84&amp;&quot;,MEAN,&quot;&amp;AC$5&amp;&quot;,,Q,'CURRENCY=USD')&quot;)" sqref="AC84" xr:uid="{4EFAA69F-FF1C-4E17-BAC2-1FD8CB824477}"/>
    <dataValidation allowBlank="1" errorTitle="1x1xSingleCell" error="116926.805" promptTitle="FactSet Formula" prompt="=FDSRC(&quot;-&quot;,$C$2,&quot;FE_TIMESERIES(&quot;&amp;$B6&amp;&quot;,MEAN,&quot;&amp;AD$5&amp;&quot;,,Q,'CURRENCY=USD')&quot;)" sqref="AD6" xr:uid="{C8406F5F-C4FA-476F-9986-0C01FC818D74}"/>
    <dataValidation allowBlank="1" errorTitle="1x1xSingleCell" error="3651.513" promptTitle="FactSet Formula" prompt="=FDSRC(&quot;-&quot;,$C$2,&quot;FE_TIMESERIES(&quot;&amp;$B10&amp;&quot;,MEAN,&quot;&amp;AD$5&amp;&quot;,,Q,'CURRENCY=USD')&quot;)" sqref="AD10" xr:uid="{4DC04A23-C381-4CF9-832C-E152D1B60848}"/>
    <dataValidation allowBlank="1" errorTitle="1x1xSingleCell" error="838.4518" promptTitle="FactSet Formula" prompt="=FDSRC(&quot;-&quot;,$C$2,&quot;FE_TIMESERIES(&quot;&amp;$B14&amp;&quot;,MEAN,&quot;&amp;AD$5&amp;&quot;,,Q,'CURRENCY=USD')&quot;)" sqref="AD14" xr:uid="{336E9697-2449-4CB7-8A84-C2073DB67B77}"/>
    <dataValidation allowBlank="1" errorTitle="1x1xSingleCell" error="2784.4268" promptTitle="FactSet Formula" prompt="=FDSRC(&quot;-&quot;,$C$2,&quot;FE_TIMESERIES(&quot;&amp;$B18&amp;&quot;,MEAN,&quot;&amp;AD$5&amp;&quot;,,Q,'CURRENCY=USD')&quot;)" sqref="AD18" xr:uid="{09B19815-A3BA-41ED-8FC1-42A57A8D6A09}"/>
    <dataValidation allowBlank="1" errorTitle="1x1xSingleCell" error="1746.3556" promptTitle="FactSet Formula" prompt="=FDSRC(&quot;-&quot;,$C$2,&quot;FE_TIMESERIES(&quot;&amp;$B22&amp;&quot;,MEAN,&quot;&amp;AD$5&amp;&quot;,,Q,'CURRENCY=USD')&quot;)" sqref="AD22" xr:uid="{8F664907-82A1-437F-9C95-B858077F858C}"/>
    <dataValidation allowBlank="1" errorTitle="1x1xSingleCell" error="499.2295" promptTitle="FactSet Formula" prompt="=FDSRC(&quot;-&quot;,$C$2,&quot;FE_TIMESERIES(&quot;&amp;$B32&amp;&quot;,MEAN,&quot;&amp;AD$5&amp;&quot;,,Q,'CURRENCY=USD')&quot;)" sqref="AD32" xr:uid="{1127F71D-B7F0-4C13-BF6A-757B1B576BAB}"/>
    <dataValidation allowBlank="1" errorTitle="1x1xSingleCell" error="660.91113" promptTitle="FactSet Formula" prompt="=FDSRC(&quot;-&quot;,$C$2,&quot;FE_TIMESERIES(&quot;&amp;$B37&amp;&quot;,MEAN,&quot;&amp;AD$5&amp;&quot;,,Q,'CURRENCY=USD')&quot;)" sqref="AD37" xr:uid="{9CDD49D7-56C3-4EB6-A95C-22E6D7C7B386}"/>
    <dataValidation allowBlank="1" errorTitle="1x1xSingleCell" error="526.19104" promptTitle="FactSet Formula" prompt="=FDSRC(&quot;-&quot;,$C$2,&quot;FE_TIMESERIES(&quot;&amp;$B42&amp;&quot;,MEAN,&quot;&amp;AD$5&amp;&quot;,,Q,'CURRENCY=USD')&quot;)" sqref="AD42" xr:uid="{E04C87FF-2305-4ED1-9B61-484BAFD0DF05}"/>
    <dataValidation allowBlank="1" errorTitle="1x1xSingleCell" error="668.07587" promptTitle="FactSet Formula" prompt="=FDSRC(&quot;-&quot;,$C$2,&quot;FE_TIMESERIES(&quot;&amp;$B47&amp;&quot;,MEAN,&quot;&amp;AD$5&amp;&quot;,,Q,'CURRENCY=USD')&quot;)" sqref="AD47" xr:uid="{5355538A-0E32-406E-8342-CB165B6DABD4}"/>
    <dataValidation allowBlank="1" errorTitle="1x1xSingleCell" error="567.3018" promptTitle="FactSet Formula" prompt="=FDSRC(&quot;-&quot;,$C$2,&quot;FE_TIMESERIES(&quot;&amp;$B52&amp;&quot;,MEAN,&quot;&amp;AD$5&amp;&quot;,,Q,'CURRENCY=USD')&quot;)" sqref="AD52" xr:uid="{2A7FDC2A-2D6D-46B6-8BA8-4E9BA5FFF931}"/>
    <dataValidation allowBlank="1" errorTitle="1x1xSingleCell" error="0.45402429" promptTitle="FactSet Formula" prompt="=FDSRC(&quot;-&quot;,$C$2,&quot;FE_TIMESERIES(&quot;&amp;$B57&amp;&quot;,MEAN,&quot;&amp;AD$5&amp;&quot;,,Q,'CURRENCY=USD')&quot;)" sqref="AD57" xr:uid="{8C908576-5E74-46F8-827D-ADFBCB8287ED}"/>
    <dataValidation allowBlank="1" errorTitle="1x1xSingleCell" error="0.3663587" promptTitle="FactSet Formula" prompt="=FDSRC(&quot;-&quot;,$C$2,&quot;FE_TIMESERIES(&quot;&amp;$B61&amp;&quot;,MEAN,&quot;&amp;AD$5&amp;&quot;,,Q,'CURRENCY=USD')&quot;)" sqref="AD61" xr:uid="{0F574B29-3AA9-4654-888A-E08FAF19B734}"/>
    <dataValidation allowBlank="1" errorTitle="1x1xSingleCell" error="660.9996" promptTitle="FactSet Formula" prompt="=FDSRC(&quot;-&quot;,$C$2,&quot;FE_TIMESERIES(&quot;&amp;$B66&amp;&quot;,MEAN,&quot;&amp;AD$5&amp;&quot;,,Q,'CURRENCY=USD')&quot;)" sqref="AD66" xr:uid="{1B70C7BA-4046-43E8-97C5-5F4FAC825CA5}"/>
    <dataValidation allowBlank="1" errorTitle="1x1xSingleCell" error="6.3125" promptTitle="FactSet Formula" prompt="=FDSRC(&quot;-&quot;,$C$2,&quot;FE_TIMESERIES(&quot;&amp;$B72&amp;&quot;,MEAN,&quot;&amp;AD$5&amp;&quot;,,Q,'CURRENCY=USD')&quot;)" sqref="AD72" xr:uid="{08956D79-2D8E-41C3-BDC3-FB20FECF892E}"/>
    <dataValidation allowBlank="1" errorTitle="1x1xSingleCell" error="664.67145" promptTitle="FactSet Formula" prompt="=FDSRC(&quot;-&quot;,$C$2,&quot;FE_TIMESERIES(&quot;&amp;$B77&amp;&quot;,MEAN,&quot;&amp;AD$5&amp;&quot;,,Q,'CURRENCY=USD')&quot;)" sqref="AD77" xr:uid="{43EF030A-B4FD-40B3-87A4-44CA4CE352CB}"/>
    <dataValidation allowBlank="1" errorTitle="1x1xSingleCell" error="11.605" promptTitle="FactSet Formula" prompt="=FDSRC(&quot;-&quot;,$C$2,&quot;FE_TIMESERIES(&quot;&amp;$B82&amp;&quot;,MEAN,&quot;&amp;AD$5&amp;&quot;,,Q,'CURRENCY=USD')&quot;)" sqref="AD82" xr:uid="{03D8AF0C-A17F-4E66-9B9E-81B889A0345F}"/>
    <dataValidation allowBlank="1" errorTitle="1x1xSingleCell" error="-2146826252" promptTitle="FactSet Formula" prompt="=FDSRC(&quot;-&quot;,$C$2,&quot;FE_TIMESERIES(&quot;&amp;$B84&amp;&quot;,MEAN,&quot;&amp;AD$5&amp;&quot;,,Q,'CURRENCY=USD')&quot;)" sqref="AD84" xr:uid="{8CA13410-E194-4796-8501-0D99D1455367}"/>
    <dataValidation allowBlank="1" errorTitle="1x1xSingleCell" error="156022.83" promptTitle="FactSet Formula" prompt="=FDSRC(&quot;-&quot;,$C$2,&quot;FE_TIMESERIES(&quot;&amp;$B6&amp;&quot;,MEAN,&quot;&amp;AE$5&amp;&quot;,,Q,'CURRENCY=USD')&quot;)" sqref="AE6" xr:uid="{198556C0-E3CB-4042-ABC8-036D123B0B48}"/>
    <dataValidation allowBlank="1" errorTitle="1x1xSingleCell" error="4656.4146" promptTitle="FactSet Formula" prompt="=FDSRC(&quot;-&quot;,$C$2,&quot;FE_TIMESERIES(&quot;&amp;$B10&amp;&quot;,MEAN,&quot;&amp;AE$5&amp;&quot;,,Q,'CURRENCY=USD')&quot;)" sqref="AE10" xr:uid="{D19C6BD6-B3FA-4889-BAE6-71CFC49710E7}"/>
    <dataValidation allowBlank="1" errorTitle="1x1xSingleCell" error="916.2929" promptTitle="FactSet Formula" prompt="=FDSRC(&quot;-&quot;,$C$2,&quot;FE_TIMESERIES(&quot;&amp;$B14&amp;&quot;,MEAN,&quot;&amp;AE$5&amp;&quot;,,Q,'CURRENCY=USD')&quot;)" sqref="AE14" xr:uid="{44FDE91E-00CD-4CEF-9DFF-D91B828DB3BD}"/>
    <dataValidation allowBlank="1" errorTitle="1x1xSingleCell" error="3698.408" promptTitle="FactSet Formula" prompt="=FDSRC(&quot;-&quot;,$C$2,&quot;FE_TIMESERIES(&quot;&amp;$B18&amp;&quot;,MEAN,&quot;&amp;AE$5&amp;&quot;,,Q,'CURRENCY=USD')&quot;)" sqref="AE18" xr:uid="{A26610F9-F9ED-4FB8-A415-719CCA4A7E8C}"/>
    <dataValidation allowBlank="1" errorTitle="1x1xSingleCell" error="2125.8044" promptTitle="FactSet Formula" prompt="=FDSRC(&quot;-&quot;,$C$2,&quot;FE_TIMESERIES(&quot;&amp;$B22&amp;&quot;,MEAN,&quot;&amp;AE$5&amp;&quot;,,Q,'CURRENCY=USD')&quot;)" sqref="AE22" xr:uid="{918727B8-4585-408F-AE13-A5431CAC6C72}"/>
    <dataValidation allowBlank="1" errorTitle="1x1xSingleCell" error="806.86444" promptTitle="FactSet Formula" prompt="=FDSRC(&quot;-&quot;,$C$2,&quot;FE_TIMESERIES(&quot;&amp;$B32&amp;&quot;,MEAN,&quot;&amp;AE$5&amp;&quot;,,Q,'CURRENCY=USD')&quot;)" sqref="AE32" xr:uid="{862DAF8B-3EAF-44F7-ABD5-787103E95240}"/>
    <dataValidation allowBlank="1" errorTitle="1x1xSingleCell" error="965.8128" promptTitle="FactSet Formula" prompt="=FDSRC(&quot;-&quot;,$C$2,&quot;FE_TIMESERIES(&quot;&amp;$B37&amp;&quot;,MEAN,&quot;&amp;AE$5&amp;&quot;,,Q,'CURRENCY=USD')&quot;)" sqref="AE37" xr:uid="{E8BA8C78-1924-4DF6-B499-402E523BC0B5}"/>
    <dataValidation allowBlank="1" errorTitle="1x1xSingleCell" error="810.29034" promptTitle="FactSet Formula" prompt="=FDSRC(&quot;-&quot;,$C$2,&quot;FE_TIMESERIES(&quot;&amp;$B42&amp;&quot;,MEAN,&quot;&amp;AE$5&amp;&quot;,,Q,'CURRENCY=USD')&quot;)" sqref="AE42" xr:uid="{FD325FB4-4C36-4641-B684-D061B4F9C0AF}"/>
    <dataValidation allowBlank="1" errorTitle="1x1xSingleCell" error="970.7204" promptTitle="FactSet Formula" prompt="=FDSRC(&quot;-&quot;,$C$2,&quot;FE_TIMESERIES(&quot;&amp;$B47&amp;&quot;,MEAN,&quot;&amp;AE$5&amp;&quot;,,Q,'CURRENCY=USD')&quot;)" sqref="AE47" xr:uid="{57A98E0E-12A6-42EC-94B6-472CC71D29B0}"/>
    <dataValidation allowBlank="1" errorTitle="1x1xSingleCell" error="810.0192" promptTitle="FactSet Formula" prompt="=FDSRC(&quot;-&quot;,$C$2,&quot;FE_TIMESERIES(&quot;&amp;$B52&amp;&quot;,MEAN,&quot;&amp;AE$5&amp;&quot;,,Q,'CURRENCY=USD')&quot;)" sqref="AE52" xr:uid="{A25CD935-99AC-4E59-8113-52C9C36C5E80}"/>
    <dataValidation allowBlank="1" errorTitle="1x1xSingleCell" error="0.6457557" promptTitle="FactSet Formula" prompt="=FDSRC(&quot;-&quot;,$C$2,&quot;FE_TIMESERIES(&quot;&amp;$B57&amp;&quot;,MEAN,&quot;&amp;AE$5&amp;&quot;,,Q,'CURRENCY=USD')&quot;)" sqref="AE57" xr:uid="{FFDF535C-1B4A-41BC-9E85-5ECD0DD54B50}"/>
    <dataValidation allowBlank="1" errorTitle="1x1xSingleCell" error="0.5515808" promptTitle="FactSet Formula" prompt="=FDSRC(&quot;-&quot;,$C$2,&quot;FE_TIMESERIES(&quot;&amp;$B61&amp;&quot;,MEAN,&quot;&amp;AE$5&amp;&quot;,,Q,'CURRENCY=USD')&quot;)" sqref="AE61" xr:uid="{ABDD32D5-B7F0-4EAC-82DA-43EE02372EC9}"/>
    <dataValidation allowBlank="1" errorTitle="1x1xSingleCell" error="958.26245" promptTitle="FactSet Formula" prompt="=FDSRC(&quot;-&quot;,$C$2,&quot;FE_TIMESERIES(&quot;&amp;$B66&amp;&quot;,MEAN,&quot;&amp;AE$5&amp;&quot;,,Q,'CURRENCY=USD')&quot;)" sqref="AE66" xr:uid="{4996E5FD-A988-4B5E-94D7-8C7D2B87C30B}"/>
    <dataValidation allowBlank="1" errorTitle="1x1xSingleCell" error="6.9235454" promptTitle="FactSet Formula" prompt="=FDSRC(&quot;-&quot;,$C$2,&quot;FE_TIMESERIES(&quot;&amp;$B72&amp;&quot;,MEAN,&quot;&amp;AE$5&amp;&quot;,,Q,'CURRENCY=USD')&quot;)" sqref="AE72" xr:uid="{AF256754-0CDD-4727-92CE-B732A11EB259}"/>
    <dataValidation allowBlank="1" errorTitle="1x1xSingleCell" error="954.069" promptTitle="FactSet Formula" prompt="=FDSRC(&quot;-&quot;,$C$2,&quot;FE_TIMESERIES(&quot;&amp;$B77&amp;&quot;,MEAN,&quot;&amp;AE$5&amp;&quot;,,Q,'CURRENCY=USD')&quot;)" sqref="AE77" xr:uid="{CFA2129A-AE3F-4F33-8839-5C462802348F}"/>
    <dataValidation allowBlank="1" errorTitle="1x1xSingleCell" error="12.319" promptTitle="FactSet Formula" prompt="=FDSRC(&quot;-&quot;,$C$2,&quot;FE_TIMESERIES(&quot;&amp;$B82&amp;&quot;,MEAN,&quot;&amp;AE$5&amp;&quot;,,Q,'CURRENCY=USD')&quot;)" sqref="AE82" xr:uid="{E762167B-9A24-45FE-84C6-57B096C92B60}"/>
    <dataValidation allowBlank="1" errorTitle="1x1xSingleCell" error="-2146826252" promptTitle="FactSet Formula" prompt="=FDSRC(&quot;-&quot;,$C$2,&quot;FE_TIMESERIES(&quot;&amp;$B84&amp;&quot;,MEAN,&quot;&amp;AE$5&amp;&quot;,,Q,'CURRENCY=USD')&quot;)" sqref="AE84" xr:uid="{85C0B566-5730-4A35-B3EE-DE8D9004CC7C}"/>
    <dataValidation allowBlank="1" errorTitle="1x1xSingleCell" error="124690.234" promptTitle="FactSet Formula" prompt="=FDSRC(&quot;-&quot;,$C$2,&quot;FE_TIMESERIES(&quot;&amp;$B6&amp;&quot;,MEAN,&quot;&amp;AF$5&amp;&quot;,,Q,'CURRENCY=USD')&quot;)" sqref="AF6" xr:uid="{DCB1A28F-DE9F-47F8-96A3-3296BD7F2CFD}"/>
    <dataValidation allowBlank="1" errorTitle="1x1xSingleCell" error="3937.7522" promptTitle="FactSet Formula" prompt="=FDSRC(&quot;-&quot;,$C$2,&quot;FE_TIMESERIES(&quot;&amp;$B10&amp;&quot;,MEAN,&quot;&amp;AF$5&amp;&quot;,,Q,'CURRENCY=USD')&quot;)" sqref="AF10" xr:uid="{08DD0EFA-EDCF-4545-AF67-1707395C4699}"/>
    <dataValidation allowBlank="1" errorTitle="1x1xSingleCell" error="885.0574" promptTitle="FactSet Formula" prompt="=FDSRC(&quot;-&quot;,$C$2,&quot;FE_TIMESERIES(&quot;&amp;$B14&amp;&quot;,MEAN,&quot;&amp;AF$5&amp;&quot;,,Q,'CURRENCY=USD')&quot;)" sqref="AF14" xr:uid="{4176ED85-02AF-45B1-8A42-9EF8B564C45E}"/>
    <dataValidation allowBlank="1" errorTitle="1x1xSingleCell" error="3062.951" promptTitle="FactSet Formula" prompt="=FDSRC(&quot;-&quot;,$C$2,&quot;FE_TIMESERIES(&quot;&amp;$B18&amp;&quot;,MEAN,&quot;&amp;AF$5&amp;&quot;,,Q,'CURRENCY=USD')&quot;)" sqref="AF18" xr:uid="{3421B501-98A9-45B5-BBD6-CC87433F27A7}"/>
    <dataValidation allowBlank="1" errorTitle="1x1xSingleCell" error="1860.8838" promptTitle="FactSet Formula" prompt="=FDSRC(&quot;-&quot;,$C$2,&quot;FE_TIMESERIES(&quot;&amp;$B22&amp;&quot;,MEAN,&quot;&amp;AF$5&amp;&quot;,,Q,'CURRENCY=USD')&quot;)" sqref="AF22" xr:uid="{27A16C61-FC05-4E0D-8659-BE35D4E269EC}"/>
    <dataValidation allowBlank="1" errorTitle="1x1xSingleCell" error="491.9117" promptTitle="FactSet Formula" prompt="=FDSRC(&quot;-&quot;,$C$2,&quot;FE_TIMESERIES(&quot;&amp;$B32&amp;&quot;,MEAN,&quot;&amp;AF$5&amp;&quot;,,Q,'CURRENCY=USD')&quot;)" sqref="AF32" xr:uid="{2B34161D-5834-4025-9B20-F718E8C855FF}"/>
    <dataValidation allowBlank="1" errorTitle="1x1xSingleCell" error="668.21704" promptTitle="FactSet Formula" prompt="=FDSRC(&quot;-&quot;,$C$2,&quot;FE_TIMESERIES(&quot;&amp;$B37&amp;&quot;,MEAN,&quot;&amp;AF$5&amp;&quot;,,Q,'CURRENCY=USD')&quot;)" sqref="AF37" xr:uid="{CDA49D07-D306-42DB-85C7-06AFB9F4D8E6}"/>
    <dataValidation allowBlank="1" errorTitle="1x1xSingleCell" error="420" promptTitle="FactSet Formula" prompt="=FDSRC(&quot;-&quot;,$C$2,&quot;FE_TIMESERIES(&quot;&amp;$B42&amp;&quot;,MEAN,&quot;&amp;AF$5&amp;&quot;,,Q,'CURRENCY=USD')&quot;)" sqref="AF42" xr:uid="{4A9C53EE-C3CB-4DB2-91DF-FF304FA716E3}"/>
    <dataValidation allowBlank="1" errorTitle="1x1xSingleCell" error="652.57935" promptTitle="FactSet Formula" prompt="=FDSRC(&quot;-&quot;,$C$2,&quot;FE_TIMESERIES(&quot;&amp;$B47&amp;&quot;,MEAN,&quot;&amp;AF$5&amp;&quot;,,Q,'CURRENCY=USD')&quot;)" sqref="AF47" xr:uid="{AB8F640F-5B23-47C6-8055-F17763F46246}"/>
    <dataValidation allowBlank="1" errorTitle="1x1xSingleCell" error="540.8856" promptTitle="FactSet Formula" prompt="=FDSRC(&quot;-&quot;,$C$2,&quot;FE_TIMESERIES(&quot;&amp;$B52&amp;&quot;,MEAN,&quot;&amp;AF$5&amp;&quot;,,Q,'CURRENCY=USD')&quot;)" sqref="AF52" xr:uid="{E4D8899C-252F-41D1-8D37-3B7F9FEF77FA}"/>
    <dataValidation allowBlank="1" errorTitle="1x1xSingleCell" error="0.44013613" promptTitle="FactSet Formula" prompt="=FDSRC(&quot;-&quot;,$C$2,&quot;FE_TIMESERIES(&quot;&amp;$B57&amp;&quot;,MEAN,&quot;&amp;AF$5&amp;&quot;,,Q,'CURRENCY=USD')&quot;)" sqref="AF57" xr:uid="{E087DBF9-8039-4F2F-8995-8E4B3DA90560}"/>
    <dataValidation allowBlank="1" errorTitle="1x1xSingleCell" error="0.3692681" promptTitle="FactSet Formula" prompt="=FDSRC(&quot;-&quot;,$C$2,&quot;FE_TIMESERIES(&quot;&amp;$B61&amp;&quot;,MEAN,&quot;&amp;AF$5&amp;&quot;,,Q,'CURRENCY=USD')&quot;)" sqref="AF61" xr:uid="{57AA1C8B-AC33-4B80-BD6A-D6D10304A11C}"/>
    <dataValidation allowBlank="1" errorTitle="1x1xSingleCell" error="601.9898" promptTitle="FactSet Formula" prompt="=FDSRC(&quot;-&quot;,$C$2,&quot;FE_TIMESERIES(&quot;&amp;$B66&amp;&quot;,MEAN,&quot;&amp;AF$5&amp;&quot;,,Q,'CURRENCY=USD')&quot;)" sqref="AF66" xr:uid="{6E64D4DF-310C-46A7-A616-74420CC9364B}"/>
    <dataValidation allowBlank="1" errorTitle="1x1xSingleCell" error="5.6805" promptTitle="FactSet Formula" prompt="=FDSRC(&quot;-&quot;,$C$2,&quot;FE_TIMESERIES(&quot;&amp;$B72&amp;&quot;,MEAN,&quot;&amp;AF$5&amp;&quot;,,Q,'CURRENCY=USD')&quot;)" sqref="AF72" xr:uid="{D8D2BE32-6EBD-49E7-AF3C-DF8ED083CB1C}"/>
    <dataValidation allowBlank="1" errorTitle="1x1xSingleCell" error="557.83484" promptTitle="FactSet Formula" prompt="=FDSRC(&quot;-&quot;,$C$2,&quot;FE_TIMESERIES(&quot;&amp;$B77&amp;&quot;,MEAN,&quot;&amp;AF$5&amp;&quot;,,Q,'CURRENCY=USD')&quot;)" sqref="AF77" xr:uid="{85DA56B5-859A-41C5-9BD0-8CC84372152E}"/>
    <dataValidation allowBlank="1" errorTitle="1x1xSingleCell" error="24.603333" promptTitle="FactSet Formula" prompt="=FDSRC(&quot;-&quot;,$C$2,&quot;FE_TIMESERIES(&quot;&amp;$B82&amp;&quot;,MEAN,&quot;&amp;AF$5&amp;&quot;,,Q,'CURRENCY=USD')&quot;)" sqref="AF82" xr:uid="{94ADAA3E-CE2E-4406-9998-AF28357B144C}"/>
    <dataValidation allowBlank="1" errorTitle="1x1xSingleCell" error="-2146826252" promptTitle="FactSet Formula" prompt="=FDSRC(&quot;-&quot;,$C$2,&quot;FE_TIMESERIES(&quot;&amp;$B84&amp;&quot;,MEAN,&quot;&amp;AF$5&amp;&quot;,,Q,'CURRENCY=USD')&quot;)" sqref="AF84" xr:uid="{C1CFD31E-C6BC-48E6-8FF3-EFFA9B671C68}"/>
    <dataValidation allowBlank="1" errorTitle="1x1xSingleCell" error="139180.45" promptTitle="FactSet Formula" prompt="=FDSRC(&quot;-&quot;,$C$2,&quot;FE_TIMESERIES(&quot;&amp;$B6&amp;&quot;,MEAN,&quot;&amp;AG$5&amp;&quot;,,Q,'CURRENCY=USD')&quot;)" sqref="AG6" xr:uid="{EA2D9234-F2D4-48F6-90A2-8ED4636AEC83}"/>
    <dataValidation allowBlank="1" errorTitle="1x1xSingleCell" error="4343.4365" promptTitle="FactSet Formula" prompt="=FDSRC(&quot;-&quot;,$C$2,&quot;FE_TIMESERIES(&quot;&amp;$B10&amp;&quot;,MEAN,&quot;&amp;AG$5&amp;&quot;,,Q,'CURRENCY=USD')&quot;)" sqref="AG10" xr:uid="{71CCF9FE-EC4A-4631-AF46-403C2DE44846}"/>
    <dataValidation allowBlank="1" errorTitle="1x1xSingleCell" error="936.164" promptTitle="FactSet Formula" prompt="=FDSRC(&quot;-&quot;,$C$2,&quot;FE_TIMESERIES(&quot;&amp;$B14&amp;&quot;,MEAN,&quot;&amp;AG$5&amp;&quot;,,Q,'CURRENCY=USD')&quot;)" sqref="AG14" xr:uid="{798D6692-C8CE-4142-A3DF-647A75F9B6E6}"/>
    <dataValidation allowBlank="1" errorTitle="1x1xSingleCell" error="3372.4705" promptTitle="FactSet Formula" prompt="=FDSRC(&quot;-&quot;,$C$2,&quot;FE_TIMESERIES(&quot;&amp;$B18&amp;&quot;,MEAN,&quot;&amp;AG$5&amp;&quot;,,Q,'CURRENCY=USD')&quot;)" sqref="AG18" xr:uid="{AFC7A3FA-4807-4B1B-995F-6C8F3DD779C3}"/>
    <dataValidation allowBlank="1" errorTitle="1x1xSingleCell" error="2025.986" promptTitle="FactSet Formula" prompt="=FDSRC(&quot;-&quot;,$C$2,&quot;FE_TIMESERIES(&quot;&amp;$B22&amp;&quot;,MEAN,&quot;&amp;AG$5&amp;&quot;,,Q,'CURRENCY=USD')&quot;)" sqref="AG22" xr:uid="{A64C9590-4685-4C3B-81D7-87A58400F3D7}"/>
    <dataValidation allowBlank="1" errorTitle="1x1xSingleCell" error="564.3487" promptTitle="FactSet Formula" prompt="=FDSRC(&quot;-&quot;,$C$2,&quot;FE_TIMESERIES(&quot;&amp;$B32&amp;&quot;,MEAN,&quot;&amp;AG$5&amp;&quot;,,Q,'CURRENCY=USD')&quot;)" sqref="AG32" xr:uid="{3D6C0186-4487-44F8-86F5-E0AB710DD3CA}"/>
    <dataValidation allowBlank="1" errorTitle="1x1xSingleCell" error="781.9996" promptTitle="FactSet Formula" prompt="=FDSRC(&quot;-&quot;,$C$2,&quot;FE_TIMESERIES(&quot;&amp;$B37&amp;&quot;,MEAN,&quot;&amp;AG$5&amp;&quot;,,Q,'CURRENCY=USD')&quot;)" sqref="AG37" xr:uid="{7B7D7A56-D379-43C4-A77C-FCC5F717191E}"/>
    <dataValidation allowBlank="1" errorTitle="1x1xSingleCell" error="568" promptTitle="FactSet Formula" prompt="=FDSRC(&quot;-&quot;,$C$2,&quot;FE_TIMESERIES(&quot;&amp;$B42&amp;&quot;,MEAN,&quot;&amp;AG$5&amp;&quot;,,Q,'CURRENCY=USD')&quot;)" sqref="AG42" xr:uid="{CA296860-3B4F-40A1-BDC7-ECDEB51F08C2}"/>
    <dataValidation allowBlank="1" errorTitle="1x1xSingleCell" error="755.568" promptTitle="FactSet Formula" prompt="=FDSRC(&quot;-&quot;,$C$2,&quot;FE_TIMESERIES(&quot;&amp;$B47&amp;&quot;,MEAN,&quot;&amp;AG$5&amp;&quot;,,Q,'CURRENCY=USD')&quot;)" sqref="AG47" xr:uid="{1561D888-A24B-4A28-95BD-665920E2732E}"/>
    <dataValidation allowBlank="1" errorTitle="1x1xSingleCell" error="650.5665" promptTitle="FactSet Formula" prompt="=FDSRC(&quot;-&quot;,$C$2,&quot;FE_TIMESERIES(&quot;&amp;$B52&amp;&quot;,MEAN,&quot;&amp;AG$5&amp;&quot;,,Q,'CURRENCY=USD')&quot;)" sqref="AG52" xr:uid="{51569C3E-9371-4696-BC41-6C5A3308548D}"/>
    <dataValidation allowBlank="1" errorTitle="1x1xSingleCell" error="0.5306427" promptTitle="FactSet Formula" prompt="=FDSRC(&quot;-&quot;,$C$2,&quot;FE_TIMESERIES(&quot;&amp;$B57&amp;&quot;,MEAN,&quot;&amp;AG$5&amp;&quot;,,Q,'CURRENCY=USD')&quot;)" sqref="AG57" xr:uid="{E859E2D1-C050-4050-A0E2-10F4E69AA74F}"/>
    <dataValidation allowBlank="1" errorTitle="1x1xSingleCell" error="0.4196431" promptTitle="FactSet Formula" prompt="=FDSRC(&quot;-&quot;,$C$2,&quot;FE_TIMESERIES(&quot;&amp;$B61&amp;&quot;,MEAN,&quot;&amp;AG$5&amp;&quot;,,Q,'CURRENCY=USD')&quot;)" sqref="AG61" xr:uid="{89751D4B-0CAE-4CCA-8224-C7E0AEE11513}"/>
    <dataValidation allowBlank="1" errorTitle="1x1xSingleCell" error="771.3294" promptTitle="FactSet Formula" prompt="=FDSRC(&quot;-&quot;,$C$2,&quot;FE_TIMESERIES(&quot;&amp;$B66&amp;&quot;,MEAN,&quot;&amp;AG$5&amp;&quot;,,Q,'CURRENCY=USD')&quot;)" sqref="AG66" xr:uid="{9912BF23-0221-414D-84C7-92E77CF98EDF}"/>
    <dataValidation allowBlank="1" errorTitle="1x1xSingleCell" error="6.479" promptTitle="FactSet Formula" prompt="=FDSRC(&quot;-&quot;,$C$2,&quot;FE_TIMESERIES(&quot;&amp;$B72&amp;&quot;,MEAN,&quot;&amp;AG$5&amp;&quot;,,Q,'CURRENCY=USD')&quot;)" sqref="AG72" xr:uid="{0995B0A4-B606-466A-AEF9-279250077484}"/>
    <dataValidation allowBlank="1" errorTitle="1x1xSingleCell" error="722.4533" promptTitle="FactSet Formula" prompt="=FDSRC(&quot;-&quot;,$C$2,&quot;FE_TIMESERIES(&quot;&amp;$B77&amp;&quot;,MEAN,&quot;&amp;AG$5&amp;&quot;,,Q,'CURRENCY=USD')&quot;)" sqref="AG77" xr:uid="{ACEFF389-4FC9-4CC8-93CC-30FBAC71B16C}"/>
    <dataValidation allowBlank="1" errorTitle="1x1xSingleCell" error="26.618334" promptTitle="FactSet Formula" prompt="=FDSRC(&quot;-&quot;,$C$2,&quot;FE_TIMESERIES(&quot;&amp;$B82&amp;&quot;,MEAN,&quot;&amp;AG$5&amp;&quot;,,Q,'CURRENCY=USD')&quot;)" sqref="AG82" xr:uid="{71163FB0-D688-4954-9B14-76D1C19DEB06}"/>
    <dataValidation allowBlank="1" errorTitle="1x1xSingleCell" error="-2146826252" promptTitle="FactSet Formula" prompt="=FDSRC(&quot;-&quot;,$C$2,&quot;FE_TIMESERIES(&quot;&amp;$B84&amp;&quot;,MEAN,&quot;&amp;AG$5&amp;&quot;,,Q,'CURRENCY=USD')&quot;)" sqref="AG84" xr:uid="{D9DCE6FA-7003-4AB5-9126-633979D1AB8A}"/>
    <dataValidation allowBlank="1" errorTitle="1x1xSingleCell" error="142704.86" promptTitle="FactSet Formula" prompt="=FDSRC(&quot;-&quot;,$C$2,&quot;FE_TIMESERIES(&quot;&amp;$B6&amp;&quot;,MEAN,&quot;&amp;AH$5&amp;&quot;,,Q,'CURRENCY=USD')&quot;)" sqref="AH6" xr:uid="{2D7A07E8-25F0-4B9C-B491-57BAB5CD9B07}"/>
    <dataValidation allowBlank="1" errorTitle="1x1xSingleCell" error="4506.5664" promptTitle="FactSet Formula" prompt="=FDSRC(&quot;-&quot;,$C$2,&quot;FE_TIMESERIES(&quot;&amp;$B10&amp;&quot;,MEAN,&quot;&amp;AH$5&amp;&quot;,,Q,'CURRENCY=USD')&quot;)" sqref="AH10" xr:uid="{E31D5F78-C11C-4C70-BFDD-C313C4104C36}"/>
    <dataValidation allowBlank="1" errorTitle="1x1xSingleCell" error="983.6491" promptTitle="FactSet Formula" prompt="=FDSRC(&quot;-&quot;,$C$2,&quot;FE_TIMESERIES(&quot;&amp;$B14&amp;&quot;,MEAN,&quot;&amp;AH$5&amp;&quot;,,Q,'CURRENCY=USD')&quot;)" sqref="AH14" xr:uid="{5875600D-D01E-443C-A97F-B51D3502142A}"/>
    <dataValidation allowBlank="1" errorTitle="1x1xSingleCell" error="3493.7424" promptTitle="FactSet Formula" prompt="=FDSRC(&quot;-&quot;,$C$2,&quot;FE_TIMESERIES(&quot;&amp;$B18&amp;&quot;,MEAN,&quot;&amp;AH$5&amp;&quot;,,Q,'CURRENCY=USD')&quot;)" sqref="AH18" xr:uid="{53A34A58-B5C7-41BF-8822-7631EE38AB26}"/>
    <dataValidation allowBlank="1" errorTitle="1x1xSingleCell" error="2113.2405" promptTitle="FactSet Formula" prompt="=FDSRC(&quot;-&quot;,$C$2,&quot;FE_TIMESERIES(&quot;&amp;$B22&amp;&quot;,MEAN,&quot;&amp;AH$5&amp;&quot;,,Q,'CURRENCY=USD')&quot;)" sqref="AH22" xr:uid="{C2562BED-AD26-419A-AF54-E0F7C4237C57}"/>
    <dataValidation allowBlank="1" errorTitle="1x1xSingleCell" error="634.96027" promptTitle="FactSet Formula" prompt="=FDSRC(&quot;-&quot;,$C$2,&quot;FE_TIMESERIES(&quot;&amp;$B32&amp;&quot;,MEAN,&quot;&amp;AH$5&amp;&quot;,,Q,'CURRENCY=USD')&quot;)" sqref="AH32" xr:uid="{2CF695F7-6898-481B-B059-504AA0868206}"/>
    <dataValidation allowBlank="1" errorTitle="1x1xSingleCell" error="876.3855" promptTitle="FactSet Formula" prompt="=FDSRC(&quot;-&quot;,$C$2,&quot;FE_TIMESERIES(&quot;&amp;$B37&amp;&quot;,MEAN,&quot;&amp;AH$5&amp;&quot;,,Q,'CURRENCY=USD')&quot;)" sqref="AH37" xr:uid="{EE8E4FA4-68D9-43C4-9AF3-F383B0BF4DDE}"/>
    <dataValidation allowBlank="1" errorTitle="1x1xSingleCell" error="667" promptTitle="FactSet Formula" prompt="=FDSRC(&quot;-&quot;,$C$2,&quot;FE_TIMESERIES(&quot;&amp;$B42&amp;&quot;,MEAN,&quot;&amp;AH$5&amp;&quot;,,Q,'CURRENCY=USD')&quot;)" sqref="AH42" xr:uid="{E5CD3801-B042-4F10-BBAD-4D18FDC421D5}"/>
    <dataValidation allowBlank="1" errorTitle="1x1xSingleCell" error="837.26154" promptTitle="FactSet Formula" prompt="=FDSRC(&quot;-&quot;,$C$2,&quot;FE_TIMESERIES(&quot;&amp;$B47&amp;&quot;,MEAN,&quot;&amp;AH$5&amp;&quot;,,Q,'CURRENCY=USD')&quot;)" sqref="AH47" xr:uid="{D7990688-2BBC-45D8-A773-C2AB1ED2BA01}"/>
    <dataValidation allowBlank="1" errorTitle="1x1xSingleCell" error="725.731" promptTitle="FactSet Formula" prompt="=FDSRC(&quot;-&quot;,$C$2,&quot;FE_TIMESERIES(&quot;&amp;$B52&amp;&quot;,MEAN,&quot;&amp;AH$5&amp;&quot;,,Q,'CURRENCY=USD')&quot;)" sqref="AH52" xr:uid="{AFB1798D-B4E0-4705-99B0-C36A1EECCAFE}"/>
    <dataValidation allowBlank="1" errorTitle="1x1xSingleCell" error="0.5878864" promptTitle="FactSet Formula" prompt="=FDSRC(&quot;-&quot;,$C$2,&quot;FE_TIMESERIES(&quot;&amp;$B57&amp;&quot;,MEAN,&quot;&amp;AH$5&amp;&quot;,,Q,'CURRENCY=USD')&quot;)" sqref="AH57" xr:uid="{8CF2D288-B23D-4537-B7A9-D6D67F7D611C}"/>
    <dataValidation allowBlank="1" errorTitle="1x1xSingleCell" error="0.45314854" promptTitle="FactSet Formula" prompt="=FDSRC(&quot;-&quot;,$C$2,&quot;FE_TIMESERIES(&quot;&amp;$B61&amp;&quot;,MEAN,&quot;&amp;AH$5&amp;&quot;,,Q,'CURRENCY=USD')&quot;)" sqref="AH61" xr:uid="{17FBBAA9-9D60-4D71-BDB1-0A9F4769B3EA}"/>
    <dataValidation allowBlank="1" errorTitle="1x1xSingleCell" error="847.5846" promptTitle="FactSet Formula" prompt="=FDSRC(&quot;-&quot;,$C$2,&quot;FE_TIMESERIES(&quot;&amp;$B66&amp;&quot;,MEAN,&quot;&amp;AH$5&amp;&quot;,,Q,'CURRENCY=USD')&quot;)" sqref="AH66" xr:uid="{25B741C9-06CD-4C45-A501-1F5DCCED119D}"/>
    <dataValidation allowBlank="1" errorTitle="1x1xSingleCell" error="6.801" promptTitle="FactSet Formula" prompt="=FDSRC(&quot;-&quot;,$C$2,&quot;FE_TIMESERIES(&quot;&amp;$B72&amp;&quot;,MEAN,&quot;&amp;AH$5&amp;&quot;,,Q,'CURRENCY=USD')&quot;)" sqref="AH72" xr:uid="{CAC3D3B8-8F56-4F5C-838A-377C7D23D5D0}"/>
    <dataValidation allowBlank="1" errorTitle="1x1xSingleCell" error="848.16" promptTitle="FactSet Formula" prompt="=FDSRC(&quot;-&quot;,$C$2,&quot;FE_TIMESERIES(&quot;&amp;$B77&amp;&quot;,MEAN,&quot;&amp;AH$5&amp;&quot;,,Q,'CURRENCY=USD')&quot;)" sqref="AH77" xr:uid="{3E195C26-A001-4004-961B-D3795AB39B94}"/>
    <dataValidation allowBlank="1" errorTitle="1x1xSingleCell" error="27.436167" promptTitle="FactSet Formula" prompt="=FDSRC(&quot;-&quot;,$C$2,&quot;FE_TIMESERIES(&quot;&amp;$B82&amp;&quot;,MEAN,&quot;&amp;AH$5&amp;&quot;,,Q,'CURRENCY=USD')&quot;)" sqref="AH82" xr:uid="{62752807-A0A0-407C-B8BA-E01383FDBD28}"/>
    <dataValidation allowBlank="1" errorTitle="1x1xSingleCell" error="-2146826252" promptTitle="FactSet Formula" prompt="=FDSRC(&quot;-&quot;,$C$2,&quot;FE_TIMESERIES(&quot;&amp;$B84&amp;&quot;,MEAN,&quot;&amp;AH$5&amp;&quot;,,Q,'CURRENCY=USD')&quot;)" sqref="AH84" xr:uid="{46A6111F-6CDD-4300-84C3-EA1495429301}"/>
    <dataValidation allowBlank="1" errorTitle="1x1xSingleCell" error="188729.4" promptTitle="FactSet Formula" prompt="=FDSRC(&quot;-&quot;,$C$2,&quot;FE_TIMESERIES(&quot;&amp;$B6&amp;&quot;,MEAN,&quot;&amp;AI$5&amp;&quot;,,Q,'CURRENCY=USD')&quot;)" sqref="AI6" xr:uid="{92FCFC46-9BFF-414E-BAD2-BD3F2944808B}"/>
    <dataValidation allowBlank="1" errorTitle="1x1xSingleCell" error="5729.265" promptTitle="FactSet Formula" prompt="=FDSRC(&quot;-&quot;,$C$2,&quot;FE_TIMESERIES(&quot;&amp;$B10&amp;&quot;,MEAN,&quot;&amp;AI$5&amp;&quot;,,Q,'CURRENCY=USD')&quot;)" sqref="AI10" xr:uid="{C88564F7-6CDB-443F-B154-C6B9B6E452A3}"/>
    <dataValidation allowBlank="1" errorTitle="1x1xSingleCell" error="1067.024" promptTitle="FactSet Formula" prompt="=FDSRC(&quot;-&quot;,$C$2,&quot;FE_TIMESERIES(&quot;&amp;$B14&amp;&quot;,MEAN,&quot;&amp;AI$5&amp;&quot;,,Q,'CURRENCY=USD')&quot;)" sqref="AI14" xr:uid="{57C3C4D0-C904-42DE-98AA-7A3C76FD9F07}"/>
    <dataValidation allowBlank="1" errorTitle="1x1xSingleCell" error="4581.354" promptTitle="FactSet Formula" prompt="=FDSRC(&quot;-&quot;,$C$2,&quot;FE_TIMESERIES(&quot;&amp;$B18&amp;&quot;,MEAN,&quot;&amp;AI$5&amp;&quot;,,Q,'CURRENCY=USD')&quot;)" sqref="AI18" xr:uid="{40F9A4C3-1D7A-4C81-B23E-600E76D9B7DC}"/>
    <dataValidation allowBlank="1" errorTitle="1x1xSingleCell" error="2567.0076" promptTitle="FactSet Formula" prompt="=FDSRC(&quot;-&quot;,$C$2,&quot;FE_TIMESERIES(&quot;&amp;$B22&amp;&quot;,MEAN,&quot;&amp;AI$5&amp;&quot;,,Q,'CURRENCY=USD')&quot;)" sqref="AI22" xr:uid="{14790495-A4B6-491C-AFEA-1EB6117F8BCE}"/>
    <dataValidation allowBlank="1" errorTitle="1x1xSingleCell" error="999.7063" promptTitle="FactSet Formula" prompt="=FDSRC(&quot;-&quot;,$C$2,&quot;FE_TIMESERIES(&quot;&amp;$B32&amp;&quot;,MEAN,&quot;&amp;AI$5&amp;&quot;,,Q,'CURRENCY=USD')&quot;)" sqref="AI32" xr:uid="{29D2F69D-D7B0-4FFF-87B3-06DE013548B3}"/>
    <dataValidation allowBlank="1" errorTitle="1x1xSingleCell" error="1267.7617" promptTitle="FactSet Formula" prompt="=FDSRC(&quot;-&quot;,$C$2,&quot;FE_TIMESERIES(&quot;&amp;$B37&amp;&quot;,MEAN,&quot;&amp;AI$5&amp;&quot;,,Q,'CURRENCY=USD')&quot;)" sqref="AI37" xr:uid="{8D7CAD07-FE4B-44A2-9C5E-B581DF43E92E}"/>
    <dataValidation allowBlank="1" errorTitle="1x1xSingleCell" error="1021" promptTitle="FactSet Formula" prompt="=FDSRC(&quot;-&quot;,$C$2,&quot;FE_TIMESERIES(&quot;&amp;$B42&amp;&quot;,MEAN,&quot;&amp;AI$5&amp;&quot;,,Q,'CURRENCY=USD')&quot;)" sqref="AI42" xr:uid="{8BF80887-6911-4AD5-BBC3-57782CC1183A}"/>
    <dataValidation allowBlank="1" errorTitle="1x1xSingleCell" error="1191.6364" promptTitle="FactSet Formula" prompt="=FDSRC(&quot;-&quot;,$C$2,&quot;FE_TIMESERIES(&quot;&amp;$B47&amp;&quot;,MEAN,&quot;&amp;AI$5&amp;&quot;,,Q,'CURRENCY=USD')&quot;)" sqref="AI47" xr:uid="{4BE39432-4177-4DC1-9879-FB4A17F63F39}"/>
    <dataValidation allowBlank="1" errorTitle="1x1xSingleCell" error="1029.3108" promptTitle="FactSet Formula" prompt="=FDSRC(&quot;-&quot;,$C$2,&quot;FE_TIMESERIES(&quot;&amp;$B52&amp;&quot;,MEAN,&quot;&amp;AI$5&amp;&quot;,,Q,'CURRENCY=USD')&quot;)" sqref="AI52" xr:uid="{69EB6EB8-903A-4567-8112-A9321F73250E}"/>
    <dataValidation allowBlank="1" errorTitle="1x1xSingleCell" error="0.82372373" promptTitle="FactSet Formula" prompt="=FDSRC(&quot;-&quot;,$C$2,&quot;FE_TIMESERIES(&quot;&amp;$B57&amp;&quot;,MEAN,&quot;&amp;AI$5&amp;&quot;,,Q,'CURRENCY=USD')&quot;)" sqref="AI57" xr:uid="{D33FDDA8-D42E-4B11-9D0F-2B79F52AFE45}"/>
    <dataValidation allowBlank="1" errorTitle="1x1xSingleCell" error="0.6872509" promptTitle="FactSet Formula" prompt="=FDSRC(&quot;-&quot;,$C$2,&quot;FE_TIMESERIES(&quot;&amp;$B61&amp;&quot;,MEAN,&quot;&amp;AI$5&amp;&quot;,,Q,'CURRENCY=USD')&quot;)" sqref="AI61" xr:uid="{01244A9A-3720-4FBC-BE9F-2654DD63C4BC}"/>
    <dataValidation allowBlank="1" errorTitle="1x1xSingleCell" error="1238.278" promptTitle="FactSet Formula" prompt="=FDSRC(&quot;-&quot;,$C$2,&quot;FE_TIMESERIES(&quot;&amp;$B66&amp;&quot;,MEAN,&quot;&amp;AI$5&amp;&quot;,,Q,'CURRENCY=USD')&quot;)" sqref="AI66" xr:uid="{F858B2FB-2014-477B-B905-77B413CA3EEA}"/>
    <dataValidation allowBlank="1" errorTitle="1x1xSingleCell" error="7.9273334" promptTitle="FactSet Formula" prompt="=FDSRC(&quot;-&quot;,$C$2,&quot;FE_TIMESERIES(&quot;&amp;$B72&amp;&quot;,MEAN,&quot;&amp;AI$5&amp;&quot;,,Q,'CURRENCY=USD')&quot;)" sqref="AI72" xr:uid="{B4D8B5EE-4F9B-4A8B-B389-6BA4B9151C64}"/>
    <dataValidation allowBlank="1" errorTitle="1x1xSingleCell" error="1290.2925" promptTitle="FactSet Formula" prompt="=FDSRC(&quot;-&quot;,$C$2,&quot;FE_TIMESERIES(&quot;&amp;$B77&amp;&quot;,MEAN,&quot;&amp;AI$5&amp;&quot;,,Q,'CURRENCY=USD')&quot;)" sqref="AI77" xr:uid="{29A5E97B-EC11-4774-A8D9-A03244CF1601}"/>
    <dataValidation allowBlank="1" errorTitle="1x1xSingleCell" error="33.398666" promptTitle="FactSet Formula" prompt="=FDSRC(&quot;-&quot;,$C$2,&quot;FE_TIMESERIES(&quot;&amp;$B82&amp;&quot;,MEAN,&quot;&amp;AI$5&amp;&quot;,,Q,'CURRENCY=USD')&quot;)" sqref="AI82" xr:uid="{11FB302A-EFA8-4245-86FB-292F232357FD}"/>
    <dataValidation allowBlank="1" errorTitle="1x1xSingleCell" error="-2146826252" promptTitle="FactSet Formula" prompt="=FDSRC(&quot;-&quot;,$C$2,&quot;FE_TIMESERIES(&quot;&amp;$B84&amp;&quot;,MEAN,&quot;&amp;AI$5&amp;&quot;,,Q,'CURRENCY=USD')&quot;)" sqref="AI84" xr:uid="{C50D6F56-3E39-42BE-9FDB-8A9BBD483EFC}"/>
    <dataValidation allowBlank="1" errorTitle="1x1xSingleCell" error="-" promptTitle="FactSet Formula" prompt="=FDSRC(&quot;-&quot;,$C$2,&quot;FE_TIMESERIES(&quot;&amp;$B6&amp;&quot;,MEAN,&quot;&amp;AJ$5&amp;&quot;,,Q,'CURRENCY=USD')&quot;)" sqref="AJ6" xr:uid="{E8971459-4416-4DA8-89CE-6B52AB09E652}"/>
    <dataValidation allowBlank="1" errorTitle="1x1xSingleCell" error="4745.011" promptTitle="FactSet Formula" prompt="=FDSRC(&quot;-&quot;,$C$2,&quot;FE_TIMESERIES(&quot;&amp;$B10&amp;&quot;,MEAN,&quot;&amp;AJ$5&amp;&quot;,,Q,'CURRENCY=USD')&quot;)" sqref="AJ10" xr:uid="{796B4008-2374-435C-91CC-D3DEA1D09F14}"/>
    <dataValidation allowBlank="1" errorTitle="1x1xSingleCell" error="-" promptTitle="FactSet Formula" prompt="=FDSRC(&quot;-&quot;,$C$2,&quot;FE_TIMESERIES(&quot;&amp;$B14&amp;&quot;,MEAN,&quot;&amp;AJ$5&amp;&quot;,,Q,'CURRENCY=USD')&quot;)" sqref="AJ14" xr:uid="{17001CDF-E459-4649-B101-3354130AEADB}"/>
    <dataValidation allowBlank="1" errorTitle="1x1xSingleCell" error="-" promptTitle="FactSet Formula" prompt="=FDSRC(&quot;-&quot;,$C$2,&quot;FE_TIMESERIES(&quot;&amp;$B18&amp;&quot;,MEAN,&quot;&amp;AJ$5&amp;&quot;,,Q,'CURRENCY=USD')&quot;)" sqref="AJ18" xr:uid="{F6674FC7-B422-4089-BE05-9A8726BBA26B}"/>
    <dataValidation allowBlank="1" errorTitle="1x1xSingleCell" error="-" promptTitle="FactSet Formula" prompt="=FDSRC(&quot;-&quot;,$C$2,&quot;FE_TIMESERIES(&quot;&amp;$B22&amp;&quot;,MEAN,&quot;&amp;AJ$5&amp;&quot;,,Q,'CURRENCY=USD')&quot;)" sqref="AJ22" xr:uid="{1F92E490-C983-4643-852F-0810033A6B2C}"/>
    <dataValidation allowBlank="1" errorTitle="1x1xSingleCell" error="-" promptTitle="FactSet Formula" prompt="=FDSRC(&quot;-&quot;,$C$2,&quot;FE_TIMESERIES(&quot;&amp;$B32&amp;&quot;,MEAN,&quot;&amp;AJ$5&amp;&quot;,,Q,'CURRENCY=USD')&quot;)" sqref="AJ32" xr:uid="{FAF4EBA6-FE09-41C2-BEAA-5DA9200229C0}"/>
    <dataValidation allowBlank="1" errorTitle="1x1xSingleCell" error="895.0847" promptTitle="FactSet Formula" prompt="=FDSRC(&quot;-&quot;,$C$2,&quot;FE_TIMESERIES(&quot;&amp;$B37&amp;&quot;,MEAN,&quot;&amp;AJ$5&amp;&quot;,,Q,'CURRENCY=USD')&quot;)" sqref="AJ37" xr:uid="{319F83F9-B261-46F8-A6FB-AFD4EE95E554}"/>
    <dataValidation allowBlank="1" errorTitle="1x1xSingleCell" error="-" promptTitle="FactSet Formula" prompt="=FDSRC(&quot;-&quot;,$C$2,&quot;FE_TIMESERIES(&quot;&amp;$B42&amp;&quot;,MEAN,&quot;&amp;AJ$5&amp;&quot;,,Q,'CURRENCY=USD')&quot;)" sqref="AJ42" xr:uid="{B1EA85AE-679B-42CE-B1C6-90B6995DF7EB}"/>
    <dataValidation allowBlank="1" errorTitle="1x1xSingleCell" error="982.45654" promptTitle="FactSet Formula" prompt="=FDSRC(&quot;-&quot;,$C$2,&quot;FE_TIMESERIES(&quot;&amp;$B47&amp;&quot;,MEAN,&quot;&amp;AJ$5&amp;&quot;,,Q,'CURRENCY=USD')&quot;)" sqref="AJ47" xr:uid="{5F63011F-D8BB-4A97-9653-D9FDF324D1D3}"/>
    <dataValidation allowBlank="1" errorTitle="1x1xSingleCell" error="749.0374" promptTitle="FactSet Formula" prompt="=FDSRC(&quot;-&quot;,$C$2,&quot;FE_TIMESERIES(&quot;&amp;$B52&amp;&quot;,MEAN,&quot;&amp;AJ$5&amp;&quot;,,Q,'CURRENCY=USD')&quot;)" sqref="AJ52" xr:uid="{C4F420A2-4E30-43AF-980F-7CD697D7FB21}"/>
    <dataValidation allowBlank="1" errorTitle="1x1xSingleCell" error="0.5983525" promptTitle="FactSet Formula" prompt="=FDSRC(&quot;-&quot;,$C$2,&quot;FE_TIMESERIES(&quot;&amp;$B57&amp;&quot;,MEAN,&quot;&amp;AJ$5&amp;&quot;,,Q,'CURRENCY=USD')&quot;)" sqref="AJ57" xr:uid="{D470BC0A-FA2B-4F0F-B0B6-620B5C212375}"/>
    <dataValidation allowBlank="1" errorTitle="1x1xSingleCell" error="0.557363" promptTitle="FactSet Formula" prompt="=FDSRC(&quot;-&quot;,$C$2,&quot;FE_TIMESERIES(&quot;&amp;$B61&amp;&quot;,MEAN,&quot;&amp;AJ$5&amp;&quot;,,Q,'CURRENCY=USD')&quot;)" sqref="AJ61" xr:uid="{E9733F1C-6BEC-49FD-B2D4-9424C5F053A4}"/>
    <dataValidation allowBlank="1" errorTitle="1x1xSingleCell" error="568.875" promptTitle="FactSet Formula" prompt="=FDSRC(&quot;-&quot;,$C$2,&quot;FE_TIMESERIES(&quot;&amp;$B66&amp;&quot;,MEAN,&quot;&amp;AJ$5&amp;&quot;,,Q,'CURRENCY=USD')&quot;)" sqref="AJ66" xr:uid="{D85944BF-F1D0-4358-B8AA-1390F39D0948}"/>
    <dataValidation allowBlank="1" errorTitle="1x1xSingleCell" error="6.5265" promptTitle="FactSet Formula" prompt="=FDSRC(&quot;-&quot;,$C$2,&quot;FE_TIMESERIES(&quot;&amp;$B72&amp;&quot;,MEAN,&quot;&amp;AJ$5&amp;&quot;,,Q,'CURRENCY=USD')&quot;)" sqref="AJ72" xr:uid="{10283A3B-2E69-44C5-B216-21D2FAA76862}"/>
    <dataValidation allowBlank="1" errorTitle="1x1xSingleCell" error="-" promptTitle="FactSet Formula" prompt="=FDSRC(&quot;-&quot;,$C$2,&quot;FE_TIMESERIES(&quot;&amp;$B77&amp;&quot;,MEAN,&quot;&amp;AJ$5&amp;&quot;,,Q,'CURRENCY=USD')&quot;)" sqref="AJ77" xr:uid="{B4BCE962-DA87-47CE-8D0B-9C48F72A67DE}"/>
    <dataValidation allowBlank="1" errorTitle="1x1xSingleCell" error="-" promptTitle="FactSet Formula" prompt="=FDSRC(&quot;-&quot;,$C$2,&quot;FE_TIMESERIES(&quot;&amp;$B82&amp;&quot;,MEAN,&quot;&amp;AJ$5&amp;&quot;,,Q,'CURRENCY=USD')&quot;)" sqref="AJ82" xr:uid="{BD8F5771-386E-456A-8075-827506CFA771}"/>
    <dataValidation allowBlank="1" errorTitle="1x1xSingleCell" error="-2146826252" promptTitle="FactSet Formula" prompt="=FDSRC(&quot;-&quot;,$C$2,&quot;FE_TIMESERIES(&quot;&amp;$B84&amp;&quot;,MEAN,&quot;&amp;AJ$5&amp;&quot;,,Q,'CURRENCY=USD')&quot;)" sqref="AJ84" xr:uid="{42E01743-1C2B-4307-B11F-6EBE1787C96D}"/>
    <dataValidation allowBlank="1" errorTitle="1x1xSingleCell" error="-" promptTitle="FactSet Formula" prompt="=FDSRC(&quot;-&quot;,$C$2,&quot;FE_TIMESERIES(&quot;&amp;$B6&amp;&quot;,MEAN,&quot;&amp;AK$5&amp;&quot;,,Q,'CURRENCY=USD')&quot;)" sqref="AK6" xr:uid="{E531CB97-0DCA-49C6-8B45-2177BAFCEB3F}"/>
    <dataValidation allowBlank="1" errorTitle="1x1xSingleCell" error="5245.9165" promptTitle="FactSet Formula" prompt="=FDSRC(&quot;-&quot;,$C$2,&quot;FE_TIMESERIES(&quot;&amp;$B10&amp;&quot;,MEAN,&quot;&amp;AK$5&amp;&quot;,,Q,'CURRENCY=USD')&quot;)" sqref="AK10" xr:uid="{E056BFD4-2433-4D3C-AE4F-92CBE7CDF7B4}"/>
    <dataValidation allowBlank="1" errorTitle="1x1xSingleCell" error="-" promptTitle="FactSet Formula" prompt="=FDSRC(&quot;-&quot;,$C$2,&quot;FE_TIMESERIES(&quot;&amp;$B14&amp;&quot;,MEAN,&quot;&amp;AK$5&amp;&quot;,,Q,'CURRENCY=USD')&quot;)" sqref="AK14" xr:uid="{06EAA12F-71AE-495D-94E1-B3C5FA0437FC}"/>
    <dataValidation allowBlank="1" errorTitle="1x1xSingleCell" error="-" promptTitle="FactSet Formula" prompt="=FDSRC(&quot;-&quot;,$C$2,&quot;FE_TIMESERIES(&quot;&amp;$B18&amp;&quot;,MEAN,&quot;&amp;AK$5&amp;&quot;,,Q,'CURRENCY=USD')&quot;)" sqref="AK18" xr:uid="{A6B132BC-0B63-4A7E-BF8E-475CF38515AE}"/>
    <dataValidation allowBlank="1" errorTitle="1x1xSingleCell" error="-" promptTitle="FactSet Formula" prompt="=FDSRC(&quot;-&quot;,$C$2,&quot;FE_TIMESERIES(&quot;&amp;$B22&amp;&quot;,MEAN,&quot;&amp;AK$5&amp;&quot;,,Q,'CURRENCY=USD')&quot;)" sqref="AK22" xr:uid="{3181F3EE-E6AF-4358-B0F1-F4AE19053CE5}"/>
    <dataValidation allowBlank="1" errorTitle="1x1xSingleCell" error="-" promptTitle="FactSet Formula" prompt="=FDSRC(&quot;-&quot;,$C$2,&quot;FE_TIMESERIES(&quot;&amp;$B32&amp;&quot;,MEAN,&quot;&amp;AK$5&amp;&quot;,,Q,'CURRENCY=USD')&quot;)" sqref="AK32" xr:uid="{8B42B291-F86E-4F30-A84F-E48465EC7369}"/>
    <dataValidation allowBlank="1" errorTitle="1x1xSingleCell" error="1065.7258" promptTitle="FactSet Formula" prompt="=FDSRC(&quot;-&quot;,$C$2,&quot;FE_TIMESERIES(&quot;&amp;$B37&amp;&quot;,MEAN,&quot;&amp;AK$5&amp;&quot;,,Q,'CURRENCY=USD')&quot;)" sqref="AK37" xr:uid="{3482DEC3-5EB4-41C2-A991-C1F8F3CB0785}"/>
    <dataValidation allowBlank="1" errorTitle="1x1xSingleCell" error="-" promptTitle="FactSet Formula" prompt="=FDSRC(&quot;-&quot;,$C$2,&quot;FE_TIMESERIES(&quot;&amp;$B42&amp;&quot;,MEAN,&quot;&amp;AK$5&amp;&quot;,,Q,'CURRENCY=USD')&quot;)" sqref="AK42" xr:uid="{A51D9B6D-11C0-41C8-99A4-6D5BA4842779}"/>
    <dataValidation allowBlank="1" errorTitle="1x1xSingleCell" error="1076.2711" promptTitle="FactSet Formula" prompt="=FDSRC(&quot;-&quot;,$C$2,&quot;FE_TIMESERIES(&quot;&amp;$B47&amp;&quot;,MEAN,&quot;&amp;AK$5&amp;&quot;,,Q,'CURRENCY=USD')&quot;)" sqref="AK47" xr:uid="{B31ADC9B-60B1-4741-922C-149807211FB1}"/>
    <dataValidation allowBlank="1" errorTitle="1x1xSingleCell" error="830.24384" promptTitle="FactSet Formula" prompt="=FDSRC(&quot;-&quot;,$C$2,&quot;FE_TIMESERIES(&quot;&amp;$B52&amp;&quot;,MEAN,&quot;&amp;AK$5&amp;&quot;,,Q,'CURRENCY=USD')&quot;)" sqref="AK52" xr:uid="{6049B9DB-BA3D-4B35-A2D2-C090CF16E5F7}"/>
    <dataValidation allowBlank="1" errorTitle="1x1xSingleCell" error="0.6684845" promptTitle="FactSet Formula" prompt="=FDSRC(&quot;-&quot;,$C$2,&quot;FE_TIMESERIES(&quot;&amp;$B57&amp;&quot;,MEAN,&quot;&amp;AK$5&amp;&quot;,,Q,'CURRENCY=USD')&quot;)" sqref="AK57" xr:uid="{2D228F87-F26F-427D-8FE4-A9CFB269DD66}"/>
    <dataValidation allowBlank="1" errorTitle="1x1xSingleCell" error="0.608419" promptTitle="FactSet Formula" prompt="=FDSRC(&quot;-&quot;,$C$2,&quot;FE_TIMESERIES(&quot;&amp;$B61&amp;&quot;,MEAN,&quot;&amp;AK$5&amp;&quot;,,Q,'CURRENCY=USD')&quot;)" sqref="AK61" xr:uid="{A4B373A1-5386-4B83-8B71-C7339C325C99}"/>
    <dataValidation allowBlank="1" errorTitle="1x1xSingleCell" error="-" promptTitle="FactSet Formula" prompt="=FDSRC(&quot;-&quot;,$C$2,&quot;FE_TIMESERIES(&quot;&amp;$B66&amp;&quot;,MEAN,&quot;&amp;AK$5&amp;&quot;,,Q,'CURRENCY=USD')&quot;)" sqref="AK66" xr:uid="{AB3D2247-DF92-4771-B926-7D8CA2533929}"/>
    <dataValidation allowBlank="1" errorTitle="1x1xSingleCell" error="7.986" promptTitle="FactSet Formula" prompt="=FDSRC(&quot;-&quot;,$C$2,&quot;FE_TIMESERIES(&quot;&amp;$B72&amp;&quot;,MEAN,&quot;&amp;AK$5&amp;&quot;,,Q,'CURRENCY=USD')&quot;)" sqref="AK72" xr:uid="{75B70FF4-8DD2-4E01-B5DA-BAC87FEAE15A}"/>
    <dataValidation allowBlank="1" errorTitle="1x1xSingleCell" error="-" promptTitle="FactSet Formula" prompt="=FDSRC(&quot;-&quot;,$C$2,&quot;FE_TIMESERIES(&quot;&amp;$B77&amp;&quot;,MEAN,&quot;&amp;AK$5&amp;&quot;,,Q,'CURRENCY=USD')&quot;)" sqref="AK77" xr:uid="{D2A6FA63-A3BF-43B6-B020-33C6D0868213}"/>
    <dataValidation allowBlank="1" errorTitle="1x1xSingleCell" error="-" promptTitle="FactSet Formula" prompt="=FDSRC(&quot;-&quot;,$C$2,&quot;FE_TIMESERIES(&quot;&amp;$B82&amp;&quot;,MEAN,&quot;&amp;AK$5&amp;&quot;,,Q,'CURRENCY=USD')&quot;)" sqref="AK82" xr:uid="{E4C896C5-050F-44FD-85F9-C6FDC02CD07A}"/>
    <dataValidation allowBlank="1" errorTitle="1x1xSingleCell" error="-2146826252" promptTitle="FactSet Formula" prompt="=FDSRC(&quot;-&quot;,$C$2,&quot;FE_TIMESERIES(&quot;&amp;$B84&amp;&quot;,MEAN,&quot;&amp;AK$5&amp;&quot;,,Q,'CURRENCY=USD')&quot;)" sqref="AK84" xr:uid="{68F61739-FA9F-4175-8E18-24FBE04DF76E}"/>
    <dataValidation allowBlank="1" errorTitle="1x1xSingleCell" error="-" promptTitle="FactSet Formula" prompt="=FDSRC(&quot;-&quot;,$C$2,&quot;FE_TIMESERIES(&quot;&amp;$B6&amp;&quot;,MEAN,&quot;&amp;AL$5&amp;&quot;,,Q,'CURRENCY=USD')&quot;)" sqref="AL6" xr:uid="{60EF745E-3690-4F47-BCD3-238E99BB2BCB}"/>
    <dataValidation allowBlank="1" errorTitle="1x1xSingleCell" error="5463.5034" promptTitle="FactSet Formula" prompt="=FDSRC(&quot;-&quot;,$C$2,&quot;FE_TIMESERIES(&quot;&amp;$B10&amp;&quot;,MEAN,&quot;&amp;AL$5&amp;&quot;,,Q,'CURRENCY=USD')&quot;)" sqref="AL10" xr:uid="{ED592289-B77F-4F91-8D3D-16E07C7165E6}"/>
    <dataValidation allowBlank="1" errorTitle="1x1xSingleCell" error="-" promptTitle="FactSet Formula" prompt="=FDSRC(&quot;-&quot;,$C$2,&quot;FE_TIMESERIES(&quot;&amp;$B14&amp;&quot;,MEAN,&quot;&amp;AL$5&amp;&quot;,,Q,'CURRENCY=USD')&quot;)" sqref="AL14" xr:uid="{79376EF7-968B-49DD-994A-BAB01651E95E}"/>
    <dataValidation allowBlank="1" errorTitle="1x1xSingleCell" error="-" promptTitle="FactSet Formula" prompt="=FDSRC(&quot;-&quot;,$C$2,&quot;FE_TIMESERIES(&quot;&amp;$B18&amp;&quot;,MEAN,&quot;&amp;AL$5&amp;&quot;,,Q,'CURRENCY=USD')&quot;)" sqref="AL18" xr:uid="{7E1971EA-2A6B-45B7-997A-2D0DEE55B336}"/>
    <dataValidation allowBlank="1" errorTitle="1x1xSingleCell" error="-" promptTitle="FactSet Formula" prompt="=FDSRC(&quot;-&quot;,$C$2,&quot;FE_TIMESERIES(&quot;&amp;$B22&amp;&quot;,MEAN,&quot;&amp;AL$5&amp;&quot;,,Q,'CURRENCY=USD')&quot;)" sqref="AL22" xr:uid="{D5B7045F-D4AE-4E52-9232-2C2C2BFFED64}"/>
    <dataValidation allowBlank="1" errorTitle="1x1xSingleCell" error="-" promptTitle="FactSet Formula" prompt="=FDSRC(&quot;-&quot;,$C$2,&quot;FE_TIMESERIES(&quot;&amp;$B32&amp;&quot;,MEAN,&quot;&amp;AL$5&amp;&quot;,,Q,'CURRENCY=USD')&quot;)" sqref="AL32" xr:uid="{9B030A48-ACB3-420E-B274-8FC022CCE3D3}"/>
    <dataValidation allowBlank="1" errorTitle="1x1xSingleCell" error="1238.3016" promptTitle="FactSet Formula" prompt="=FDSRC(&quot;-&quot;,$C$2,&quot;FE_TIMESERIES(&quot;&amp;$B37&amp;&quot;,MEAN,&quot;&amp;AL$5&amp;&quot;,,Q,'CURRENCY=USD')&quot;)" sqref="AL37" xr:uid="{3E62B366-3EB9-424D-93E0-FFBAA0E59B70}"/>
    <dataValidation allowBlank="1" errorTitle="1x1xSingleCell" error="-" promptTitle="FactSet Formula" prompt="=FDSRC(&quot;-&quot;,$C$2,&quot;FE_TIMESERIES(&quot;&amp;$B42&amp;&quot;,MEAN,&quot;&amp;AL$5&amp;&quot;,,Q,'CURRENCY=USD')&quot;)" sqref="AL42" xr:uid="{98ECB8AF-47EE-413C-BFF0-87A70E5357ED}"/>
    <dataValidation allowBlank="1" errorTitle="1x1xSingleCell" error="1279.4642" promptTitle="FactSet Formula" prompt="=FDSRC(&quot;-&quot;,$C$2,&quot;FE_TIMESERIES(&quot;&amp;$B47&amp;&quot;,MEAN,&quot;&amp;AL$5&amp;&quot;,,Q,'CURRENCY=USD')&quot;)" sqref="AL47" xr:uid="{3EE26F84-6D58-4F3C-9C85-BE40ED04DD5D}"/>
    <dataValidation allowBlank="1" errorTitle="1x1xSingleCell" error="958.5608" promptTitle="FactSet Formula" prompt="=FDSRC(&quot;-&quot;,$C$2,&quot;FE_TIMESERIES(&quot;&amp;$B52&amp;&quot;,MEAN,&quot;&amp;AL$5&amp;&quot;,,Q,'CURRENCY=USD')&quot;)" sqref="AL52" xr:uid="{C6C1EB14-3DBF-4F15-9AD3-630730D16B27}"/>
    <dataValidation allowBlank="1" errorTitle="1x1xSingleCell" error="0.75442725" promptTitle="FactSet Formula" prompt="=FDSRC(&quot;-&quot;,$C$2,&quot;FE_TIMESERIES(&quot;&amp;$B57&amp;&quot;,MEAN,&quot;&amp;AL$5&amp;&quot;,,Q,'CURRENCY=USD')&quot;)" sqref="AL57" xr:uid="{22811B44-5C2F-4B62-BB96-A3705CD7026A}"/>
    <dataValidation allowBlank="1" errorTitle="1x1xSingleCell" error="0.7196045" promptTitle="FactSet Formula" prompt="=FDSRC(&quot;-&quot;,$C$2,&quot;FE_TIMESERIES(&quot;&amp;$B61&amp;&quot;,MEAN,&quot;&amp;AL$5&amp;&quot;,,Q,'CURRENCY=USD')&quot;)" sqref="AL61" xr:uid="{4BBDA950-BB7F-4CF6-A740-70182A506E23}"/>
    <dataValidation allowBlank="1" errorTitle="1x1xSingleCell" error="-" promptTitle="FactSet Formula" prompt="=FDSRC(&quot;-&quot;,$C$2,&quot;FE_TIMESERIES(&quot;&amp;$B66&amp;&quot;,MEAN,&quot;&amp;AL$5&amp;&quot;,,Q,'CURRENCY=USD')&quot;)" sqref="AL66" xr:uid="{79B9CC38-22EC-4682-9AFD-ADB4481F4E0C}"/>
    <dataValidation allowBlank="1" errorTitle="1x1xSingleCell" error="7.986" promptTitle="FactSet Formula" prompt="=FDSRC(&quot;-&quot;,$C$2,&quot;FE_TIMESERIES(&quot;&amp;$B72&amp;&quot;,MEAN,&quot;&amp;AL$5&amp;&quot;,,Q,'CURRENCY=USD')&quot;)" sqref="AL72" xr:uid="{7F8012DE-D103-48E8-AFC6-1D7394CDC84D}"/>
    <dataValidation allowBlank="1" errorTitle="1x1xSingleCell" error="-" promptTitle="FactSet Formula" prompt="=FDSRC(&quot;-&quot;,$C$2,&quot;FE_TIMESERIES(&quot;&amp;$B77&amp;&quot;,MEAN,&quot;&amp;AL$5&amp;&quot;,,Q,'CURRENCY=USD')&quot;)" sqref="AL77" xr:uid="{D6BDB862-CBF9-46AF-B307-B272F936301B}"/>
    <dataValidation allowBlank="1" errorTitle="1x1xSingleCell" error="-" promptTitle="FactSet Formula" prompt="=FDSRC(&quot;-&quot;,$C$2,&quot;FE_TIMESERIES(&quot;&amp;$B82&amp;&quot;,MEAN,&quot;&amp;AL$5&amp;&quot;,,Q,'CURRENCY=USD')&quot;)" sqref="AL82" xr:uid="{6458DF3F-4549-4D69-B0DD-111BADCED140}"/>
    <dataValidation allowBlank="1" errorTitle="1x1xSingleCell" error="-2146826252" promptTitle="FactSet Formula" prompt="=FDSRC(&quot;-&quot;,$C$2,&quot;FE_TIMESERIES(&quot;&amp;$B84&amp;&quot;,MEAN,&quot;&amp;AL$5&amp;&quot;,,Q,'CURRENCY=USD')&quot;)" sqref="AL84" xr:uid="{6A52740D-FF11-4741-A77E-E3F399E63990}"/>
    <dataValidation allowBlank="1" errorTitle="1x1xSingleCell" error="-" promptTitle="FactSet Formula" prompt="=FDSRC(&quot;-&quot;,$C$2,&quot;FE_TIMESERIES(&quot;&amp;$B6&amp;&quot;,MEAN,&quot;&amp;AM$5&amp;&quot;,,Q,'CURRENCY=USD')&quot;)" sqref="AM6" xr:uid="{81882F80-6F83-4BF6-82F3-48235D38A92F}"/>
    <dataValidation allowBlank="1" errorTitle="1x1xSingleCell" error="6948.6406" promptTitle="FactSet Formula" prompt="=FDSRC(&quot;-&quot;,$C$2,&quot;FE_TIMESERIES(&quot;&amp;$B10&amp;&quot;,MEAN,&quot;&amp;AM$5&amp;&quot;,,Q,'CURRENCY=USD')&quot;)" sqref="AM10" xr:uid="{7F23FB9E-DB02-4F9E-90D0-9CDAD4A74FE4}"/>
    <dataValidation allowBlank="1" errorTitle="1x1xSingleCell" error="-" promptTitle="FactSet Formula" prompt="=FDSRC(&quot;-&quot;,$C$2,&quot;FE_TIMESERIES(&quot;&amp;$B14&amp;&quot;,MEAN,&quot;&amp;AM$5&amp;&quot;,,Q,'CURRENCY=USD')&quot;)" sqref="AM14" xr:uid="{CED2C82A-6D42-49F0-A038-1C9B948BED23}"/>
    <dataValidation allowBlank="1" errorTitle="1x1xSingleCell" error="-" promptTitle="FactSet Formula" prompt="=FDSRC(&quot;-&quot;,$C$2,&quot;FE_TIMESERIES(&quot;&amp;$B18&amp;&quot;,MEAN,&quot;&amp;AM$5&amp;&quot;,,Q,'CURRENCY=USD')&quot;)" sqref="AM18" xr:uid="{CE302065-6CE7-4FD0-9EF0-9690FA9ED279}"/>
    <dataValidation allowBlank="1" errorTitle="1x1xSingleCell" error="-" promptTitle="FactSet Formula" prompt="=FDSRC(&quot;-&quot;,$C$2,&quot;FE_TIMESERIES(&quot;&amp;$B22&amp;&quot;,MEAN,&quot;&amp;AM$5&amp;&quot;,,Q,'CURRENCY=USD')&quot;)" sqref="AM22" xr:uid="{F2436AE2-021B-4FBD-85FC-E74AA16CC253}"/>
    <dataValidation allowBlank="1" errorTitle="1x1xSingleCell" error="-" promptTitle="FactSet Formula" prompt="=FDSRC(&quot;-&quot;,$C$2,&quot;FE_TIMESERIES(&quot;&amp;$B32&amp;&quot;,MEAN,&quot;&amp;AM$5&amp;&quot;,,Q,'CURRENCY=USD')&quot;)" sqref="AM32" xr:uid="{52704EC3-ED3B-4A00-A001-1A94204ADE31}"/>
    <dataValidation allowBlank="1" errorTitle="1x1xSingleCell" error="1748.9904" promptTitle="FactSet Formula" prompt="=FDSRC(&quot;-&quot;,$C$2,&quot;FE_TIMESERIES(&quot;&amp;$B37&amp;&quot;,MEAN,&quot;&amp;AM$5&amp;&quot;,,Q,'CURRENCY=USD')&quot;)" sqref="AM37" xr:uid="{44E8403A-5191-44D0-ADC9-D3F542AA9FB5}"/>
    <dataValidation allowBlank="1" errorTitle="1x1xSingleCell" error="-" promptTitle="FactSet Formula" prompt="=FDSRC(&quot;-&quot;,$C$2,&quot;FE_TIMESERIES(&quot;&amp;$B42&amp;&quot;,MEAN,&quot;&amp;AM$5&amp;&quot;,,Q,'CURRENCY=USD')&quot;)" sqref="AM42" xr:uid="{5DCC4B69-0A5E-4B83-AD85-C32D10C55A9A}"/>
    <dataValidation allowBlank="1" errorTitle="1x1xSingleCell" error="1833.967" promptTitle="FactSet Formula" prompt="=FDSRC(&quot;-&quot;,$C$2,&quot;FE_TIMESERIES(&quot;&amp;$B47&amp;&quot;,MEAN,&quot;&amp;AM$5&amp;&quot;,,Q,'CURRENCY=USD')&quot;)" sqref="AM47" xr:uid="{92B45424-B757-4F94-BDDF-B311E4D16E1D}"/>
    <dataValidation allowBlank="1" errorTitle="1x1xSingleCell" error="1330.6472" promptTitle="FactSet Formula" prompt="=FDSRC(&quot;-&quot;,$C$2,&quot;FE_TIMESERIES(&quot;&amp;$B52&amp;&quot;,MEAN,&quot;&amp;AM$5&amp;&quot;,,Q,'CURRENCY=USD')&quot;)" sqref="AM52" xr:uid="{12BC21CA-7D9A-46E9-BC66-2AC50E3B1010}"/>
    <dataValidation allowBlank="1" errorTitle="1x1xSingleCell" error="1.0448862" promptTitle="FactSet Formula" prompt="=FDSRC(&quot;-&quot;,$C$2,&quot;FE_TIMESERIES(&quot;&amp;$B57&amp;&quot;,MEAN,&quot;&amp;AM$5&amp;&quot;,,Q,'CURRENCY=USD')&quot;)" sqref="AM57" xr:uid="{0CFE7CE9-B8DD-4597-A1AA-91D48CB13830}"/>
    <dataValidation allowBlank="1" errorTitle="1x1xSingleCell" error="1.035042" promptTitle="FactSet Formula" prompt="=FDSRC(&quot;-&quot;,$C$2,&quot;FE_TIMESERIES(&quot;&amp;$B61&amp;&quot;,MEAN,&quot;&amp;AM$5&amp;&quot;,,Q,'CURRENCY=USD')&quot;)" sqref="AM61" xr:uid="{9F0C15D0-F7A3-4985-A8FC-47697AB0928B}"/>
    <dataValidation allowBlank="1" errorTitle="1x1xSingleCell" error="-" promptTitle="FactSet Formula" prompt="=FDSRC(&quot;-&quot;,$C$2,&quot;FE_TIMESERIES(&quot;&amp;$B66&amp;&quot;,MEAN,&quot;&amp;AM$5&amp;&quot;,,Q,'CURRENCY=USD')&quot;)" sqref="AM66" xr:uid="{FD740AD0-F1B0-4E0E-81C4-DCC4E918E0EC}"/>
    <dataValidation allowBlank="1" errorTitle="1x1xSingleCell" error="7.986" promptTitle="FactSet Formula" prompt="=FDSRC(&quot;-&quot;,$C$2,&quot;FE_TIMESERIES(&quot;&amp;$B72&amp;&quot;,MEAN,&quot;&amp;AM$5&amp;&quot;,,Q,'CURRENCY=USD')&quot;)" sqref="AM72" xr:uid="{31564503-C642-41C6-8EC9-A713F612F963}"/>
    <dataValidation allowBlank="1" errorTitle="1x1xSingleCell" error="-" promptTitle="FactSet Formula" prompt="=FDSRC(&quot;-&quot;,$C$2,&quot;FE_TIMESERIES(&quot;&amp;$B77&amp;&quot;,MEAN,&quot;&amp;AM$5&amp;&quot;,,Q,'CURRENCY=USD')&quot;)" sqref="AM77" xr:uid="{C86E4BCB-60F9-41D1-A6F7-18BE1EBCE466}"/>
    <dataValidation allowBlank="1" errorTitle="1x1xSingleCell" error="-" promptTitle="FactSet Formula" prompt="=FDSRC(&quot;-&quot;,$C$2,&quot;FE_TIMESERIES(&quot;&amp;$B82&amp;&quot;,MEAN,&quot;&amp;AM$5&amp;&quot;,,Q,'CURRENCY=USD')&quot;)" sqref="AM82" xr:uid="{44C2438F-D915-4ADA-BD46-5F1D478B3E03}"/>
    <dataValidation allowBlank="1" errorTitle="1x1xSingleCell" error="-2146826252" promptTitle="FactSet Formula" prompt="=FDSRC(&quot;-&quot;,$C$2,&quot;FE_TIMESERIES(&quot;&amp;$B84&amp;&quot;,MEAN,&quot;&amp;AM$5&amp;&quot;,,Q,'CURRENCY=USD')&quot;)" sqref="AM84" xr:uid="{EB09D8CF-0DE6-421D-B6B4-609A34D3B7FD}"/>
    <dataValidation allowBlank="1" errorTitle="1x1xSingleCell" error="-" promptTitle="FactSet Formula" prompt="=FDSRC(&quot;-&quot;,$C$2,&quot;FE_TIMESERIES(&quot;&amp;$B6&amp;&quot;,MEAN,&quot;&amp;AN$5&amp;&quot;,,Q,'CURRENCY=USD')&quot;)" sqref="AN6" xr:uid="{C1129E7B-C706-46AD-A48E-3E7A53961561}"/>
    <dataValidation allowBlank="1" errorTitle="1x1xSingleCell" error="-" promptTitle="FactSet Formula" prompt="=FDSRC(&quot;-&quot;,$C$2,&quot;FE_TIMESERIES(&quot;&amp;$B10&amp;&quot;,MEAN,&quot;&amp;AN$5&amp;&quot;,,Q,'CURRENCY=USD')&quot;)" sqref="AN10" xr:uid="{4E30D706-28A5-408A-85CA-83C472274657}"/>
    <dataValidation allowBlank="1" errorTitle="1x1xSingleCell" error="-" promptTitle="FactSet Formula" prompt="=FDSRC(&quot;-&quot;,$C$2,&quot;FE_TIMESERIES(&quot;&amp;$B14&amp;&quot;,MEAN,&quot;&amp;AN$5&amp;&quot;,,Q,'CURRENCY=USD')&quot;)" sqref="AN14" xr:uid="{100CBC7B-5505-4F8B-8FB7-BF52106819EC}"/>
    <dataValidation allowBlank="1" errorTitle="1x1xSingleCell" error="-" promptTitle="FactSet Formula" prompt="=FDSRC(&quot;-&quot;,$C$2,&quot;FE_TIMESERIES(&quot;&amp;$B18&amp;&quot;,MEAN,&quot;&amp;AN$5&amp;&quot;,,Q,'CURRENCY=USD')&quot;)" sqref="AN18" xr:uid="{307090B9-DE2D-49E6-8754-3595920DFED1}"/>
    <dataValidation allowBlank="1" errorTitle="1x1xSingleCell" error="-" promptTitle="FactSet Formula" prompt="=FDSRC(&quot;-&quot;,$C$2,&quot;FE_TIMESERIES(&quot;&amp;$B22&amp;&quot;,MEAN,&quot;&amp;AN$5&amp;&quot;,,Q,'CURRENCY=USD')&quot;)" sqref="AN22" xr:uid="{38B90C46-5FBE-48A2-AD74-23EEA16C5480}"/>
    <dataValidation allowBlank="1" errorTitle="1x1xSingleCell" error="-" promptTitle="FactSet Formula" prompt="=FDSRC(&quot;-&quot;,$C$2,&quot;FE_TIMESERIES(&quot;&amp;$B32&amp;&quot;,MEAN,&quot;&amp;AN$5&amp;&quot;,,Q,'CURRENCY=USD')&quot;)" sqref="AN32" xr:uid="{49D3E2B5-F0AB-46FA-99E8-807DB9E64482}"/>
    <dataValidation allowBlank="1" errorTitle="1x1xSingleCell" error="-" promptTitle="FactSet Formula" prompt="=FDSRC(&quot;-&quot;,$C$2,&quot;FE_TIMESERIES(&quot;&amp;$B37&amp;&quot;,MEAN,&quot;&amp;AN$5&amp;&quot;,,Q,'CURRENCY=USD')&quot;)" sqref="AN37" xr:uid="{C9BEA919-9CED-4971-BF1E-F75C157C101F}"/>
    <dataValidation allowBlank="1" errorTitle="1x1xSingleCell" error="-" promptTitle="FactSet Formula" prompt="=FDSRC(&quot;-&quot;,$C$2,&quot;FE_TIMESERIES(&quot;&amp;$B42&amp;&quot;,MEAN,&quot;&amp;AN$5&amp;&quot;,,Q,'CURRENCY=USD')&quot;)" sqref="AN42" xr:uid="{90200DE9-7C22-4B72-BEAC-C8A66D036013}"/>
    <dataValidation allowBlank="1" errorTitle="1x1xSingleCell" error="-" promptTitle="FactSet Formula" prompt="=FDSRC(&quot;-&quot;,$C$2,&quot;FE_TIMESERIES(&quot;&amp;$B47&amp;&quot;,MEAN,&quot;&amp;AN$5&amp;&quot;,,Q,'CURRENCY=USD')&quot;)" sqref="AN47" xr:uid="{B4FFFB83-940C-4872-8892-9CD79E663504}"/>
    <dataValidation allowBlank="1" errorTitle="1x1xSingleCell" error="-" promptTitle="FactSet Formula" prompt="=FDSRC(&quot;-&quot;,$C$2,&quot;FE_TIMESERIES(&quot;&amp;$B52&amp;&quot;,MEAN,&quot;&amp;AN$5&amp;&quot;,,Q,'CURRENCY=USD')&quot;)" sqref="AN52" xr:uid="{7D51686F-226D-4D6D-B234-DCA06845B0CB}"/>
    <dataValidation allowBlank="1" errorTitle="1x1xSingleCell" error="-" promptTitle="FactSet Formula" prompt="=FDSRC(&quot;-&quot;,$C$2,&quot;FE_TIMESERIES(&quot;&amp;$B57&amp;&quot;,MEAN,&quot;&amp;AN$5&amp;&quot;,,Q,'CURRENCY=USD')&quot;)" sqref="AN57" xr:uid="{9E1AD184-9D87-44BB-B70A-489FD7A6706D}"/>
    <dataValidation allowBlank="1" errorTitle="1x1xSingleCell" error="-" promptTitle="FactSet Formula" prompt="=FDSRC(&quot;-&quot;,$C$2,&quot;FE_TIMESERIES(&quot;&amp;$B61&amp;&quot;,MEAN,&quot;&amp;AN$5&amp;&quot;,,Q,'CURRENCY=USD')&quot;)" sqref="AN61" xr:uid="{5AB8981E-56BF-41E2-9CD5-B8C06F38239D}"/>
    <dataValidation allowBlank="1" errorTitle="1x1xSingleCell" error="-" promptTitle="FactSet Formula" prompt="=FDSRC(&quot;-&quot;,$C$2,&quot;FE_TIMESERIES(&quot;&amp;$B66&amp;&quot;,MEAN,&quot;&amp;AN$5&amp;&quot;,,Q,'CURRENCY=USD')&quot;)" sqref="AN66" xr:uid="{11130B8D-B82B-47BE-8D67-8836C3232372}"/>
    <dataValidation allowBlank="1" errorTitle="1x1xSingleCell" error="-" promptTitle="FactSet Formula" prompt="=FDSRC(&quot;-&quot;,$C$2,&quot;FE_TIMESERIES(&quot;&amp;$B72&amp;&quot;,MEAN,&quot;&amp;AN$5&amp;&quot;,,Q,'CURRENCY=USD')&quot;)" sqref="AN72" xr:uid="{4B73E181-4D96-4EFF-82DE-7B9E1A14B844}"/>
    <dataValidation allowBlank="1" errorTitle="1x1xSingleCell" error="-" promptTitle="FactSet Formula" prompt="=FDSRC(&quot;-&quot;,$C$2,&quot;FE_TIMESERIES(&quot;&amp;$B77&amp;&quot;,MEAN,&quot;&amp;AN$5&amp;&quot;,,Q,'CURRENCY=USD')&quot;)" sqref="AN77" xr:uid="{5C239075-37D0-467F-8A93-86884EF80D0F}"/>
    <dataValidation allowBlank="1" errorTitle="1x1xSingleCell" error="-" promptTitle="FactSet Formula" prompt="=FDSRC(&quot;-&quot;,$C$2,&quot;FE_TIMESERIES(&quot;&amp;$B82&amp;&quot;,MEAN,&quot;&amp;AN$5&amp;&quot;,,Q,'CURRENCY=USD')&quot;)" sqref="AN82" xr:uid="{0B908E8C-EB1F-4525-857D-E3547FC84004}"/>
    <dataValidation allowBlank="1" errorTitle="1x1xSingleCell" error="-2146826252" promptTitle="FactSet Formula" prompt="=FDSRC(&quot;-&quot;,$C$2,&quot;FE_TIMESERIES(&quot;&amp;$B84&amp;&quot;,MEAN,&quot;&amp;AN$5&amp;&quot;,,Q,'CURRENCY=USD')&quot;)" sqref="AN84" xr:uid="{988F43C7-53BC-4875-8CAF-59A908B3501E}"/>
    <dataValidation allowBlank="1" errorTitle="1x1xSingleCell" error="-" promptTitle="FactSet Formula" prompt="=FDSRC(&quot;-&quot;,$C$2,&quot;FE_TIMESERIES(&quot;&amp;$B6&amp;&quot;,MEAN,&quot;&amp;AO$5&amp;&quot;,,Q,'CURRENCY=USD')&quot;)" sqref="AO6" xr:uid="{74FCCBCB-B677-405B-A976-873C525FA3C4}"/>
    <dataValidation allowBlank="1" errorTitle="1x1xSingleCell" error="-" promptTitle="FactSet Formula" prompt="=FDSRC(&quot;-&quot;,$C$2,&quot;FE_TIMESERIES(&quot;&amp;$B10&amp;&quot;,MEAN,&quot;&amp;AO$5&amp;&quot;,,Q,'CURRENCY=USD')&quot;)" sqref="AO10" xr:uid="{914E50D4-CA58-44A0-92B5-D23A1BE6D2AB}"/>
    <dataValidation allowBlank="1" errorTitle="1x1xSingleCell" error="-" promptTitle="FactSet Formula" prompt="=FDSRC(&quot;-&quot;,$C$2,&quot;FE_TIMESERIES(&quot;&amp;$B14&amp;&quot;,MEAN,&quot;&amp;AO$5&amp;&quot;,,Q,'CURRENCY=USD')&quot;)" sqref="AO14" xr:uid="{C152D0F2-E3C6-4E99-8C24-C5AF9451663C}"/>
    <dataValidation allowBlank="1" errorTitle="1x1xSingleCell" error="-" promptTitle="FactSet Formula" prompt="=FDSRC(&quot;-&quot;,$C$2,&quot;FE_TIMESERIES(&quot;&amp;$B18&amp;&quot;,MEAN,&quot;&amp;AO$5&amp;&quot;,,Q,'CURRENCY=USD')&quot;)" sqref="AO18" xr:uid="{566C2148-8B54-46CC-979E-F51D0641EDC7}"/>
    <dataValidation allowBlank="1" errorTitle="1x1xSingleCell" error="-" promptTitle="FactSet Formula" prompt="=FDSRC(&quot;-&quot;,$C$2,&quot;FE_TIMESERIES(&quot;&amp;$B22&amp;&quot;,MEAN,&quot;&amp;AO$5&amp;&quot;,,Q,'CURRENCY=USD')&quot;)" sqref="AO22" xr:uid="{56E21215-A752-4E10-8201-4F3505E158A0}"/>
    <dataValidation allowBlank="1" errorTitle="1x1xSingleCell" error="-" promptTitle="FactSet Formula" prompt="=FDSRC(&quot;-&quot;,$C$2,&quot;FE_TIMESERIES(&quot;&amp;$B32&amp;&quot;,MEAN,&quot;&amp;AO$5&amp;&quot;,,Q,'CURRENCY=USD')&quot;)" sqref="AO32" xr:uid="{8E425856-51D6-43F8-80E8-EC847CC7E770}"/>
    <dataValidation allowBlank="1" errorTitle="1x1xSingleCell" error="-" promptTitle="FactSet Formula" prompt="=FDSRC(&quot;-&quot;,$C$2,&quot;FE_TIMESERIES(&quot;&amp;$B37&amp;&quot;,MEAN,&quot;&amp;AO$5&amp;&quot;,,Q,'CURRENCY=USD')&quot;)" sqref="AO37" xr:uid="{50CFAC56-85E1-4D80-A2A9-2D5B22C9A74A}"/>
    <dataValidation allowBlank="1" errorTitle="1x1xSingleCell" error="-" promptTitle="FactSet Formula" prompt="=FDSRC(&quot;-&quot;,$C$2,&quot;FE_TIMESERIES(&quot;&amp;$B42&amp;&quot;,MEAN,&quot;&amp;AO$5&amp;&quot;,,Q,'CURRENCY=USD')&quot;)" sqref="AO42" xr:uid="{550A3B3E-69B7-4573-BB82-2620238D71B3}"/>
    <dataValidation allowBlank="1" errorTitle="1x1xSingleCell" error="-" promptTitle="FactSet Formula" prompt="=FDSRC(&quot;-&quot;,$C$2,&quot;FE_TIMESERIES(&quot;&amp;$B47&amp;&quot;,MEAN,&quot;&amp;AO$5&amp;&quot;,,Q,'CURRENCY=USD')&quot;)" sqref="AO47" xr:uid="{9E8A5148-27E7-4E83-BB54-69D08413FC29}"/>
    <dataValidation allowBlank="1" errorTitle="1x1xSingleCell" error="-" promptTitle="FactSet Formula" prompt="=FDSRC(&quot;-&quot;,$C$2,&quot;FE_TIMESERIES(&quot;&amp;$B52&amp;&quot;,MEAN,&quot;&amp;AO$5&amp;&quot;,,Q,'CURRENCY=USD')&quot;)" sqref="AO52" xr:uid="{6A73426D-801F-4D60-BDF3-3013278C1F21}"/>
    <dataValidation allowBlank="1" errorTitle="1x1xSingleCell" error="-" promptTitle="FactSet Formula" prompt="=FDSRC(&quot;-&quot;,$C$2,&quot;FE_TIMESERIES(&quot;&amp;$B57&amp;&quot;,MEAN,&quot;&amp;AO$5&amp;&quot;,,Q,'CURRENCY=USD')&quot;)" sqref="AO57" xr:uid="{3F0909A9-150C-4CDF-9548-89A58A7845A4}"/>
    <dataValidation allowBlank="1" errorTitle="1x1xSingleCell" error="-" promptTitle="FactSet Formula" prompt="=FDSRC(&quot;-&quot;,$C$2,&quot;FE_TIMESERIES(&quot;&amp;$B61&amp;&quot;,MEAN,&quot;&amp;AO$5&amp;&quot;,,Q,'CURRENCY=USD')&quot;)" sqref="AO61" xr:uid="{EEAB682F-369B-42D2-9E31-CAF5AB39C5E5}"/>
    <dataValidation allowBlank="1" errorTitle="1x1xSingleCell" error="-" promptTitle="FactSet Formula" prompt="=FDSRC(&quot;-&quot;,$C$2,&quot;FE_TIMESERIES(&quot;&amp;$B66&amp;&quot;,MEAN,&quot;&amp;AO$5&amp;&quot;,,Q,'CURRENCY=USD')&quot;)" sqref="AO66" xr:uid="{C8985645-C48E-43B3-AEFC-1B8F7F4C2088}"/>
    <dataValidation allowBlank="1" errorTitle="1x1xSingleCell" error="-" promptTitle="FactSet Formula" prompt="=FDSRC(&quot;-&quot;,$C$2,&quot;FE_TIMESERIES(&quot;&amp;$B72&amp;&quot;,MEAN,&quot;&amp;AO$5&amp;&quot;,,Q,'CURRENCY=USD')&quot;)" sqref="AO72" xr:uid="{2926D20A-268B-4B9E-8E1E-BC65177B0509}"/>
    <dataValidation allowBlank="1" errorTitle="1x1xSingleCell" error="-" promptTitle="FactSet Formula" prompt="=FDSRC(&quot;-&quot;,$C$2,&quot;FE_TIMESERIES(&quot;&amp;$B77&amp;&quot;,MEAN,&quot;&amp;AO$5&amp;&quot;,,Q,'CURRENCY=USD')&quot;)" sqref="AO77" xr:uid="{EF1814B1-8BE6-405D-83A0-A5AF092002D4}"/>
    <dataValidation allowBlank="1" errorTitle="1x1xSingleCell" error="-" promptTitle="FactSet Formula" prompt="=FDSRC(&quot;-&quot;,$C$2,&quot;FE_TIMESERIES(&quot;&amp;$B82&amp;&quot;,MEAN,&quot;&amp;AO$5&amp;&quot;,,Q,'CURRENCY=USD')&quot;)" sqref="AO82" xr:uid="{84E3D4BA-967F-4F28-A05F-3F7AF390DC21}"/>
    <dataValidation allowBlank="1" errorTitle="1x1xSingleCell" error="-2146826252" promptTitle="FactSet Formula" prompt="=FDSRC(&quot;-&quot;,$C$2,&quot;FE_TIMESERIES(&quot;&amp;$B84&amp;&quot;,MEAN,&quot;&amp;AO$5&amp;&quot;,,Q,'CURRENCY=USD')&quot;)" sqref="AO84" xr:uid="{2E9155C4-67AE-4704-B5F0-6770A940ECAC}"/>
    <dataValidation allowBlank="1" errorTitle="1x1xSingleCell" error="-" promptTitle="FactSet Formula" prompt="=FDSRC(&quot;-&quot;,$C$2,&quot;FE_TIMESERIES(&quot;&amp;$B6&amp;&quot;,MEAN,&quot;&amp;AP$5&amp;&quot;,,Q,'CURRENCY=USD')&quot;)" sqref="AP6" xr:uid="{90AA8543-3675-41D8-A0A2-6707065E1B8B}"/>
    <dataValidation allowBlank="1" errorTitle="1x1xSingleCell" error="-" promptTitle="FactSet Formula" prompt="=FDSRC(&quot;-&quot;,$C$2,&quot;FE_TIMESERIES(&quot;&amp;$B10&amp;&quot;,MEAN,&quot;&amp;AP$5&amp;&quot;,,Q,'CURRENCY=USD')&quot;)" sqref="AP10" xr:uid="{57C898E9-12BA-453A-B4F9-43BAF3B85646}"/>
    <dataValidation allowBlank="1" errorTitle="1x1xSingleCell" error="-" promptTitle="FactSet Formula" prompt="=FDSRC(&quot;-&quot;,$C$2,&quot;FE_TIMESERIES(&quot;&amp;$B14&amp;&quot;,MEAN,&quot;&amp;AP$5&amp;&quot;,,Q,'CURRENCY=USD')&quot;)" sqref="AP14" xr:uid="{098EF1C2-CAC1-4E86-99D1-4B2F766E13B2}"/>
    <dataValidation allowBlank="1" errorTitle="1x1xSingleCell" error="-" promptTitle="FactSet Formula" prompt="=FDSRC(&quot;-&quot;,$C$2,&quot;FE_TIMESERIES(&quot;&amp;$B18&amp;&quot;,MEAN,&quot;&amp;AP$5&amp;&quot;,,Q,'CURRENCY=USD')&quot;)" sqref="AP18" xr:uid="{775D0136-127E-49E0-9FDC-E8757DD837CB}"/>
    <dataValidation allowBlank="1" errorTitle="1x1xSingleCell" error="-" promptTitle="FactSet Formula" prompt="=FDSRC(&quot;-&quot;,$C$2,&quot;FE_TIMESERIES(&quot;&amp;$B22&amp;&quot;,MEAN,&quot;&amp;AP$5&amp;&quot;,,Q,'CURRENCY=USD')&quot;)" sqref="AP22" xr:uid="{F0720CBE-156F-4F4E-BB56-787DD2090F72}"/>
    <dataValidation allowBlank="1" errorTitle="1x1xSingleCell" error="-" promptTitle="FactSet Formula" prompt="=FDSRC(&quot;-&quot;,$C$2,&quot;FE_TIMESERIES(&quot;&amp;$B32&amp;&quot;,MEAN,&quot;&amp;AP$5&amp;&quot;,,Q,'CURRENCY=USD')&quot;)" sqref="AP32" xr:uid="{FB7D1001-27A5-4E86-888C-B4DD0AA82306}"/>
    <dataValidation allowBlank="1" errorTitle="1x1xSingleCell" error="-" promptTitle="FactSet Formula" prompt="=FDSRC(&quot;-&quot;,$C$2,&quot;FE_TIMESERIES(&quot;&amp;$B37&amp;&quot;,MEAN,&quot;&amp;AP$5&amp;&quot;,,Q,'CURRENCY=USD')&quot;)" sqref="AP37" xr:uid="{B0F7BDCC-95AF-4EF8-9FB1-58C414F86E26}"/>
    <dataValidation allowBlank="1" errorTitle="1x1xSingleCell" error="-" promptTitle="FactSet Formula" prompt="=FDSRC(&quot;-&quot;,$C$2,&quot;FE_TIMESERIES(&quot;&amp;$B42&amp;&quot;,MEAN,&quot;&amp;AP$5&amp;&quot;,,Q,'CURRENCY=USD')&quot;)" sqref="AP42" xr:uid="{15D54100-7E50-4FC4-8A5F-39E4EEC50826}"/>
    <dataValidation allowBlank="1" errorTitle="1x1xSingleCell" error="-" promptTitle="FactSet Formula" prompt="=FDSRC(&quot;-&quot;,$C$2,&quot;FE_TIMESERIES(&quot;&amp;$B47&amp;&quot;,MEAN,&quot;&amp;AP$5&amp;&quot;,,Q,'CURRENCY=USD')&quot;)" sqref="AP47" xr:uid="{2C4C7913-25E0-44E0-8BCC-DE753C090C0B}"/>
    <dataValidation allowBlank="1" errorTitle="1x1xSingleCell" error="-" promptTitle="FactSet Formula" prompt="=FDSRC(&quot;-&quot;,$C$2,&quot;FE_TIMESERIES(&quot;&amp;$B52&amp;&quot;,MEAN,&quot;&amp;AP$5&amp;&quot;,,Q,'CURRENCY=USD')&quot;)" sqref="AP52" xr:uid="{A0C579FC-14AA-4EC1-AC4E-EEC862D2ADBE}"/>
    <dataValidation allowBlank="1" errorTitle="1x1xSingleCell" error="-" promptTitle="FactSet Formula" prompt="=FDSRC(&quot;-&quot;,$C$2,&quot;FE_TIMESERIES(&quot;&amp;$B57&amp;&quot;,MEAN,&quot;&amp;AP$5&amp;&quot;,,Q,'CURRENCY=USD')&quot;)" sqref="AP57" xr:uid="{2C419625-EC5B-4E4A-97BC-0E00AC8E194A}"/>
    <dataValidation allowBlank="1" errorTitle="1x1xSingleCell" error="-" promptTitle="FactSet Formula" prompt="=FDSRC(&quot;-&quot;,$C$2,&quot;FE_TIMESERIES(&quot;&amp;$B61&amp;&quot;,MEAN,&quot;&amp;AP$5&amp;&quot;,,Q,'CURRENCY=USD')&quot;)" sqref="AP61" xr:uid="{5AF9C514-F2D9-4A5B-A7D0-4E1981631057}"/>
    <dataValidation allowBlank="1" errorTitle="1x1xSingleCell" error="-" promptTitle="FactSet Formula" prompt="=FDSRC(&quot;-&quot;,$C$2,&quot;FE_TIMESERIES(&quot;&amp;$B66&amp;&quot;,MEAN,&quot;&amp;AP$5&amp;&quot;,,Q,'CURRENCY=USD')&quot;)" sqref="AP66" xr:uid="{B36BFE33-52E4-4A83-BD7F-795EA2299CD9}"/>
    <dataValidation allowBlank="1" errorTitle="1x1xSingleCell" error="-" promptTitle="FactSet Formula" prompt="=FDSRC(&quot;-&quot;,$C$2,&quot;FE_TIMESERIES(&quot;&amp;$B72&amp;&quot;,MEAN,&quot;&amp;AP$5&amp;&quot;,,Q,'CURRENCY=USD')&quot;)" sqref="AP72" xr:uid="{43727704-9197-4557-AACC-1F03A4EB0F95}"/>
    <dataValidation allowBlank="1" errorTitle="1x1xSingleCell" error="-" promptTitle="FactSet Formula" prompt="=FDSRC(&quot;-&quot;,$C$2,&quot;FE_TIMESERIES(&quot;&amp;$B77&amp;&quot;,MEAN,&quot;&amp;AP$5&amp;&quot;,,Q,'CURRENCY=USD')&quot;)" sqref="AP77" xr:uid="{6AC3D7EB-7F9E-4CD0-9946-A424870BE61E}"/>
    <dataValidation allowBlank="1" errorTitle="1x1xSingleCell" error="-" promptTitle="FactSet Formula" prompt="=FDSRC(&quot;-&quot;,$C$2,&quot;FE_TIMESERIES(&quot;&amp;$B82&amp;&quot;,MEAN,&quot;&amp;AP$5&amp;&quot;,,Q,'CURRENCY=USD')&quot;)" sqref="AP82" xr:uid="{E952DA50-0EB2-4ABC-BC3F-A6D35EA26CF6}"/>
    <dataValidation allowBlank="1" errorTitle="1x1xSingleCell" error="-2146826252" promptTitle="FactSet Formula" prompt="=FDSRC(&quot;-&quot;,$C$2,&quot;FE_TIMESERIES(&quot;&amp;$B84&amp;&quot;,MEAN,&quot;&amp;AP$5&amp;&quot;,,Q,'CURRENCY=USD')&quot;)" sqref="AP84" xr:uid="{BBD3D21E-CC31-4BE6-93A8-85D1862DFC83}"/>
    <dataValidation allowBlank="1" errorTitle="1x1xSingleCell" error="-" promptTitle="FactSet Formula" prompt="=FDSRC(&quot;-&quot;,$C$2,&quot;FE_TIMESERIES(&quot;&amp;$B6&amp;&quot;,MEAN,&quot;&amp;AQ$5&amp;&quot;,,Q,'CURRENCY=USD')&quot;)" sqref="AQ6" xr:uid="{F8323B7A-98C0-47C1-924B-90EFEB57B04B}"/>
    <dataValidation allowBlank="1" errorTitle="1x1xSingleCell" error="-" promptTitle="FactSet Formula" prompt="=FDSRC(&quot;-&quot;,$C$2,&quot;FE_TIMESERIES(&quot;&amp;$B10&amp;&quot;,MEAN,&quot;&amp;AQ$5&amp;&quot;,,Q,'CURRENCY=USD')&quot;)" sqref="AQ10" xr:uid="{205AB44C-4445-4676-8BCC-6AEBC1CCECFD}"/>
    <dataValidation allowBlank="1" errorTitle="1x1xSingleCell" error="-" promptTitle="FactSet Formula" prompt="=FDSRC(&quot;-&quot;,$C$2,&quot;FE_TIMESERIES(&quot;&amp;$B14&amp;&quot;,MEAN,&quot;&amp;AQ$5&amp;&quot;,,Q,'CURRENCY=USD')&quot;)" sqref="AQ14" xr:uid="{73403B53-803F-47E3-A4BE-3B1FF6835742}"/>
    <dataValidation allowBlank="1" errorTitle="1x1xSingleCell" error="-" promptTitle="FactSet Formula" prompt="=FDSRC(&quot;-&quot;,$C$2,&quot;FE_TIMESERIES(&quot;&amp;$B18&amp;&quot;,MEAN,&quot;&amp;AQ$5&amp;&quot;,,Q,'CURRENCY=USD')&quot;)" sqref="AQ18" xr:uid="{6904EE58-7665-4B98-ADD5-4F6D4A706034}"/>
    <dataValidation allowBlank="1" errorTitle="1x1xSingleCell" error="-" promptTitle="FactSet Formula" prompt="=FDSRC(&quot;-&quot;,$C$2,&quot;FE_TIMESERIES(&quot;&amp;$B22&amp;&quot;,MEAN,&quot;&amp;AQ$5&amp;&quot;,,Q,'CURRENCY=USD')&quot;)" sqref="AQ22" xr:uid="{548F5D2F-6F25-42E0-AABA-F4EF27AAF794}"/>
    <dataValidation allowBlank="1" errorTitle="1x1xSingleCell" error="-" promptTitle="FactSet Formula" prompt="=FDSRC(&quot;-&quot;,$C$2,&quot;FE_TIMESERIES(&quot;&amp;$B32&amp;&quot;,MEAN,&quot;&amp;AQ$5&amp;&quot;,,Q,'CURRENCY=USD')&quot;)" sqref="AQ32" xr:uid="{D6EBF85A-A70E-49C5-9AB6-FFE9C473FCE0}"/>
    <dataValidation allowBlank="1" errorTitle="1x1xSingleCell" error="-" promptTitle="FactSet Formula" prompt="=FDSRC(&quot;-&quot;,$C$2,&quot;FE_TIMESERIES(&quot;&amp;$B37&amp;&quot;,MEAN,&quot;&amp;AQ$5&amp;&quot;,,Q,'CURRENCY=USD')&quot;)" sqref="AQ37" xr:uid="{DCA857A2-087D-48EF-B4E5-E44BEC719D5F}"/>
    <dataValidation allowBlank="1" errorTitle="1x1xSingleCell" error="-" promptTitle="FactSet Formula" prompt="=FDSRC(&quot;-&quot;,$C$2,&quot;FE_TIMESERIES(&quot;&amp;$B42&amp;&quot;,MEAN,&quot;&amp;AQ$5&amp;&quot;,,Q,'CURRENCY=USD')&quot;)" sqref="AQ42" xr:uid="{26DD3D21-84C1-4EA9-882C-53CE32B0A024}"/>
    <dataValidation allowBlank="1" errorTitle="1x1xSingleCell" error="-" promptTitle="FactSet Formula" prompt="=FDSRC(&quot;-&quot;,$C$2,&quot;FE_TIMESERIES(&quot;&amp;$B47&amp;&quot;,MEAN,&quot;&amp;AQ$5&amp;&quot;,,Q,'CURRENCY=USD')&quot;)" sqref="AQ47" xr:uid="{CD3B2FA0-3674-4C3B-8E40-DF5C23BBDBA9}"/>
    <dataValidation allowBlank="1" errorTitle="1x1xSingleCell" error="-" promptTitle="FactSet Formula" prompt="=FDSRC(&quot;-&quot;,$C$2,&quot;FE_TIMESERIES(&quot;&amp;$B52&amp;&quot;,MEAN,&quot;&amp;AQ$5&amp;&quot;,,Q,'CURRENCY=USD')&quot;)" sqref="AQ52" xr:uid="{9F9E2B23-F3B3-4300-AF5C-3EC87FAA66CE}"/>
    <dataValidation allowBlank="1" errorTitle="1x1xSingleCell" error="-" promptTitle="FactSet Formula" prompt="=FDSRC(&quot;-&quot;,$C$2,&quot;FE_TIMESERIES(&quot;&amp;$B57&amp;&quot;,MEAN,&quot;&amp;AQ$5&amp;&quot;,,Q,'CURRENCY=USD')&quot;)" sqref="AQ57" xr:uid="{5F09B21D-4F81-4424-BDA9-89129FC95E03}"/>
    <dataValidation allowBlank="1" errorTitle="1x1xSingleCell" error="-" promptTitle="FactSet Formula" prompt="=FDSRC(&quot;-&quot;,$C$2,&quot;FE_TIMESERIES(&quot;&amp;$B61&amp;&quot;,MEAN,&quot;&amp;AQ$5&amp;&quot;,,Q,'CURRENCY=USD')&quot;)" sqref="AQ61" xr:uid="{C949E785-C419-449D-A577-1156C9D924A0}"/>
    <dataValidation allowBlank="1" errorTitle="1x1xSingleCell" error="-" promptTitle="FactSet Formula" prompt="=FDSRC(&quot;-&quot;,$C$2,&quot;FE_TIMESERIES(&quot;&amp;$B66&amp;&quot;,MEAN,&quot;&amp;AQ$5&amp;&quot;,,Q,'CURRENCY=USD')&quot;)" sqref="AQ66" xr:uid="{1BF5F2F7-67AC-4EA6-9C9B-C18177713301}"/>
    <dataValidation allowBlank="1" errorTitle="1x1xSingleCell" error="-" promptTitle="FactSet Formula" prompt="=FDSRC(&quot;-&quot;,$C$2,&quot;FE_TIMESERIES(&quot;&amp;$B72&amp;&quot;,MEAN,&quot;&amp;AQ$5&amp;&quot;,,Q,'CURRENCY=USD')&quot;)" sqref="AQ72" xr:uid="{CAFA6B42-1AFE-4243-ABD7-9DBAC28339EB}"/>
    <dataValidation allowBlank="1" errorTitle="1x1xSingleCell" error="-" promptTitle="FactSet Formula" prompt="=FDSRC(&quot;-&quot;,$C$2,&quot;FE_TIMESERIES(&quot;&amp;$B77&amp;&quot;,MEAN,&quot;&amp;AQ$5&amp;&quot;,,Q,'CURRENCY=USD')&quot;)" sqref="AQ77" xr:uid="{9E6C1F4C-D1D8-41E8-9869-00AA59220B56}"/>
    <dataValidation allowBlank="1" errorTitle="1x1xSingleCell" error="-" promptTitle="FactSet Formula" prompt="=FDSRC(&quot;-&quot;,$C$2,&quot;FE_TIMESERIES(&quot;&amp;$B82&amp;&quot;,MEAN,&quot;&amp;AQ$5&amp;&quot;,,Q,'CURRENCY=USD')&quot;)" sqref="AQ82" xr:uid="{8897DA6C-B7AC-4878-852E-75B3DF9E75E1}"/>
    <dataValidation allowBlank="1" errorTitle="1x1xSingleCell" error="-2146826252" promptTitle="FactSet Formula" prompt="=FDSRC(&quot;-&quot;,$C$2,&quot;FE_TIMESERIES(&quot;&amp;$B84&amp;&quot;,MEAN,&quot;&amp;AQ$5&amp;&quot;,,Q,'CURRENCY=USD')&quot;)" sqref="AQ84" xr:uid="{323BE2D1-8372-4E24-8A96-762152DE30D1}"/>
    <dataValidation allowBlank="1" errorTitle="1x1xSingleCell" error="-" promptTitle="FactSet Formula" prompt="=FDSRC(&quot;-&quot;,$C$2,&quot;FE_TIMESERIES(&quot;&amp;$B6&amp;&quot;,MEAN,&quot;&amp;AR$5&amp;&quot;,,Q,'CURRENCY=USD')&quot;)" sqref="AR6" xr:uid="{4A96286E-CDC3-4868-9906-0235D404E7C2}"/>
    <dataValidation allowBlank="1" errorTitle="1x1xSingleCell" error="-" promptTitle="FactSet Formula" prompt="=FDSRC(&quot;-&quot;,$C$2,&quot;FE_TIMESERIES(&quot;&amp;$B10&amp;&quot;,MEAN,&quot;&amp;AR$5&amp;&quot;,,Q,'CURRENCY=USD')&quot;)" sqref="AR10" xr:uid="{967CF836-A72E-493C-866B-DC7F49F4C42C}"/>
    <dataValidation allowBlank="1" errorTitle="1x1xSingleCell" error="-" promptTitle="FactSet Formula" prompt="=FDSRC(&quot;-&quot;,$C$2,&quot;FE_TIMESERIES(&quot;&amp;$B14&amp;&quot;,MEAN,&quot;&amp;AR$5&amp;&quot;,,Q,'CURRENCY=USD')&quot;)" sqref="AR14" xr:uid="{39496DDF-270B-4E2F-A1B1-DCFD859B9228}"/>
    <dataValidation allowBlank="1" errorTitle="1x1xSingleCell" error="-" promptTitle="FactSet Formula" prompt="=FDSRC(&quot;-&quot;,$C$2,&quot;FE_TIMESERIES(&quot;&amp;$B18&amp;&quot;,MEAN,&quot;&amp;AR$5&amp;&quot;,,Q,'CURRENCY=USD')&quot;)" sqref="AR18" xr:uid="{9D7585C0-CB31-4EFE-82FE-412A75C99F15}"/>
    <dataValidation allowBlank="1" errorTitle="1x1xSingleCell" error="-" promptTitle="FactSet Formula" prompt="=FDSRC(&quot;-&quot;,$C$2,&quot;FE_TIMESERIES(&quot;&amp;$B22&amp;&quot;,MEAN,&quot;&amp;AR$5&amp;&quot;,,Q,'CURRENCY=USD')&quot;)" sqref="AR22" xr:uid="{65C09EB1-B394-4096-8B73-BFFF6972FE75}"/>
    <dataValidation allowBlank="1" errorTitle="1x1xSingleCell" error="-" promptTitle="FactSet Formula" prompt="=FDSRC(&quot;-&quot;,$C$2,&quot;FE_TIMESERIES(&quot;&amp;$B32&amp;&quot;,MEAN,&quot;&amp;AR$5&amp;&quot;,,Q,'CURRENCY=USD')&quot;)" sqref="AR32" xr:uid="{1D1ABED0-1036-4794-B732-69CEC5737529}"/>
    <dataValidation allowBlank="1" errorTitle="1x1xSingleCell" error="-" promptTitle="FactSet Formula" prompt="=FDSRC(&quot;-&quot;,$C$2,&quot;FE_TIMESERIES(&quot;&amp;$B37&amp;&quot;,MEAN,&quot;&amp;AR$5&amp;&quot;,,Q,'CURRENCY=USD')&quot;)" sqref="AR37" xr:uid="{720A99F4-4DE6-4535-A2FF-A4A5BB090AE3}"/>
    <dataValidation allowBlank="1" errorTitle="1x1xSingleCell" error="-" promptTitle="FactSet Formula" prompt="=FDSRC(&quot;-&quot;,$C$2,&quot;FE_TIMESERIES(&quot;&amp;$B42&amp;&quot;,MEAN,&quot;&amp;AR$5&amp;&quot;,,Q,'CURRENCY=USD')&quot;)" sqref="AR42" xr:uid="{2EB617B0-3068-4F3E-A97A-B5B9AD34FE4C}"/>
    <dataValidation allowBlank="1" errorTitle="1x1xSingleCell" error="-" promptTitle="FactSet Formula" prompt="=FDSRC(&quot;-&quot;,$C$2,&quot;FE_TIMESERIES(&quot;&amp;$B47&amp;&quot;,MEAN,&quot;&amp;AR$5&amp;&quot;,,Q,'CURRENCY=USD')&quot;)" sqref="AR47" xr:uid="{2F4E5B9C-F46A-4B31-AC34-7AAFF67777D5}"/>
    <dataValidation allowBlank="1" errorTitle="1x1xSingleCell" error="-" promptTitle="FactSet Formula" prompt="=FDSRC(&quot;-&quot;,$C$2,&quot;FE_TIMESERIES(&quot;&amp;$B52&amp;&quot;,MEAN,&quot;&amp;AR$5&amp;&quot;,,Q,'CURRENCY=USD')&quot;)" sqref="AR52" xr:uid="{5BF32710-3297-4049-89D3-F94A2170962D}"/>
    <dataValidation allowBlank="1" errorTitle="1x1xSingleCell" error="-" promptTitle="FactSet Formula" prompt="=FDSRC(&quot;-&quot;,$C$2,&quot;FE_TIMESERIES(&quot;&amp;$B57&amp;&quot;,MEAN,&quot;&amp;AR$5&amp;&quot;,,Q,'CURRENCY=USD')&quot;)" sqref="AR57" xr:uid="{B0A2EF98-B5A3-4E3A-A6D9-983CF3F46285}"/>
    <dataValidation allowBlank="1" errorTitle="1x1xSingleCell" error="-" promptTitle="FactSet Formula" prompt="=FDSRC(&quot;-&quot;,$C$2,&quot;FE_TIMESERIES(&quot;&amp;$B61&amp;&quot;,MEAN,&quot;&amp;AR$5&amp;&quot;,,Q,'CURRENCY=USD')&quot;)" sqref="AR61" xr:uid="{04888D73-0441-4FE1-A8D4-1ADFE52B7D64}"/>
    <dataValidation allowBlank="1" errorTitle="1x1xSingleCell" error="-" promptTitle="FactSet Formula" prompt="=FDSRC(&quot;-&quot;,$C$2,&quot;FE_TIMESERIES(&quot;&amp;$B66&amp;&quot;,MEAN,&quot;&amp;AR$5&amp;&quot;,,Q,'CURRENCY=USD')&quot;)" sqref="AR66" xr:uid="{F76F043E-4DBA-405C-9E23-2E0B4FD81A34}"/>
    <dataValidation allowBlank="1" errorTitle="1x1xSingleCell" error="-" promptTitle="FactSet Formula" prompt="=FDSRC(&quot;-&quot;,$C$2,&quot;FE_TIMESERIES(&quot;&amp;$B72&amp;&quot;,MEAN,&quot;&amp;AR$5&amp;&quot;,,Q,'CURRENCY=USD')&quot;)" sqref="AR72" xr:uid="{83EE0DAF-D594-4250-A85C-08CCAB9040BB}"/>
    <dataValidation allowBlank="1" errorTitle="1x1xSingleCell" error="-" promptTitle="FactSet Formula" prompt="=FDSRC(&quot;-&quot;,$C$2,&quot;FE_TIMESERIES(&quot;&amp;$B77&amp;&quot;,MEAN,&quot;&amp;AR$5&amp;&quot;,,Q,'CURRENCY=USD')&quot;)" sqref="AR77" xr:uid="{5B284011-4556-4914-BD3E-3F3549D83D26}"/>
    <dataValidation allowBlank="1" errorTitle="1x1xSingleCell" error="-" promptTitle="FactSet Formula" prompt="=FDSRC(&quot;-&quot;,$C$2,&quot;FE_TIMESERIES(&quot;&amp;$B82&amp;&quot;,MEAN,&quot;&amp;AR$5&amp;&quot;,,Q,'CURRENCY=USD')&quot;)" sqref="AR82" xr:uid="{F489677E-A0DE-4EA6-92A3-7C5DF41B6FF8}"/>
    <dataValidation allowBlank="1" errorTitle="1x1xSingleCell" error="-2146826252" promptTitle="FactSet Formula" prompt="=FDSRC(&quot;-&quot;,$C$2,&quot;FE_TIMESERIES(&quot;&amp;$B84&amp;&quot;,MEAN,&quot;&amp;AR$5&amp;&quot;,,Q,'CURRENCY=USD')&quot;)" sqref="AR84" xr:uid="{F627884E-7590-4FD6-AD38-39864A991EF7}"/>
    <dataValidation allowBlank="1" errorTitle="1x1xSingleCell" error="-" promptTitle="FactSet Formula" prompt="=FDSRC(&quot;-&quot;,$C$2,&quot;FE_TIMESERIES(&quot;&amp;$B6&amp;&quot;,MEAN,&quot;&amp;AS$5&amp;&quot;,,Q,'CURRENCY=USD')&quot;)" sqref="AS6" xr:uid="{89C956C6-749D-4936-ACE1-ADADBFC5BFE6}"/>
    <dataValidation allowBlank="1" errorTitle="1x1xSingleCell" error="-" promptTitle="FactSet Formula" prompt="=FDSRC(&quot;-&quot;,$C$2,&quot;FE_TIMESERIES(&quot;&amp;$B10&amp;&quot;,MEAN,&quot;&amp;AS$5&amp;&quot;,,Q,'CURRENCY=USD')&quot;)" sqref="AS10" xr:uid="{27E8A8A2-A574-4CA0-BBDB-7D586822D902}"/>
    <dataValidation allowBlank="1" errorTitle="1x1xSingleCell" error="-" promptTitle="FactSet Formula" prompt="=FDSRC(&quot;-&quot;,$C$2,&quot;FE_TIMESERIES(&quot;&amp;$B14&amp;&quot;,MEAN,&quot;&amp;AS$5&amp;&quot;,,Q,'CURRENCY=USD')&quot;)" sqref="AS14" xr:uid="{6B8FA817-695B-47F7-8990-E7D563B7CA86}"/>
    <dataValidation allowBlank="1" errorTitle="1x1xSingleCell" error="-" promptTitle="FactSet Formula" prompt="=FDSRC(&quot;-&quot;,$C$2,&quot;FE_TIMESERIES(&quot;&amp;$B18&amp;&quot;,MEAN,&quot;&amp;AS$5&amp;&quot;,,Q,'CURRENCY=USD')&quot;)" sqref="AS18" xr:uid="{E2620C14-510E-492F-A85F-D1D880D42727}"/>
    <dataValidation allowBlank="1" errorTitle="1x1xSingleCell" error="-" promptTitle="FactSet Formula" prompt="=FDSRC(&quot;-&quot;,$C$2,&quot;FE_TIMESERIES(&quot;&amp;$B22&amp;&quot;,MEAN,&quot;&amp;AS$5&amp;&quot;,,Q,'CURRENCY=USD')&quot;)" sqref="AS22" xr:uid="{FEF970D7-1DDE-47CC-9F88-8EFD761E21B2}"/>
    <dataValidation allowBlank="1" errorTitle="1x1xSingleCell" error="-" promptTitle="FactSet Formula" prompt="=FDSRC(&quot;-&quot;,$C$2,&quot;FE_TIMESERIES(&quot;&amp;$B32&amp;&quot;,MEAN,&quot;&amp;AS$5&amp;&quot;,,Q,'CURRENCY=USD')&quot;)" sqref="AS32" xr:uid="{E6B51C6B-44AD-4906-8976-CEB78DFCAD66}"/>
    <dataValidation allowBlank="1" errorTitle="1x1xSingleCell" error="-" promptTitle="FactSet Formula" prompt="=FDSRC(&quot;-&quot;,$C$2,&quot;FE_TIMESERIES(&quot;&amp;$B37&amp;&quot;,MEAN,&quot;&amp;AS$5&amp;&quot;,,Q,'CURRENCY=USD')&quot;)" sqref="AS37" xr:uid="{80A3AC9F-5D26-4522-A1EE-B929FB31C1E7}"/>
    <dataValidation allowBlank="1" errorTitle="1x1xSingleCell" error="-" promptTitle="FactSet Formula" prompt="=FDSRC(&quot;-&quot;,$C$2,&quot;FE_TIMESERIES(&quot;&amp;$B42&amp;&quot;,MEAN,&quot;&amp;AS$5&amp;&quot;,,Q,'CURRENCY=USD')&quot;)" sqref="AS42" xr:uid="{C2B523A6-E7F0-4336-AAB4-DB016D6C12AA}"/>
    <dataValidation allowBlank="1" errorTitle="1x1xSingleCell" error="-" promptTitle="FactSet Formula" prompt="=FDSRC(&quot;-&quot;,$C$2,&quot;FE_TIMESERIES(&quot;&amp;$B47&amp;&quot;,MEAN,&quot;&amp;AS$5&amp;&quot;,,Q,'CURRENCY=USD')&quot;)" sqref="AS47" xr:uid="{9F60DB33-14AD-4F6A-B1F4-979BD288A9BF}"/>
    <dataValidation allowBlank="1" errorTitle="1x1xSingleCell" error="-" promptTitle="FactSet Formula" prompt="=FDSRC(&quot;-&quot;,$C$2,&quot;FE_TIMESERIES(&quot;&amp;$B52&amp;&quot;,MEAN,&quot;&amp;AS$5&amp;&quot;,,Q,'CURRENCY=USD')&quot;)" sqref="AS52" xr:uid="{A773AD68-745C-4B59-AB0B-10E746A380A4}"/>
    <dataValidation allowBlank="1" errorTitle="1x1xSingleCell" error="-" promptTitle="FactSet Formula" prompt="=FDSRC(&quot;-&quot;,$C$2,&quot;FE_TIMESERIES(&quot;&amp;$B57&amp;&quot;,MEAN,&quot;&amp;AS$5&amp;&quot;,,Q,'CURRENCY=USD')&quot;)" sqref="AS57" xr:uid="{CEA2E06E-F1AE-4A26-AB07-8DD05F63510D}"/>
    <dataValidation allowBlank="1" errorTitle="1x1xSingleCell" error="-" promptTitle="FactSet Formula" prompt="=FDSRC(&quot;-&quot;,$C$2,&quot;FE_TIMESERIES(&quot;&amp;$B61&amp;&quot;,MEAN,&quot;&amp;AS$5&amp;&quot;,,Q,'CURRENCY=USD')&quot;)" sqref="AS61" xr:uid="{3DB889BF-4CD8-417C-9579-D1F68D3068FC}"/>
    <dataValidation allowBlank="1" errorTitle="1x1xSingleCell" error="-" promptTitle="FactSet Formula" prompt="=FDSRC(&quot;-&quot;,$C$2,&quot;FE_TIMESERIES(&quot;&amp;$B66&amp;&quot;,MEAN,&quot;&amp;AS$5&amp;&quot;,,Q,'CURRENCY=USD')&quot;)" sqref="AS66" xr:uid="{7AA3E37B-F7E3-4DC1-9403-D98FC1500FAE}"/>
    <dataValidation allowBlank="1" errorTitle="1x1xSingleCell" error="-" promptTitle="FactSet Formula" prompt="=FDSRC(&quot;-&quot;,$C$2,&quot;FE_TIMESERIES(&quot;&amp;$B72&amp;&quot;,MEAN,&quot;&amp;AS$5&amp;&quot;,,Q,'CURRENCY=USD')&quot;)" sqref="AS72" xr:uid="{1C0EB55C-54FF-4A6B-97B2-24C2EA937D75}"/>
    <dataValidation allowBlank="1" errorTitle="1x1xSingleCell" error="-" promptTitle="FactSet Formula" prompt="=FDSRC(&quot;-&quot;,$C$2,&quot;FE_TIMESERIES(&quot;&amp;$B77&amp;&quot;,MEAN,&quot;&amp;AS$5&amp;&quot;,,Q,'CURRENCY=USD')&quot;)" sqref="AS77" xr:uid="{5AC18E98-32F3-4966-B0F4-3C38721A5F9E}"/>
    <dataValidation allowBlank="1" errorTitle="1x1xSingleCell" error="-" promptTitle="FactSet Formula" prompt="=FDSRC(&quot;-&quot;,$C$2,&quot;FE_TIMESERIES(&quot;&amp;$B82&amp;&quot;,MEAN,&quot;&amp;AS$5&amp;&quot;,,Q,'CURRENCY=USD')&quot;)" sqref="AS82" xr:uid="{ED560B9A-D0F6-4DAB-9070-7853E7066F49}"/>
    <dataValidation allowBlank="1" errorTitle="1x1xSingleCell" error="-2146826252" promptTitle="FactSet Formula" prompt="=FDSRC(&quot;-&quot;,$C$2,&quot;FE_TIMESERIES(&quot;&amp;$B84&amp;&quot;,MEAN,&quot;&amp;AS$5&amp;&quot;,,Q,'CURRENCY=USD')&quot;)" sqref="AS84" xr:uid="{198420AD-A6F5-469B-926E-DED621235897}"/>
    <dataValidation allowBlank="1" errorTitle="1x1xSingleCell" error="-" promptTitle="FactSet Formula" prompt="=FDSRC(&quot;-&quot;,$C$2,&quot;FE_TIMESERIES(&quot;&amp;$B6&amp;&quot;,MEAN,&quot;&amp;AT$5&amp;&quot;,,Q,'CURRENCY=USD')&quot;)" sqref="AT6" xr:uid="{5EC7E8CC-FF06-4155-A953-91B197CE71D2}"/>
    <dataValidation allowBlank="1" errorTitle="1x1xSingleCell" error="-" promptTitle="FactSet Formula" prompt="=FDSRC(&quot;-&quot;,$C$2,&quot;FE_TIMESERIES(&quot;&amp;$B10&amp;&quot;,MEAN,&quot;&amp;AT$5&amp;&quot;,,Q,'CURRENCY=USD')&quot;)" sqref="AT10" xr:uid="{C6042BB9-411E-4290-89F1-82A21FD52719}"/>
    <dataValidation allowBlank="1" errorTitle="1x1xSingleCell" error="-" promptTitle="FactSet Formula" prompt="=FDSRC(&quot;-&quot;,$C$2,&quot;FE_TIMESERIES(&quot;&amp;$B14&amp;&quot;,MEAN,&quot;&amp;AT$5&amp;&quot;,,Q,'CURRENCY=USD')&quot;)" sqref="AT14" xr:uid="{2FCEEB11-FF01-4DBD-9C33-FEA5B765FD58}"/>
    <dataValidation allowBlank="1" errorTitle="1x1xSingleCell" error="-" promptTitle="FactSet Formula" prompt="=FDSRC(&quot;-&quot;,$C$2,&quot;FE_TIMESERIES(&quot;&amp;$B18&amp;&quot;,MEAN,&quot;&amp;AT$5&amp;&quot;,,Q,'CURRENCY=USD')&quot;)" sqref="AT18" xr:uid="{96783404-DA31-4003-9B6F-A77526EF925D}"/>
    <dataValidation allowBlank="1" errorTitle="1x1xSingleCell" error="-" promptTitle="FactSet Formula" prompt="=FDSRC(&quot;-&quot;,$C$2,&quot;FE_TIMESERIES(&quot;&amp;$B22&amp;&quot;,MEAN,&quot;&amp;AT$5&amp;&quot;,,Q,'CURRENCY=USD')&quot;)" sqref="AT22" xr:uid="{ABD92713-CD1E-45B0-AD7D-CC709427FFCB}"/>
    <dataValidation allowBlank="1" errorTitle="1x1xSingleCell" error="-" promptTitle="FactSet Formula" prompt="=FDSRC(&quot;-&quot;,$C$2,&quot;FE_TIMESERIES(&quot;&amp;$B32&amp;&quot;,MEAN,&quot;&amp;AT$5&amp;&quot;,,Q,'CURRENCY=USD')&quot;)" sqref="AT32" xr:uid="{FB80E807-B546-4B9C-A061-40C6766B126E}"/>
    <dataValidation allowBlank="1" errorTitle="1x1xSingleCell" error="-" promptTitle="FactSet Formula" prompt="=FDSRC(&quot;-&quot;,$C$2,&quot;FE_TIMESERIES(&quot;&amp;$B37&amp;&quot;,MEAN,&quot;&amp;AT$5&amp;&quot;,,Q,'CURRENCY=USD')&quot;)" sqref="AT37" xr:uid="{F9D94FB0-CC3B-4217-B3C5-6B92E3120EE9}"/>
    <dataValidation allowBlank="1" errorTitle="1x1xSingleCell" error="-" promptTitle="FactSet Formula" prompt="=FDSRC(&quot;-&quot;,$C$2,&quot;FE_TIMESERIES(&quot;&amp;$B42&amp;&quot;,MEAN,&quot;&amp;AT$5&amp;&quot;,,Q,'CURRENCY=USD')&quot;)" sqref="AT42" xr:uid="{AA45C7C3-22DA-4AAD-A2CE-3C194E0E16A8}"/>
    <dataValidation allowBlank="1" errorTitle="1x1xSingleCell" error="-" promptTitle="FactSet Formula" prompt="=FDSRC(&quot;-&quot;,$C$2,&quot;FE_TIMESERIES(&quot;&amp;$B47&amp;&quot;,MEAN,&quot;&amp;AT$5&amp;&quot;,,Q,'CURRENCY=USD')&quot;)" sqref="AT47" xr:uid="{5020C5D3-F8F3-4B8D-9A84-28917065120A}"/>
    <dataValidation allowBlank="1" errorTitle="1x1xSingleCell" error="-" promptTitle="FactSet Formula" prompt="=FDSRC(&quot;-&quot;,$C$2,&quot;FE_TIMESERIES(&quot;&amp;$B52&amp;&quot;,MEAN,&quot;&amp;AT$5&amp;&quot;,,Q,'CURRENCY=USD')&quot;)" sqref="AT52" xr:uid="{FD5A1AE4-A624-4E00-8E95-4AA838D01D2B}"/>
    <dataValidation allowBlank="1" errorTitle="1x1xSingleCell" error="-" promptTitle="FactSet Formula" prompt="=FDSRC(&quot;-&quot;,$C$2,&quot;FE_TIMESERIES(&quot;&amp;$B57&amp;&quot;,MEAN,&quot;&amp;AT$5&amp;&quot;,,Q,'CURRENCY=USD')&quot;)" sqref="AT57" xr:uid="{44550CED-3A46-4599-8F30-CC520213FB01}"/>
    <dataValidation allowBlank="1" errorTitle="1x1xSingleCell" error="-" promptTitle="FactSet Formula" prompt="=FDSRC(&quot;-&quot;,$C$2,&quot;FE_TIMESERIES(&quot;&amp;$B61&amp;&quot;,MEAN,&quot;&amp;AT$5&amp;&quot;,,Q,'CURRENCY=USD')&quot;)" sqref="AT61" xr:uid="{CAB3E0F0-689C-4A33-B1E2-2C8D6E47A74F}"/>
    <dataValidation allowBlank="1" errorTitle="1x1xSingleCell" error="-" promptTitle="FactSet Formula" prompt="=FDSRC(&quot;-&quot;,$C$2,&quot;FE_TIMESERIES(&quot;&amp;$B66&amp;&quot;,MEAN,&quot;&amp;AT$5&amp;&quot;,,Q,'CURRENCY=USD')&quot;)" sqref="AT66" xr:uid="{458793E3-A856-479D-B275-24E9B5EBD623}"/>
    <dataValidation allowBlank="1" errorTitle="1x1xSingleCell" error="-" promptTitle="FactSet Formula" prompt="=FDSRC(&quot;-&quot;,$C$2,&quot;FE_TIMESERIES(&quot;&amp;$B72&amp;&quot;,MEAN,&quot;&amp;AT$5&amp;&quot;,,Q,'CURRENCY=USD')&quot;)" sqref="AT72" xr:uid="{16103D18-94C0-4A2F-B962-7261B563918D}"/>
    <dataValidation allowBlank="1" errorTitle="1x1xSingleCell" error="-" promptTitle="FactSet Formula" prompt="=FDSRC(&quot;-&quot;,$C$2,&quot;FE_TIMESERIES(&quot;&amp;$B77&amp;&quot;,MEAN,&quot;&amp;AT$5&amp;&quot;,,Q,'CURRENCY=USD')&quot;)" sqref="AT77" xr:uid="{0B0FA6A3-3754-4574-A73F-BBD3DAD5B80F}"/>
    <dataValidation allowBlank="1" errorTitle="1x1xSingleCell" error="-" promptTitle="FactSet Formula" prompt="=FDSRC(&quot;-&quot;,$C$2,&quot;FE_TIMESERIES(&quot;&amp;$B82&amp;&quot;,MEAN,&quot;&amp;AT$5&amp;&quot;,,Q,'CURRENCY=USD')&quot;)" sqref="AT82" xr:uid="{F3105ADE-53BE-4010-A1E0-75CB894C71BC}"/>
    <dataValidation allowBlank="1" errorTitle="1x1xSingleCell" error="-2146826252" promptTitle="FactSet Formula" prompt="=FDSRC(&quot;-&quot;,$C$2,&quot;FE_TIMESERIES(&quot;&amp;$B84&amp;&quot;,MEAN,&quot;&amp;AT$5&amp;&quot;,,Q,'CURRENCY=USD')&quot;)" sqref="AT84" xr:uid="{B7309F1A-0BD5-4D82-8FE4-CBF065FF8304}"/>
    <dataValidation allowBlank="1" errorTitle="1x1xSingleCell" error="-" promptTitle="FactSet Formula" prompt="=FDSRC(&quot;-&quot;,$C$2,&quot;FE_TIMESERIES(&quot;&amp;$B6&amp;&quot;,MEAN,&quot;&amp;AU$5&amp;&quot;,,Q,'CURRENCY=USD')&quot;)" sqref="AU6" xr:uid="{866B8477-E2F9-4C64-9E0A-F7F6AC124FE3}"/>
    <dataValidation allowBlank="1" errorTitle="1x1xSingleCell" error="-" promptTitle="FactSet Formula" prompt="=FDSRC(&quot;-&quot;,$C$2,&quot;FE_TIMESERIES(&quot;&amp;$B10&amp;&quot;,MEAN,&quot;&amp;AU$5&amp;&quot;,,Q,'CURRENCY=USD')&quot;)" sqref="AU10" xr:uid="{085F9453-4626-4C99-B43C-E65A5B26D477}"/>
    <dataValidation allowBlank="1" errorTitle="1x1xSingleCell" error="-" promptTitle="FactSet Formula" prompt="=FDSRC(&quot;-&quot;,$C$2,&quot;FE_TIMESERIES(&quot;&amp;$B14&amp;&quot;,MEAN,&quot;&amp;AU$5&amp;&quot;,,Q,'CURRENCY=USD')&quot;)" sqref="AU14" xr:uid="{D341DE4F-307B-4C39-8B8A-DF8A5B4C66F0}"/>
    <dataValidation allowBlank="1" errorTitle="1x1xSingleCell" error="-" promptTitle="FactSet Formula" prompt="=FDSRC(&quot;-&quot;,$C$2,&quot;FE_TIMESERIES(&quot;&amp;$B18&amp;&quot;,MEAN,&quot;&amp;AU$5&amp;&quot;,,Q,'CURRENCY=USD')&quot;)" sqref="AU18" xr:uid="{C1CA73F0-B5DE-4E9C-A4CC-E709C8D301B6}"/>
    <dataValidation allowBlank="1" errorTitle="1x1xSingleCell" error="-" promptTitle="FactSet Formula" prompt="=FDSRC(&quot;-&quot;,$C$2,&quot;FE_TIMESERIES(&quot;&amp;$B22&amp;&quot;,MEAN,&quot;&amp;AU$5&amp;&quot;,,Q,'CURRENCY=USD')&quot;)" sqref="AU22" xr:uid="{F07012BB-A31B-4456-AB32-4498A387CDA3}"/>
    <dataValidation allowBlank="1" errorTitle="1x1xSingleCell" error="-" promptTitle="FactSet Formula" prompt="=FDSRC(&quot;-&quot;,$C$2,&quot;FE_TIMESERIES(&quot;&amp;$B32&amp;&quot;,MEAN,&quot;&amp;AU$5&amp;&quot;,,Q,'CURRENCY=USD')&quot;)" sqref="AU32" xr:uid="{D02ACB0B-C997-47F8-BDF3-A9D692139617}"/>
    <dataValidation allowBlank="1" errorTitle="1x1xSingleCell" error="-" promptTitle="FactSet Formula" prompt="=FDSRC(&quot;-&quot;,$C$2,&quot;FE_TIMESERIES(&quot;&amp;$B37&amp;&quot;,MEAN,&quot;&amp;AU$5&amp;&quot;,,Q,'CURRENCY=USD')&quot;)" sqref="AU37" xr:uid="{59651AE1-5946-4484-96FE-86AFF14A744D}"/>
    <dataValidation allowBlank="1" errorTitle="1x1xSingleCell" error="-" promptTitle="FactSet Formula" prompt="=FDSRC(&quot;-&quot;,$C$2,&quot;FE_TIMESERIES(&quot;&amp;$B42&amp;&quot;,MEAN,&quot;&amp;AU$5&amp;&quot;,,Q,'CURRENCY=USD')&quot;)" sqref="AU42" xr:uid="{B89B067D-D0D8-4731-80C8-DF2614E71E34}"/>
    <dataValidation allowBlank="1" errorTitle="1x1xSingleCell" error="-" promptTitle="FactSet Formula" prompt="=FDSRC(&quot;-&quot;,$C$2,&quot;FE_TIMESERIES(&quot;&amp;$B47&amp;&quot;,MEAN,&quot;&amp;AU$5&amp;&quot;,,Q,'CURRENCY=USD')&quot;)" sqref="AU47" xr:uid="{CEAE9804-E5FD-4844-914E-D7959FF39E96}"/>
    <dataValidation allowBlank="1" errorTitle="1x1xSingleCell" error="-" promptTitle="FactSet Formula" prompt="=FDSRC(&quot;-&quot;,$C$2,&quot;FE_TIMESERIES(&quot;&amp;$B52&amp;&quot;,MEAN,&quot;&amp;AU$5&amp;&quot;,,Q,'CURRENCY=USD')&quot;)" sqref="AU52" xr:uid="{BFC7535F-8F93-4832-8AD8-BA02F3922217}"/>
    <dataValidation allowBlank="1" errorTitle="1x1xSingleCell" error="-" promptTitle="FactSet Formula" prompt="=FDSRC(&quot;-&quot;,$C$2,&quot;FE_TIMESERIES(&quot;&amp;$B57&amp;&quot;,MEAN,&quot;&amp;AU$5&amp;&quot;,,Q,'CURRENCY=USD')&quot;)" sqref="AU57" xr:uid="{DC08C5A8-3C61-4985-A215-1BF111CFBF28}"/>
    <dataValidation allowBlank="1" errorTitle="1x1xSingleCell" error="-" promptTitle="FactSet Formula" prompt="=FDSRC(&quot;-&quot;,$C$2,&quot;FE_TIMESERIES(&quot;&amp;$B61&amp;&quot;,MEAN,&quot;&amp;AU$5&amp;&quot;,,Q,'CURRENCY=USD')&quot;)" sqref="AU61" xr:uid="{4F32D6C2-FA09-460E-B7FC-A761C346555E}"/>
    <dataValidation allowBlank="1" errorTitle="1x1xSingleCell" error="-" promptTitle="FactSet Formula" prompt="=FDSRC(&quot;-&quot;,$C$2,&quot;FE_TIMESERIES(&quot;&amp;$B66&amp;&quot;,MEAN,&quot;&amp;AU$5&amp;&quot;,,Q,'CURRENCY=USD')&quot;)" sqref="AU66" xr:uid="{57949EF2-F65B-4616-9237-883C63257FD0}"/>
    <dataValidation allowBlank="1" errorTitle="1x1xSingleCell" error="-" promptTitle="FactSet Formula" prompt="=FDSRC(&quot;-&quot;,$C$2,&quot;FE_TIMESERIES(&quot;&amp;$B72&amp;&quot;,MEAN,&quot;&amp;AU$5&amp;&quot;,,Q,'CURRENCY=USD')&quot;)" sqref="AU72" xr:uid="{3658B0E9-2CB7-465E-9B01-EDA41C1B9194}"/>
    <dataValidation allowBlank="1" errorTitle="1x1xSingleCell" error="-" promptTitle="FactSet Formula" prompt="=FDSRC(&quot;-&quot;,$C$2,&quot;FE_TIMESERIES(&quot;&amp;$B77&amp;&quot;,MEAN,&quot;&amp;AU$5&amp;&quot;,,Q,'CURRENCY=USD')&quot;)" sqref="AU77" xr:uid="{A083A530-DF40-4E23-B0CF-1F0226FF6639}"/>
    <dataValidation allowBlank="1" errorTitle="1x1xSingleCell" error="-" promptTitle="FactSet Formula" prompt="=FDSRC(&quot;-&quot;,$C$2,&quot;FE_TIMESERIES(&quot;&amp;$B82&amp;&quot;,MEAN,&quot;&amp;AU$5&amp;&quot;,,Q,'CURRENCY=USD')&quot;)" sqref="AU82" xr:uid="{B6898DAC-05ED-4AFE-9CF1-FE8F4DB39DE5}"/>
    <dataValidation allowBlank="1" errorTitle="1x1xSingleCell" error="-2146826252" promptTitle="FactSet Formula" prompt="=FDSRC(&quot;-&quot;,$C$2,&quot;FE_TIMESERIES(&quot;&amp;$B84&amp;&quot;,MEAN,&quot;&amp;AU$5&amp;&quot;,,Q,'CURRENCY=USD')&quot;)" sqref="AU84" xr:uid="{3779E542-2E09-4410-9418-668F23F0C297}"/>
    <dataValidation allowBlank="1" errorTitle="1x1xSingleCell" error="378441" promptTitle="FactSet Formula" prompt="=FDSRC(&quot;-&quot;,$C$2,&quot;FE_TIMESERIES(&quot;&amp;$B6&amp;&quot;,MEAN,&quot;&amp;BB$5&amp;&quot;,,Y,'CURRENCY=USD')&quot;)" sqref="BB6" xr:uid="{FBF585D7-DDD1-4634-89D4-D614DB33F47F}"/>
    <dataValidation allowBlank="1" errorTitle="1x1xSingleCell" error="11556" promptTitle="FactSet Formula" prompt="=FDSRC(&quot;-&quot;,$C$2,&quot;FE_TIMESERIES(&quot;&amp;$B10&amp;&quot;,MEAN,&quot;&amp;BB$5&amp;&quot;,,Y,'CURRENCY=USD')&quot;)" sqref="BB10" xr:uid="{5CEA981B-C12E-4792-A0C2-612AD20325D1}"/>
    <dataValidation allowBlank="1" errorTitle="1x1xSingleCell" error="2752" promptTitle="FactSet Formula" prompt="=FDSRC(&quot;-&quot;,$C$2,&quot;FE_TIMESERIES(&quot;&amp;$B14&amp;&quot;,MEAN,&quot;&amp;BB$5&amp;&quot;,,Y,'CURRENCY=USD')&quot;)" sqref="BB14" xr:uid="{A19B5A82-DC3D-43FE-8245-A72EE962E32B}"/>
    <dataValidation allowBlank="1" errorTitle="1x1xSingleCell" error="8804" promptTitle="FactSet Formula" prompt="=FDSRC(&quot;-&quot;,$C$2,&quot;FE_TIMESERIES(&quot;&amp;$B18&amp;&quot;,MEAN,&quot;&amp;BB$5&amp;&quot;,,Y,'CURRENCY=USD')&quot;)" sqref="BB18" xr:uid="{7677FE06-FB47-40AE-8AC6-7B38CC232DA8}"/>
    <dataValidation allowBlank="1" errorTitle="1x1xSingleCell" error="5562.0386" promptTitle="FactSet Formula" prompt="=FDSRC(&quot;-&quot;,$C$2,&quot;FE_TIMESERIES(&quot;&amp;$B22&amp;&quot;,MEAN,&quot;&amp;BB$5&amp;&quot;,,Y,'CURRENCY=USD')&quot;)" sqref="BB22" xr:uid="{B5CDE429-7739-46E4-88AD-0DDB493C98D1}"/>
    <dataValidation allowBlank="1" errorTitle="1x1xSingleCell" error="1468" promptTitle="FactSet Formula" prompt="=FDSRC(&quot;-&quot;,$C$2,&quot;FE_TIMESERIES(&quot;&amp;$B32&amp;&quot;,MEAN,&quot;&amp;BB$5&amp;&quot;,,Y,'CURRENCY=USD')&quot;)" sqref="BB32" xr:uid="{069ADB90-DF66-462A-A4D6-1076DB185602}"/>
    <dataValidation allowBlank="1" errorTitle="1x1xSingleCell" error="1976.2413" promptTitle="FactSet Formula" prompt="=FDSRC(&quot;-&quot;,$C$2,&quot;FE_TIMESERIES(&quot;&amp;$B37&amp;&quot;,MEAN,&quot;&amp;BB$5&amp;&quot;,,Y,'CURRENCY=USD')&quot;)" sqref="BB37" xr:uid="{EAC3CEDD-BB9D-4FA0-AF09-1E806548F396}"/>
    <dataValidation allowBlank="1" errorTitle="1x1xSingleCell" error="1499" promptTitle="FactSet Formula" prompt="=FDSRC(&quot;-&quot;,$C$2,&quot;FE_TIMESERIES(&quot;&amp;$B42&amp;&quot;,MEAN,&quot;&amp;BB$5&amp;&quot;,,Y,'CURRENCY=USD')&quot;)" sqref="BB42" xr:uid="{FB11E357-5DC2-4C04-9E1F-7568BE0CB368}"/>
    <dataValidation allowBlank="1" errorTitle="1x1xSingleCell" error="1998.7894" promptTitle="FactSet Formula" prompt="=FDSRC(&quot;-&quot;,$C$2,&quot;FE_TIMESERIES(&quot;&amp;$B47&amp;&quot;,MEAN,&quot;&amp;BB$5&amp;&quot;,,Y,'CURRENCY=USD')&quot;)" sqref="BB47" xr:uid="{6EF9246E-D84F-4FA0-B4AE-0C4A70C1DF3A}"/>
    <dataValidation allowBlank="1" errorTitle="1x1xSingleCell" error="1525" promptTitle="FactSet Formula" prompt="=FDSRC(&quot;-&quot;,$C$2,&quot;FE_TIMESERIES(&quot;&amp;$B52&amp;&quot;,MEAN,&quot;&amp;BB$5&amp;&quot;,,Y,'CURRENCY=USD')&quot;)" sqref="BB52" xr:uid="{3FC2B099-E232-4D79-822C-3A74C28E5E3E}"/>
    <dataValidation allowBlank="1" errorTitle="1x1xSingleCell" error="1.4241035" promptTitle="FactSet Formula" prompt="=FDSRC(&quot;-&quot;,$C$2,&quot;FE_TIMESERIES(&quot;&amp;$B57&amp;&quot;,MEAN,&quot;&amp;BB$5&amp;&quot;,,Y,'CURRENCY=USD')&quot;)" sqref="BB57" xr:uid="{7710ACD1-C72C-4A57-91E6-C987678EF470}"/>
    <dataValidation allowBlank="1" errorTitle="1x1xSingleCell" error="0.94059414" promptTitle="FactSet Formula" prompt="=FDSRC(&quot;-&quot;,$C$2,&quot;FE_TIMESERIES(&quot;&amp;$B61&amp;&quot;,MEAN,&quot;&amp;BB$5&amp;&quot;,,Y,'CURRENCY=USD')&quot;)" sqref="BB61" xr:uid="{6FCBEB94-6194-4E09-95E9-C378BE094B57}"/>
    <dataValidation allowBlank="1" errorTitle="1x1xSingleCell" error="2043.8334" promptTitle="FactSet Formula" prompt="=FDSRC(&quot;-&quot;,$C$2,&quot;FE_TIMESERIES(&quot;&amp;$B66&amp;&quot;,MEAN,&quot;&amp;BB$5&amp;&quot;,,Y,'CURRENCY=USD')&quot;)" sqref="BB66" xr:uid="{CF49A78C-47BF-4116-B71F-A74FA653E1E5}"/>
    <dataValidation allowBlank="1" errorTitle="1x1xSingleCell" error="26.1" promptTitle="FactSet Formula" prompt="=FDSRC(&quot;-&quot;,$C$2,&quot;FE_TIMESERIES(&quot;&amp;$B72&amp;&quot;,MEAN,&quot;&amp;BB$5&amp;&quot;,,Y,'CURRENCY=USD')&quot;)" sqref="BB72" xr:uid="{6C701D44-23CE-400E-B550-A32F492CFED3}"/>
    <dataValidation allowBlank="1" errorTitle="1x1xSingleCell" error="2023.6471" promptTitle="FactSet Formula" prompt="=FDSRC(&quot;-&quot;,$C$2,&quot;FE_TIMESERIES(&quot;&amp;$B77&amp;&quot;,MEAN,&quot;&amp;BB$5&amp;&quot;,,Y,'CURRENCY=USD')&quot;)" sqref="BB77" xr:uid="{AD733C29-C74F-41EE-8F0F-5757D717E45F}"/>
    <dataValidation allowBlank="1" errorTitle="1x1xSingleCell" error="31" promptTitle="FactSet Formula" prompt="=FDSRC(&quot;-&quot;,$C$2,&quot;FE_TIMESERIES(&quot;&amp;$B82&amp;&quot;,MEAN,&quot;&amp;BB$5&amp;&quot;,,Y,'CURRENCY=USD')&quot;)" sqref="BB82" xr:uid="{2A9F0D73-7883-4F11-9C53-3AAEB122F9E7}"/>
    <dataValidation allowBlank="1" errorTitle="1x1xSingleCell" error="-2146826252" promptTitle="FactSet Formula" prompt="=FDSRC(&quot;-&quot;,$C$2,&quot;FE_TIMESERIES(&quot;&amp;$B84&amp;&quot;,MEAN,&quot;&amp;BB$5&amp;&quot;,,Y,'CURRENCY=USD')&quot;)" sqref="BB84" xr:uid="{4B2EAA67-CB83-4054-83A0-199A48835B25}"/>
    <dataValidation allowBlank="1" errorTitle="1x1xSingleCell" error="487453.25" promptTitle="FactSet Formula" prompt="=FDSRC(&quot;-&quot;,$C$2,&quot;FE_TIMESERIES(&quot;&amp;$B6&amp;&quot;,MEAN,&quot;&amp;BC$5&amp;&quot;,,Y,'CURRENCY=USD')&quot;)" sqref="BC6" xr:uid="{8EC849C5-D25D-4ECA-A153-366BF24584AB}"/>
    <dataValidation allowBlank="1" errorTitle="1x1xSingleCell" error="14977.527" promptTitle="FactSet Formula" prompt="=FDSRC(&quot;-&quot;,$C$2,&quot;FE_TIMESERIES(&quot;&amp;$B10&amp;&quot;,MEAN,&quot;&amp;BC$5&amp;&quot;,,Y,'CURRENCY=USD')&quot;)" sqref="BC10" xr:uid="{7CFDFB49-6CA1-4480-B24F-E709C9E4753E}"/>
    <dataValidation allowBlank="1" errorTitle="1x1xSingleCell" error="3293.032" promptTitle="FactSet Formula" prompt="=FDSRC(&quot;-&quot;,$C$2,&quot;FE_TIMESERIES(&quot;&amp;$B14&amp;&quot;,MEAN,&quot;&amp;BC$5&amp;&quot;,,Y,'CURRENCY=USD')&quot;)" sqref="BC14" xr:uid="{440E488C-28EE-4104-B15F-1817B2BD402D}"/>
    <dataValidation allowBlank="1" errorTitle="1x1xSingleCell" error="11599.311" promptTitle="FactSet Formula" prompt="=FDSRC(&quot;-&quot;,$C$2,&quot;FE_TIMESERIES(&quot;&amp;$B18&amp;&quot;,MEAN,&quot;&amp;BC$5&amp;&quot;,,Y,'CURRENCY=USD')&quot;)" sqref="BC18" xr:uid="{4DDEC08A-1270-4BAF-B296-D8A77F196B5C}"/>
    <dataValidation allowBlank="1" errorTitle="1x1xSingleCell" error="7072.521" promptTitle="FactSet Formula" prompt="=FDSRC(&quot;-&quot;,$C$2,&quot;FE_TIMESERIES(&quot;&amp;$B22&amp;&quot;,MEAN,&quot;&amp;BC$5&amp;&quot;,,Y,'CURRENCY=USD')&quot;)" sqref="BC22" xr:uid="{6BDB8D4E-3CA1-4E2C-A88F-509687055394}"/>
    <dataValidation allowBlank="1" errorTitle="1x1xSingleCell" error="2113.6296" promptTitle="FactSet Formula" prompt="=FDSRC(&quot;-&quot;,$C$2,&quot;FE_TIMESERIES(&quot;&amp;$B32&amp;&quot;,MEAN,&quot;&amp;BC$5&amp;&quot;,,Y,'CURRENCY=USD')&quot;)" sqref="BC32" xr:uid="{5926DA34-E347-4DBB-A3D5-C54CFF6E8891}"/>
    <dataValidation allowBlank="1" errorTitle="1x1xSingleCell" error="2733.95" promptTitle="FactSet Formula" prompt="=FDSRC(&quot;-&quot;,$C$2,&quot;FE_TIMESERIES(&quot;&amp;$B37&amp;&quot;,MEAN,&quot;&amp;BC$5&amp;&quot;,,Y,'CURRENCY=USD')&quot;)" sqref="BC37" xr:uid="{4D66CC8E-377B-4CCD-95E7-B77E501B6C8F}"/>
    <dataValidation allowBlank="1" errorTitle="1x1xSingleCell" error="2198.1724" promptTitle="FactSet Formula" prompt="=FDSRC(&quot;-&quot;,$C$2,&quot;FE_TIMESERIES(&quot;&amp;$B42&amp;&quot;,MEAN,&quot;&amp;BC$5&amp;&quot;,,Y,'CURRENCY=USD')&quot;)" sqref="BC42" xr:uid="{3D7D9F1D-AA9D-4F04-A259-EA42418D814B}"/>
    <dataValidation allowBlank="1" errorTitle="1x1xSingleCell" error="2760.9685" promptTitle="FactSet Formula" prompt="=FDSRC(&quot;-&quot;,$C$2,&quot;FE_TIMESERIES(&quot;&amp;$B47&amp;&quot;,MEAN,&quot;&amp;BC$5&amp;&quot;,,Y,'CURRENCY=USD')&quot;)" sqref="BC47" xr:uid="{0B10AC2C-8371-41A5-B465-9D7BA45D2DFA}"/>
    <dataValidation allowBlank="1" errorTitle="1x1xSingleCell" error="2396.5303" promptTitle="FactSet Formula" prompt="=FDSRC(&quot;-&quot;,$C$2,&quot;FE_TIMESERIES(&quot;&amp;$B52&amp;&quot;,MEAN,&quot;&amp;BC$5&amp;&quot;,,Y,'CURRENCY=USD')&quot;)" sqref="BC52" xr:uid="{E6C23B4B-5255-4CF4-A15C-D7EF8E1623FC}"/>
    <dataValidation allowBlank="1" errorTitle="1x1xSingleCell" error="1.8687166" promptTitle="FactSet Formula" prompt="=FDSRC(&quot;-&quot;,$C$2,&quot;FE_TIMESERIES(&quot;&amp;$B57&amp;&quot;,MEAN,&quot;&amp;BC$5&amp;&quot;,,Y,'CURRENCY=USD')&quot;)" sqref="BC57" xr:uid="{28DD1FFE-0394-465B-9BDC-88A8AF9DD15F}"/>
    <dataValidation allowBlank="1" errorTitle="1x1xSingleCell" error="0.8996418" promptTitle="FactSet Formula" prompt="=FDSRC(&quot;-&quot;,$C$2,&quot;FE_TIMESERIES(&quot;&amp;$B61&amp;&quot;,MEAN,&quot;&amp;BC$5&amp;&quot;,,Y,'CURRENCY=USD')&quot;)" sqref="BC61" xr:uid="{549B1BA3-CCCF-4BF3-9FC1-7F3287561CA7}"/>
    <dataValidation allowBlank="1" errorTitle="1x1xSingleCell" error="2684.856" promptTitle="FactSet Formula" prompt="=FDSRC(&quot;-&quot;,$C$2,&quot;FE_TIMESERIES(&quot;&amp;$B66&amp;&quot;,MEAN,&quot;&amp;BC$5&amp;&quot;,,Y,'CURRENCY=USD')&quot;)" sqref="BC66" xr:uid="{ED0C8A04-2AAA-45C5-8353-50CB085CE681}"/>
    <dataValidation allowBlank="1" errorTitle="1x1xSingleCell" error="28.13444" promptTitle="FactSet Formula" prompt="=FDSRC(&quot;-&quot;,$C$2,&quot;FE_TIMESERIES(&quot;&amp;$B72&amp;&quot;,MEAN,&quot;&amp;BC$5&amp;&quot;,,Y,'CURRENCY=USD')&quot;)" sqref="BC72" xr:uid="{FDE796C0-10C6-4599-A5ED-10F666633C60}"/>
    <dataValidation allowBlank="1" errorTitle="1x1xSingleCell" error="2738.17" promptTitle="FactSet Formula" prompt="=FDSRC(&quot;-&quot;,$C$2,&quot;FE_TIMESERIES(&quot;&amp;$B77&amp;&quot;,MEAN,&quot;&amp;BC$5&amp;&quot;,,Y,'CURRENCY=USD')&quot;)" sqref="BC77" xr:uid="{4A83E7A5-F338-4C15-BEA8-ED7A80856330}"/>
    <dataValidation allowBlank="1" errorTitle="1x1xSingleCell" error="40.144627" promptTitle="FactSet Formula" prompt="=FDSRC(&quot;-&quot;,$C$2,&quot;FE_TIMESERIES(&quot;&amp;$B82&amp;&quot;,MEAN,&quot;&amp;BC$5&amp;&quot;,,Y,'CURRENCY=USD')&quot;)" sqref="BC82" xr:uid="{24B50F9E-4AE5-410B-9E42-37AC8635916E}"/>
    <dataValidation allowBlank="1" errorTitle="1x1xSingleCell" error="-2146826252" promptTitle="FactSet Formula" prompt="=FDSRC(&quot;-&quot;,$C$2,&quot;FE_TIMESERIES(&quot;&amp;$B84&amp;&quot;,MEAN,&quot;&amp;BC$5&amp;&quot;,,Y,'CURRENCY=USD')&quot;)" sqref="BC84" xr:uid="{E3DB2623-2258-4D61-AA23-7DDB29182E5D}"/>
    <dataValidation allowBlank="1" errorTitle="1x1xSingleCell" error="604181.8" promptTitle="FactSet Formula" prompt="=FDSRC(&quot;-&quot;,$C$2,&quot;FE_TIMESERIES(&quot;&amp;$B6&amp;&quot;,MEAN,&quot;&amp;BD$5&amp;&quot;,,Y,'CURRENCY=USD')&quot;)" sqref="BD6" xr:uid="{0FCA8C95-940B-4DB1-AAF6-DB778D47A4D6}"/>
    <dataValidation allowBlank="1" errorTitle="1x1xSingleCell" error="18667.963" promptTitle="FactSet Formula" prompt="=FDSRC(&quot;-&quot;,$C$2,&quot;FE_TIMESERIES(&quot;&amp;$B10&amp;&quot;,MEAN,&quot;&amp;BD$5&amp;&quot;,,Y,'CURRENCY=USD')&quot;)" sqref="BD10" xr:uid="{ED655FFF-6F91-475A-BFB5-781794ACE166}"/>
    <dataValidation allowBlank="1" errorTitle="1x1xSingleCell" error="3848.8228" promptTitle="FactSet Formula" prompt="=FDSRC(&quot;-&quot;,$C$2,&quot;FE_TIMESERIES(&quot;&amp;$B14&amp;&quot;,MEAN,&quot;&amp;BD$5&amp;&quot;,,Y,'CURRENCY=USD')&quot;)" sqref="BD14" xr:uid="{BFAFC37A-4896-4802-9A9B-978AE07B7EBD}"/>
    <dataValidation allowBlank="1" errorTitle="1x1xSingleCell" error="14477.754" promptTitle="FactSet Formula" prompt="=FDSRC(&quot;-&quot;,$C$2,&quot;FE_TIMESERIES(&quot;&amp;$B18&amp;&quot;,MEAN,&quot;&amp;BD$5&amp;&quot;,,Y,'CURRENCY=USD')&quot;)" sqref="BD18" xr:uid="{75462282-EF0B-4E69-8571-77C363355D37}"/>
    <dataValidation allowBlank="1" errorTitle="1x1xSingleCell" error="8700.631" promptTitle="FactSet Formula" prompt="=FDSRC(&quot;-&quot;,$C$2,&quot;FE_TIMESERIES(&quot;&amp;$B22&amp;&quot;,MEAN,&quot;&amp;BD$5&amp;&quot;,,Y,'CURRENCY=USD')&quot;)" sqref="BD22" xr:uid="{011AC639-8FB4-4970-AEAD-140260572596}"/>
    <dataValidation allowBlank="1" errorTitle="1x1xSingleCell" error="2886.6768" promptTitle="FactSet Formula" prompt="=FDSRC(&quot;-&quot;,$C$2,&quot;FE_TIMESERIES(&quot;&amp;$B32&amp;&quot;,MEAN,&quot;&amp;BD$5&amp;&quot;,,Y,'CURRENCY=USD')&quot;)" sqref="BD32" xr:uid="{1A224413-7594-4A97-B34D-4D141AEF388B}"/>
    <dataValidation allowBlank="1" errorTitle="1x1xSingleCell" error="3564.6753" promptTitle="FactSet Formula" prompt="=FDSRC(&quot;-&quot;,$C$2,&quot;FE_TIMESERIES(&quot;&amp;$B37&amp;&quot;,MEAN,&quot;&amp;BD$5&amp;&quot;,,Y,'CURRENCY=USD')&quot;)" sqref="BD37" xr:uid="{EDEBFBA4-810B-47D0-8181-3B85B1972FFA}"/>
    <dataValidation allowBlank="1" errorTitle="1x1xSingleCell" error="2879.9873" promptTitle="FactSet Formula" prompt="=FDSRC(&quot;-&quot;,$C$2,&quot;FE_TIMESERIES(&quot;&amp;$B42&amp;&quot;,MEAN,&quot;&amp;BD$5&amp;&quot;,,Y,'CURRENCY=USD')&quot;)" sqref="BD42" xr:uid="{ABC92388-DB0A-4CDF-A764-3AE2FF4B9836}"/>
    <dataValidation allowBlank="1" errorTitle="1x1xSingleCell" error="3575.3567" promptTitle="FactSet Formula" prompt="=FDSRC(&quot;-&quot;,$C$2,&quot;FE_TIMESERIES(&quot;&amp;$B47&amp;&quot;,MEAN,&quot;&amp;BD$5&amp;&quot;,,Y,'CURRENCY=USD')&quot;)" sqref="BD47" xr:uid="{69036A98-89A0-459A-A49C-C6B7FCA18011}"/>
    <dataValidation allowBlank="1" errorTitle="1x1xSingleCell" error="3046.1843" promptTitle="FactSet Formula" prompt="=FDSRC(&quot;-&quot;,$C$2,&quot;FE_TIMESERIES(&quot;&amp;$B52&amp;&quot;,MEAN,&quot;&amp;BD$5&amp;&quot;,,Y,'CURRENCY=USD')&quot;)" sqref="BD52" xr:uid="{380AA196-07EF-4167-8A16-7BDAA626FF70}"/>
    <dataValidation allowBlank="1" errorTitle="1x1xSingleCell" error="2.400098" promptTitle="FactSet Formula" prompt="=FDSRC(&quot;-&quot;,$C$2,&quot;FE_TIMESERIES(&quot;&amp;$B57&amp;&quot;,MEAN,&quot;&amp;BD$5&amp;&quot;,,Y,'CURRENCY=USD')&quot;)" sqref="BD57" xr:uid="{75965113-62E0-4DB3-A908-E4B43D18CF9F}"/>
    <dataValidation allowBlank="1" errorTitle="1x1xSingleCell" error="2.0756657" promptTitle="FactSet Formula" prompt="=FDSRC(&quot;-&quot;,$C$2,&quot;FE_TIMESERIES(&quot;&amp;$B61&amp;&quot;,MEAN,&quot;&amp;BD$5&amp;&quot;,,Y,'CURRENCY=USD')&quot;)" sqref="BD61" xr:uid="{2EEC0A39-B97A-43B8-82D6-C9E9FBC8B6DD}"/>
    <dataValidation allowBlank="1" errorTitle="1x1xSingleCell" error="3439.8596" promptTitle="FactSet Formula" prompt="=FDSRC(&quot;-&quot;,$C$2,&quot;FE_TIMESERIES(&quot;&amp;$B66&amp;&quot;,MEAN,&quot;&amp;BD$5&amp;&quot;,,Y,'CURRENCY=USD')&quot;)" sqref="BD66" xr:uid="{8AE55403-50A7-4594-8BC6-5E9F0AB2F21B}"/>
    <dataValidation allowBlank="1" errorTitle="1x1xSingleCell" error="32.47883" promptTitle="FactSet Formula" prompt="=FDSRC(&quot;-&quot;,$C$2,&quot;FE_TIMESERIES(&quot;&amp;$B72&amp;&quot;,MEAN,&quot;&amp;BD$5&amp;&quot;,,Y,'CURRENCY=USD')&quot;)" sqref="BD72" xr:uid="{EA543229-6B50-4487-89BA-86AC7A28A185}"/>
    <dataValidation allowBlank="1" errorTitle="1x1xSingleCell" error="3606.2524" promptTitle="FactSet Formula" prompt="=FDSRC(&quot;-&quot;,$C$2,&quot;FE_TIMESERIES(&quot;&amp;$B77&amp;&quot;,MEAN,&quot;&amp;BD$5&amp;&quot;,,Y,'CURRENCY=USD')&quot;)" sqref="BD77" xr:uid="{41461EBC-CAC2-4D0F-AA5B-B36776058FE0}"/>
    <dataValidation allowBlank="1" errorTitle="1x1xSingleCell" error="47.271927" promptTitle="FactSet Formula" prompt="=FDSRC(&quot;-&quot;,$C$2,&quot;FE_TIMESERIES(&quot;&amp;$B82&amp;&quot;,MEAN,&quot;&amp;BD$5&amp;&quot;,,Y,'CURRENCY=USD')&quot;)" sqref="BD82" xr:uid="{91D923F5-E01C-4B6F-9F36-E286C75BEA48}"/>
    <dataValidation allowBlank="1" errorTitle="1x1xSingleCell" error="-2146826252" promptTitle="FactSet Formula" prompt="=FDSRC(&quot;-&quot;,$C$2,&quot;FE_TIMESERIES(&quot;&amp;$B84&amp;&quot;,MEAN,&quot;&amp;BD$5&amp;&quot;,,Y,'CURRENCY=USD')&quot;)" sqref="BD84" xr:uid="{217111E8-15DA-4AD5-A744-C8978A8928B5}"/>
    <dataValidation allowBlank="1" errorTitle="1x1xSingleCell" error="752986.7" promptTitle="FactSet Formula" prompt="=FDSRC(&quot;-&quot;,$C$2,&quot;FE_TIMESERIES(&quot;&amp;$B6&amp;&quot;,MEAN,&quot;&amp;BE$5&amp;&quot;,,Y,'CURRENCY=USD')&quot;)" sqref="BE6" xr:uid="{D18D84C8-75ED-4FE2-9B43-83E108036301}"/>
    <dataValidation allowBlank="1" errorTitle="1x1xSingleCell" error="23471.11" promptTitle="FactSet Formula" prompt="=FDSRC(&quot;-&quot;,$C$2,&quot;FE_TIMESERIES(&quot;&amp;$B10&amp;&quot;,MEAN,&quot;&amp;BE$5&amp;&quot;,,Y,'CURRENCY=USD')&quot;)" sqref="BE10" xr:uid="{19F95A45-8E66-47D7-8809-DB585E3FA3DF}"/>
    <dataValidation allowBlank="1" errorTitle="1x1xSingleCell" error="4485.111" promptTitle="FactSet Formula" prompt="=FDSRC(&quot;-&quot;,$C$2,&quot;FE_TIMESERIES(&quot;&amp;$B14&amp;&quot;,MEAN,&quot;&amp;BE$5&amp;&quot;,,Y,'CURRENCY=USD')&quot;)" sqref="BE14" xr:uid="{B8B40675-B8D9-473E-92F8-0FA7477758FB}"/>
    <dataValidation allowBlank="1" errorTitle="1x1xSingleCell" error="18555.201" promptTitle="FactSet Formula" prompt="=FDSRC(&quot;-&quot;,$C$2,&quot;FE_TIMESERIES(&quot;&amp;$B18&amp;&quot;,MEAN,&quot;&amp;BE$5&amp;&quot;,,Y,'CURRENCY=USD')&quot;)" sqref="BE18" xr:uid="{410C7E90-8167-4693-9C69-AE07A55F612E}"/>
    <dataValidation allowBlank="1" errorTitle="1x1xSingleCell" error="11272.658" promptTitle="FactSet Formula" prompt="=FDSRC(&quot;-&quot;,$C$2,&quot;FE_TIMESERIES(&quot;&amp;$B22&amp;&quot;,MEAN,&quot;&amp;BE$5&amp;&quot;,,Y,'CURRENCY=USD')&quot;)" sqref="BE22" xr:uid="{8C29E0EE-456F-4073-B1B2-B6E12E935377}"/>
    <dataValidation allowBlank="1" errorTitle="1x1xSingleCell" error="4683.657" promptTitle="FactSet Formula" prompt="=FDSRC(&quot;-&quot;,$C$2,&quot;FE_TIMESERIES(&quot;&amp;$B32&amp;&quot;,MEAN,&quot;&amp;BE$5&amp;&quot;,,Y,'CURRENCY=USD')&quot;)" sqref="BE32" xr:uid="{77DBB31C-28F0-4AC9-8D6B-A7CC285E545B}"/>
    <dataValidation allowBlank="1" errorTitle="1x1xSingleCell" error="5170.7983" promptTitle="FactSet Formula" prompt="=FDSRC(&quot;-&quot;,$C$2,&quot;FE_TIMESERIES(&quot;&amp;$B37&amp;&quot;,MEAN,&quot;&amp;BE$5&amp;&quot;,,Y,'CURRENCY=USD')&quot;)" sqref="BE37" xr:uid="{9DE3242D-810D-4A37-84F5-6B5957E08AEF}"/>
    <dataValidation allowBlank="1" errorTitle="1x1xSingleCell" error="4219" promptTitle="FactSet Formula" prompt="=FDSRC(&quot;-&quot;,$C$2,&quot;FE_TIMESERIES(&quot;&amp;$B42&amp;&quot;,MEAN,&quot;&amp;BE$5&amp;&quot;,,Y,'CURRENCY=USD')&quot;)" sqref="BE42" xr:uid="{E736B379-C92D-4D56-951B-6A38C8DB374C}"/>
    <dataValidation allowBlank="1" errorTitle="1x1xSingleCell" error="5274.8657" promptTitle="FactSet Formula" prompt="=FDSRC(&quot;-&quot;,$C$2,&quot;FE_TIMESERIES(&quot;&amp;$B47&amp;&quot;,MEAN,&quot;&amp;BE$5&amp;&quot;,,Y,'CURRENCY=USD')&quot;)" sqref="BE47" xr:uid="{7D52ADC1-3216-44D7-8DE3-EA94105F794D}"/>
    <dataValidation allowBlank="1" errorTitle="1x1xSingleCell" error="4330.658" promptTitle="FactSet Formula" prompt="=FDSRC(&quot;-&quot;,$C$2,&quot;FE_TIMESERIES(&quot;&amp;$B52&amp;&quot;,MEAN,&quot;&amp;BE$5&amp;&quot;,,Y,'CURRENCY=USD')&quot;)" sqref="BE52" xr:uid="{F9A81100-995C-408B-834A-101AAD9C1453}"/>
    <dataValidation allowBlank="1" errorTitle="1x1xSingleCell" error="3.2661428" promptTitle="FactSet Formula" prompt="=FDSRC(&quot;-&quot;,$C$2,&quot;FE_TIMESERIES(&quot;&amp;$B57&amp;&quot;,MEAN,&quot;&amp;BE$5&amp;&quot;,,Y,'CURRENCY=USD')&quot;)" sqref="BE57" xr:uid="{47CE585F-F9CC-46DD-ABEC-C2613A2778D4}"/>
    <dataValidation allowBlank="1" errorTitle="1x1xSingleCell" error="3.053137" promptTitle="FactSet Formula" prompt="=FDSRC(&quot;-&quot;,$C$2,&quot;FE_TIMESERIES(&quot;&amp;$B61&amp;&quot;,MEAN,&quot;&amp;BE$5&amp;&quot;,,Y,'CURRENCY=USD')&quot;)" sqref="BE61" xr:uid="{C4059B24-9535-4226-9D76-8216E0D0B676}"/>
    <dataValidation allowBlank="1" errorTitle="1x1xSingleCell" error="4703.2075" promptTitle="FactSet Formula" prompt="=FDSRC(&quot;-&quot;,$C$2,&quot;FE_TIMESERIES(&quot;&amp;$B66&amp;&quot;,MEAN,&quot;&amp;BE$5&amp;&quot;,,Y,'CURRENCY=USD')&quot;)" sqref="BE66" xr:uid="{42195CDA-9B4D-41BA-AF3E-31DE664045F6}"/>
    <dataValidation allowBlank="1" errorTitle="1x1xSingleCell" error="40.304096" promptTitle="FactSet Formula" prompt="=FDSRC(&quot;-&quot;,$C$2,&quot;FE_TIMESERIES(&quot;&amp;$B72&amp;&quot;,MEAN,&quot;&amp;BE$5&amp;&quot;,,Y,'CURRENCY=USD')&quot;)" sqref="BE72" xr:uid="{831C53ED-1502-4AB7-85D8-5868FF7A9BAF}"/>
    <dataValidation allowBlank="1" errorTitle="1x1xSingleCell" error="5300.083" promptTitle="FactSet Formula" prompt="=FDSRC(&quot;-&quot;,$C$2,&quot;FE_TIMESERIES(&quot;&amp;$B77&amp;&quot;,MEAN,&quot;&amp;BE$5&amp;&quot;,,Y,'CURRENCY=USD')&quot;)" sqref="BE77" xr:uid="{3B5EA040-36FE-4F77-9CFD-B1C642DE201B}"/>
    <dataValidation allowBlank="1" errorTitle="1x1xSingleCell" error="46.225" promptTitle="FactSet Formula" prompt="=FDSRC(&quot;-&quot;,$C$2,&quot;FE_TIMESERIES(&quot;&amp;$B82&amp;&quot;,MEAN,&quot;&amp;BE$5&amp;&quot;,,Y,'CURRENCY=USD')&quot;)" sqref="BE82" xr:uid="{3814D402-6557-44DB-B3B4-773D4BE10C97}"/>
    <dataValidation allowBlank="1" errorTitle="1x1xSingleCell" error="-2146826252" promptTitle="FactSet Formula" prompt="=FDSRC(&quot;-&quot;,$C$2,&quot;FE_TIMESERIES(&quot;&amp;$B84&amp;&quot;,MEAN,&quot;&amp;BE$5&amp;&quot;,,Y,'CURRENCY=USD')&quot;)" sqref="BE84" xr:uid="{2BB9121C-D1B0-4844-95B6-FF857C0690FC}"/>
    <dataValidation allowBlank="1" errorTitle="1x1xSingleCell" error="897686.9" promptTitle="FactSet Formula" prompt="=FDSRC(&quot;-&quot;,$C$2,&quot;FE_TIMESERIES(&quot;&amp;$B6&amp;&quot;,MEAN,&quot;&amp;BF$5&amp;&quot;,,Y,'CURRENCY=USD')&quot;)" sqref="BF6" xr:uid="{6E9E8CEF-428C-4E43-B591-F6841DD9E1E4}"/>
    <dataValidation allowBlank="1" errorTitle="1x1xSingleCell" error="28231.14" promptTitle="FactSet Formula" prompt="=FDSRC(&quot;-&quot;,$C$2,&quot;FE_TIMESERIES(&quot;&amp;$B10&amp;&quot;,MEAN,&quot;&amp;BF$5&amp;&quot;,,Y,'CURRENCY=USD')&quot;)" sqref="BF10" xr:uid="{605380A0-0AB7-4ECA-9D18-3A73646A110E}"/>
    <dataValidation allowBlank="1" errorTitle="1x1xSingleCell" error="5086.1" promptTitle="FactSet Formula" prompt="=FDSRC(&quot;-&quot;,$C$2,&quot;FE_TIMESERIES(&quot;&amp;$B14&amp;&quot;,MEAN,&quot;&amp;BF$5&amp;&quot;,,Y,'CURRENCY=USD')&quot;)" sqref="BF14" xr:uid="{8C1F1BDC-7549-4516-8C51-2FF4D64BEC59}"/>
    <dataValidation allowBlank="1" errorTitle="1x1xSingleCell" error="22418.85" promptTitle="FactSet Formula" prompt="=FDSRC(&quot;-&quot;,$C$2,&quot;FE_TIMESERIES(&quot;&amp;$B18&amp;&quot;,MEAN,&quot;&amp;BF$5&amp;&quot;,,Y,'CURRENCY=USD')&quot;)" sqref="BF18" xr:uid="{7F8D5457-49D3-4E35-B341-2929D58E1080}"/>
    <dataValidation allowBlank="1" errorTitle="1x1xSingleCell" error="12928.75" promptTitle="FactSet Formula" prompt="=FDSRC(&quot;-&quot;,$C$2,&quot;FE_TIMESERIES(&quot;&amp;$B22&amp;&quot;,MEAN,&quot;&amp;BF$5&amp;&quot;,,Y,'CURRENCY=USD')&quot;)" sqref="BF22" xr:uid="{6F58C3FF-C482-4B98-B606-E13D0AC7AB82}"/>
    <dataValidation allowBlank="1" errorTitle="1x1xSingleCell" error="5071.3335" promptTitle="FactSet Formula" prompt="=FDSRC(&quot;-&quot;,$C$2,&quot;FE_TIMESERIES(&quot;&amp;$B32&amp;&quot;,MEAN,&quot;&amp;BF$5&amp;&quot;,,Y,'CURRENCY=USD')&quot;)" sqref="BF32" xr:uid="{E961DB55-C743-4D70-9340-65FABDDAEAB7}"/>
    <dataValidation allowBlank="1" errorTitle="1x1xSingleCell" error="6207.7334" promptTitle="FactSet Formula" prompt="=FDSRC(&quot;-&quot;,$C$2,&quot;FE_TIMESERIES(&quot;&amp;$B37&amp;&quot;,MEAN,&quot;&amp;BF$5&amp;&quot;,,Y,'CURRENCY=USD')&quot;)" sqref="BF37" xr:uid="{1F35735E-317D-4CB4-BDF7-3C2D930917A6}"/>
    <dataValidation allowBlank="1" errorTitle="1x1xSingleCell" error="5510" promptTitle="FactSet Formula" prompt="=FDSRC(&quot;-&quot;,$C$2,&quot;FE_TIMESERIES(&quot;&amp;$B42&amp;&quot;,MEAN,&quot;&amp;BF$5&amp;&quot;,,Y,'CURRENCY=USD')&quot;)" sqref="BF42" xr:uid="{17EBE447-073A-4AA5-9145-6504FA436D66}"/>
    <dataValidation allowBlank="1" errorTitle="1x1xSingleCell" error="5374" promptTitle="FactSet Formula" prompt="=FDSRC(&quot;-&quot;,$C$2,&quot;FE_TIMESERIES(&quot;&amp;$B47&amp;&quot;,MEAN,&quot;&amp;BF$5&amp;&quot;,,Y,'CURRENCY=USD')&quot;)" sqref="BF47" xr:uid="{B2DB305D-11D3-4A04-AC74-D0427D716EED}"/>
    <dataValidation allowBlank="1" errorTitle="1x1xSingleCell" error="4964.275" promptTitle="FactSet Formula" prompt="=FDSRC(&quot;-&quot;,$C$2,&quot;FE_TIMESERIES(&quot;&amp;$B52&amp;&quot;,MEAN,&quot;&amp;BF$5&amp;&quot;,,Y,'CURRENCY=USD')&quot;)" sqref="BF52" xr:uid="{DD01ABA7-F3FB-47F5-8019-99E8728D4AC4}"/>
    <dataValidation allowBlank="1" errorTitle="1x1xSingleCell" error="3.78" promptTitle="FactSet Formula" prompt="=FDSRC(&quot;-&quot;,$C$2,&quot;FE_TIMESERIES(&quot;&amp;$B57&amp;&quot;,MEAN,&quot;&amp;BF$5&amp;&quot;,,Y,'CURRENCY=USD')&quot;)" sqref="BF57" xr:uid="{D32F442F-E3C4-40E6-9B68-B1DEBF5077E4}"/>
    <dataValidation allowBlank="1" errorTitle="1x1xSingleCell" error="3.5633333" promptTitle="FactSet Formula" prompt="=FDSRC(&quot;-&quot;,$C$2,&quot;FE_TIMESERIES(&quot;&amp;$B61&amp;&quot;,MEAN,&quot;&amp;BF$5&amp;&quot;,,Y,'CURRENCY=USD')&quot;)" sqref="BF61" xr:uid="{40F1D6E2-FD7D-418A-9B8E-66EAD7EF0248}"/>
    <dataValidation allowBlank="1" errorTitle="1x1xSingleCell" error="5843.5" promptTitle="FactSet Formula" prompt="=FDSRC(&quot;-&quot;,$C$2,&quot;FE_TIMESERIES(&quot;&amp;$B66&amp;&quot;,MEAN,&quot;&amp;BF$5&amp;&quot;,,Y,'CURRENCY=USD')&quot;)" sqref="BF66" xr:uid="{E484D01D-041E-4CE4-A71A-D8B4C7C0AE23}"/>
    <dataValidation allowBlank="1" errorTitle="1x1xSingleCell" error="44.65" promptTitle="FactSet Formula" prompt="=FDSRC(&quot;-&quot;,$C$2,&quot;FE_TIMESERIES(&quot;&amp;$B72&amp;&quot;,MEAN,&quot;&amp;BF$5&amp;&quot;,,Y,'CURRENCY=USD')&quot;)" sqref="BF72" xr:uid="{0FADB649-3AAD-49E6-B9B7-E6BB948D7E6F}"/>
    <dataValidation allowBlank="1" errorTitle="1x1xSingleCell" error="5796.2666" promptTitle="FactSet Formula" prompt="=FDSRC(&quot;-&quot;,$C$2,&quot;FE_TIMESERIES(&quot;&amp;$B77&amp;&quot;,MEAN,&quot;&amp;BF$5&amp;&quot;,,Y,'CURRENCY=USD')&quot;)" sqref="BF77" xr:uid="{DC378E54-FA9A-4C0B-B244-229EE9B4D47F}"/>
    <dataValidation allowBlank="1" errorTitle="1x1xSingleCell" error="-" promptTitle="FactSet Formula" prompt="=FDSRC(&quot;-&quot;,$C$2,&quot;FE_TIMESERIES(&quot;&amp;$B82&amp;&quot;,MEAN,&quot;&amp;BF$5&amp;&quot;,,Y,'CURRENCY=USD')&quot;)" sqref="BF82" xr:uid="{4D22EEBB-9EA4-4723-93B4-639870EB49E2}"/>
    <dataValidation allowBlank="1" errorTitle="1x1xSingleCell" error="-2146826252" promptTitle="FactSet Formula" prompt="=FDSRC(&quot;-&quot;,$C$2,&quot;FE_TIMESERIES(&quot;&amp;$B84&amp;&quot;,MEAN,&quot;&amp;BF$5&amp;&quot;,,Y,'CURRENCY=USD')&quot;)" sqref="BF84" xr:uid="{67A7B482-EE54-49E3-8669-E7D9FBABF758}"/>
    <dataValidation allowBlank="1" errorTitle="1x1xSingleCell" error="1057535.1" promptTitle="FactSet Formula" prompt="=FDSRC(&quot;-&quot;,$C$2,&quot;FE_TIMESERIES(&quot;&amp;$B6&amp;&quot;,MEAN,&quot;&amp;BG$5&amp;&quot;,,Y,'CURRENCY=USD')&quot;)" sqref="BG6" xr:uid="{2666FDBD-A3CE-4110-9327-A91C64274AF7}"/>
    <dataValidation allowBlank="1" errorTitle="1x1xSingleCell" error="33373.3" promptTitle="FactSet Formula" prompt="=FDSRC(&quot;-&quot;,$C$2,&quot;FE_TIMESERIES(&quot;&amp;$B10&amp;&quot;,MEAN,&quot;&amp;BG$5&amp;&quot;,,Y,'CURRENCY=USD')&quot;)" sqref="BG10" xr:uid="{1D6EF4EE-27B4-4346-9808-19C7C4DA9F8F}"/>
    <dataValidation allowBlank="1" errorTitle="1x1xSingleCell" error="5833.9" promptTitle="FactSet Formula" prompt="=FDSRC(&quot;-&quot;,$C$2,&quot;FE_TIMESERIES(&quot;&amp;$B14&amp;&quot;,MEAN,&quot;&amp;BG$5&amp;&quot;,,Y,'CURRENCY=USD')&quot;)" sqref="BG14" xr:uid="{9472D94F-C40D-4B3E-862F-74B9D7882D58}"/>
    <dataValidation allowBlank="1" errorTitle="1x1xSingleCell" error="26788.15" promptTitle="FactSet Formula" prompt="=FDSRC(&quot;-&quot;,$C$2,&quot;FE_TIMESERIES(&quot;&amp;$B18&amp;&quot;,MEAN,&quot;&amp;BG$5&amp;&quot;,,Y,'CURRENCY=USD')&quot;)" sqref="BG18" xr:uid="{60223B62-52E7-433E-8A1D-47D8224D73BF}"/>
    <dataValidation allowBlank="1" errorTitle="1x1xSingleCell" error="15135.975" promptTitle="FactSet Formula" prompt="=FDSRC(&quot;-&quot;,$C$2,&quot;FE_TIMESERIES(&quot;&amp;$B22&amp;&quot;,MEAN,&quot;&amp;BG$5&amp;&quot;,,Y,'CURRENCY=USD')&quot;)" sqref="BG22" xr:uid="{49AC6E06-7383-411A-B42D-DB52BB81890C}"/>
    <dataValidation allowBlank="1" errorTitle="1x1xSingleCell" error="6302" promptTitle="FactSet Formula" prompt="=FDSRC(&quot;-&quot;,$C$2,&quot;FE_TIMESERIES(&quot;&amp;$B32&amp;&quot;,MEAN,&quot;&amp;BG$5&amp;&quot;,,Y,'CURRENCY=USD')&quot;)" sqref="BG32" xr:uid="{C8E9DFF8-05E2-4ECD-B245-B49B6F61B89C}"/>
    <dataValidation allowBlank="1" errorTitle="1x1xSingleCell" error="7394.7334" promptTitle="FactSet Formula" prompt="=FDSRC(&quot;-&quot;,$C$2,&quot;FE_TIMESERIES(&quot;&amp;$B37&amp;&quot;,MEAN,&quot;&amp;BG$5&amp;&quot;,,Y,'CURRENCY=USD')&quot;)" sqref="BG37" xr:uid="{E9C1436A-4B83-4C47-AAAA-512368D94622}"/>
    <dataValidation allowBlank="1" errorTitle="1x1xSingleCell" error="6994" promptTitle="FactSet Formula" prompt="=FDSRC(&quot;-&quot;,$C$2,&quot;FE_TIMESERIES(&quot;&amp;$B42&amp;&quot;,MEAN,&quot;&amp;BG$5&amp;&quot;,,Y,'CURRENCY=USD')&quot;)" sqref="BG42" xr:uid="{171C06A8-846C-47C5-BE59-4094B84FC6B1}"/>
    <dataValidation allowBlank="1" errorTitle="1x1xSingleCell" error="6657.5" promptTitle="FactSet Formula" prompt="=FDSRC(&quot;-&quot;,$C$2,&quot;FE_TIMESERIES(&quot;&amp;$B47&amp;&quot;,MEAN,&quot;&amp;BG$5&amp;&quot;,,Y,'CURRENCY=USD')&quot;)" sqref="BG47" xr:uid="{27393878-C27C-4EF8-9F9D-F4BEDED2263B}"/>
    <dataValidation allowBlank="1" errorTitle="1x1xSingleCell" error="5937.025" promptTitle="FactSet Formula" prompt="=FDSRC(&quot;-&quot;,$C$2,&quot;FE_TIMESERIES(&quot;&amp;$B52&amp;&quot;,MEAN,&quot;&amp;BG$5&amp;&quot;,,Y,'CURRENCY=USD')&quot;)" sqref="BG52" xr:uid="{3DFBA45B-7E18-42E9-8A70-A168FE0A50C8}"/>
    <dataValidation allowBlank="1" errorTitle="1x1xSingleCell" error="4.4866667" promptTitle="FactSet Formula" prompt="=FDSRC(&quot;-&quot;,$C$2,&quot;FE_TIMESERIES(&quot;&amp;$B57&amp;&quot;,MEAN,&quot;&amp;BG$5&amp;&quot;,,Y,'CURRENCY=USD')&quot;)" sqref="BG57" xr:uid="{0E8D51C0-257F-4B0D-8666-5B7666C513B8}"/>
    <dataValidation allowBlank="1" errorTitle="1x1xSingleCell" error="4.423333" promptTitle="FactSet Formula" prompt="=FDSRC(&quot;-&quot;,$C$2,&quot;FE_TIMESERIES(&quot;&amp;$B61&amp;&quot;,MEAN,&quot;&amp;BG$5&amp;&quot;,,Y,'CURRENCY=USD')&quot;)" sqref="BG61" xr:uid="{B3259BE7-26DD-4A35-B4F3-29938B2FE6B5}"/>
    <dataValidation allowBlank="1" errorTitle="1x1xSingleCell" error="7215.5" promptTitle="FactSet Formula" prompt="=FDSRC(&quot;-&quot;,$C$2,&quot;FE_TIMESERIES(&quot;&amp;$B66&amp;&quot;,MEAN,&quot;&amp;BG$5&amp;&quot;,,Y,'CURRENCY=USD')&quot;)" sqref="BG66" xr:uid="{D6A6F019-94B7-4313-9298-40F63D9B82DD}"/>
    <dataValidation allowBlank="1" errorTitle="1x1xSingleCell" error="53.05" promptTitle="FactSet Formula" prompt="=FDSRC(&quot;-&quot;,$C$2,&quot;FE_TIMESERIES(&quot;&amp;$B72&amp;&quot;,MEAN,&quot;&amp;BG$5&amp;&quot;,,Y,'CURRENCY=USD')&quot;)" sqref="BG72" xr:uid="{F3AE4006-7D1C-435B-B9D9-5EC85DBA1BF5}"/>
    <dataValidation allowBlank="1" errorTitle="1x1xSingleCell" error="7107.6665" promptTitle="FactSet Formula" prompt="=FDSRC(&quot;-&quot;,$C$2,&quot;FE_TIMESERIES(&quot;&amp;$B77&amp;&quot;,MEAN,&quot;&amp;BG$5&amp;&quot;,,Y,'CURRENCY=USD')&quot;)" sqref="BG77" xr:uid="{707B50D1-6394-45E8-AD2C-5F16AD09B962}"/>
    <dataValidation allowBlank="1" errorTitle="1x1xSingleCell" error="-" promptTitle="FactSet Formula" prompt="=FDSRC(&quot;-&quot;,$C$2,&quot;FE_TIMESERIES(&quot;&amp;$B82&amp;&quot;,MEAN,&quot;&amp;BG$5&amp;&quot;,,Y,'CURRENCY=USD')&quot;)" sqref="BG82" xr:uid="{507E17FD-8A82-40E7-979A-92EF44A8353D}"/>
    <dataValidation allowBlank="1" errorTitle="1x1xSingleCell" error="-2146826252" promptTitle="FactSet Formula" prompt="=FDSRC(&quot;-&quot;,$C$2,&quot;FE_TIMESERIES(&quot;&amp;$B84&amp;&quot;,MEAN,&quot;&amp;BG$5&amp;&quot;,,Y,'CURRENCY=USD')&quot;)" sqref="BG84" xr:uid="{C49BA26B-4D65-4028-9B92-123842E402E2}"/>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tabColor rgb="FFFFFF00"/>
    <pageSetUpPr fitToPage="1"/>
  </sheetPr>
  <dimension ref="B1:EL167"/>
  <sheetViews>
    <sheetView showGridLines="0" workbookViewId="0">
      <pane xSplit="3" ySplit="5" topLeftCell="D6" activePane="bottomRight" state="frozen"/>
      <selection pane="topRight" activeCell="D1" sqref="D1"/>
      <selection pane="bottomLeft" activeCell="A6" sqref="A6"/>
      <selection pane="bottomRight" activeCell="D6" sqref="D6"/>
    </sheetView>
  </sheetViews>
  <sheetFormatPr defaultColWidth="6.5546875" defaultRowHeight="10.5" customHeight="1" outlineLevelCol="2"/>
  <cols>
    <col min="1" max="1" width="1.6640625" style="16" customWidth="1"/>
    <col min="2" max="2" width="15.6640625" style="16" hidden="1" customWidth="1" outlineLevel="1"/>
    <col min="3" max="3" width="1.6640625" style="16" hidden="1" customWidth="1" outlineLevel="1"/>
    <col min="4" max="4" width="32.6640625" style="16" bestFit="1" customWidth="1" collapsed="1"/>
    <col min="5" max="5" width="8.6640625" style="16" customWidth="1" outlineLevel="2"/>
    <col min="6" max="11" width="8.6640625" style="16" customWidth="1" outlineLevel="1"/>
    <col min="12" max="12" width="8.6640625" style="16" customWidth="1" outlineLevel="2"/>
    <col min="13" max="17" width="8.6640625" style="16" customWidth="1" outlineLevel="1"/>
    <col min="18" max="18" width="8.6640625" style="16" customWidth="1" outlineLevel="2"/>
    <col min="19" max="23" width="8.6640625" style="16" customWidth="1" outlineLevel="1"/>
    <col min="24" max="24" width="8.6640625" style="16" customWidth="1" outlineLevel="2"/>
    <col min="25" max="29" width="8.6640625" style="16" customWidth="1" outlineLevel="1"/>
    <col min="30" max="30" width="8.6640625" style="16" customWidth="1" outlineLevel="2"/>
    <col min="31" max="34" width="8.6640625" style="16" customWidth="1" outlineLevel="1"/>
    <col min="35" max="35" width="9.5546875" style="16" customWidth="1" outlineLevel="1"/>
    <col min="36" max="36" width="7" style="16" customWidth="1" outlineLevel="1"/>
    <col min="37" max="37" width="6.6640625" style="16" customWidth="1" outlineLevel="2"/>
    <col min="38" max="38" width="8" style="16" customWidth="1" outlineLevel="1"/>
    <col min="39" max="39" width="7.6640625" style="16" customWidth="1" outlineLevel="1"/>
    <col min="40" max="40" width="8.6640625" style="16" customWidth="1" outlineLevel="1"/>
    <col min="41" max="41" width="7.6640625" style="16" customWidth="1" outlineLevel="1"/>
    <col min="42" max="42" width="9.5546875" style="16" customWidth="1" outlineLevel="1"/>
    <col min="43" max="43" width="6.6640625" style="16" customWidth="1" outlineLevel="1"/>
    <col min="44" max="44" width="6.33203125" style="16" customWidth="1" outlineLevel="2"/>
    <col min="45" max="45" width="7.33203125" style="16" customWidth="1" outlineLevel="1"/>
    <col min="46" max="46" width="7.6640625" style="16" customWidth="1" outlineLevel="1"/>
    <col min="47" max="47" width="7.5546875" style="16" customWidth="1" outlineLevel="1"/>
    <col min="48" max="48" width="9.6640625" style="16" customWidth="1" outlineLevel="1"/>
    <col min="49" max="49" width="8.33203125" style="16" customWidth="1" outlineLevel="1"/>
    <col min="50" max="50" width="6.6640625" style="16" customWidth="1" outlineLevel="1"/>
    <col min="51" max="51" width="6.33203125" style="16" customWidth="1" outlineLevel="2"/>
    <col min="52" max="52" width="6.44140625" style="16" customWidth="1" outlineLevel="1"/>
    <col min="53" max="53" width="7.6640625" style="16" customWidth="1" outlineLevel="1"/>
    <col min="54" max="54" width="7.44140625" style="16" customWidth="1" outlineLevel="1"/>
    <col min="55" max="55" width="7.6640625" style="16" customWidth="1" outlineLevel="1"/>
    <col min="56" max="56" width="7.44140625" style="16" customWidth="1" outlineLevel="1"/>
    <col min="57" max="57" width="6.6640625" style="16" customWidth="1" outlineLevel="1"/>
    <col min="58" max="58" width="6.33203125" style="16" customWidth="1" outlineLevel="1"/>
    <col min="59" max="59" width="6.44140625" style="16" customWidth="1" outlineLevel="1"/>
    <col min="60" max="60" width="7.6640625" style="16" customWidth="1" outlineLevel="1"/>
    <col min="61" max="61" width="7.44140625" style="16" customWidth="1" outlineLevel="1"/>
    <col min="62" max="62" width="8.33203125" style="16" customWidth="1" outlineLevel="1"/>
    <col min="63" max="63" width="7.44140625" style="16" customWidth="1" outlineLevel="1"/>
    <col min="64" max="64" width="6.6640625" style="16" customWidth="1" outlineLevel="1"/>
    <col min="65" max="65" width="6.6640625" style="16" customWidth="1" outlineLevel="2"/>
    <col min="66" max="66" width="7.5546875" style="16" customWidth="1" outlineLevel="1"/>
    <col min="67" max="67" width="8.44140625" style="16" customWidth="1" outlineLevel="1"/>
    <col min="68" max="68" width="7.44140625" style="16" customWidth="1" outlineLevel="1"/>
    <col min="69" max="69" width="8.44140625" style="16" customWidth="1" outlineLevel="1"/>
    <col min="70" max="70" width="8.33203125" style="16" customWidth="1" outlineLevel="1"/>
    <col min="71" max="71" width="6.6640625" style="16" bestFit="1" customWidth="1"/>
    <col min="72" max="72" width="6.33203125" style="16" customWidth="1" outlineLevel="1"/>
    <col min="73" max="73" width="6.44140625" style="16" bestFit="1" customWidth="1"/>
    <col min="74" max="74" width="7.6640625" style="16" bestFit="1" customWidth="1"/>
    <col min="75" max="75" width="7.5546875" style="16" bestFit="1" customWidth="1"/>
    <col min="76" max="76" width="7.6640625" style="16" bestFit="1" customWidth="1"/>
    <col min="77" max="77" width="7.5546875" style="16" bestFit="1" customWidth="1"/>
    <col min="78" max="78" width="6.6640625" style="16" bestFit="1" customWidth="1"/>
    <col min="79" max="79" width="6.33203125" style="16" customWidth="1" outlineLevel="1"/>
    <col min="80" max="80" width="6.5546875" style="16" bestFit="1" customWidth="1"/>
    <col min="81" max="81" width="7.6640625" style="16" bestFit="1" customWidth="1"/>
    <col min="82" max="82" width="7.5546875" style="16" bestFit="1" customWidth="1"/>
    <col min="83" max="83" width="7.6640625" style="16" bestFit="1" customWidth="1"/>
    <col min="84" max="85" width="7.5546875" style="16" bestFit="1" customWidth="1"/>
    <col min="86" max="86" width="6.33203125" style="16" customWidth="1" outlineLevel="1"/>
    <col min="87" max="87" width="6.44140625" style="16" bestFit="1" customWidth="1"/>
    <col min="88" max="88" width="7.5546875" style="16" customWidth="1"/>
    <col min="89" max="89" width="7.5546875" style="16" bestFit="1" customWidth="1"/>
    <col min="90" max="90" width="7.5546875" style="16" customWidth="1"/>
    <col min="91" max="91" width="7.5546875" style="16" bestFit="1" customWidth="1"/>
    <col min="92" max="92" width="6.6640625" style="16" bestFit="1" customWidth="1"/>
    <col min="93" max="93" width="6.33203125" style="16" customWidth="1" outlineLevel="1"/>
    <col min="94" max="94" width="6.44140625" style="16" bestFit="1" customWidth="1"/>
    <col min="95" max="95" width="7.5546875" style="16" customWidth="1"/>
    <col min="96" max="96" width="7.5546875" style="16" bestFit="1" customWidth="1"/>
    <col min="97" max="97" width="7.5546875" style="16" customWidth="1"/>
    <col min="98" max="98" width="7.5546875" style="16" bestFit="1" customWidth="1"/>
    <col min="99" max="99" width="6.6640625" style="16" bestFit="1" customWidth="1"/>
    <col min="100" max="100" width="6.6640625" style="16" customWidth="1" outlineLevel="1"/>
    <col min="101" max="101" width="6.33203125" style="16" bestFit="1" customWidth="1"/>
    <col min="102" max="102" width="8.44140625" style="16" customWidth="1"/>
    <col min="103" max="103" width="7.44140625" style="16" bestFit="1" customWidth="1"/>
    <col min="104" max="104" width="8.44140625" style="16" customWidth="1"/>
    <col min="105" max="105" width="8.33203125" style="16" bestFit="1" customWidth="1"/>
    <col min="106" max="106" width="6.6640625" style="16" customWidth="1" outlineLevel="1"/>
    <col min="107" max="107" width="6.33203125" style="16" customWidth="1" outlineLevel="2"/>
    <col min="108" max="108" width="6.44140625" style="16" customWidth="1" outlineLevel="1"/>
    <col min="109" max="112" width="7.5546875" style="16" customWidth="1" outlineLevel="1"/>
    <col min="113" max="113" width="6.6640625" style="16" customWidth="1" outlineLevel="1"/>
    <col min="114" max="114" width="6.33203125" style="16" customWidth="1" outlineLevel="2"/>
    <col min="115" max="115" width="6.5546875" style="16" customWidth="1" outlineLevel="1"/>
    <col min="116" max="120" width="7.5546875" style="16" customWidth="1" outlineLevel="1"/>
    <col min="121" max="121" width="6.33203125" style="16" customWidth="1" outlineLevel="2"/>
    <col min="122" max="122" width="6.44140625" style="16" customWidth="1" outlineLevel="1"/>
    <col min="123" max="126" width="7.5546875" style="16" customWidth="1" outlineLevel="1"/>
    <col min="127" max="127" width="7.33203125" style="16" customWidth="1" outlineLevel="1"/>
    <col min="128" max="128" width="6.6640625" style="16" customWidth="1" outlineLevel="2"/>
    <col min="129" max="129" width="6.44140625" style="16" customWidth="1" outlineLevel="1"/>
    <col min="130" max="134" width="7.5546875" style="16" customWidth="1" outlineLevel="1"/>
    <col min="135" max="135" width="6.6640625" style="16" bestFit="1" customWidth="1"/>
    <col min="136" max="136" width="6.6640625" style="16" customWidth="1" outlineLevel="1"/>
    <col min="137" max="137" width="6.33203125" style="16" bestFit="1" customWidth="1"/>
    <col min="138" max="138" width="8.44140625" style="16" customWidth="1"/>
    <col min="139" max="139" width="7.44140625" style="16" bestFit="1" customWidth="1"/>
    <col min="140" max="140" width="8.44140625" style="16" customWidth="1"/>
    <col min="141" max="141" width="7.44140625" style="16" bestFit="1" customWidth="1"/>
    <col min="142" max="142" width="8.33203125" style="16" bestFit="1" customWidth="1"/>
    <col min="143" max="16384" width="6.5546875" style="16"/>
  </cols>
  <sheetData>
    <row r="1" spans="2:142" ht="10.199999999999999">
      <c r="D1" s="17"/>
    </row>
    <row r="2" spans="2:142" ht="10.199999999999999">
      <c r="B2" s="16" t="s">
        <v>336</v>
      </c>
      <c r="D2" s="18" t="s">
        <v>237</v>
      </c>
    </row>
    <row r="3" spans="2:142" ht="10.199999999999999">
      <c r="D3" s="19" t="s">
        <v>75</v>
      </c>
    </row>
    <row r="4" spans="2:142" ht="10.199999999999999">
      <c r="D4" s="748" t="s">
        <v>324</v>
      </c>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1"/>
      <c r="BM4" s="21"/>
      <c r="BN4" s="21"/>
      <c r="BO4" s="21"/>
      <c r="BP4" s="21"/>
      <c r="BQ4" s="21"/>
      <c r="BR4" s="21"/>
      <c r="BS4" s="20">
        <f>EOMONTH(AX4,3)</f>
        <v>121</v>
      </c>
      <c r="BT4" s="20"/>
      <c r="BU4" s="20"/>
      <c r="BV4" s="20"/>
      <c r="BW4" s="20"/>
      <c r="BX4" s="20"/>
      <c r="BY4" s="20"/>
      <c r="BZ4" s="20">
        <f>EOMONTH(BS4,3)</f>
        <v>213</v>
      </c>
      <c r="CA4" s="20"/>
      <c r="CB4" s="20"/>
      <c r="CC4" s="20"/>
      <c r="CD4" s="20"/>
      <c r="CE4" s="20"/>
      <c r="CF4" s="20"/>
      <c r="CG4" s="20">
        <f>EOMONTH(BZ4,3)</f>
        <v>305</v>
      </c>
      <c r="CH4" s="20"/>
      <c r="CI4" s="20"/>
      <c r="CJ4" s="20"/>
      <c r="CK4" s="20"/>
      <c r="CL4" s="20"/>
      <c r="CM4" s="20"/>
      <c r="CN4" s="20">
        <f>EOMONTH(CG4,3)</f>
        <v>397</v>
      </c>
      <c r="CU4" s="16" t="s">
        <v>159</v>
      </c>
      <c r="DB4" s="20">
        <f>EOMONTH(CN4,3)</f>
        <v>486</v>
      </c>
      <c r="DC4" s="20"/>
      <c r="DD4" s="20"/>
      <c r="DE4" s="20"/>
      <c r="DF4" s="20"/>
      <c r="DG4" s="20"/>
      <c r="DH4" s="20"/>
      <c r="DI4" s="20">
        <f>EOMONTH(DB4,3)</f>
        <v>578</v>
      </c>
      <c r="DJ4" s="20"/>
      <c r="DK4" s="20"/>
      <c r="DL4" s="20"/>
      <c r="DM4" s="20"/>
      <c r="DN4" s="20"/>
      <c r="DO4" s="20"/>
      <c r="DP4" s="20">
        <f>EOMONTH(DI4,3)</f>
        <v>670</v>
      </c>
      <c r="DQ4" s="20"/>
      <c r="DR4" s="20"/>
      <c r="DS4" s="20"/>
      <c r="DT4" s="20"/>
      <c r="DU4" s="20"/>
      <c r="DV4" s="20"/>
      <c r="DW4" s="20">
        <f>EOMONTH(DP4,3)</f>
        <v>762</v>
      </c>
      <c r="EE4" s="20" t="s">
        <v>159</v>
      </c>
    </row>
    <row r="5" spans="2:142" ht="10.199999999999999">
      <c r="E5" s="20" t="s">
        <v>158</v>
      </c>
      <c r="F5" s="20"/>
      <c r="G5" s="20"/>
      <c r="H5" s="20"/>
      <c r="I5" s="20"/>
      <c r="J5" s="20"/>
      <c r="K5" s="20" t="s">
        <v>158</v>
      </c>
      <c r="L5" s="20"/>
      <c r="M5" s="20"/>
      <c r="N5" s="20"/>
      <c r="O5" s="20"/>
      <c r="P5" s="20"/>
      <c r="Q5" s="20" t="s">
        <v>159</v>
      </c>
      <c r="R5" s="20"/>
      <c r="S5" s="20"/>
      <c r="T5" s="20"/>
      <c r="U5" s="20"/>
      <c r="V5" s="20"/>
      <c r="W5" s="20" t="s">
        <v>159</v>
      </c>
      <c r="X5" s="20"/>
      <c r="Y5" s="20"/>
      <c r="Z5" s="20"/>
      <c r="AA5" s="20"/>
      <c r="AB5" s="20"/>
      <c r="AC5" s="20" t="s">
        <v>159</v>
      </c>
      <c r="AD5" s="20"/>
      <c r="AE5" s="20"/>
      <c r="AF5" s="20"/>
      <c r="AG5" s="20"/>
      <c r="AH5" s="20"/>
      <c r="AI5" s="20"/>
      <c r="AJ5" s="16" t="s">
        <v>159</v>
      </c>
      <c r="AK5" s="20"/>
      <c r="AL5" s="20"/>
      <c r="AM5" s="20"/>
      <c r="AN5" s="20"/>
      <c r="AO5" s="20"/>
      <c r="AP5" s="20"/>
      <c r="AQ5" s="16" t="s">
        <v>159</v>
      </c>
      <c r="AR5" s="20"/>
      <c r="AS5" s="20"/>
      <c r="AT5" s="20"/>
      <c r="AU5" s="20"/>
      <c r="AV5" s="20"/>
      <c r="AW5" s="20"/>
      <c r="AX5" s="16" t="s">
        <v>159</v>
      </c>
      <c r="AY5" s="20"/>
      <c r="AZ5" s="20"/>
      <c r="BA5" s="20"/>
      <c r="BB5" s="20"/>
      <c r="BC5" s="20"/>
      <c r="BD5" s="20"/>
      <c r="BE5" s="16" t="s">
        <v>159</v>
      </c>
      <c r="BF5" s="20"/>
      <c r="BG5" s="20"/>
      <c r="BH5" s="20"/>
      <c r="BI5" s="20"/>
      <c r="BJ5" s="20"/>
      <c r="BK5" s="20"/>
      <c r="BL5" s="16" t="s">
        <v>159</v>
      </c>
      <c r="BM5" s="21"/>
      <c r="BN5" s="21"/>
      <c r="BO5" s="21"/>
      <c r="BP5" s="21"/>
      <c r="BQ5" s="21"/>
      <c r="BR5" s="21"/>
      <c r="BS5" s="20" t="s">
        <v>159</v>
      </c>
      <c r="BT5" s="20"/>
      <c r="BU5" s="20"/>
      <c r="BV5" s="20"/>
      <c r="BW5" s="20"/>
      <c r="BX5" s="20"/>
      <c r="BY5" s="20"/>
      <c r="BZ5" s="20" t="s">
        <v>159</v>
      </c>
      <c r="CA5" s="20"/>
      <c r="CB5" s="20"/>
      <c r="CC5" s="20"/>
      <c r="CD5" s="20"/>
      <c r="CE5" s="20"/>
      <c r="CF5" s="20"/>
      <c r="CG5" s="20" t="s">
        <v>159</v>
      </c>
      <c r="CH5" s="20"/>
      <c r="CI5" s="20"/>
      <c r="CJ5" s="20"/>
      <c r="CK5" s="20"/>
      <c r="CL5" s="20"/>
      <c r="CM5" s="20"/>
      <c r="CN5" s="20" t="s">
        <v>159</v>
      </c>
      <c r="CU5" s="20" t="str">
        <f>LEFT(RIGHT(CU8,3),2)</f>
        <v>26</v>
      </c>
      <c r="DB5" s="20" t="s">
        <v>159</v>
      </c>
      <c r="DC5" s="20"/>
      <c r="DD5" s="20"/>
      <c r="DE5" s="20"/>
      <c r="DF5" s="20"/>
      <c r="DG5" s="20"/>
      <c r="DH5" s="20"/>
      <c r="DI5" s="20" t="s">
        <v>159</v>
      </c>
      <c r="DJ5" s="20"/>
      <c r="DK5" s="20"/>
      <c r="DL5" s="20"/>
      <c r="DM5" s="20"/>
      <c r="DN5" s="20"/>
      <c r="DO5" s="20"/>
      <c r="DP5" s="20" t="s">
        <v>159</v>
      </c>
      <c r="DQ5" s="20"/>
      <c r="DR5" s="20"/>
      <c r="DS5" s="20"/>
      <c r="DT5" s="20"/>
      <c r="DU5" s="20"/>
      <c r="DV5" s="20"/>
      <c r="DW5" s="20" t="s">
        <v>159</v>
      </c>
      <c r="EE5" s="20" t="str">
        <f>LEFT(RIGHT(EE8,3),2)</f>
        <v>27</v>
      </c>
    </row>
    <row r="6" spans="2:142" ht="10.199999999999999">
      <c r="D6" s="16" t="s">
        <v>347</v>
      </c>
      <c r="E6" s="22">
        <v>2024</v>
      </c>
      <c r="G6" s="22"/>
      <c r="H6" s="20"/>
      <c r="I6" s="20"/>
      <c r="J6" s="20"/>
      <c r="K6" s="23">
        <f>E6</f>
        <v>2024</v>
      </c>
      <c r="L6" s="20"/>
      <c r="M6" s="20"/>
      <c r="N6" s="20"/>
      <c r="O6" s="20"/>
      <c r="P6" s="20"/>
      <c r="Q6" s="23">
        <f>K6</f>
        <v>2024</v>
      </c>
      <c r="R6" s="20"/>
      <c r="S6" s="20"/>
      <c r="T6" s="20"/>
      <c r="U6" s="20"/>
      <c r="V6" s="20"/>
      <c r="W6" s="23">
        <f>Q6</f>
        <v>2024</v>
      </c>
      <c r="X6" s="20"/>
      <c r="Y6" s="20"/>
      <c r="Z6" s="20"/>
      <c r="AA6" s="20"/>
      <c r="AB6" s="20"/>
      <c r="AC6" s="23">
        <f>W6</f>
        <v>2024</v>
      </c>
      <c r="AD6" s="20"/>
      <c r="AE6" s="20"/>
      <c r="AF6" s="20"/>
      <c r="AG6" s="20"/>
      <c r="AH6" s="20"/>
      <c r="AI6" s="20"/>
      <c r="AJ6" s="23">
        <f>AC6+1</f>
        <v>2025</v>
      </c>
      <c r="AK6" s="20"/>
      <c r="AL6" s="20"/>
      <c r="AM6" s="20"/>
      <c r="AN6" s="20"/>
      <c r="AO6" s="20"/>
      <c r="AP6" s="20"/>
      <c r="AQ6" s="23">
        <f>AJ6</f>
        <v>2025</v>
      </c>
      <c r="AR6" s="20"/>
      <c r="AS6" s="20"/>
      <c r="AT6" s="20"/>
      <c r="AU6" s="20"/>
      <c r="AV6" s="20"/>
      <c r="AW6" s="20"/>
      <c r="AX6" s="23">
        <f>AQ6</f>
        <v>2025</v>
      </c>
      <c r="AY6" s="20"/>
      <c r="AZ6" s="20"/>
      <c r="BA6" s="20"/>
      <c r="BB6" s="20"/>
      <c r="BC6" s="20"/>
      <c r="BD6" s="20"/>
      <c r="BE6" s="23">
        <f>AX6</f>
        <v>2025</v>
      </c>
      <c r="BF6" s="20"/>
      <c r="BG6" s="20"/>
      <c r="BH6" s="20"/>
      <c r="BI6" s="20"/>
      <c r="BJ6" s="20"/>
      <c r="BK6" s="20"/>
      <c r="BL6" s="23">
        <f>BE6</f>
        <v>2025</v>
      </c>
      <c r="BM6" s="21"/>
      <c r="BN6" s="21"/>
      <c r="BO6" s="21"/>
      <c r="BP6" s="21"/>
      <c r="BQ6" s="21"/>
      <c r="BR6" s="21"/>
      <c r="BS6" s="23">
        <f>BL6+1</f>
        <v>2026</v>
      </c>
      <c r="BT6" s="20"/>
      <c r="BU6" s="20"/>
      <c r="BV6" s="20"/>
      <c r="BW6" s="20"/>
      <c r="BX6" s="20"/>
      <c r="BY6" s="20"/>
      <c r="BZ6" s="23">
        <f>BS6</f>
        <v>2026</v>
      </c>
      <c r="CA6" s="20"/>
      <c r="CB6" s="20"/>
      <c r="CC6" s="20"/>
      <c r="CD6" s="20"/>
      <c r="CE6" s="20"/>
      <c r="CF6" s="20"/>
      <c r="CG6" s="23">
        <f>BZ6</f>
        <v>2026</v>
      </c>
      <c r="CH6" s="20"/>
      <c r="CI6" s="20"/>
      <c r="CJ6" s="20"/>
      <c r="CK6" s="20"/>
      <c r="CL6" s="20"/>
      <c r="CM6" s="20"/>
      <c r="CN6" s="23">
        <f>CG6</f>
        <v>2026</v>
      </c>
      <c r="CO6" s="20"/>
      <c r="CP6" s="20"/>
      <c r="CQ6" s="20"/>
      <c r="CR6" s="20"/>
      <c r="CS6" s="20"/>
      <c r="CT6" s="20"/>
      <c r="CU6" s="23">
        <f>CN6</f>
        <v>2026</v>
      </c>
      <c r="DB6" s="23">
        <f>CU6+1</f>
        <v>2027</v>
      </c>
      <c r="DC6" s="20"/>
      <c r="DD6" s="20"/>
      <c r="DE6" s="20"/>
      <c r="DF6" s="20"/>
      <c r="DG6" s="20"/>
      <c r="DH6" s="20"/>
      <c r="DI6" s="23">
        <f>DB6</f>
        <v>2027</v>
      </c>
      <c r="DJ6" s="20"/>
      <c r="DK6" s="20"/>
      <c r="DL6" s="20"/>
      <c r="DM6" s="20"/>
      <c r="DN6" s="20"/>
      <c r="DO6" s="20"/>
      <c r="DP6" s="23">
        <f>DI6</f>
        <v>2027</v>
      </c>
      <c r="DQ6" s="20"/>
      <c r="DR6" s="20"/>
      <c r="DS6" s="20"/>
      <c r="DT6" s="20"/>
      <c r="DU6" s="20"/>
      <c r="DV6" s="20"/>
      <c r="DW6" s="23">
        <f>DP6</f>
        <v>2027</v>
      </c>
      <c r="DX6" s="20"/>
      <c r="DY6" s="20"/>
      <c r="DZ6" s="20"/>
      <c r="EA6" s="20"/>
      <c r="EB6" s="20"/>
      <c r="EC6" s="20"/>
      <c r="ED6" s="20"/>
      <c r="EE6" s="23">
        <f>DW6</f>
        <v>2027</v>
      </c>
    </row>
    <row r="7" spans="2:142" ht="10.199999999999999">
      <c r="D7" s="16" t="s">
        <v>348</v>
      </c>
      <c r="E7" s="22">
        <v>1</v>
      </c>
      <c r="G7" s="23"/>
      <c r="H7" s="20"/>
      <c r="I7" s="20"/>
      <c r="J7" s="20"/>
      <c r="K7" s="23">
        <f>E7+1</f>
        <v>2</v>
      </c>
      <c r="L7" s="20"/>
      <c r="M7" s="20"/>
      <c r="N7" s="20"/>
      <c r="O7" s="20"/>
      <c r="P7" s="20"/>
      <c r="Q7" s="23">
        <f>K7+1</f>
        <v>3</v>
      </c>
      <c r="R7" s="20"/>
      <c r="S7" s="20"/>
      <c r="T7" s="20"/>
      <c r="U7" s="20"/>
      <c r="V7" s="20"/>
      <c r="W7" s="23">
        <f>Q7+1</f>
        <v>4</v>
      </c>
      <c r="X7" s="20"/>
      <c r="Y7" s="20"/>
      <c r="Z7" s="20"/>
      <c r="AA7" s="20"/>
      <c r="AB7" s="20"/>
      <c r="AC7" s="23"/>
      <c r="AD7" s="20"/>
      <c r="AE7" s="20"/>
      <c r="AF7" s="20"/>
      <c r="AG7" s="20"/>
      <c r="AH7" s="20"/>
      <c r="AI7" s="20"/>
      <c r="AJ7" s="23">
        <f>E7</f>
        <v>1</v>
      </c>
      <c r="AK7" s="20"/>
      <c r="AL7" s="20"/>
      <c r="AM7" s="20"/>
      <c r="AN7" s="20"/>
      <c r="AO7" s="20"/>
      <c r="AP7" s="20"/>
      <c r="AQ7" s="23">
        <f>K7</f>
        <v>2</v>
      </c>
      <c r="AR7" s="20"/>
      <c r="AS7" s="20"/>
      <c r="AT7" s="20"/>
      <c r="AU7" s="20"/>
      <c r="AV7" s="20"/>
      <c r="AW7" s="20"/>
      <c r="AX7" s="23">
        <f>Q7</f>
        <v>3</v>
      </c>
      <c r="AY7" s="20"/>
      <c r="AZ7" s="20"/>
      <c r="BA7" s="20"/>
      <c r="BB7" s="20"/>
      <c r="BC7" s="20"/>
      <c r="BD7" s="20"/>
      <c r="BE7" s="23">
        <f>W7</f>
        <v>4</v>
      </c>
      <c r="BF7" s="20"/>
      <c r="BG7" s="20"/>
      <c r="BH7" s="20"/>
      <c r="BI7" s="20"/>
      <c r="BJ7" s="20"/>
      <c r="BK7" s="20"/>
      <c r="BL7" s="23"/>
      <c r="BM7" s="21"/>
      <c r="BN7" s="21"/>
      <c r="BO7" s="21"/>
      <c r="BP7" s="21"/>
      <c r="BQ7" s="21"/>
      <c r="BR7" s="21"/>
      <c r="BS7" s="23">
        <f>AJ7</f>
        <v>1</v>
      </c>
      <c r="BT7" s="20"/>
      <c r="BU7" s="20"/>
      <c r="BV7" s="20"/>
      <c r="BW7" s="20"/>
      <c r="BX7" s="20"/>
      <c r="BY7" s="20"/>
      <c r="BZ7" s="23">
        <f>AQ7</f>
        <v>2</v>
      </c>
      <c r="CA7" s="20"/>
      <c r="CB7" s="20"/>
      <c r="CC7" s="20"/>
      <c r="CD7" s="20"/>
      <c r="CE7" s="20"/>
      <c r="CF7" s="20"/>
      <c r="CG7" s="23">
        <f>AX7</f>
        <v>3</v>
      </c>
      <c r="CH7" s="20"/>
      <c r="CI7" s="20"/>
      <c r="CJ7" s="20"/>
      <c r="CK7" s="20"/>
      <c r="CL7" s="20"/>
      <c r="CM7" s="20"/>
      <c r="CN7" s="23">
        <f>BE7</f>
        <v>4</v>
      </c>
      <c r="CO7" s="20"/>
      <c r="CP7" s="20"/>
      <c r="CQ7" s="20"/>
      <c r="CR7" s="20"/>
      <c r="CS7" s="20"/>
      <c r="CT7" s="20"/>
      <c r="CU7" s="23"/>
      <c r="DB7" s="23">
        <f>BS7</f>
        <v>1</v>
      </c>
      <c r="DC7" s="20"/>
      <c r="DD7" s="20"/>
      <c r="DE7" s="20"/>
      <c r="DF7" s="20"/>
      <c r="DG7" s="20"/>
      <c r="DH7" s="20"/>
      <c r="DI7" s="23">
        <f>BZ7</f>
        <v>2</v>
      </c>
      <c r="DJ7" s="20"/>
      <c r="DK7" s="20"/>
      <c r="DL7" s="20"/>
      <c r="DM7" s="20"/>
      <c r="DN7" s="20"/>
      <c r="DO7" s="20"/>
      <c r="DP7" s="23">
        <f>CG7</f>
        <v>3</v>
      </c>
      <c r="DQ7" s="20"/>
      <c r="DR7" s="20"/>
      <c r="DS7" s="20"/>
      <c r="DT7" s="20"/>
      <c r="DU7" s="20"/>
      <c r="DV7" s="20"/>
      <c r="DW7" s="23">
        <f>CN7</f>
        <v>4</v>
      </c>
      <c r="DX7" s="20"/>
      <c r="DY7" s="20"/>
      <c r="DZ7" s="20"/>
      <c r="EA7" s="20"/>
      <c r="EB7" s="20"/>
      <c r="EC7" s="20"/>
      <c r="ED7" s="20"/>
      <c r="EE7" s="23"/>
    </row>
    <row r="8" spans="2:142" ht="18" customHeight="1">
      <c r="B8" s="16" t="s">
        <v>335</v>
      </c>
      <c r="D8" s="24" t="s">
        <v>135</v>
      </c>
      <c r="E8" s="25" t="str">
        <f>E7&amp;"Q"&amp;RIGHT(E6,2)&amp;E5</f>
        <v>1Q24A</v>
      </c>
      <c r="F8" s="26"/>
      <c r="G8" s="26"/>
      <c r="H8" s="26"/>
      <c r="I8" s="26"/>
      <c r="J8" s="26"/>
      <c r="K8" s="25" t="str">
        <f>K7&amp;"Q"&amp;RIGHT(K6,2)&amp;K5</f>
        <v>2Q24A</v>
      </c>
      <c r="L8" s="26"/>
      <c r="M8" s="26"/>
      <c r="N8" s="26"/>
      <c r="O8" s="26"/>
      <c r="P8" s="26"/>
      <c r="Q8" s="25" t="str">
        <f>Q7&amp;"Q"&amp;RIGHT(Q6,2)&amp;Q5</f>
        <v>3Q24E</v>
      </c>
      <c r="R8" s="26"/>
      <c r="S8" s="26"/>
      <c r="T8" s="26"/>
      <c r="U8" s="26"/>
      <c r="V8" s="26"/>
      <c r="W8" s="25" t="str">
        <f>W7&amp;"Q"&amp;RIGHT(W6,2)&amp;W5</f>
        <v>4Q24E</v>
      </c>
      <c r="X8" s="26"/>
      <c r="Y8" s="26"/>
      <c r="Z8" s="26"/>
      <c r="AA8" s="26"/>
      <c r="AB8" s="26"/>
      <c r="AC8" s="27" t="str">
        <f>AC6&amp;AC5</f>
        <v>2024E</v>
      </c>
      <c r="AD8" s="28"/>
      <c r="AE8" s="29"/>
      <c r="AF8" s="29"/>
      <c r="AG8" s="29"/>
      <c r="AH8" s="29"/>
      <c r="AI8" s="29"/>
      <c r="AJ8" s="25" t="str">
        <f>AJ7&amp;"Q"&amp;RIGHT(AJ6,2)&amp;AJ5</f>
        <v>1Q25E</v>
      </c>
      <c r="AK8" s="26"/>
      <c r="AL8" s="26"/>
      <c r="AM8" s="26"/>
      <c r="AN8" s="26"/>
      <c r="AO8" s="26"/>
      <c r="AP8" s="26"/>
      <c r="AQ8" s="25" t="str">
        <f>AQ7&amp;"Q"&amp;RIGHT(AQ6,2)&amp;AQ5</f>
        <v>2Q25E</v>
      </c>
      <c r="AR8" s="26"/>
      <c r="AS8" s="26"/>
      <c r="AT8" s="26"/>
      <c r="AU8" s="26"/>
      <c r="AV8" s="26"/>
      <c r="AW8" s="26"/>
      <c r="AX8" s="25" t="str">
        <f>AX7&amp;"Q"&amp;RIGHT(AX6,2)&amp;AX5</f>
        <v>3Q25E</v>
      </c>
      <c r="AY8" s="26"/>
      <c r="AZ8" s="26"/>
      <c r="BA8" s="26"/>
      <c r="BB8" s="26"/>
      <c r="BC8" s="26"/>
      <c r="BD8" s="26"/>
      <c r="BE8" s="25" t="str">
        <f>BE7&amp;"Q"&amp;RIGHT(BE6,2)&amp;BE5</f>
        <v>4Q25E</v>
      </c>
      <c r="BF8" s="26"/>
      <c r="BG8" s="26"/>
      <c r="BH8" s="26"/>
      <c r="BI8" s="26"/>
      <c r="BJ8" s="26"/>
      <c r="BK8" s="26"/>
      <c r="BL8" s="27" t="str">
        <f>BL6&amp;BL5</f>
        <v>2025E</v>
      </c>
      <c r="BM8" s="28"/>
      <c r="BN8" s="29"/>
      <c r="BO8" s="29"/>
      <c r="BP8" s="29"/>
      <c r="BQ8" s="29"/>
      <c r="BR8" s="29"/>
      <c r="BS8" s="25" t="str">
        <f>BS7&amp;"Q"&amp;RIGHT(BS6,2)&amp;BS5</f>
        <v>1Q26E</v>
      </c>
      <c r="BT8" s="26"/>
      <c r="BU8" s="26"/>
      <c r="BV8" s="26"/>
      <c r="BW8" s="26"/>
      <c r="BX8" s="26"/>
      <c r="BY8" s="26"/>
      <c r="BZ8" s="25" t="str">
        <f>BZ7&amp;"Q"&amp;RIGHT(BZ6,2)&amp;BZ5</f>
        <v>2Q26E</v>
      </c>
      <c r="CA8" s="26"/>
      <c r="CB8" s="26"/>
      <c r="CC8" s="26"/>
      <c r="CD8" s="26"/>
      <c r="CE8" s="26"/>
      <c r="CF8" s="26"/>
      <c r="CG8" s="25" t="str">
        <f>CG7&amp;"Q"&amp;RIGHT(CG6,2)&amp;CG5</f>
        <v>3Q26E</v>
      </c>
      <c r="CH8" s="26"/>
      <c r="CI8" s="26"/>
      <c r="CJ8" s="26"/>
      <c r="CK8" s="26"/>
      <c r="CL8" s="26"/>
      <c r="CM8" s="26"/>
      <c r="CN8" s="25" t="str">
        <f>CN7&amp;"Q"&amp;RIGHT(CN6,2)&amp;CN5</f>
        <v>4Q26E</v>
      </c>
      <c r="CO8" s="26"/>
      <c r="CP8" s="26"/>
      <c r="CQ8" s="26"/>
      <c r="CR8" s="26"/>
      <c r="CS8" s="26"/>
      <c r="CT8" s="26"/>
      <c r="CU8" s="27" t="str">
        <f>CU6&amp;"E"</f>
        <v>2026E</v>
      </c>
      <c r="CV8" s="28"/>
      <c r="CW8" s="29"/>
      <c r="CX8" s="29"/>
      <c r="CY8" s="29"/>
      <c r="CZ8" s="29"/>
      <c r="DA8" s="29"/>
      <c r="DB8" s="25" t="str">
        <f>DB7&amp;"Q"&amp;RIGHT(DB6,2)&amp;DB5</f>
        <v>1Q27E</v>
      </c>
      <c r="DC8" s="26"/>
      <c r="DD8" s="26"/>
      <c r="DE8" s="26"/>
      <c r="DF8" s="26"/>
      <c r="DG8" s="26"/>
      <c r="DH8" s="26"/>
      <c r="DI8" s="25" t="str">
        <f>DI7&amp;"Q"&amp;RIGHT(DI6,2)&amp;"E"</f>
        <v>2Q27E</v>
      </c>
      <c r="DJ8" s="26"/>
      <c r="DK8" s="26"/>
      <c r="DL8" s="26"/>
      <c r="DM8" s="26"/>
      <c r="DN8" s="26"/>
      <c r="DO8" s="26"/>
      <c r="DP8" s="25" t="str">
        <f>DP7&amp;"Q"&amp;RIGHT(DP6,2)&amp;"E"</f>
        <v>3Q27E</v>
      </c>
      <c r="DQ8" s="26"/>
      <c r="DR8" s="26"/>
      <c r="DS8" s="26"/>
      <c r="DT8" s="26"/>
      <c r="DU8" s="26"/>
      <c r="DV8" s="26"/>
      <c r="DW8" s="25" t="str">
        <f>DW7&amp;"Q"&amp;RIGHT(DW6,2)&amp;"E"</f>
        <v>4Q27E</v>
      </c>
      <c r="DX8" s="26"/>
      <c r="DY8" s="26"/>
      <c r="DZ8" s="26"/>
      <c r="EA8" s="26"/>
      <c r="EB8" s="26"/>
      <c r="EC8" s="26"/>
      <c r="ED8" s="26"/>
      <c r="EE8" s="27" t="str">
        <f>EE6&amp;"E"</f>
        <v>2027E</v>
      </c>
      <c r="EF8" s="28"/>
      <c r="EG8" s="29"/>
      <c r="EH8" s="29"/>
      <c r="EI8" s="29"/>
      <c r="EJ8" s="29"/>
      <c r="EK8" s="29"/>
      <c r="EL8" s="30"/>
    </row>
    <row r="9" spans="2:142" ht="40.799999999999997">
      <c r="D9" s="31" t="s">
        <v>122</v>
      </c>
      <c r="E9" s="32" t="s">
        <v>73</v>
      </c>
      <c r="F9" s="33" t="s">
        <v>72</v>
      </c>
      <c r="G9" s="33" t="s">
        <v>351</v>
      </c>
      <c r="H9" s="34" t="s">
        <v>350</v>
      </c>
      <c r="I9" s="35" t="s">
        <v>74</v>
      </c>
      <c r="J9" s="33" t="s">
        <v>351</v>
      </c>
      <c r="K9" s="32" t="s">
        <v>73</v>
      </c>
      <c r="L9" s="33" t="s">
        <v>72</v>
      </c>
      <c r="M9" s="33" t="s">
        <v>351</v>
      </c>
      <c r="N9" s="34" t="s">
        <v>350</v>
      </c>
      <c r="O9" s="35" t="s">
        <v>74</v>
      </c>
      <c r="P9" s="33" t="s">
        <v>351</v>
      </c>
      <c r="Q9" s="32" t="s">
        <v>73</v>
      </c>
      <c r="R9" s="33" t="s">
        <v>72</v>
      </c>
      <c r="S9" s="33" t="s">
        <v>351</v>
      </c>
      <c r="T9" s="34" t="s">
        <v>350</v>
      </c>
      <c r="U9" s="35" t="s">
        <v>74</v>
      </c>
      <c r="V9" s="33" t="s">
        <v>351</v>
      </c>
      <c r="W9" s="32" t="s">
        <v>73</v>
      </c>
      <c r="X9" s="33" t="s">
        <v>72</v>
      </c>
      <c r="Y9" s="33" t="s">
        <v>351</v>
      </c>
      <c r="Z9" s="34" t="s">
        <v>350</v>
      </c>
      <c r="AA9" s="35" t="s">
        <v>74</v>
      </c>
      <c r="AB9" s="33" t="s">
        <v>351</v>
      </c>
      <c r="AC9" s="36" t="s">
        <v>73</v>
      </c>
      <c r="AD9" s="37" t="s">
        <v>72</v>
      </c>
      <c r="AE9" s="37" t="s">
        <v>351</v>
      </c>
      <c r="AF9" s="38" t="s">
        <v>350</v>
      </c>
      <c r="AG9" s="38" t="s">
        <v>354</v>
      </c>
      <c r="AH9" s="38" t="s">
        <v>353</v>
      </c>
      <c r="AI9" s="38" t="s">
        <v>352</v>
      </c>
      <c r="AJ9" s="32" t="s">
        <v>73</v>
      </c>
      <c r="AK9" s="33" t="s">
        <v>72</v>
      </c>
      <c r="AL9" s="33" t="s">
        <v>351</v>
      </c>
      <c r="AM9" s="34" t="s">
        <v>350</v>
      </c>
      <c r="AN9" s="34" t="s">
        <v>354</v>
      </c>
      <c r="AO9" s="34" t="s">
        <v>353</v>
      </c>
      <c r="AP9" s="39" t="s">
        <v>352</v>
      </c>
      <c r="AQ9" s="32" t="s">
        <v>73</v>
      </c>
      <c r="AR9" s="33" t="s">
        <v>72</v>
      </c>
      <c r="AS9" s="33" t="s">
        <v>351</v>
      </c>
      <c r="AT9" s="34" t="s">
        <v>350</v>
      </c>
      <c r="AU9" s="34" t="s">
        <v>354</v>
      </c>
      <c r="AV9" s="34" t="s">
        <v>353</v>
      </c>
      <c r="AW9" s="39" t="s">
        <v>352</v>
      </c>
      <c r="AX9" s="32" t="s">
        <v>73</v>
      </c>
      <c r="AY9" s="33" t="s">
        <v>72</v>
      </c>
      <c r="AZ9" s="33" t="s">
        <v>351</v>
      </c>
      <c r="BA9" s="34" t="s">
        <v>350</v>
      </c>
      <c r="BB9" s="34" t="s">
        <v>354</v>
      </c>
      <c r="BC9" s="34" t="s">
        <v>353</v>
      </c>
      <c r="BD9" s="39" t="s">
        <v>352</v>
      </c>
      <c r="BE9" s="32" t="s">
        <v>73</v>
      </c>
      <c r="BF9" s="33" t="s">
        <v>72</v>
      </c>
      <c r="BG9" s="33" t="s">
        <v>351</v>
      </c>
      <c r="BH9" s="34" t="s">
        <v>350</v>
      </c>
      <c r="BI9" s="34" t="s">
        <v>354</v>
      </c>
      <c r="BJ9" s="34" t="s">
        <v>353</v>
      </c>
      <c r="BK9" s="39" t="s">
        <v>352</v>
      </c>
      <c r="BL9" s="36" t="s">
        <v>73</v>
      </c>
      <c r="BM9" s="37" t="s">
        <v>72</v>
      </c>
      <c r="BN9" s="37" t="s">
        <v>351</v>
      </c>
      <c r="BO9" s="38" t="s">
        <v>350</v>
      </c>
      <c r="BP9" s="38" t="s">
        <v>354</v>
      </c>
      <c r="BQ9" s="38" t="s">
        <v>353</v>
      </c>
      <c r="BR9" s="38" t="s">
        <v>352</v>
      </c>
      <c r="BS9" s="32" t="s">
        <v>73</v>
      </c>
      <c r="BT9" s="33" t="s">
        <v>72</v>
      </c>
      <c r="BU9" s="33" t="s">
        <v>351</v>
      </c>
      <c r="BV9" s="680" t="s">
        <v>350</v>
      </c>
      <c r="BW9" s="680" t="s">
        <v>354</v>
      </c>
      <c r="BX9" s="680" t="s">
        <v>353</v>
      </c>
      <c r="BY9" s="681" t="s">
        <v>352</v>
      </c>
      <c r="BZ9" s="32" t="s">
        <v>73</v>
      </c>
      <c r="CA9" s="33" t="s">
        <v>72</v>
      </c>
      <c r="CB9" s="33" t="s">
        <v>351</v>
      </c>
      <c r="CC9" s="34" t="s">
        <v>350</v>
      </c>
      <c r="CD9" s="34" t="s">
        <v>354</v>
      </c>
      <c r="CE9" s="34" t="s">
        <v>353</v>
      </c>
      <c r="CF9" s="39" t="s">
        <v>352</v>
      </c>
      <c r="CG9" s="32" t="s">
        <v>73</v>
      </c>
      <c r="CH9" s="33" t="s">
        <v>72</v>
      </c>
      <c r="CI9" s="33" t="s">
        <v>351</v>
      </c>
      <c r="CJ9" s="34" t="s">
        <v>350</v>
      </c>
      <c r="CK9" s="34" t="s">
        <v>354</v>
      </c>
      <c r="CL9" s="34" t="s">
        <v>353</v>
      </c>
      <c r="CM9" s="39" t="s">
        <v>352</v>
      </c>
      <c r="CN9" s="32" t="s">
        <v>73</v>
      </c>
      <c r="CO9" s="33" t="s">
        <v>72</v>
      </c>
      <c r="CP9" s="33" t="s">
        <v>351</v>
      </c>
      <c r="CQ9" s="34" t="s">
        <v>350</v>
      </c>
      <c r="CR9" s="34" t="s">
        <v>354</v>
      </c>
      <c r="CS9" s="34" t="s">
        <v>353</v>
      </c>
      <c r="CT9" s="39" t="s">
        <v>352</v>
      </c>
      <c r="CU9" s="36" t="s">
        <v>73</v>
      </c>
      <c r="CV9" s="37" t="s">
        <v>72</v>
      </c>
      <c r="CW9" s="37" t="s">
        <v>351</v>
      </c>
      <c r="CX9" s="38" t="s">
        <v>350</v>
      </c>
      <c r="CY9" s="38" t="s">
        <v>354</v>
      </c>
      <c r="CZ9" s="38" t="s">
        <v>353</v>
      </c>
      <c r="DA9" s="38" t="s">
        <v>352</v>
      </c>
      <c r="DB9" s="32" t="s">
        <v>73</v>
      </c>
      <c r="DC9" s="33" t="s">
        <v>72</v>
      </c>
      <c r="DD9" s="33" t="s">
        <v>351</v>
      </c>
      <c r="DE9" s="34" t="s">
        <v>350</v>
      </c>
      <c r="DF9" s="34" t="s">
        <v>354</v>
      </c>
      <c r="DG9" s="34" t="s">
        <v>353</v>
      </c>
      <c r="DH9" s="39" t="s">
        <v>352</v>
      </c>
      <c r="DI9" s="32" t="s">
        <v>73</v>
      </c>
      <c r="DJ9" s="33" t="s">
        <v>72</v>
      </c>
      <c r="DK9" s="33" t="s">
        <v>351</v>
      </c>
      <c r="DL9" s="34" t="s">
        <v>350</v>
      </c>
      <c r="DM9" s="34" t="s">
        <v>354</v>
      </c>
      <c r="DN9" s="34" t="s">
        <v>353</v>
      </c>
      <c r="DO9" s="39" t="s">
        <v>352</v>
      </c>
      <c r="DP9" s="32" t="s">
        <v>73</v>
      </c>
      <c r="DQ9" s="33" t="s">
        <v>72</v>
      </c>
      <c r="DR9" s="33" t="s">
        <v>351</v>
      </c>
      <c r="DS9" s="34" t="s">
        <v>350</v>
      </c>
      <c r="DT9" s="34" t="s">
        <v>354</v>
      </c>
      <c r="DU9" s="34" t="s">
        <v>353</v>
      </c>
      <c r="DV9" s="39" t="s">
        <v>352</v>
      </c>
      <c r="DW9" s="32" t="s">
        <v>73</v>
      </c>
      <c r="DX9" s="33" t="s">
        <v>72</v>
      </c>
      <c r="DY9" s="33" t="s">
        <v>351</v>
      </c>
      <c r="DZ9" s="34" t="s">
        <v>350</v>
      </c>
      <c r="EA9" s="34" t="s">
        <v>354</v>
      </c>
      <c r="EB9" s="34" t="s">
        <v>353</v>
      </c>
      <c r="EC9" s="34" t="s">
        <v>355</v>
      </c>
      <c r="ED9" s="39" t="s">
        <v>352</v>
      </c>
      <c r="EE9" s="36" t="s">
        <v>73</v>
      </c>
      <c r="EF9" s="37" t="s">
        <v>72</v>
      </c>
      <c r="EG9" s="37" t="s">
        <v>351</v>
      </c>
      <c r="EH9" s="38" t="s">
        <v>350</v>
      </c>
      <c r="EI9" s="38" t="s">
        <v>354</v>
      </c>
      <c r="EJ9" s="38" t="s">
        <v>353</v>
      </c>
      <c r="EK9" s="40" t="s">
        <v>355</v>
      </c>
      <c r="EL9" s="41" t="s">
        <v>352</v>
      </c>
    </row>
    <row r="10" spans="2:142" ht="18" customHeight="1">
      <c r="B10" s="42" t="s">
        <v>337</v>
      </c>
      <c r="D10" s="43" t="s">
        <v>288</v>
      </c>
      <c r="E10" s="44">
        <v>43199.951999999997</v>
      </c>
      <c r="F10" s="45" t="e">
        <f ca="1">OFFSET('Revenue Build'!#REF!,MATCH($D10,'Revenue Build'!$C$6:$C$97,0)-1,MATCH(E$8,'Revenue Build'!$C$4:$ES$4,0)-1)</f>
        <v>#REF!</v>
      </c>
      <c r="G10" s="46" t="e">
        <f ca="1">F10/E10-1</f>
        <v>#REF!</v>
      </c>
      <c r="H10" s="47">
        <v>43200</v>
      </c>
      <c r="I10" s="48">
        <v>60855</v>
      </c>
      <c r="J10" s="46">
        <f>I10/H10-1</f>
        <v>0.40868055555555549</v>
      </c>
      <c r="K10" s="44">
        <v>46850.218999999997</v>
      </c>
      <c r="L10" s="45" t="e">
        <f ca="1">OFFSET('Revenue Build'!#REF!,MATCH($D10,'Revenue Build'!$C$6:$C$97,0)-1,MATCH(K$8,'Revenue Build'!$C$4:$ES$4,0)-1)</f>
        <v>#REF!</v>
      </c>
      <c r="M10" s="46" t="e">
        <f ca="1">L10/K10-1</f>
        <v>#REF!</v>
      </c>
      <c r="N10" s="47">
        <v>46891.667999999998</v>
      </c>
      <c r="O10" s="48">
        <v>67245</v>
      </c>
      <c r="P10" s="46">
        <f>O10/N10-1</f>
        <v>0.43405007473822432</v>
      </c>
      <c r="Q10" s="44">
        <v>46200</v>
      </c>
      <c r="R10" s="45" t="e">
        <f ca="1">OFFSET('Revenue Build'!#REF!,MATCH($D10,'Revenue Build'!$C$6:$C$97,0)-1,MATCH(Q$8,'Revenue Build'!$C$4:$ES$4,0)-1)</f>
        <v>#REF!</v>
      </c>
      <c r="S10" s="46" t="e">
        <f ca="1">R10/Q10-1</f>
        <v>#REF!</v>
      </c>
      <c r="T10" s="47">
        <v>46179.855000000003</v>
      </c>
      <c r="U10" s="48">
        <v>69715</v>
      </c>
      <c r="V10" s="46">
        <f>U10/T10-1</f>
        <v>0.50964094625242962</v>
      </c>
      <c r="W10" s="44">
        <v>61000</v>
      </c>
      <c r="X10" s="45" t="e">
        <f ca="1">OFFSET('Revenue Build'!#REF!,MATCH($D10,'Revenue Build'!$C$6:$C$97,0)-1,MATCH(W$8,'Revenue Build'!$C$4:$ES$4,0)-1)</f>
        <v>#REF!</v>
      </c>
      <c r="Y10" s="46" t="e">
        <f ca="1">X10/W10-1</f>
        <v>#REF!</v>
      </c>
      <c r="Z10" s="47">
        <v>60984.25</v>
      </c>
      <c r="AA10" s="48">
        <v>94445</v>
      </c>
      <c r="AB10" s="46">
        <f>AA10/Z10-1</f>
        <v>0.54867855224914619</v>
      </c>
      <c r="AC10" s="49">
        <v>197250.171</v>
      </c>
      <c r="AD10" s="45" t="e">
        <f ca="1">OFFSET('Revenue Build'!#REF!,MATCH($D10,'Revenue Build'!$C$6:$C$97,0)-1,MATCH(AC$8,'Revenue Build'!$C$4:$ES$4,0)-1)</f>
        <v>#REF!</v>
      </c>
      <c r="AE10" s="46" t="e">
        <f ca="1">AD10/AC10-1</f>
        <v>#REF!</v>
      </c>
      <c r="AF10" s="47">
        <v>197242.28</v>
      </c>
      <c r="AG10" s="46" t="e">
        <f ca="1">AD10/AF10-1</f>
        <v>#REF!</v>
      </c>
      <c r="AH10" s="48">
        <v>292259.28000000003</v>
      </c>
      <c r="AI10" s="46">
        <f>AH10/AF10-1</f>
        <v>0.48172734567862441</v>
      </c>
      <c r="AJ10" s="44">
        <v>49600</v>
      </c>
      <c r="AK10" s="45" t="e">
        <f ca="1">OFFSET('Revenue Build'!#REF!,MATCH($D10,'Revenue Build'!$C$6:$C$97,0)-1,MATCH(AJ$8,'Revenue Build'!$C$4:$ES$4,0)-1)</f>
        <v>#REF!</v>
      </c>
      <c r="AL10" s="46" t="e">
        <f ca="1">AK10/AJ10-1</f>
        <v>#REF!</v>
      </c>
      <c r="AM10" s="47">
        <v>49610.8</v>
      </c>
      <c r="AN10" s="50" t="e">
        <f ca="1">AK10/AM10-1</f>
        <v>#REF!</v>
      </c>
      <c r="AO10" s="48">
        <v>74775</v>
      </c>
      <c r="AP10" s="46">
        <f>AO10/AM10-1</f>
        <v>0.50723229619357069</v>
      </c>
      <c r="AQ10" s="44">
        <v>55000</v>
      </c>
      <c r="AR10" s="45" t="e">
        <f ca="1">OFFSET('Revenue Build'!#REF!,MATCH($D10,'Revenue Build'!$C$6:$C$97,0)-1,MATCH(AQ$8,'Revenue Build'!$C$4:$ES$4,0)-1)</f>
        <v>#REF!</v>
      </c>
      <c r="AS10" s="46" t="e">
        <f ca="1">AR10/AQ10-1</f>
        <v>#REF!</v>
      </c>
      <c r="AT10" s="47">
        <v>55012</v>
      </c>
      <c r="AU10" s="50" t="e">
        <f ca="1">AR10/AT10-1</f>
        <v>#REF!</v>
      </c>
      <c r="AV10" s="48">
        <v>87837</v>
      </c>
      <c r="AW10" s="46">
        <f>AV10/AT10-1</f>
        <v>0.59668799534646988</v>
      </c>
      <c r="AX10" s="44">
        <v>56200</v>
      </c>
      <c r="AY10" s="45" t="e">
        <f ca="1">OFFSET('Revenue Build'!#REF!,MATCH($D10,'Revenue Build'!$C$6:$C$97,0)-1,MATCH(AX$8,'Revenue Build'!$C$4:$ES$4,0)-1)</f>
        <v>#REF!</v>
      </c>
      <c r="AZ10" s="46" t="e">
        <f ca="1">AY10/AX10-1</f>
        <v>#REF!</v>
      </c>
      <c r="BA10" s="47">
        <v>56205</v>
      </c>
      <c r="BB10" s="50" t="e">
        <f ca="1">AY10/BA10-1</f>
        <v>#REF!</v>
      </c>
      <c r="BC10" s="48">
        <v>92010.7</v>
      </c>
      <c r="BD10" s="46">
        <f>BC10/BA10-1</f>
        <v>0.63705542211547006</v>
      </c>
      <c r="BE10" s="44">
        <v>76250</v>
      </c>
      <c r="BF10" s="45" t="e">
        <f ca="1">OFFSET('Revenue Build'!#REF!,MATCH($D10,'Revenue Build'!$C$6:$C$97,0)-1,MATCH(BE$8,'Revenue Build'!$C$4:$ES$4,0)-1)</f>
        <v>#REF!</v>
      </c>
      <c r="BG10" s="46" t="e">
        <f ca="1">BF10/BE10-1</f>
        <v>#REF!</v>
      </c>
      <c r="BH10" s="47">
        <v>71981.625</v>
      </c>
      <c r="BI10" s="50" t="e">
        <f ca="1">BF10/BH10-1</f>
        <v>#REF!</v>
      </c>
      <c r="BJ10" s="48">
        <v>123841</v>
      </c>
      <c r="BK10" s="46">
        <f>BJ10/BH10-1</f>
        <v>0.72045296282210902</v>
      </c>
      <c r="BL10" s="49">
        <v>237050</v>
      </c>
      <c r="BM10" s="45" t="e">
        <f ca="1">OFFSET('Revenue Build'!#REF!,MATCH($D10,'Revenue Build'!$C$6:$C$97,0)-1,MATCH(BL$8,'Revenue Build'!$C$4:$ES$4,0)-1)</f>
        <v>#REF!</v>
      </c>
      <c r="BN10" s="46" t="e">
        <f ca="1">BM10/BL10-1</f>
        <v>#REF!</v>
      </c>
      <c r="BO10" s="47">
        <v>232302.1</v>
      </c>
      <c r="BP10" s="46" t="e">
        <f ca="1">BM10/BO10-1</f>
        <v>#REF!</v>
      </c>
      <c r="BQ10" s="48">
        <v>378441</v>
      </c>
      <c r="BR10" s="46">
        <f>BQ10/BO10-1</f>
        <v>0.62908987908417524</v>
      </c>
      <c r="BS10" s="44">
        <v>59520</v>
      </c>
      <c r="BT10" s="45" t="e">
        <f ca="1">OFFSET('Revenue Build'!#REF!,MATCH($D10,'Revenue Build'!$C$6:$C$97,0)-1,MATCH(BS$8,'Revenue Build'!$C$4:$ES$4,0)-1)</f>
        <v>#REF!</v>
      </c>
      <c r="BU10" s="46" t="e">
        <f ca="1">BT10/BS10-1</f>
        <v>#REF!</v>
      </c>
      <c r="BV10" s="47">
        <v>58371.4</v>
      </c>
      <c r="BW10" s="50" t="e">
        <f ca="1">BT10/BV10-1</f>
        <v>#REF!</v>
      </c>
      <c r="BX10" s="48">
        <v>100743</v>
      </c>
      <c r="BY10" s="46">
        <f>BX10/BV10-1</f>
        <v>0.72589658634194132</v>
      </c>
      <c r="BZ10" s="44">
        <v>64900</v>
      </c>
      <c r="CA10" s="45" t="e">
        <f ca="1">OFFSET('Revenue Build'!#REF!,MATCH($D10,'Revenue Build'!$C$6:$C$97,0)-1,MATCH(BZ$8,'Revenue Build'!$C$4:$ES$4,0)-1)</f>
        <v>#REF!</v>
      </c>
      <c r="CB10" s="46" t="e">
        <f ca="1">CA10/BZ10-1</f>
        <v>#REF!</v>
      </c>
      <c r="CC10" s="47">
        <v>64165.25</v>
      </c>
      <c r="CD10" s="50" t="e">
        <f ca="1">CA10/CC10-1</f>
        <v>#REF!</v>
      </c>
      <c r="CE10" s="48">
        <v>115567</v>
      </c>
      <c r="CF10" s="46">
        <f>CE10/CC10-1</f>
        <v>0.80108392003459827</v>
      </c>
      <c r="CG10" s="44">
        <v>65754</v>
      </c>
      <c r="CH10" s="45" t="e">
        <f ca="1">OFFSET('Revenue Build'!#REF!,MATCH($D10,'Revenue Build'!$C$6:$C$97,0)-1,MATCH(CG$8,'Revenue Build'!$C$4:$ES$4,0)-1)</f>
        <v>#REF!</v>
      </c>
      <c r="CI10" s="46" t="e">
        <f ca="1">CH10/CG10-1</f>
        <v>#REF!</v>
      </c>
      <c r="CJ10" s="47">
        <v>65305.527000000002</v>
      </c>
      <c r="CK10" s="50" t="e">
        <f ca="1">CH10/CJ10-1</f>
        <v>#REF!</v>
      </c>
      <c r="CL10" s="48">
        <v>116926.80499999999</v>
      </c>
      <c r="CM10" s="46">
        <f>CL10/CJ10-1</f>
        <v>0.79045802662307563</v>
      </c>
      <c r="CN10" s="44">
        <v>87687.5</v>
      </c>
      <c r="CO10" s="45" t="e">
        <f ca="1">OFFSET('Revenue Build'!#REF!,MATCH($D10,'Revenue Build'!$C$6:$C$97,0)-1,MATCH(CN$8,'Revenue Build'!$C$4:$ES$4,0)-1)</f>
        <v>#REF!</v>
      </c>
      <c r="CP10" s="46" t="e">
        <f ca="1">CO10/CN10-1</f>
        <v>#REF!</v>
      </c>
      <c r="CQ10" s="47">
        <v>83370.850000000006</v>
      </c>
      <c r="CR10" s="50" t="e">
        <f ca="1">CO10/CQ10-1</f>
        <v>#REF!</v>
      </c>
      <c r="CS10" s="48">
        <v>156022.82999999999</v>
      </c>
      <c r="CT10" s="46">
        <f>CS10/CQ10-1</f>
        <v>0.87143144156500707</v>
      </c>
      <c r="CU10" s="49">
        <v>277861.5</v>
      </c>
      <c r="CV10" s="45" t="e">
        <f ca="1">OFFSET('Revenue Build'!#REF!,MATCH($D10,'Revenue Build'!$C$6:$C$97,0)-1,MATCH(CU$8,'Revenue Build'!$C$4:$ES$4,0)-1)</f>
        <v>#REF!</v>
      </c>
      <c r="CW10" s="46" t="e">
        <f ca="1">CV10/CU10-1</f>
        <v>#REF!</v>
      </c>
      <c r="CX10" s="47">
        <v>271622.09999999998</v>
      </c>
      <c r="CY10" s="46" t="e">
        <f ca="1">CV10/CX10-1</f>
        <v>#REF!</v>
      </c>
      <c r="CZ10" s="48">
        <v>487453.25</v>
      </c>
      <c r="DA10" s="46">
        <f>CZ10/CX10-1</f>
        <v>0.79460084433483158</v>
      </c>
      <c r="DB10" s="44">
        <v>68448</v>
      </c>
      <c r="DC10" s="45" t="e">
        <f ca="1">OFFSET('Revenue Build'!#REF!,MATCH($D10,'Revenue Build'!$C$6:$C$97,0)-1,MATCH(DB$8,'Revenue Build'!$C$4:$ES$4,0)-1)</f>
        <v>#REF!</v>
      </c>
      <c r="DD10" s="46" t="e">
        <f ca="1">DC10/DB10-1</f>
        <v>#REF!</v>
      </c>
      <c r="DE10" s="47">
        <v>66113.8</v>
      </c>
      <c r="DF10" s="50" t="e">
        <f ca="1">DC10/DE10-1</f>
        <v>#REF!</v>
      </c>
      <c r="DG10" s="48">
        <v>124690.234</v>
      </c>
      <c r="DH10" s="46">
        <f>DG10/DE10-1</f>
        <v>0.8859940587290398</v>
      </c>
      <c r="DI10" s="44">
        <v>74635</v>
      </c>
      <c r="DJ10" s="45" t="e">
        <f ca="1">OFFSET('Revenue Build'!#REF!,MATCH($D10,'Revenue Build'!$C$6:$C$97,0)-1,MATCH(DI$8,'Revenue Build'!$C$4:$ES$4,0)-1)</f>
        <v>#REF!</v>
      </c>
      <c r="DK10" s="46" t="e">
        <f ca="1">DJ10/DI10-1</f>
        <v>#REF!</v>
      </c>
      <c r="DL10" s="47">
        <v>72747.87</v>
      </c>
      <c r="DM10" s="50" t="e">
        <f ca="1">DJ10/DL10-1</f>
        <v>#REF!</v>
      </c>
      <c r="DN10" s="48">
        <v>139180.45000000001</v>
      </c>
      <c r="DO10" s="46">
        <f>DN10/DL10-1</f>
        <v>0.91318934836167731</v>
      </c>
      <c r="DP10" s="44">
        <v>75617.099999999991</v>
      </c>
      <c r="DQ10" s="45" t="e">
        <f ca="1">OFFSET('Revenue Build'!#REF!,MATCH($D10,'Revenue Build'!$C$6:$C$97,0)-1,MATCH(DP$8,'Revenue Build'!$C$4:$ES$4,0)-1)</f>
        <v>#REF!</v>
      </c>
      <c r="DR10" s="46" t="e">
        <f ca="1">DQ10/DP10-1</f>
        <v>#REF!</v>
      </c>
      <c r="DS10" s="47">
        <v>73684.759999999995</v>
      </c>
      <c r="DT10" s="50" t="e">
        <f ca="1">DQ10/DS10-1</f>
        <v>#REF!</v>
      </c>
      <c r="DU10" s="48">
        <v>142704.85999999999</v>
      </c>
      <c r="DV10" s="46">
        <f>DU10/DS10-1</f>
        <v>0.93669437207911099</v>
      </c>
      <c r="DW10" s="44">
        <v>100840.62499999999</v>
      </c>
      <c r="DX10" s="45" t="e">
        <f ca="1">OFFSET('Revenue Build'!#REF!,MATCH($D10,'Revenue Build'!$C$6:$C$97,0)-1,MATCH(DW$8,'Revenue Build'!$C$4:$ES$4,0)-1)</f>
        <v>#REF!</v>
      </c>
      <c r="DY10" s="46" t="e">
        <f ca="1">DX10/DW10-1</f>
        <v>#REF!</v>
      </c>
      <c r="DZ10" s="47">
        <v>94365.78</v>
      </c>
      <c r="EA10" s="50" t="e">
        <f ca="1">DX10/DZ10-1</f>
        <v>#REF!</v>
      </c>
      <c r="EB10" s="48">
        <v>188729.4</v>
      </c>
      <c r="EC10" s="46" t="e">
        <f ca="1">DX10/EB10-1</f>
        <v>#REF!</v>
      </c>
      <c r="ED10" s="46">
        <f>EB10/DZ10-1</f>
        <v>0.99997711034656844</v>
      </c>
      <c r="EE10" s="49">
        <v>319540.72499999998</v>
      </c>
      <c r="EF10" s="45" t="e">
        <f ca="1">OFFSET('Revenue Build'!#REF!,MATCH($D10,'Revenue Build'!$C$6:$C$97,0)-1,MATCH(EE$8,'Revenue Build'!$C$4:$ES$4,0)-1)</f>
        <v>#REF!</v>
      </c>
      <c r="EG10" s="46" t="e">
        <f ca="1">EF10/EE10-1</f>
        <v>#REF!</v>
      </c>
      <c r="EH10" s="47">
        <v>316070.7</v>
      </c>
      <c r="EI10" s="46" t="e">
        <f ca="1">EF10/EH10-1</f>
        <v>#REF!</v>
      </c>
      <c r="EJ10" s="48">
        <v>604181.80000000005</v>
      </c>
      <c r="EK10" s="46" t="e">
        <f ca="1">EF10/EJ10-1</f>
        <v>#REF!</v>
      </c>
      <c r="EL10" s="51">
        <f>EJ10/EH10-1</f>
        <v>0.91154004467987715</v>
      </c>
    </row>
    <row r="11" spans="2:142" ht="18" customHeight="1">
      <c r="B11" s="42" t="s">
        <v>338</v>
      </c>
      <c r="D11" s="52" t="s">
        <v>260</v>
      </c>
      <c r="E11" s="53">
        <v>105.2</v>
      </c>
      <c r="F11" s="54" t="e">
        <f ca="1">OFFSET('Revenue Build'!#REF!,MATCH($D11,'Revenue Build'!$C$6:$C$97,0)-1,MATCH(E$8,'Revenue Build'!$C$4:$ES$4,0)-1)</f>
        <v>#REF!</v>
      </c>
      <c r="G11" s="55" t="e">
        <f t="shared" ref="G11:G23" ca="1" si="0">F11/E11-1</f>
        <v>#REF!</v>
      </c>
      <c r="H11" s="56">
        <v>105.1</v>
      </c>
      <c r="I11" s="57">
        <v>151</v>
      </c>
      <c r="J11" s="58">
        <f t="shared" ref="J11:J23" si="1">I11/H11-1</f>
        <v>0.43672692673644153</v>
      </c>
      <c r="K11" s="53">
        <v>107.2</v>
      </c>
      <c r="L11" s="54" t="e">
        <f ca="1">OFFSET('Revenue Build'!#REF!,MATCH($D11,'Revenue Build'!$C$6:$C$97,0)-1,MATCH(K$8,'Revenue Build'!$C$4:$ES$4,0)-1)</f>
        <v>#REF!</v>
      </c>
      <c r="M11" s="55" t="e">
        <f ca="1">L11/K11-1</f>
        <v>#REF!</v>
      </c>
      <c r="N11" s="56">
        <v>107.16</v>
      </c>
      <c r="O11" s="57">
        <v>169</v>
      </c>
      <c r="P11" s="58">
        <f>O11/N11-1</f>
        <v>0.57708100037327359</v>
      </c>
      <c r="Q11" s="53">
        <v>107</v>
      </c>
      <c r="R11" s="54" t="e">
        <f ca="1">OFFSET('Revenue Build'!#REF!,MATCH($D11,'Revenue Build'!$C$6:$C$97,0)-1,MATCH(Q$8,'Revenue Build'!$C$4:$ES$4,0)-1)</f>
        <v>#REF!</v>
      </c>
      <c r="S11" s="55" t="e">
        <f ca="1">R11/Q11-1</f>
        <v>#REF!</v>
      </c>
      <c r="T11" s="56">
        <v>107</v>
      </c>
      <c r="U11" s="57">
        <v>175</v>
      </c>
      <c r="V11" s="58">
        <f>U11/T11-1</f>
        <v>0.63551401869158886</v>
      </c>
      <c r="W11" s="53">
        <v>109.5</v>
      </c>
      <c r="X11" s="54" t="e">
        <f ca="1">OFFSET('Revenue Build'!#REF!,MATCH($D11,'Revenue Build'!$C$6:$C$97,0)-1,MATCH(W$8,'Revenue Build'!$C$4:$ES$4,0)-1)</f>
        <v>#REF!</v>
      </c>
      <c r="Y11" s="55" t="e">
        <f ca="1">X11/W11-1</f>
        <v>#REF!</v>
      </c>
      <c r="Z11" s="56">
        <v>109.59345</v>
      </c>
      <c r="AA11" s="57">
        <v>178</v>
      </c>
      <c r="AB11" s="58">
        <f>AA11/Z11-1</f>
        <v>0.62418465702101722</v>
      </c>
      <c r="AC11" s="49">
        <v>109.5</v>
      </c>
      <c r="AD11" s="54" t="e">
        <f ca="1">OFFSET('Revenue Build'!#REF!,MATCH($D11,'Revenue Build'!$C$6:$C$97,0)-1,MATCH(AC$8,'Revenue Build'!$C$4:$ES$4,0)-1)</f>
        <v>#REF!</v>
      </c>
      <c r="AE11" s="55" t="e">
        <f ca="1">AD11/AC11-1</f>
        <v>#REF!</v>
      </c>
      <c r="AF11" s="56">
        <v>109.5</v>
      </c>
      <c r="AG11" s="55" t="e">
        <f ca="1">AD11/AF11-1</f>
        <v>#REF!</v>
      </c>
      <c r="AH11" s="57">
        <v>178</v>
      </c>
      <c r="AI11" s="55">
        <f>AH11/AF11-1</f>
        <v>0.62557077625570767</v>
      </c>
      <c r="AJ11" s="53">
        <v>116</v>
      </c>
      <c r="AK11" s="54" t="e">
        <f ca="1">OFFSET('Revenue Build'!#REF!,MATCH($D11,'Revenue Build'!$C$6:$C$97,0)-1,MATCH(AJ$8,'Revenue Build'!$C$4:$ES$4,0)-1)</f>
        <v>#REF!</v>
      </c>
      <c r="AL11" s="55" t="e">
        <f ca="1">AK11/AJ11-1</f>
        <v>#REF!</v>
      </c>
      <c r="AM11" s="56">
        <v>116</v>
      </c>
      <c r="AN11" s="55" t="e">
        <f ca="1">AK11/AM11-1</f>
        <v>#REF!</v>
      </c>
      <c r="AO11" s="57">
        <v>182</v>
      </c>
      <c r="AP11" s="58">
        <f>AO11/AM11-1</f>
        <v>0.56896551724137923</v>
      </c>
      <c r="AQ11" s="53">
        <v>139</v>
      </c>
      <c r="AR11" s="54" t="e">
        <f ca="1">OFFSET('Revenue Build'!#REF!,MATCH($D11,'Revenue Build'!$C$6:$C$97,0)-1,MATCH(AQ$8,'Revenue Build'!$C$4:$ES$4,0)-1)</f>
        <v>#REF!</v>
      </c>
      <c r="AS11" s="55" t="e">
        <f ca="1">AR11/AQ11-1</f>
        <v>#REF!</v>
      </c>
      <c r="AT11" s="56">
        <v>139</v>
      </c>
      <c r="AU11" s="55" t="e">
        <f ca="1">AR11/AT11-1</f>
        <v>#REF!</v>
      </c>
      <c r="AV11" s="57">
        <v>185</v>
      </c>
      <c r="AW11" s="58">
        <f>AV11/AT11-1</f>
        <v>0.33093525179856109</v>
      </c>
      <c r="AX11" s="53">
        <v>141</v>
      </c>
      <c r="AY11" s="54" t="e">
        <f ca="1">OFFSET('Revenue Build'!#REF!,MATCH($D11,'Revenue Build'!$C$6:$C$97,0)-1,MATCH(AX$8,'Revenue Build'!$C$4:$ES$4,0)-1)</f>
        <v>#REF!</v>
      </c>
      <c r="AZ11" s="55" t="e">
        <f ca="1">AY11/AX11-1</f>
        <v>#REF!</v>
      </c>
      <c r="BA11" s="56">
        <v>141</v>
      </c>
      <c r="BB11" s="55" t="e">
        <f ca="1">AY11/BA11-1</f>
        <v>#REF!</v>
      </c>
      <c r="BC11" s="57">
        <v>193</v>
      </c>
      <c r="BD11" s="58">
        <f>BC11/BA11-1</f>
        <v>0.36879432624113484</v>
      </c>
      <c r="BE11" s="53">
        <v>145.04101382812496</v>
      </c>
      <c r="BF11" s="54" t="e">
        <f ca="1">OFFSET('Revenue Build'!#REF!,MATCH($D11,'Revenue Build'!$C$6:$C$97,0)-1,MATCH(BE$8,'Revenue Build'!$C$4:$ES$4,0)-1)</f>
        <v>#REF!</v>
      </c>
      <c r="BG11" s="55" t="e">
        <f ca="1">BF11/BE11-1</f>
        <v>#REF!</v>
      </c>
      <c r="BH11" s="56">
        <v>144.35843</v>
      </c>
      <c r="BI11" s="55" t="e">
        <f ca="1">BF11/BH11-1</f>
        <v>#REF!</v>
      </c>
      <c r="BJ11" s="57">
        <v>205</v>
      </c>
      <c r="BK11" s="58">
        <f>BJ11/BH11-1</f>
        <v>0.42007640288135573</v>
      </c>
      <c r="BL11" s="49">
        <v>145.04101382812496</v>
      </c>
      <c r="BM11" s="54" t="e">
        <f ca="1">OFFSET('Revenue Build'!#REF!,MATCH($D11,'Revenue Build'!$C$6:$C$97,0)-1,MATCH(BL$8,'Revenue Build'!$C$4:$ES$4,0)-1)</f>
        <v>#REF!</v>
      </c>
      <c r="BN11" s="55" t="e">
        <f ca="1">BM11/BL11-1</f>
        <v>#REF!</v>
      </c>
      <c r="BO11" s="56">
        <v>143.95081999999999</v>
      </c>
      <c r="BP11" s="55" t="e">
        <f ca="1">BM11/BO11-1</f>
        <v>#REF!</v>
      </c>
      <c r="BQ11" s="57">
        <v>205</v>
      </c>
      <c r="BR11" s="55">
        <f>BQ11/BO11-1</f>
        <v>0.42409747995878044</v>
      </c>
      <c r="BS11" s="53">
        <v>147.24863960937495</v>
      </c>
      <c r="BT11" s="54" t="e">
        <f ca="1">OFFSET('Revenue Build'!#REF!,MATCH($D11,'Revenue Build'!$C$6:$C$97,0)-1,MATCH(BS$8,'Revenue Build'!$C$4:$ES$4,0)-1)</f>
        <v>#REF!</v>
      </c>
      <c r="BU11" s="55" t="e">
        <f ca="1">BT11/BS11-1</f>
        <v>#REF!</v>
      </c>
      <c r="BV11" s="56">
        <v>147.95372</v>
      </c>
      <c r="BW11" s="55" t="e">
        <f ca="1">BT11/BV11-1</f>
        <v>#REF!</v>
      </c>
      <c r="BX11" s="57">
        <v>212.69229999999999</v>
      </c>
      <c r="BY11" s="58">
        <f>BX11/BV11-1</f>
        <v>0.43755966392734158</v>
      </c>
      <c r="BZ11" s="53">
        <v>153.42999179687496</v>
      </c>
      <c r="CA11" s="54" t="e">
        <f ca="1">OFFSET('Revenue Build'!#REF!,MATCH($D11,'Revenue Build'!$C$6:$C$97,0)-1,MATCH(BZ$8,'Revenue Build'!$C$4:$ES$4,0)-1)</f>
        <v>#REF!</v>
      </c>
      <c r="CB11" s="55" t="e">
        <f ca="1">CA11/BZ11-1</f>
        <v>#REF!</v>
      </c>
      <c r="CC11" s="56">
        <v>152.09549999999999</v>
      </c>
      <c r="CD11" s="55" t="e">
        <f ca="1">CA11/CC11-1</f>
        <v>#REF!</v>
      </c>
      <c r="CE11" s="57">
        <v>221.93333000000001</v>
      </c>
      <c r="CF11" s="58">
        <f>CE11/CC11-1</f>
        <v>0.45917091564181733</v>
      </c>
      <c r="CG11" s="53">
        <v>155.63761757812497</v>
      </c>
      <c r="CH11" s="54" t="e">
        <f ca="1">OFFSET('Revenue Build'!#REF!,MATCH($D11,'Revenue Build'!$C$6:$C$97,0)-1,MATCH(CG$8,'Revenue Build'!$C$4:$ES$4,0)-1)</f>
        <v>#REF!</v>
      </c>
      <c r="CI11" s="55" t="e">
        <f ca="1">CH11/CG11-1</f>
        <v>#REF!</v>
      </c>
      <c r="CJ11" s="56">
        <v>154.26560000000001</v>
      </c>
      <c r="CK11" s="55" t="e">
        <f ca="1">CH11/CJ11-1</f>
        <v>#REF!</v>
      </c>
      <c r="CL11" s="57">
        <v>226.92349999999999</v>
      </c>
      <c r="CM11" s="58">
        <f>CL11/CJ11-1</f>
        <v>0.47099223676568203</v>
      </c>
      <c r="CN11" s="53">
        <v>160.09814073280316</v>
      </c>
      <c r="CO11" s="54" t="e">
        <f ca="1">OFFSET('Revenue Build'!#REF!,MATCH($D11,'Revenue Build'!$C$6:$C$97,0)-1,MATCH(CN$8,'Revenue Build'!$C$4:$ES$4,0)-1)</f>
        <v>#REF!</v>
      </c>
      <c r="CP11" s="55" t="e">
        <f ca="1">CO11/CN11-1</f>
        <v>#REF!</v>
      </c>
      <c r="CQ11" s="56">
        <v>157.70519999999999</v>
      </c>
      <c r="CR11" s="55" t="e">
        <f ca="1">CO11/CQ11-1</f>
        <v>#REF!</v>
      </c>
      <c r="CS11" s="57">
        <v>235.9</v>
      </c>
      <c r="CT11" s="58">
        <f>CS11/CQ11-1</f>
        <v>0.49582892637655585</v>
      </c>
      <c r="CU11" s="49">
        <v>160.09814073280316</v>
      </c>
      <c r="CV11" s="54" t="e">
        <f ca="1">OFFSET('Revenue Build'!#REF!,MATCH($D11,'Revenue Build'!$C$6:$C$97,0)-1,MATCH(CU$8,'Revenue Build'!$C$4:$ES$4,0)-1)</f>
        <v>#REF!</v>
      </c>
      <c r="CW11" s="55" t="e">
        <f ca="1">CV11/CU11-1</f>
        <v>#REF!</v>
      </c>
      <c r="CX11" s="56">
        <v>160.26053999999999</v>
      </c>
      <c r="CY11" s="55" t="e">
        <f ca="1">CV11/CX11-1</f>
        <v>#REF!</v>
      </c>
      <c r="CZ11" s="57">
        <v>236.55385000000001</v>
      </c>
      <c r="DA11" s="55">
        <f>CZ11/CX11-1</f>
        <v>0.4760579865761092</v>
      </c>
      <c r="DB11" s="53">
        <v>162.53494652782297</v>
      </c>
      <c r="DC11" s="54" t="e">
        <f ca="1">OFFSET('Revenue Build'!#REF!,MATCH($D11,'Revenue Build'!$C$6:$C$97,0)-1,MATCH(DB$8,'Revenue Build'!$C$4:$ES$4,0)-1)</f>
        <v>#REF!</v>
      </c>
      <c r="DD11" s="55" t="e">
        <f ca="1">DC11/DB11-1</f>
        <v>#REF!</v>
      </c>
      <c r="DE11" s="56">
        <v>165.29</v>
      </c>
      <c r="DF11" s="55" t="e">
        <f ca="1">DC11/DE11-1</f>
        <v>#REF!</v>
      </c>
      <c r="DG11" s="57">
        <v>241.4</v>
      </c>
      <c r="DH11" s="58">
        <f>DG11/DE11-1</f>
        <v>0.46046342791457451</v>
      </c>
      <c r="DI11" s="53">
        <v>169.35800275387854</v>
      </c>
      <c r="DJ11" s="54" t="e">
        <f ca="1">OFFSET('Revenue Build'!#REF!,MATCH($D11,'Revenue Build'!$C$6:$C$97,0)-1,MATCH(DI$8,'Revenue Build'!$C$4:$ES$4,0)-1)</f>
        <v>#REF!</v>
      </c>
      <c r="DK11" s="55" t="e">
        <f ca="1">DJ11/DI11-1</f>
        <v>#REF!</v>
      </c>
      <c r="DL11" s="56">
        <v>168.05199999999999</v>
      </c>
      <c r="DM11" s="55" t="e">
        <f ca="1">DJ11/DL11-1</f>
        <v>#REF!</v>
      </c>
      <c r="DN11" s="57">
        <v>247.36667</v>
      </c>
      <c r="DO11" s="58">
        <f>DN11/DL11-1</f>
        <v>0.47196504653321592</v>
      </c>
      <c r="DP11" s="53">
        <v>171.79480854889837</v>
      </c>
      <c r="DQ11" s="54" t="e">
        <f ca="1">OFFSET('Revenue Build'!#REF!,MATCH($D11,'Revenue Build'!$C$6:$C$97,0)-1,MATCH(DP$8,'Revenue Build'!$C$4:$ES$4,0)-1)</f>
        <v>#REF!</v>
      </c>
      <c r="DR11" s="55" t="e">
        <f ca="1">DQ11/DP11-1</f>
        <v>#REF!</v>
      </c>
      <c r="DS11" s="56">
        <v>170.74100000000001</v>
      </c>
      <c r="DT11" s="55" t="e">
        <f ca="1">DQ11/DS11-1</f>
        <v>#REF!</v>
      </c>
      <c r="DU11" s="57">
        <v>255.2</v>
      </c>
      <c r="DV11" s="58">
        <f>DU11/DS11-1</f>
        <v>0.49466150485237859</v>
      </c>
      <c r="DW11" s="53">
        <v>176.71839150596347</v>
      </c>
      <c r="DX11" s="54" t="e">
        <f ca="1">OFFSET('Revenue Build'!#REF!,MATCH($D11,'Revenue Build'!$C$6:$C$97,0)-1,MATCH(DW$8,'Revenue Build'!$C$4:$ES$4,0)-1)</f>
        <v>#REF!</v>
      </c>
      <c r="DY11" s="55" t="e">
        <f ca="1">DX11/DW11-1</f>
        <v>#REF!</v>
      </c>
      <c r="DZ11" s="56">
        <v>175.809</v>
      </c>
      <c r="EA11" s="55" t="e">
        <f ca="1">DX11/DZ11-1</f>
        <v>#REF!</v>
      </c>
      <c r="EB11" s="57">
        <v>263.13333</v>
      </c>
      <c r="EC11" s="55" t="e">
        <f ca="1">DX11/EB11-1</f>
        <v>#REF!</v>
      </c>
      <c r="ED11" s="58">
        <f>EB11/DZ11-1</f>
        <v>0.49669999829360267</v>
      </c>
      <c r="EE11" s="49">
        <v>176.71839150596347</v>
      </c>
      <c r="EF11" s="54" t="e">
        <f ca="1">OFFSET('Revenue Build'!#REF!,MATCH($D11,'Revenue Build'!$C$6:$C$97,0)-1,MATCH(EE$8,'Revenue Build'!$C$4:$ES$4,0)-1)</f>
        <v>#REF!</v>
      </c>
      <c r="EG11" s="55" t="e">
        <f ca="1">EF11/EE11-1</f>
        <v>#REF!</v>
      </c>
      <c r="EH11" s="56">
        <v>178.44286</v>
      </c>
      <c r="EI11" s="55" t="e">
        <f ca="1">EF11/EH11-1</f>
        <v>#REF!</v>
      </c>
      <c r="EJ11" s="57">
        <v>275.13837000000001</v>
      </c>
      <c r="EK11" s="55" t="e">
        <f ca="1">EF11/EJ11-1</f>
        <v>#REF!</v>
      </c>
      <c r="EL11" s="58">
        <f>EJ11/EH11-1</f>
        <v>0.54188500453310384</v>
      </c>
    </row>
    <row r="12" spans="2:142" s="59" customFormat="1" ht="25.2" customHeight="1">
      <c r="B12" s="42" t="s">
        <v>339</v>
      </c>
      <c r="D12" s="60" t="s">
        <v>178</v>
      </c>
      <c r="E12" s="61">
        <v>1203.623</v>
      </c>
      <c r="F12" s="62" t="e">
        <f ca="1">OFFSET('Revenue Build'!#REF!,MATCH($D12,'Revenue Build'!$C$6:$C$97,0)-1,MATCH(E$8,'Revenue Build'!$C$4:$ET$4,0)-1)</f>
        <v>#REF!</v>
      </c>
      <c r="G12" s="46" t="e">
        <f t="shared" ca="1" si="0"/>
        <v>#REF!</v>
      </c>
      <c r="H12" s="63">
        <v>1203.623</v>
      </c>
      <c r="I12" s="64">
        <v>1861</v>
      </c>
      <c r="J12" s="46">
        <f t="shared" si="1"/>
        <v>0.54616520289160309</v>
      </c>
      <c r="K12" s="61">
        <v>1295.0630000000001</v>
      </c>
      <c r="L12" s="62" t="e">
        <f ca="1">OFFSET('Revenue Build'!#REF!,MATCH($D12,'Revenue Build'!$C$6:$C$97,0)-1,MATCH(K$8,'Revenue Build'!$C$4:$ET$4,0)-1)</f>
        <v>#REF!</v>
      </c>
      <c r="M12" s="46" t="e">
        <f ca="1">L12/K12-1</f>
        <v>#REF!</v>
      </c>
      <c r="N12" s="63">
        <v>1295.0630000000001</v>
      </c>
      <c r="O12" s="64">
        <v>2045</v>
      </c>
      <c r="P12" s="46">
        <f>O12/N12-1</f>
        <v>0.57907375934607019</v>
      </c>
      <c r="Q12" s="61">
        <v>1366.2</v>
      </c>
      <c r="R12" s="62" t="e">
        <f ca="1">OFFSET('Revenue Build'!#REF!,MATCH($D12,'Revenue Build'!$C$6:$C$97,0)-1,MATCH(Q$8,'Revenue Build'!$C$4:$ET$4,0)-1)</f>
        <v>#REF!</v>
      </c>
      <c r="S12" s="46" t="e">
        <f ca="1">R12/Q12-1</f>
        <v>#REF!</v>
      </c>
      <c r="T12" s="63">
        <v>1366.2</v>
      </c>
      <c r="U12" s="64">
        <v>2162</v>
      </c>
      <c r="V12" s="46">
        <f>U12/T12-1</f>
        <v>0.58249158249158239</v>
      </c>
      <c r="W12" s="61">
        <v>1734.9780000000001</v>
      </c>
      <c r="X12" s="62" t="e">
        <f ca="1">OFFSET('Revenue Build'!#REF!,MATCH($D12,'Revenue Build'!$C$6:$C$97,0)-1,MATCH(W$8,'Revenue Build'!$C$4:$ET$4,0)-1)</f>
        <v>#REF!</v>
      </c>
      <c r="Y12" s="46" t="e">
        <f ca="1">X12/W12-1</f>
        <v>#REF!</v>
      </c>
      <c r="Z12" s="63">
        <v>1734.9780000000001</v>
      </c>
      <c r="AA12" s="64">
        <v>2812</v>
      </c>
      <c r="AB12" s="46">
        <f>AA12/Z12-1</f>
        <v>0.62076983108719519</v>
      </c>
      <c r="AC12" s="65">
        <v>5599.8640000000005</v>
      </c>
      <c r="AD12" s="62" t="e">
        <f ca="1">OFFSET('Revenue Build'!#REF!,MATCH($D12,'Revenue Build'!$C$6:$C$97,0)-1,MATCH(AC$8,'Revenue Build'!$C$4:$ET$4,0)-1)</f>
        <v>#REF!</v>
      </c>
      <c r="AE12" s="46" t="e">
        <f ca="1">AD12/AC12-1</f>
        <v>#REF!</v>
      </c>
      <c r="AF12" s="63">
        <v>5599.8639999999996</v>
      </c>
      <c r="AG12" s="46" t="e">
        <f ca="1">AD12/AF12-1</f>
        <v>#REF!</v>
      </c>
      <c r="AH12" s="64">
        <v>8880</v>
      </c>
      <c r="AI12" s="46">
        <f>AH12/AF12-1</f>
        <v>0.58575279685363801</v>
      </c>
      <c r="AJ12" s="61">
        <v>1508</v>
      </c>
      <c r="AK12" s="62" t="e">
        <f ca="1">OFFSET('Revenue Build'!#REF!,MATCH($D12,'Revenue Build'!$C$6:$C$97,0)-1,MATCH(AJ$8,'Revenue Build'!$C$4:$ET$4,0)-1)</f>
        <v>#REF!</v>
      </c>
      <c r="AL12" s="46" t="e">
        <f ca="1">AK12/AJ12-1</f>
        <v>#REF!</v>
      </c>
      <c r="AM12" s="63">
        <v>1508</v>
      </c>
      <c r="AN12" s="46" t="e">
        <f ca="1">AK12/AM12-1</f>
        <v>#REF!</v>
      </c>
      <c r="AO12" s="64">
        <v>2360</v>
      </c>
      <c r="AP12" s="46">
        <f>AO12/AM12-1</f>
        <v>0.5649867374005304</v>
      </c>
      <c r="AQ12" s="61">
        <v>1694</v>
      </c>
      <c r="AR12" s="62" t="e">
        <f ca="1">OFFSET('Revenue Build'!#REF!,MATCH($D12,'Revenue Build'!$C$6:$C$97,0)-1,MATCH(AQ$8,'Revenue Build'!$C$4:$ET$4,0)-1)</f>
        <v>#REF!</v>
      </c>
      <c r="AS12" s="46" t="e">
        <f ca="1">AR12/AQ12-1</f>
        <v>#REF!</v>
      </c>
      <c r="AT12" s="63">
        <v>1694</v>
      </c>
      <c r="AU12" s="46" t="e">
        <f ca="1">AR12/AT12-1</f>
        <v>#REF!</v>
      </c>
      <c r="AV12" s="64">
        <v>2680</v>
      </c>
      <c r="AW12" s="46">
        <f>AV12/AT12-1</f>
        <v>0.5820543093270365</v>
      </c>
      <c r="AX12" s="61">
        <v>1714</v>
      </c>
      <c r="AY12" s="62" t="e">
        <f ca="1">OFFSET('Revenue Build'!#REF!,MATCH($D12,'Revenue Build'!$C$6:$C$97,0)-1,MATCH(AX$8,'Revenue Build'!$C$4:$ET$4,0)-1)</f>
        <v>#REF!</v>
      </c>
      <c r="AZ12" s="46" t="e">
        <f ca="1">AY12/AX12-1</f>
        <v>#REF!</v>
      </c>
      <c r="BA12" s="63">
        <v>1714</v>
      </c>
      <c r="BB12" s="46" t="e">
        <f ca="1">AY12/BA12-1</f>
        <v>#REF!</v>
      </c>
      <c r="BC12" s="64">
        <v>2844</v>
      </c>
      <c r="BD12" s="46">
        <f>BC12/BA12-1</f>
        <v>0.65927654609101527</v>
      </c>
      <c r="BE12" s="61">
        <v>2204.0673692729397</v>
      </c>
      <c r="BF12" s="62" t="e">
        <f ca="1">OFFSET('Revenue Build'!#REF!,MATCH($D12,'Revenue Build'!$C$6:$C$97,0)-1,MATCH(BE$8,'Revenue Build'!$C$4:$ET$4,0)-1)</f>
        <v>#REF!</v>
      </c>
      <c r="BG12" s="46" t="e">
        <f ca="1">BF12/BE12-1</f>
        <v>#REF!</v>
      </c>
      <c r="BH12" s="63">
        <v>2072.2579999999998</v>
      </c>
      <c r="BI12" s="46" t="e">
        <f ca="1">BF12/BH12-1</f>
        <v>#REF!</v>
      </c>
      <c r="BJ12" s="64">
        <v>3672</v>
      </c>
      <c r="BK12" s="46">
        <f>BJ12/BH12-1</f>
        <v>0.77198012988730191</v>
      </c>
      <c r="BL12" s="65">
        <v>7120.0673692729397</v>
      </c>
      <c r="BM12" s="62" t="e">
        <f ca="1">OFFSET('Revenue Build'!#REF!,MATCH($D12,'Revenue Build'!$C$6:$C$97,0)-1,MATCH(BL$8,'Revenue Build'!$C$4:$ET$4,0)-1)</f>
        <v>#REF!</v>
      </c>
      <c r="BN12" s="46" t="e">
        <f ca="1">BM12/BL12-1</f>
        <v>#REF!</v>
      </c>
      <c r="BO12" s="63">
        <v>6988.0663999999997</v>
      </c>
      <c r="BP12" s="46" t="e">
        <f ca="1">BM12/BO12-1</f>
        <v>#REF!</v>
      </c>
      <c r="BQ12" s="64">
        <v>11556</v>
      </c>
      <c r="BR12" s="46">
        <f>BQ12/BO12-1</f>
        <v>0.65367633026497862</v>
      </c>
      <c r="BS12" s="61">
        <v>1825.7044692209502</v>
      </c>
      <c r="BT12" s="62" t="e">
        <f ca="1">OFFSET('Revenue Build'!#REF!,MATCH($D12,'Revenue Build'!$C$6:$C$97,0)-1,MATCH(BS$8,'Revenue Build'!$C$4:$ET$4,0)-1)</f>
        <v>#REF!</v>
      </c>
      <c r="BU12" s="46" t="e">
        <f ca="1">BT12/BS12-1</f>
        <v>#REF!</v>
      </c>
      <c r="BV12" s="63">
        <v>1808.5343</v>
      </c>
      <c r="BW12" s="46" t="e">
        <f ca="1">BT12/BV12-1</f>
        <v>#REF!</v>
      </c>
      <c r="BX12" s="64">
        <v>3170</v>
      </c>
      <c r="BY12" s="46">
        <f>BX12/BV12-1</f>
        <v>0.75280059659360621</v>
      </c>
      <c r="BZ12" s="61">
        <v>2010.3857635365353</v>
      </c>
      <c r="CA12" s="62" t="e">
        <f ca="1">OFFSET('Revenue Build'!#REF!,MATCH($D12,'Revenue Build'!$C$6:$C$97,0)-1,MATCH(BZ$8,'Revenue Build'!$C$4:$ET$4,0)-1)</f>
        <v>#REF!</v>
      </c>
      <c r="CB12" s="46" t="e">
        <f ca="1">CA12/BZ12-1</f>
        <v>#REF!</v>
      </c>
      <c r="CC12" s="63">
        <v>1985.4606000000001</v>
      </c>
      <c r="CD12" s="46" t="e">
        <f ca="1">CA12/CC12-1</f>
        <v>#REF!</v>
      </c>
      <c r="CE12" s="64">
        <v>3583</v>
      </c>
      <c r="CF12" s="46">
        <f>CE12/CC12-1</f>
        <v>0.8046190390280219</v>
      </c>
      <c r="CG12" s="61">
        <v>2122.9236625295921</v>
      </c>
      <c r="CH12" s="62" t="e">
        <f ca="1">OFFSET('Revenue Build'!#REF!,MATCH($D12,'Revenue Build'!$C$6:$C$97,0)-1,MATCH(CG$8,'Revenue Build'!$C$4:$ET$4,0)-1)</f>
        <v>#REF!</v>
      </c>
      <c r="CI12" s="46" t="e">
        <f ca="1">CH12/CG12-1</f>
        <v>#REF!</v>
      </c>
      <c r="CJ12" s="63">
        <v>2037.9618</v>
      </c>
      <c r="CK12" s="46" t="e">
        <f ca="1">CH12/CJ12-1</f>
        <v>#REF!</v>
      </c>
      <c r="CL12" s="64">
        <v>3651.5129999999999</v>
      </c>
      <c r="CM12" s="46">
        <f>CL12/CJ12-1</f>
        <v>0.79174751950698963</v>
      </c>
      <c r="CN12" s="61">
        <v>2675.9486943621077</v>
      </c>
      <c r="CO12" s="62" t="e">
        <f ca="1">OFFSET('Revenue Build'!#REF!,MATCH($D12,'Revenue Build'!$C$6:$C$97,0)-1,MATCH(CN$8,'Revenue Build'!$C$4:$ET$4,0)-1)</f>
        <v>#REF!</v>
      </c>
      <c r="CP12" s="46" t="e">
        <f ca="1">CO12/CN12-1</f>
        <v>#REF!</v>
      </c>
      <c r="CQ12" s="63">
        <v>2484.3254000000002</v>
      </c>
      <c r="CR12" s="46" t="e">
        <f ca="1">CO12/CQ12-1</f>
        <v>#REF!</v>
      </c>
      <c r="CS12" s="64">
        <v>4656.4146000000001</v>
      </c>
      <c r="CT12" s="46">
        <f>CS12/CQ12-1</f>
        <v>0.87431751090255716</v>
      </c>
      <c r="CU12" s="65">
        <v>8634.9625896491852</v>
      </c>
      <c r="CV12" s="62" t="e">
        <f ca="1">OFFSET('Revenue Build'!#REF!,MATCH($D12,'Revenue Build'!$C$6:$C$97,0)-1,MATCH(CU$8,'Revenue Build'!$C$4:$ET$4,0)-1)</f>
        <v>#REF!</v>
      </c>
      <c r="CW12" s="46" t="e">
        <f ca="1">CV12/CU12-1</f>
        <v>#REF!</v>
      </c>
      <c r="CX12" s="63">
        <v>8335.9560000000001</v>
      </c>
      <c r="CY12" s="46" t="e">
        <f ca="1">CV12/CX12-1</f>
        <v>#REF!</v>
      </c>
      <c r="CZ12" s="64">
        <v>14977.527</v>
      </c>
      <c r="DA12" s="46">
        <f>CZ12/CX12-1</f>
        <v>0.7967377706888088</v>
      </c>
      <c r="DB12" s="61">
        <v>2206.4081788777248</v>
      </c>
      <c r="DC12" s="62" t="e">
        <f ca="1">OFFSET('Revenue Build'!#REF!,MATCH($D12,'Revenue Build'!$C$6:$C$97,0)-1,MATCH(DB$8,'Revenue Build'!$C$4:$ET$4,0)-1)</f>
        <v>#REF!</v>
      </c>
      <c r="DD12" s="46" t="e">
        <f ca="1">DC12/DB12-1</f>
        <v>#REF!</v>
      </c>
      <c r="DE12" s="63">
        <v>2160.8074000000001</v>
      </c>
      <c r="DF12" s="46" t="e">
        <f ca="1">DC12/DE12-1</f>
        <v>#REF!</v>
      </c>
      <c r="DG12" s="64">
        <v>3937.7521999999999</v>
      </c>
      <c r="DH12" s="46">
        <f>DG12/DE12-1</f>
        <v>0.82235223740903507</v>
      </c>
      <c r="DI12" s="61">
        <v>2428.661702442294</v>
      </c>
      <c r="DJ12" s="62" t="e">
        <f ca="1">OFFSET('Revenue Build'!#REF!,MATCH($D12,'Revenue Build'!$C$6:$C$97,0)-1,MATCH(DI$8,'Revenue Build'!$C$4:$ET$4,0)-1)</f>
        <v>#REF!</v>
      </c>
      <c r="DK12" s="46" t="e">
        <f ca="1">DJ12/DI12-1</f>
        <v>#REF!</v>
      </c>
      <c r="DL12" s="63">
        <v>2370.5679</v>
      </c>
      <c r="DM12" s="46" t="e">
        <f ca="1">DJ12/DL12-1</f>
        <v>#REF!</v>
      </c>
      <c r="DN12" s="64">
        <v>4343.4364999999998</v>
      </c>
      <c r="DO12" s="46">
        <f>DN12/DL12-1</f>
        <v>0.83223458817610751</v>
      </c>
      <c r="DP12" s="61">
        <v>2559.9559341200593</v>
      </c>
      <c r="DQ12" s="62" t="e">
        <f ca="1">OFFSET('Revenue Build'!#REF!,MATCH($D12,'Revenue Build'!$C$6:$C$97,0)-1,MATCH(DP$8,'Revenue Build'!$C$4:$ET$4,0)-1)</f>
        <v>#REF!</v>
      </c>
      <c r="DR12" s="46" t="e">
        <f ca="1">DQ12/DP12-1</f>
        <v>#REF!</v>
      </c>
      <c r="DS12" s="63">
        <v>2445.8618000000001</v>
      </c>
      <c r="DT12" s="46" t="e">
        <f ca="1">DQ12/DS12-1</f>
        <v>#REF!</v>
      </c>
      <c r="DU12" s="64">
        <v>4506.5663999999997</v>
      </c>
      <c r="DV12" s="46">
        <f>DU12/DS12-1</f>
        <v>0.84252699805033937</v>
      </c>
      <c r="DW12" s="61">
        <v>3233.7215618172336</v>
      </c>
      <c r="DX12" s="62" t="e">
        <f ca="1">OFFSET('Revenue Build'!#REF!,MATCH($D12,'Revenue Build'!$C$6:$C$97,0)-1,MATCH(DW$8,'Revenue Build'!$C$4:$ET$4,0)-1)</f>
        <v>#REF!</v>
      </c>
      <c r="DY12" s="46" t="e">
        <f ca="1">DX12/DW12-1</f>
        <v>#REF!</v>
      </c>
      <c r="DZ12" s="63">
        <v>2962.1433000000002</v>
      </c>
      <c r="EA12" s="46" t="e">
        <f ca="1">DX12/DZ12-1</f>
        <v>#REF!</v>
      </c>
      <c r="EB12" s="64">
        <v>5729.2650000000003</v>
      </c>
      <c r="EC12" s="46" t="e">
        <f ca="1">DX12/EB12-1</f>
        <v>#REF!</v>
      </c>
      <c r="ED12" s="46">
        <f>EB12/DZ12-1</f>
        <v>0.93416199682169321</v>
      </c>
      <c r="EE12" s="65">
        <v>10428.747377257312</v>
      </c>
      <c r="EF12" s="62" t="e">
        <f ca="1">OFFSET('Revenue Build'!#REF!,MATCH($D12,'Revenue Build'!$C$6:$C$97,0)-1,MATCH(EE$8,'Revenue Build'!$C$4:$ET$4,0)-1)</f>
        <v>#REF!</v>
      </c>
      <c r="EG12" s="46" t="e">
        <f ca="1">EF12/EE12-1</f>
        <v>#REF!</v>
      </c>
      <c r="EH12" s="63">
        <v>10015.603999999999</v>
      </c>
      <c r="EI12" s="46" t="e">
        <f ca="1">EF12/EH12-1</f>
        <v>#REF!</v>
      </c>
      <c r="EJ12" s="64">
        <v>18667.963</v>
      </c>
      <c r="EK12" s="46" t="e">
        <f ca="1">EF12/EJ12-1</f>
        <v>#REF!</v>
      </c>
      <c r="EL12" s="51">
        <f>EJ12/EH12-1</f>
        <v>0.86388788933747795</v>
      </c>
    </row>
    <row r="13" spans="2:142" s="59" customFormat="1" ht="24.75" customHeight="1">
      <c r="B13" s="42"/>
      <c r="D13" s="657" t="s">
        <v>129</v>
      </c>
      <c r="E13" s="658">
        <v>0.2174446491012465</v>
      </c>
      <c r="F13" s="659" t="e">
        <f ca="1">OFFSET('Revenue Build'!#REF!,MATCH($D12,'Revenue Build'!$C$6:$C$97,0)+1,MATCH(E$8,'Revenue Build'!$C$4:$ET$4,0)-1)</f>
        <v>#REF!</v>
      </c>
      <c r="G13" s="46" t="e">
        <f ca="1">F13-E13</f>
        <v>#REF!</v>
      </c>
      <c r="H13" s="660"/>
      <c r="I13" s="539"/>
      <c r="J13" s="46">
        <f>I13-H13</f>
        <v>0</v>
      </c>
      <c r="K13" s="658">
        <v>0.15687952512182401</v>
      </c>
      <c r="L13" s="659" t="e">
        <f ca="1">OFFSET('Revenue Build'!#REF!,MATCH($D12,'Revenue Build'!$C$6:$C$97,0)+1,MATCH(K$8,'Revenue Build'!$C$4:$ET$4,0)-1)</f>
        <v>#REF!</v>
      </c>
      <c r="M13" s="46" t="e">
        <f ca="1">L13-K13</f>
        <v>#REF!</v>
      </c>
      <c r="N13" s="660"/>
      <c r="O13" s="539"/>
      <c r="P13" s="46">
        <f>O13-N13</f>
        <v>0</v>
      </c>
      <c r="Q13" s="658">
        <v>0.2157616530514177</v>
      </c>
      <c r="R13" s="659" t="e">
        <f ca="1">OFFSET('Revenue Build'!#REF!,MATCH($D12,'Revenue Build'!$C$6:$C$97,0)+1,MATCH(Q$8,'Revenue Build'!$C$4:$ET$4,0)-1)</f>
        <v>#REF!</v>
      </c>
      <c r="S13" s="46" t="e">
        <f ca="1">R13-Q13</f>
        <v>#REF!</v>
      </c>
      <c r="T13" s="660"/>
      <c r="U13" s="539"/>
      <c r="V13" s="46">
        <f>U13-T13</f>
        <v>0</v>
      </c>
      <c r="W13" s="658">
        <v>0.25720857028573407</v>
      </c>
      <c r="X13" s="659" t="e">
        <f ca="1">OFFSET('Revenue Build'!#REF!,MATCH($D12,'Revenue Build'!$C$6:$C$97,0)+1,MATCH(W$8,'Revenue Build'!$C$4:$ET$4,0)-1)</f>
        <v>#REF!</v>
      </c>
      <c r="Y13" s="46" t="e">
        <f ca="1">X13-W13</f>
        <v>#REF!</v>
      </c>
      <c r="Z13" s="660"/>
      <c r="AA13" s="539"/>
      <c r="AB13" s="46">
        <f>AA13-Z13</f>
        <v>0</v>
      </c>
      <c r="AC13" s="661">
        <v>0.21423218764853047</v>
      </c>
      <c r="AD13" s="659" t="e">
        <f ca="1">OFFSET('Revenue Build'!#REF!,MATCH($D12,'Revenue Build'!$C$6:$C$97,0)+1,MATCH(AC$8,'Revenue Build'!$C$4:$ET$4,0)-1)</f>
        <v>#REF!</v>
      </c>
      <c r="AE13" s="46" t="e">
        <f ca="1">AD13-AC13</f>
        <v>#REF!</v>
      </c>
      <c r="AF13" s="660"/>
      <c r="AH13" s="539"/>
      <c r="AI13" s="46"/>
      <c r="AJ13" s="658">
        <v>0.25288400105348607</v>
      </c>
      <c r="AK13" s="659" t="e">
        <f ca="1">OFFSET('Revenue Build'!#REF!,MATCH($D12,'Revenue Build'!$C$6:$C$97,0)+1,MATCH(AJ$8,'Revenue Build'!$C$4:$ET$4,0)-1)</f>
        <v>#REF!</v>
      </c>
      <c r="AL13" s="46" t="e">
        <f ca="1">AK13-AJ13</f>
        <v>#REF!</v>
      </c>
      <c r="AM13" s="539" t="e">
        <f ca="1">AM12/F12-1</f>
        <v>#REF!</v>
      </c>
      <c r="AN13" s="46" t="e">
        <f ca="1">AK13-AM13</f>
        <v>#REF!</v>
      </c>
      <c r="AO13" s="539" t="e">
        <f ca="1">AO12/F12-1</f>
        <v>#REF!</v>
      </c>
      <c r="AP13" s="46" t="e">
        <f ca="1">AO13-AM13</f>
        <v>#REF!</v>
      </c>
      <c r="AQ13" s="658">
        <v>0.30804447351209929</v>
      </c>
      <c r="AR13" s="659" t="e">
        <f ca="1">OFFSET('Revenue Build'!#REF!,MATCH($D12,'Revenue Build'!$C$6:$C$97,0)+1,MATCH(AQ$8,'Revenue Build'!$C$4:$ET$4,0)-1)</f>
        <v>#REF!</v>
      </c>
      <c r="AS13" s="46" t="e">
        <f ca="1">AR13-AQ13</f>
        <v>#REF!</v>
      </c>
      <c r="AT13" s="539" t="e">
        <v>#DIV/0!</v>
      </c>
      <c r="AU13" s="46" t="e">
        <f ca="1">AR13-AT13</f>
        <v>#REF!</v>
      </c>
      <c r="AV13" s="539" t="e">
        <f ca="1">AV12/M12-1</f>
        <v>#REF!</v>
      </c>
      <c r="AW13" s="46" t="e">
        <f ca="1">AV13-AT13</f>
        <v>#REF!</v>
      </c>
      <c r="AX13" s="658">
        <v>0.25457473283560228</v>
      </c>
      <c r="AY13" s="659" t="e">
        <f ca="1">OFFSET('Revenue Build'!#REF!,MATCH($D12,'Revenue Build'!$C$6:$C$97,0)+1,MATCH(AX$8,'Revenue Build'!$C$4:$ET$4,0)-1)</f>
        <v>#REF!</v>
      </c>
      <c r="AZ13" s="46" t="e">
        <f ca="1">AY13-AX13</f>
        <v>#REF!</v>
      </c>
      <c r="BA13" s="539">
        <v>0.25457473283560228</v>
      </c>
      <c r="BB13" s="46" t="e">
        <f ca="1">AY13-BA13</f>
        <v>#REF!</v>
      </c>
      <c r="BC13" s="539">
        <f>BC12/T12-1</f>
        <v>1.0816864295125166</v>
      </c>
      <c r="BD13" s="46">
        <f>BC13-BA13</f>
        <v>0.82711169667691431</v>
      </c>
      <c r="BE13" s="658">
        <v>0.27037194089662209</v>
      </c>
      <c r="BF13" s="659" t="e">
        <f ca="1">OFFSET('Revenue Build'!#REF!,MATCH($D12,'Revenue Build'!$C$6:$C$97,0)+1,MATCH(BE$8,'Revenue Build'!$C$4:$ET$4,0)-1)</f>
        <v>#REF!</v>
      </c>
      <c r="BG13" s="46" t="e">
        <f ca="1">BF13-BE13</f>
        <v>#REF!</v>
      </c>
      <c r="BH13" s="539">
        <v>0.19440015954092771</v>
      </c>
      <c r="BI13" s="46" t="e">
        <f ca="1">BF13-BH13</f>
        <v>#REF!</v>
      </c>
      <c r="BJ13" s="539">
        <f>BJ12/AA12-1</f>
        <v>0.30583214793741109</v>
      </c>
      <c r="BK13" s="46">
        <f>BJ13-BH13</f>
        <v>0.11143198839648338</v>
      </c>
      <c r="BL13" s="661">
        <v>0.27147148024897372</v>
      </c>
      <c r="BM13" s="659" t="e">
        <f ca="1">OFFSET('Revenue Build'!#REF!,MATCH($D12,'Revenue Build'!$C$6:$C$97,0)+1,MATCH(BL$8,'Revenue Build'!$C$4:$ET$4,0)-1)</f>
        <v>#REF!</v>
      </c>
      <c r="BN13" s="46" t="e">
        <f ca="1">BM13-BL13</f>
        <v>#REF!</v>
      </c>
      <c r="BO13" s="659" t="e">
        <f ca="1">BO12/AD12-1</f>
        <v>#REF!</v>
      </c>
      <c r="BP13" s="46" t="e">
        <f ca="1">BO13-BM13</f>
        <v>#REF!</v>
      </c>
      <c r="BQ13" s="539" t="e">
        <f ca="1">BQ12/AD12-1</f>
        <v>#REF!</v>
      </c>
      <c r="BR13" s="46" t="e">
        <f ca="1">BQ13-BO13</f>
        <v>#REF!</v>
      </c>
      <c r="BS13" s="658">
        <v>0.21067935624731438</v>
      </c>
      <c r="BT13" s="659" t="e">
        <f ca="1">OFFSET('Revenue Build'!#REF!,MATCH($D12,'Revenue Build'!$C$6:$C$97,0)+1,MATCH(BS$8,'Revenue Build'!$C$4:$ET$4,0)-1)</f>
        <v>#REF!</v>
      </c>
      <c r="BU13" s="46" t="e">
        <f ca="1">BT13-BS13</f>
        <v>#REF!</v>
      </c>
      <c r="BV13" s="539">
        <v>0.19929330238726783</v>
      </c>
      <c r="BW13" s="46" t="e">
        <f ca="1">BT13-BV13</f>
        <v>#REF!</v>
      </c>
      <c r="BX13" s="539">
        <f>BX12/AO12-1</f>
        <v>0.34322033898305082</v>
      </c>
      <c r="BY13" s="46">
        <f>BX13-BV13</f>
        <v>0.14392703659578299</v>
      </c>
      <c r="BZ13" s="658">
        <v>0.1867684554525002</v>
      </c>
      <c r="CA13" s="659" t="e">
        <f ca="1">OFFSET('Revenue Build'!#REF!,MATCH($D12,'Revenue Build'!$C$6:$C$97,0)+1,MATCH(BZ$8,'Revenue Build'!$C$4:$ET$4,0)-1)</f>
        <v>#REF!</v>
      </c>
      <c r="CB13" s="46" t="e">
        <f ca="1">CA13-BZ13</f>
        <v>#REF!</v>
      </c>
      <c r="CC13" s="539">
        <v>0.17205466351830001</v>
      </c>
      <c r="CD13" s="46" t="e">
        <f ca="1">CA13-CC13</f>
        <v>#REF!</v>
      </c>
      <c r="CE13" s="539">
        <f>CE12/AV12-1</f>
        <v>0.33694029850746277</v>
      </c>
      <c r="CF13" s="46">
        <f>CE13-CC13</f>
        <v>0.16488563498916275</v>
      </c>
      <c r="CG13" s="658">
        <v>0.23857856623663487</v>
      </c>
      <c r="CH13" s="659" t="e">
        <f ca="1">OFFSET('Revenue Build'!#REF!,MATCH($D12,'Revenue Build'!$C$6:$C$97,0)+1,MATCH(CG$8,'Revenue Build'!$C$4:$ET$4,0)-1)</f>
        <v>#REF!</v>
      </c>
      <c r="CI13" s="46" t="e">
        <f ca="1">CH13-CG13</f>
        <v>#REF!</v>
      </c>
      <c r="CJ13" s="539">
        <v>0.18900921820303385</v>
      </c>
      <c r="CK13" s="46" t="e">
        <f ca="1">CH13-CJ13</f>
        <v>#REF!</v>
      </c>
      <c r="CL13" s="539">
        <f>CL12/BC12-1</f>
        <v>0.28393565400843879</v>
      </c>
      <c r="CM13" s="46">
        <f>CL13-CJ13</f>
        <v>9.4926435805404941E-2</v>
      </c>
      <c r="CN13" s="658">
        <v>0.21409569038936804</v>
      </c>
      <c r="CO13" s="659" t="e">
        <f ca="1">OFFSET('Revenue Build'!#REF!,MATCH($D12,'Revenue Build'!$C$6:$C$97,0)+1,MATCH(CN$8,'Revenue Build'!$C$4:$ET$4,0)-1)</f>
        <v>#REF!</v>
      </c>
      <c r="CP13" s="46" t="e">
        <f ca="1">CO13-CN13</f>
        <v>#REF!</v>
      </c>
      <c r="CQ13" s="539">
        <v>0.19884946758560007</v>
      </c>
      <c r="CR13" s="46" t="e">
        <f ca="1">CO13-CQ13</f>
        <v>#REF!</v>
      </c>
      <c r="CS13" s="539">
        <f>CS12/BJ12-1</f>
        <v>0.26808676470588244</v>
      </c>
      <c r="CT13" s="46">
        <f>CS13-CQ13</f>
        <v>6.9237297120282371E-2</v>
      </c>
      <c r="CU13" s="661">
        <v>0.21276416946753374</v>
      </c>
      <c r="CV13" s="659" t="e">
        <f ca="1">OFFSET('Revenue Build'!#REF!,MATCH($D12,'Revenue Build'!$C$6:$C$97,0)+1,MATCH(CU$8,'Revenue Build'!$C$4:$ET$4,0)-1)</f>
        <v>#REF!</v>
      </c>
      <c r="CW13" s="46" t="e">
        <f ca="1">CV13-CU13</f>
        <v>#REF!</v>
      </c>
      <c r="CX13" s="659">
        <v>0.17076925928739062</v>
      </c>
      <c r="CY13" s="46" t="e">
        <f ca="1">CX13-CV13</f>
        <v>#REF!</v>
      </c>
      <c r="CZ13" s="539" t="e">
        <f ca="1">CZ12/BM12-1</f>
        <v>#REF!</v>
      </c>
      <c r="DA13" s="46" t="e">
        <f ca="1">CZ13-CX13</f>
        <v>#REF!</v>
      </c>
      <c r="DB13" s="658">
        <v>0.20852427984646682</v>
      </c>
      <c r="DC13" s="659" t="e">
        <f ca="1">OFFSET('Revenue Build'!#REF!,MATCH($D12,'Revenue Build'!$C$6:$C$97,0)+1,MATCH(DB$8,'Revenue Build'!$C$4:$ET$4,0)-1)</f>
        <v>#REF!</v>
      </c>
      <c r="DD13" s="46" t="e">
        <f ca="1">DC13-DB13</f>
        <v>#REF!</v>
      </c>
      <c r="DE13" s="539">
        <v>0.19478375389396829</v>
      </c>
      <c r="DF13" s="46" t="e">
        <f ca="1">DC13-DE13</f>
        <v>#REF!</v>
      </c>
      <c r="DG13" s="539">
        <f>DG12/BX12-1</f>
        <v>0.24219312302839113</v>
      </c>
      <c r="DH13" s="46">
        <f>DG13-DE13</f>
        <v>4.7409369134422841E-2</v>
      </c>
      <c r="DI13" s="658">
        <v>0.20805755118856184</v>
      </c>
      <c r="DJ13" s="659" t="e">
        <f ca="1">OFFSET('Revenue Build'!#REF!,MATCH($D12,'Revenue Build'!$C$6:$C$97,0)+1,MATCH(DI$8,'Revenue Build'!$C$4:$ET$4,0)-1)</f>
        <v>#REF!</v>
      </c>
      <c r="DK13" s="46" t="e">
        <f ca="1">DJ13-DI13</f>
        <v>#REF!</v>
      </c>
      <c r="DL13" s="539">
        <v>0.19396370796781359</v>
      </c>
      <c r="DM13" s="46" t="e">
        <f ca="1">DJ13-DL13</f>
        <v>#REF!</v>
      </c>
      <c r="DN13" s="539">
        <f>DN12/CE12-1</f>
        <v>0.21223457996092665</v>
      </c>
      <c r="DO13" s="46">
        <f>DN13-DL13</f>
        <v>1.8270871993113058E-2</v>
      </c>
      <c r="DP13" s="658">
        <v>0.20586339457430936</v>
      </c>
      <c r="DQ13" s="659" t="e">
        <f ca="1">OFFSET('Revenue Build'!#REF!,MATCH($D12,'Revenue Build'!$C$6:$C$97,0)+1,MATCH(DP$8,'Revenue Build'!$C$4:$ET$4,0)-1)</f>
        <v>#REF!</v>
      </c>
      <c r="DR13" s="46" t="e">
        <f ca="1">DQ13-DP13</f>
        <v>#REF!</v>
      </c>
      <c r="DS13" s="539">
        <v>0.20015095474311639</v>
      </c>
      <c r="DT13" s="46" t="e">
        <f ca="1">DQ13-DS13</f>
        <v>#REF!</v>
      </c>
      <c r="DU13" s="539">
        <f>DU12/CL12-1</f>
        <v>0.23416413963198268</v>
      </c>
      <c r="DV13" s="46">
        <f>DU13-DS13</f>
        <v>3.4013184888866288E-2</v>
      </c>
      <c r="DW13" s="658">
        <v>0.20843929804419803</v>
      </c>
      <c r="DX13" s="659" t="e">
        <f ca="1">OFFSET('Revenue Build'!#REF!,MATCH($D12,'Revenue Build'!$C$6:$C$97,0)+1,MATCH(DW$8,'Revenue Build'!$C$4:$ET$4,0)-1)</f>
        <v>#REF!</v>
      </c>
      <c r="DY13" s="46" t="e">
        <f ca="1">DX13-DW13</f>
        <v>#REF!</v>
      </c>
      <c r="DZ13" s="539">
        <v>0.19233305749721841</v>
      </c>
      <c r="EA13" s="46" t="e">
        <f ca="1">DX13-DZ13</f>
        <v>#REF!</v>
      </c>
      <c r="EB13" s="539">
        <f>EB12/CS12-1</f>
        <v>0.23040267934904257</v>
      </c>
      <c r="EC13" s="46" t="e">
        <f ca="1">DX13-DZ13</f>
        <v>#REF!</v>
      </c>
      <c r="ED13" s="46">
        <f>EB13-DZ13</f>
        <v>3.8069621851824165E-2</v>
      </c>
      <c r="EE13" s="661">
        <v>0.20773509658957345</v>
      </c>
      <c r="EF13" s="659" t="e">
        <f ca="1">OFFSET('Revenue Build'!#REF!,MATCH($D12,'Revenue Build'!$C$6:$C$97,0)+1,MATCH(EE$8,'Revenue Build'!$C$4:$ET$4,0)-1)</f>
        <v>#REF!</v>
      </c>
      <c r="EG13" s="46" t="e">
        <f ca="1">EF13-EE13</f>
        <v>#REF!</v>
      </c>
      <c r="EH13" s="659">
        <v>0.15988968058828679</v>
      </c>
      <c r="EI13" s="46" t="e">
        <f ca="1">EF13-EH13</f>
        <v>#REF!</v>
      </c>
      <c r="EJ13" s="539" t="e">
        <f ca="1">EJ12/CV12-1</f>
        <v>#REF!</v>
      </c>
      <c r="EK13" s="46" t="e">
        <f ca="1">EF13-EH13</f>
        <v>#REF!</v>
      </c>
      <c r="EL13" s="51" t="e">
        <f ca="1">EJ13-EH13</f>
        <v>#REF!</v>
      </c>
    </row>
    <row r="14" spans="2:142" s="59" customFormat="1" ht="19.2" customHeight="1">
      <c r="B14" s="42" t="s">
        <v>340</v>
      </c>
      <c r="D14" s="66" t="s">
        <v>323</v>
      </c>
      <c r="E14" s="67">
        <v>344.76100000000002</v>
      </c>
      <c r="F14" s="62" t="e">
        <f ca="1">OFFSET('Revenue Build'!#REF!,MATCH($D14,'Revenue Build'!$C$6:$C$97,0)-1,MATCH(E$8,'Revenue Build'!$C$4:$ET$4,0)-1)</f>
        <v>#REF!</v>
      </c>
      <c r="G14" s="46" t="e">
        <f t="shared" ca="1" si="0"/>
        <v>#REF!</v>
      </c>
      <c r="H14" s="63">
        <v>344.76100000000002</v>
      </c>
      <c r="I14" s="64">
        <v>511</v>
      </c>
      <c r="J14" s="46">
        <f t="shared" si="1"/>
        <v>0.48218621015718122</v>
      </c>
      <c r="K14" s="67">
        <v>366.44299999999998</v>
      </c>
      <c r="L14" s="62" t="e">
        <f ca="1">OFFSET('Revenue Build'!#REF!,MATCH($D14,'Revenue Build'!$C$6:$C$97,0)-1,MATCH(K$8,'Revenue Build'!$C$4:$ET$4,0)-1)</f>
        <v>#REF!</v>
      </c>
      <c r="M14" s="46" t="e">
        <f ca="1">L14/K14-1</f>
        <v>#REF!</v>
      </c>
      <c r="N14" s="63">
        <v>366.44299999999998</v>
      </c>
      <c r="O14" s="64">
        <v>563</v>
      </c>
      <c r="P14" s="46">
        <f>O14/N14-1</f>
        <v>0.53639174441864079</v>
      </c>
      <c r="Q14" s="67">
        <v>376.30099999999999</v>
      </c>
      <c r="R14" s="62" t="e">
        <f ca="1">OFFSET('Revenue Build'!#REF!,MATCH($D14,'Revenue Build'!$C$6:$C$97,0)-1,MATCH(Q$8,'Revenue Build'!$C$4:$ET$4,0)-1)</f>
        <v>#REF!</v>
      </c>
      <c r="S14" s="46" t="e">
        <f ca="1">R14/Q14-1</f>
        <v>#REF!</v>
      </c>
      <c r="T14" s="63">
        <v>376.30099999999999</v>
      </c>
      <c r="U14" s="64">
        <v>610</v>
      </c>
      <c r="V14" s="46">
        <f>U14/T14-1</f>
        <v>0.62104272909187075</v>
      </c>
      <c r="W14" s="67">
        <v>400.25400000000002</v>
      </c>
      <c r="X14" s="62" t="e">
        <f ca="1">OFFSET('Revenue Build'!#REF!,MATCH($D14,'Revenue Build'!$C$6:$C$97,0)-1,MATCH(W$8,'Revenue Build'!$C$4:$ET$4,0)-1)</f>
        <v>#REF!</v>
      </c>
      <c r="Y14" s="46" t="e">
        <f ca="1">X14/W14-1</f>
        <v>#REF!</v>
      </c>
      <c r="Z14" s="63">
        <v>400.25400000000002</v>
      </c>
      <c r="AA14" s="64">
        <v>666</v>
      </c>
      <c r="AB14" s="46">
        <f>AA14/Z14-1</f>
        <v>0.66394339594357565</v>
      </c>
      <c r="AC14" s="67">
        <v>1487.759</v>
      </c>
      <c r="AD14" s="62" t="e">
        <f ca="1">OFFSET('Revenue Build'!#REF!,MATCH($D14,'Revenue Build'!$C$6:$C$97,0)-1,MATCH(AC$8,'Revenue Build'!$C$4:$ET$4,0)-1)</f>
        <v>#REF!</v>
      </c>
      <c r="AE14" s="46" t="e">
        <f ca="1">AD14/AC14-1</f>
        <v>#REF!</v>
      </c>
      <c r="AF14" s="63">
        <v>1487.759</v>
      </c>
      <c r="AG14" s="46" t="e">
        <f ca="1">AD14/AF14-1</f>
        <v>#REF!</v>
      </c>
      <c r="AH14" s="64">
        <v>2350</v>
      </c>
      <c r="AI14" s="46">
        <f>AH14/AF14-1</f>
        <v>0.579556904041582</v>
      </c>
      <c r="AJ14" s="67">
        <v>382</v>
      </c>
      <c r="AK14" s="62" t="e">
        <f ca="1">OFFSET('Revenue Build'!#REF!,MATCH($D14,'Revenue Build'!$C$6:$C$97,0)-1,MATCH(AJ$8,'Revenue Build'!$C$4:$ET$4,0)-1)</f>
        <v>#REF!</v>
      </c>
      <c r="AL14" s="46" t="e">
        <f ca="1">AK14/AJ14-1</f>
        <v>#REF!</v>
      </c>
      <c r="AM14" s="63">
        <v>382</v>
      </c>
      <c r="AN14" s="46" t="e">
        <f ca="1">AK14/AM14-1</f>
        <v>#REF!</v>
      </c>
      <c r="AO14" s="64">
        <v>620</v>
      </c>
      <c r="AP14" s="46">
        <f>AO14/AM14-1</f>
        <v>0.62303664921465973</v>
      </c>
      <c r="AQ14" s="67">
        <v>444</v>
      </c>
      <c r="AR14" s="62" t="e">
        <f ca="1">OFFSET('Revenue Build'!#REF!,MATCH($D14,'Revenue Build'!$C$6:$C$97,0)-1,MATCH(AQ$8,'Revenue Build'!$C$4:$ET$4,0)-1)</f>
        <v>#REF!</v>
      </c>
      <c r="AS14" s="46" t="e">
        <f ca="1">AR14/AQ14-1</f>
        <v>#REF!</v>
      </c>
      <c r="AT14" s="63">
        <v>444</v>
      </c>
      <c r="AU14" s="46" t="e">
        <f ca="1">AR14/AT14-1</f>
        <v>#REF!</v>
      </c>
      <c r="AV14" s="64">
        <v>656</v>
      </c>
      <c r="AW14" s="46">
        <f>AV14/AT14-1</f>
        <v>0.47747747747747749</v>
      </c>
      <c r="AX14" s="67">
        <v>486</v>
      </c>
      <c r="AY14" s="62" t="e">
        <f ca="1">OFFSET('Revenue Build'!#REF!,MATCH($D14,'Revenue Build'!$C$6:$C$97,0)-1,MATCH(AX$8,'Revenue Build'!$C$4:$ET$4,0)-1)</f>
        <v>#REF!</v>
      </c>
      <c r="AZ14" s="46" t="e">
        <f ca="1">AY14/AX14-1</f>
        <v>#REF!</v>
      </c>
      <c r="BA14" s="63">
        <v>486</v>
      </c>
      <c r="BB14" s="46" t="e">
        <f ca="1">AY14/BA14-1</f>
        <v>#REF!</v>
      </c>
      <c r="BC14" s="64">
        <v>699</v>
      </c>
      <c r="BD14" s="46">
        <f>BC14/BA14-1</f>
        <v>0.43827160493827155</v>
      </c>
      <c r="BE14" s="67">
        <v>485.98607719664051</v>
      </c>
      <c r="BF14" s="62" t="e">
        <f ca="1">OFFSET('Revenue Build'!#REF!,MATCH($D14,'Revenue Build'!$C$6:$C$97,0)-1,MATCH(BE$8,'Revenue Build'!$C$4:$ET$4,0)-1)</f>
        <v>#REF!</v>
      </c>
      <c r="BG14" s="46" t="e">
        <f ca="1">BF14/BE14-1</f>
        <v>#REF!</v>
      </c>
      <c r="BH14" s="63">
        <v>499.44922000000003</v>
      </c>
      <c r="BI14" s="46" t="e">
        <f ca="1">BF14/BH14-1</f>
        <v>#REF!</v>
      </c>
      <c r="BJ14" s="64">
        <v>777</v>
      </c>
      <c r="BK14" s="46">
        <f>BJ14/BH14-1</f>
        <v>0.55571371199658692</v>
      </c>
      <c r="BL14" s="67">
        <v>1797.9860771966405</v>
      </c>
      <c r="BM14" s="62" t="e">
        <f ca="1">OFFSET('Revenue Build'!#REF!,MATCH($D14,'Revenue Build'!$C$6:$C$97,0)-1,MATCH(BL$8,'Revenue Build'!$C$4:$ET$4,0)-1)</f>
        <v>#REF!</v>
      </c>
      <c r="BN14" s="46" t="e">
        <f ca="1">BM14/BL14-1</f>
        <v>#REF!</v>
      </c>
      <c r="BO14" s="63">
        <v>1811.1665</v>
      </c>
      <c r="BP14" s="46" t="e">
        <f ca="1">BM14/BO14-1</f>
        <v>#REF!</v>
      </c>
      <c r="BQ14" s="64">
        <v>2752</v>
      </c>
      <c r="BR14" s="46">
        <f>BQ14/BO14-1</f>
        <v>0.51946273299555834</v>
      </c>
      <c r="BS14" s="67">
        <v>463.82217664062483</v>
      </c>
      <c r="BT14" s="62" t="e">
        <f ca="1">OFFSET('Revenue Build'!#REF!,MATCH($D14,'Revenue Build'!$C$6:$C$97,0)-1,MATCH(BS$8,'Revenue Build'!$C$4:$ET$4,0)-1)</f>
        <v>#REF!</v>
      </c>
      <c r="BU14" s="46" t="e">
        <f ca="1">BT14/BS14-1</f>
        <v>#REF!</v>
      </c>
      <c r="BV14" s="63">
        <v>490.57240000000002</v>
      </c>
      <c r="BW14" s="46" t="e">
        <f ca="1">BT14/BV14-1</f>
        <v>#REF!</v>
      </c>
      <c r="BX14" s="64">
        <v>750</v>
      </c>
      <c r="BY14" s="46">
        <f>BX14/BV14-1</f>
        <v>0.52882632614472391</v>
      </c>
      <c r="BZ14" s="67">
        <v>529.30035731249984</v>
      </c>
      <c r="CA14" s="62" t="e">
        <f ca="1">OFFSET('Revenue Build'!#REF!,MATCH($D14,'Revenue Build'!$C$6:$C$97,0)-1,MATCH(BZ$8,'Revenue Build'!$C$4:$ET$4,0)-1)</f>
        <v>#REF!</v>
      </c>
      <c r="CB14" s="46" t="e">
        <f ca="1">CA14/BZ14-1</f>
        <v>#REF!</v>
      </c>
      <c r="CC14" s="63">
        <v>517.95276000000001</v>
      </c>
      <c r="CD14" s="46" t="e">
        <f ca="1">CA14/CC14-1</f>
        <v>#REF!</v>
      </c>
      <c r="CE14" s="64">
        <v>802</v>
      </c>
      <c r="CF14" s="46">
        <f>CE14/CC14-1</f>
        <v>0.54840375790255469</v>
      </c>
      <c r="CG14" s="67">
        <v>574.00477938281244</v>
      </c>
      <c r="CH14" s="62" t="e">
        <f ca="1">OFFSET('Revenue Build'!#REF!,MATCH($D14,'Revenue Build'!$C$6:$C$97,0)-1,MATCH(CG$8,'Revenue Build'!$C$4:$ET$4,0)-1)</f>
        <v>#REF!</v>
      </c>
      <c r="CI14" s="46" t="e">
        <f ca="1">CH14/CG14-1</f>
        <v>#REF!</v>
      </c>
      <c r="CJ14" s="63">
        <v>542.19039999999995</v>
      </c>
      <c r="CK14" s="46" t="e">
        <f ca="1">CH14/CJ14-1</f>
        <v>#REF!</v>
      </c>
      <c r="CL14" s="64">
        <v>838.45180000000005</v>
      </c>
      <c r="CM14" s="46">
        <f>CL14/CJ14-1</f>
        <v>0.54641579784518512</v>
      </c>
      <c r="CN14" s="67">
        <v>568.62395847436369</v>
      </c>
      <c r="CO14" s="62" t="e">
        <f ca="1">OFFSET('Revenue Build'!#REF!,MATCH($D14,'Revenue Build'!$C$6:$C$97,0)-1,MATCH(CN$8,'Revenue Build'!$C$4:$ET$4,0)-1)</f>
        <v>#REF!</v>
      </c>
      <c r="CP14" s="46" t="e">
        <f ca="1">CO14/CN14-1</f>
        <v>#REF!</v>
      </c>
      <c r="CQ14" s="63">
        <v>566.02300000000002</v>
      </c>
      <c r="CR14" s="46" t="e">
        <f ca="1">CO14/CQ14-1</f>
        <v>#REF!</v>
      </c>
      <c r="CS14" s="64">
        <v>916.29290000000003</v>
      </c>
      <c r="CT14" s="46">
        <f>CS14/CQ14-1</f>
        <v>0.61882626677714514</v>
      </c>
      <c r="CU14" s="67">
        <v>2135.7512718103008</v>
      </c>
      <c r="CV14" s="62" t="e">
        <f ca="1">OFFSET('Revenue Build'!#REF!,MATCH($D14,'Revenue Build'!$C$6:$C$97,0)-1,MATCH(CU$8,'Revenue Build'!$C$4:$ET$4,0)-1)</f>
        <v>#REF!</v>
      </c>
      <c r="CW14" s="46" t="e">
        <f ca="1">CV14/CU14-1</f>
        <v>#REF!</v>
      </c>
      <c r="CX14" s="63">
        <v>2121.9292</v>
      </c>
      <c r="CY14" s="46" t="e">
        <f ca="1">CV14/CX14-1</f>
        <v>#REF!</v>
      </c>
      <c r="CZ14" s="64">
        <v>3293.0320000000002</v>
      </c>
      <c r="DA14" s="46">
        <f>CZ14/CX14-1</f>
        <v>0.55190474781156706</v>
      </c>
      <c r="DB14" s="67">
        <v>537.57154241035062</v>
      </c>
      <c r="DC14" s="62" t="e">
        <f ca="1">OFFSET('Revenue Build'!#REF!,MATCH($D14,'Revenue Build'!$C$6:$C$97,0)-1,MATCH(DB$8,'Revenue Build'!$C$4:$ET$4,0)-1)</f>
        <v>#REF!</v>
      </c>
      <c r="DD14" s="46" t="e">
        <f ca="1">DC14/DB14-1</f>
        <v>#REF!</v>
      </c>
      <c r="DE14" s="63">
        <v>572.04219999999998</v>
      </c>
      <c r="DF14" s="46" t="e">
        <f ca="1">DC14/DE14-1</f>
        <v>#REF!</v>
      </c>
      <c r="DG14" s="64">
        <v>885.05740000000003</v>
      </c>
      <c r="DH14" s="46">
        <f>DG14/DE14-1</f>
        <v>0.54718900109117841</v>
      </c>
      <c r="DI14" s="67">
        <v>613.46098528465347</v>
      </c>
      <c r="DJ14" s="62" t="e">
        <f ca="1">OFFSET('Revenue Build'!#REF!,MATCH($D14,'Revenue Build'!$C$6:$C$97,0)-1,MATCH(DI$8,'Revenue Build'!$C$4:$ET$4,0)-1)</f>
        <v>#REF!</v>
      </c>
      <c r="DK14" s="46" t="e">
        <f ca="1">DJ14/DI14-1</f>
        <v>#REF!</v>
      </c>
      <c r="DL14" s="63">
        <v>608.78700000000003</v>
      </c>
      <c r="DM14" s="46" t="e">
        <f ca="1">DJ14/DL14-1</f>
        <v>#REF!</v>
      </c>
      <c r="DN14" s="64">
        <v>936.16399999999999</v>
      </c>
      <c r="DO14" s="46">
        <f>DN14/DL14-1</f>
        <v>0.53775294150499264</v>
      </c>
      <c r="DP14" s="67">
        <v>665.27356850126284</v>
      </c>
      <c r="DQ14" s="62" t="e">
        <f ca="1">OFFSET('Revenue Build'!#REF!,MATCH($D14,'Revenue Build'!$C$6:$C$97,0)-1,MATCH(DP$8,'Revenue Build'!$C$4:$ET$4,0)-1)</f>
        <v>#REF!</v>
      </c>
      <c r="DR14" s="46" t="e">
        <f ca="1">DQ14/DP14-1</f>
        <v>#REF!</v>
      </c>
      <c r="DS14" s="63">
        <v>650.51260000000002</v>
      </c>
      <c r="DT14" s="46" t="e">
        <f ca="1">DQ14/DS14-1</f>
        <v>#REF!</v>
      </c>
      <c r="DU14" s="64">
        <v>983.64909999999998</v>
      </c>
      <c r="DV14" s="46">
        <f>DU14/DS14-1</f>
        <v>0.51211383146152722</v>
      </c>
      <c r="DW14" s="67">
        <v>659.03717804632799</v>
      </c>
      <c r="DX14" s="62" t="e">
        <f ca="1">OFFSET('Revenue Build'!#REF!,MATCH($D14,'Revenue Build'!$C$6:$C$97,0)-1,MATCH(DW$8,'Revenue Build'!$C$4:$ET$4,0)-1)</f>
        <v>#REF!</v>
      </c>
      <c r="DY14" s="46" t="e">
        <f ca="1">DX14/DW14-1</f>
        <v>#REF!</v>
      </c>
      <c r="DZ14" s="63">
        <v>680.85739999999998</v>
      </c>
      <c r="EA14" s="46" t="e">
        <f ca="1">DX14/DZ14-1</f>
        <v>#REF!</v>
      </c>
      <c r="EB14" s="64">
        <v>1067.0239999999999</v>
      </c>
      <c r="EC14" s="46" t="e">
        <f ca="1">DX14/EB14-1</f>
        <v>#REF!</v>
      </c>
      <c r="ED14" s="46">
        <f>EB14/DZ14-1</f>
        <v>0.56717691545983029</v>
      </c>
      <c r="EE14" s="67">
        <v>2475.3432742425948</v>
      </c>
      <c r="EF14" s="62" t="e">
        <f ca="1">OFFSET('Revenue Build'!#REF!,MATCH($D14,'Revenue Build'!$C$6:$C$97,0)-1,MATCH(EE$8,'Revenue Build'!$C$4:$ET$4,0)-1)</f>
        <v>#REF!</v>
      </c>
      <c r="EG14" s="46" t="e">
        <f ca="1">EF14/EE14-1</f>
        <v>#REF!</v>
      </c>
      <c r="EH14" s="63">
        <v>2421.25</v>
      </c>
      <c r="EI14" s="46" t="e">
        <f ca="1">EF14/EH14-1</f>
        <v>#REF!</v>
      </c>
      <c r="EJ14" s="64">
        <v>3848.8227999999999</v>
      </c>
      <c r="EK14" s="46" t="e">
        <f ca="1">EF14/EJ14-1</f>
        <v>#REF!</v>
      </c>
      <c r="EL14" s="51">
        <f>EJ14/EH14-1</f>
        <v>0.58960156943727404</v>
      </c>
    </row>
    <row r="15" spans="2:142" s="59" customFormat="1" ht="19.2" customHeight="1">
      <c r="B15" s="42"/>
      <c r="D15" s="662" t="s">
        <v>129</v>
      </c>
      <c r="E15" s="658">
        <v>7.5090198670953567E-2</v>
      </c>
      <c r="F15" s="659" t="e">
        <f ca="1">OFFSET('Revenue Build'!#REF!,MATCH($D14,'Revenue Build'!$C$6:$C$97,0)+1,MATCH(E$8,'Revenue Build'!$C$4:$ET$4,0)-1)</f>
        <v>#REF!</v>
      </c>
      <c r="G15" s="46" t="e">
        <f ca="1">F15-E15</f>
        <v>#REF!</v>
      </c>
      <c r="H15" s="660"/>
      <c r="I15" s="539"/>
      <c r="J15" s="46">
        <f>I15-H15</f>
        <v>0</v>
      </c>
      <c r="K15" s="658">
        <v>9.6356776778154352E-2</v>
      </c>
      <c r="L15" s="659" t="e">
        <f ca="1">OFFSET('Revenue Build'!#REF!,MATCH($D14,'Revenue Build'!$C$6:$C$97,0)+1,MATCH(K$8,'Revenue Build'!$C$4:$ET$4,0)-1)</f>
        <v>#REF!</v>
      </c>
      <c r="M15" s="46" t="e">
        <f ca="1">L15-K15</f>
        <v>#REF!</v>
      </c>
      <c r="N15" s="660"/>
      <c r="O15" s="539"/>
      <c r="P15" s="46">
        <f>O15-N15</f>
        <v>0</v>
      </c>
      <c r="Q15" s="658">
        <v>0.11925058297244551</v>
      </c>
      <c r="R15" s="659" t="e">
        <f ca="1">OFFSET('Revenue Build'!#REF!,MATCH($D14,'Revenue Build'!$C$6:$C$97,0)+1,MATCH(Q$8,'Revenue Build'!$C$4:$ET$4,0)-1)</f>
        <v>#REF!</v>
      </c>
      <c r="S15" s="46" t="e">
        <f ca="1">R15-Q15</f>
        <v>#REF!</v>
      </c>
      <c r="T15" s="660"/>
      <c r="U15" s="539"/>
      <c r="V15" s="46">
        <f>U15-T15</f>
        <v>0</v>
      </c>
      <c r="W15" s="658">
        <v>0.13964943850937339</v>
      </c>
      <c r="X15" s="659" t="e">
        <f ca="1">OFFSET('Revenue Build'!#REF!,MATCH($D14,'Revenue Build'!$C$6:$C$97,0)+1,MATCH(W$8,'Revenue Build'!$C$4:$ET$4,0)-1)</f>
        <v>#REF!</v>
      </c>
      <c r="Y15" s="46" t="e">
        <f ca="1">X15-W15</f>
        <v>#REF!</v>
      </c>
      <c r="Z15" s="660"/>
      <c r="AA15" s="539"/>
      <c r="AB15" s="46">
        <f>AA15-Z15</f>
        <v>0</v>
      </c>
      <c r="AC15" s="661">
        <v>0.10833741825804899</v>
      </c>
      <c r="AD15" s="659" t="e">
        <f ca="1">OFFSET('Revenue Build'!#REF!,MATCH($D14,'Revenue Build'!$C$6:$C$97,0)+1,MATCH(AC$8,'Revenue Build'!$C$4:$ET$4,0)-1)</f>
        <v>#REF!</v>
      </c>
      <c r="AE15" s="46" t="e">
        <f ca="1">AD15-AC15</f>
        <v>#REF!</v>
      </c>
      <c r="AF15" s="660"/>
      <c r="AH15" s="539"/>
      <c r="AI15" s="46"/>
      <c r="AJ15" s="658">
        <v>0.10801395749519216</v>
      </c>
      <c r="AK15" s="659" t="e">
        <f ca="1">OFFSET('Revenue Build'!#REF!,MATCH($D14,'Revenue Build'!$C$6:$C$97,0)+1,MATCH(AJ$8,'Revenue Build'!$C$4:$ET$4,0)-1)</f>
        <v>#REF!</v>
      </c>
      <c r="AL15" s="46" t="e">
        <f ca="1">AK15-AJ15</f>
        <v>#REF!</v>
      </c>
      <c r="AM15" s="539" t="e">
        <f ca="1">AM14/F14-1</f>
        <v>#REF!</v>
      </c>
      <c r="AN15" s="46" t="e">
        <f ca="1">AK15-AM15</f>
        <v>#REF!</v>
      </c>
      <c r="AO15" s="539" t="e">
        <f ca="1">AO14/F14-1</f>
        <v>#REF!</v>
      </c>
      <c r="AP15" s="46" t="e">
        <f ca="1">AO15-AM15</f>
        <v>#REF!</v>
      </c>
      <c r="AQ15" s="658">
        <v>0.21164819630883946</v>
      </c>
      <c r="AR15" s="659" t="e">
        <f ca="1">OFFSET('Revenue Build'!#REF!,MATCH($D14,'Revenue Build'!$C$6:$C$97,0)+1,MATCH(AQ$8,'Revenue Build'!$C$4:$ET$4,0)-1)</f>
        <v>#REF!</v>
      </c>
      <c r="AS15" s="46" t="e">
        <f ca="1">AR15-AQ15</f>
        <v>#REF!</v>
      </c>
      <c r="AT15" s="539" t="e">
        <v>#DIV/0!</v>
      </c>
      <c r="AU15" s="46" t="e">
        <f ca="1">AR15-AT15</f>
        <v>#REF!</v>
      </c>
      <c r="AV15" s="539" t="e">
        <f ca="1">AV14/M14-1</f>
        <v>#REF!</v>
      </c>
      <c r="AW15" s="46" t="e">
        <f ca="1">AV15-AT15</f>
        <v>#REF!</v>
      </c>
      <c r="AX15" s="658">
        <v>0.29151928907975266</v>
      </c>
      <c r="AY15" s="659" t="e">
        <f ca="1">OFFSET('Revenue Build'!#REF!,MATCH($D14,'Revenue Build'!$C$6:$C$97,0)+1,MATCH(AX$8,'Revenue Build'!$C$4:$ET$4,0)-1)</f>
        <v>#REF!</v>
      </c>
      <c r="AZ15" s="46" t="e">
        <f ca="1">AY15-AX15</f>
        <v>#REF!</v>
      </c>
      <c r="BA15" s="539">
        <v>0.29151928907975266</v>
      </c>
      <c r="BB15" s="46" t="e">
        <f ca="1">AY15-BA15</f>
        <v>#REF!</v>
      </c>
      <c r="BC15" s="539">
        <f>BC14/T14-1</f>
        <v>0.85755552071347152</v>
      </c>
      <c r="BD15" s="46">
        <f>BC15-BA15</f>
        <v>0.56603623163371886</v>
      </c>
      <c r="BE15" s="658">
        <v>0.21419417968749954</v>
      </c>
      <c r="BF15" s="659" t="e">
        <f ca="1">OFFSET('Revenue Build'!#REF!,MATCH($D14,'Revenue Build'!$C$6:$C$97,0)+1,MATCH(BE$8,'Revenue Build'!$C$4:$ET$4,0)-1)</f>
        <v>#REF!</v>
      </c>
      <c r="BG15" s="46" t="e">
        <f ca="1">BF15-BE15</f>
        <v>#REF!</v>
      </c>
      <c r="BH15" s="539">
        <v>0.24783067751977494</v>
      </c>
      <c r="BI15" s="46" t="e">
        <f ca="1">BF15-BH15</f>
        <v>#REF!</v>
      </c>
      <c r="BJ15" s="539">
        <f>BJ14/AA14-1</f>
        <v>0.16666666666666674</v>
      </c>
      <c r="BK15" s="46">
        <f>BJ15-BH15</f>
        <v>-8.1164010853108204E-2</v>
      </c>
      <c r="BL15" s="661">
        <v>0.20851971132195501</v>
      </c>
      <c r="BM15" s="659" t="e">
        <f ca="1">OFFSET('Revenue Build'!#REF!,MATCH($D14,'Revenue Build'!$C$6:$C$97,0)+1,MATCH(BL$8,'Revenue Build'!$C$4:$ET$4,0)-1)</f>
        <v>#REF!</v>
      </c>
      <c r="BN15" s="46" t="e">
        <f ca="1">BM15-BL15</f>
        <v>#REF!</v>
      </c>
      <c r="BO15" s="659" t="e">
        <f ca="1">BO14/AD14-1</f>
        <v>#REF!</v>
      </c>
      <c r="BP15" s="46" t="e">
        <f ca="1">BO15-BM15</f>
        <v>#REF!</v>
      </c>
      <c r="BQ15" s="539" t="e">
        <f ca="1">BQ14/AD14-1</f>
        <v>#REF!</v>
      </c>
      <c r="BR15" s="46" t="e">
        <f ca="1">BQ15-BO15</f>
        <v>#REF!</v>
      </c>
      <c r="BS15" s="658">
        <v>0.21419417968749954</v>
      </c>
      <c r="BT15" s="659" t="e">
        <f ca="1">OFFSET('Revenue Build'!#REF!,MATCH($D14,'Revenue Build'!$C$6:$C$97,0)+1,MATCH(BS$8,'Revenue Build'!$C$4:$ET$4,0)-1)</f>
        <v>#REF!</v>
      </c>
      <c r="BU15" s="46" t="e">
        <f ca="1">BT15-BS15</f>
        <v>#REF!</v>
      </c>
      <c r="BV15" s="539">
        <v>0.28422094240837703</v>
      </c>
      <c r="BW15" s="46" t="e">
        <f ca="1">BT15-BV15</f>
        <v>#REF!</v>
      </c>
      <c r="BX15" s="539">
        <f>BX14/AO14-1</f>
        <v>0.20967741935483875</v>
      </c>
      <c r="BY15" s="46">
        <f>BX15-BV15</f>
        <v>-7.4543523053538285E-2</v>
      </c>
      <c r="BZ15" s="658">
        <v>0.19211792187499954</v>
      </c>
      <c r="CA15" s="659" t="e">
        <f ca="1">OFFSET('Revenue Build'!#REF!,MATCH($D14,'Revenue Build'!$C$6:$C$97,0)+1,MATCH(BZ$8,'Revenue Build'!$C$4:$ET$4,0)-1)</f>
        <v>#REF!</v>
      </c>
      <c r="CB15" s="46" t="e">
        <f ca="1">CA15-BZ15</f>
        <v>#REF!</v>
      </c>
      <c r="CC15" s="539">
        <v>0.16656027027027021</v>
      </c>
      <c r="CD15" s="46" t="e">
        <f ca="1">CA15-CC15</f>
        <v>#REF!</v>
      </c>
      <c r="CE15" s="539">
        <f>CE14/AV14-1</f>
        <v>0.22256097560975618</v>
      </c>
      <c r="CF15" s="46">
        <f>CE15-CC15</f>
        <v>5.6000705339485979E-2</v>
      </c>
      <c r="CG15" s="658">
        <v>0.18107979296874999</v>
      </c>
      <c r="CH15" s="659" t="e">
        <f ca="1">OFFSET('Revenue Build'!#REF!,MATCH($D14,'Revenue Build'!$C$6:$C$97,0)+1,MATCH(CG$8,'Revenue Build'!$C$4:$ET$4,0)-1)</f>
        <v>#REF!</v>
      </c>
      <c r="CI15" s="46" t="e">
        <f ca="1">CH15-CG15</f>
        <v>#REF!</v>
      </c>
      <c r="CJ15" s="539">
        <v>0.1156181069958846</v>
      </c>
      <c r="CK15" s="46" t="e">
        <f ca="1">CH15-CJ15</f>
        <v>#REF!</v>
      </c>
      <c r="CL15" s="539">
        <f>CL14/BC14-1</f>
        <v>0.19950185979971402</v>
      </c>
      <c r="CM15" s="46">
        <f>CL15-CJ15</f>
        <v>8.3883752803829426E-2</v>
      </c>
      <c r="CN15" s="658">
        <v>0.17004166406249976</v>
      </c>
      <c r="CO15" s="659" t="e">
        <f ca="1">OFFSET('Revenue Build'!#REF!,MATCH($D14,'Revenue Build'!$C$6:$C$97,0)+1,MATCH(CN$8,'Revenue Build'!$C$4:$ET$4,0)-1)</f>
        <v>#REF!</v>
      </c>
      <c r="CP15" s="46" t="e">
        <f ca="1">CO15-CN15</f>
        <v>#REF!</v>
      </c>
      <c r="CQ15" s="539">
        <v>0.13329439177019831</v>
      </c>
      <c r="CR15" s="46" t="e">
        <f ca="1">CO15-CQ15</f>
        <v>#REF!</v>
      </c>
      <c r="CS15" s="539">
        <f>CS14/BJ14-1</f>
        <v>0.17927014157014165</v>
      </c>
      <c r="CT15" s="46">
        <f>CS15-CQ15</f>
        <v>4.5975749799943344E-2</v>
      </c>
      <c r="CU15" s="661">
        <v>0.18785751396934747</v>
      </c>
      <c r="CV15" s="659" t="e">
        <f ca="1">OFFSET('Revenue Build'!#REF!,MATCH($D14,'Revenue Build'!$C$6:$C$97,0)+1,MATCH(CU$8,'Revenue Build'!$C$4:$ET$4,0)-1)</f>
        <v>#REF!</v>
      </c>
      <c r="CW15" s="46" t="e">
        <f ca="1">CV15-CU15</f>
        <v>#REF!</v>
      </c>
      <c r="CX15" s="659">
        <v>0.18016998402370321</v>
      </c>
      <c r="CY15" s="46" t="e">
        <f ca="1">CX15-CV15</f>
        <v>#REF!</v>
      </c>
      <c r="CZ15" s="539" t="e">
        <f ca="1">CZ14/BM14-1</f>
        <v>#REF!</v>
      </c>
      <c r="DA15" s="46" t="e">
        <f ca="1">CZ15-CX15</f>
        <v>#REF!</v>
      </c>
      <c r="DB15" s="658">
        <v>0.15900353515624954</v>
      </c>
      <c r="DC15" s="659" t="e">
        <f ca="1">OFFSET('Revenue Build'!#REF!,MATCH($D14,'Revenue Build'!$C$6:$C$97,0)+1,MATCH(DB$8,'Revenue Build'!$C$4:$ET$4,0)-1)</f>
        <v>#REF!</v>
      </c>
      <c r="DD15" s="46" t="e">
        <f ca="1">DC15-DB15</f>
        <v>#REF!</v>
      </c>
      <c r="DE15" s="539">
        <v>0.16607090003432723</v>
      </c>
      <c r="DF15" s="46" t="e">
        <f ca="1">DC15-DE15</f>
        <v>#REF!</v>
      </c>
      <c r="DG15" s="539">
        <f>DG14/BX14-1</f>
        <v>0.1800765333333334</v>
      </c>
      <c r="DH15" s="46">
        <f>DG15-DE15</f>
        <v>1.400563329900617E-2</v>
      </c>
      <c r="DI15" s="658">
        <v>0.15900353515624976</v>
      </c>
      <c r="DJ15" s="659" t="e">
        <f ca="1">OFFSET('Revenue Build'!#REF!,MATCH($D14,'Revenue Build'!$C$6:$C$97,0)+1,MATCH(DI$8,'Revenue Build'!$C$4:$ET$4,0)-1)</f>
        <v>#REF!</v>
      </c>
      <c r="DK15" s="46" t="e">
        <f ca="1">DJ15-DI15</f>
        <v>#REF!</v>
      </c>
      <c r="DL15" s="539">
        <v>0.17537166903020274</v>
      </c>
      <c r="DM15" s="46" t="e">
        <f ca="1">DJ15-DL15</f>
        <v>#REF!</v>
      </c>
      <c r="DN15" s="539">
        <f>DN14/CE14-1</f>
        <v>0.16728678304239408</v>
      </c>
      <c r="DO15" s="46">
        <f>DN15-DL15</f>
        <v>-8.0848859878086543E-3</v>
      </c>
      <c r="DP15" s="658">
        <v>0.15900353515624976</v>
      </c>
      <c r="DQ15" s="659" t="e">
        <f ca="1">OFFSET('Revenue Build'!#REF!,MATCH($D14,'Revenue Build'!$C$6:$C$97,0)+1,MATCH(DP$8,'Revenue Build'!$C$4:$ET$4,0)-1)</f>
        <v>#REF!</v>
      </c>
      <c r="DR15" s="46" t="e">
        <f ca="1">DQ15-DP15</f>
        <v>#REF!</v>
      </c>
      <c r="DS15" s="539">
        <v>0.19978627434200247</v>
      </c>
      <c r="DT15" s="46" t="e">
        <f ca="1">DQ15-DS15</f>
        <v>#REF!</v>
      </c>
      <c r="DU15" s="539">
        <f>DU14/CL14-1</f>
        <v>0.17317310309310563</v>
      </c>
      <c r="DV15" s="46">
        <f>DU15-DS15</f>
        <v>-2.6613171248896839E-2</v>
      </c>
      <c r="DW15" s="658">
        <v>0.15900353515624954</v>
      </c>
      <c r="DX15" s="659" t="e">
        <f ca="1">OFFSET('Revenue Build'!#REF!,MATCH($D14,'Revenue Build'!$C$6:$C$97,0)+1,MATCH(DW$8,'Revenue Build'!$C$4:$ET$4,0)-1)</f>
        <v>#REF!</v>
      </c>
      <c r="DY15" s="46" t="e">
        <f ca="1">DX15-DW15</f>
        <v>#REF!</v>
      </c>
      <c r="DZ15" s="539">
        <v>0.20287938829340857</v>
      </c>
      <c r="EA15" s="46" t="e">
        <f ca="1">DX15-DZ15</f>
        <v>#REF!</v>
      </c>
      <c r="EB15" s="539">
        <f>EB14/CS14-1</f>
        <v>0.16450100180848271</v>
      </c>
      <c r="EC15" s="46" t="e">
        <f ca="1">DX15-DZ15</f>
        <v>#REF!</v>
      </c>
      <c r="ED15" s="46">
        <f>EB15-DZ15</f>
        <v>-3.8378386484925864E-2</v>
      </c>
      <c r="EE15" s="661">
        <v>0.15900353515624976</v>
      </c>
      <c r="EF15" s="659" t="e">
        <f ca="1">OFFSET('Revenue Build'!#REF!,MATCH($D14,'Revenue Build'!$C$6:$C$97,0)+1,MATCH(EE$8,'Revenue Build'!$C$4:$ET$4,0)-1)</f>
        <v>#REF!</v>
      </c>
      <c r="EG15" s="46" t="e">
        <f ca="1">EF15-EE15</f>
        <v>#REF!</v>
      </c>
      <c r="EH15" s="659">
        <v>0.13367601928089012</v>
      </c>
      <c r="EI15" s="46" t="e">
        <f ca="1">EF15-EH15</f>
        <v>#REF!</v>
      </c>
      <c r="EJ15" s="539" t="e">
        <f ca="1">EJ14/CV14-1</f>
        <v>#REF!</v>
      </c>
      <c r="EK15" s="46" t="e">
        <f ca="1">EF15-EH15</f>
        <v>#REF!</v>
      </c>
      <c r="EL15" s="51" t="e">
        <f ca="1">EJ15-EH15</f>
        <v>#REF!</v>
      </c>
    </row>
    <row r="16" spans="2:142" s="59" customFormat="1" ht="19.2" customHeight="1">
      <c r="B16" s="42" t="s">
        <v>341</v>
      </c>
      <c r="D16" s="68" t="s">
        <v>321</v>
      </c>
      <c r="E16" s="67">
        <v>858.86199999999997</v>
      </c>
      <c r="F16" s="62" t="e">
        <f ca="1">OFFSET('Revenue Build'!#REF!,MATCH($D16,'Revenue Build'!$C$6:$C$97,0)-1,MATCH(E$8,'Revenue Build'!$C$4:$ET$4,0)-1)</f>
        <v>#REF!</v>
      </c>
      <c r="G16" s="46" t="e">
        <f t="shared" ca="1" si="0"/>
        <v>#REF!</v>
      </c>
      <c r="H16" s="63">
        <v>858.86199999999997</v>
      </c>
      <c r="I16" s="64">
        <v>1350</v>
      </c>
      <c r="J16" s="46">
        <f t="shared" si="1"/>
        <v>0.57184739806860718</v>
      </c>
      <c r="K16" s="67">
        <v>928.62</v>
      </c>
      <c r="L16" s="62" t="e">
        <f ca="1">OFFSET('Revenue Build'!#REF!,MATCH($D16,'Revenue Build'!$C$6:$C$97,0)-1,MATCH(K$8,'Revenue Build'!$C$4:$ET$4,0)-1)</f>
        <v>#REF!</v>
      </c>
      <c r="M16" s="46" t="e">
        <f ca="1">L16/K16-1</f>
        <v>#REF!</v>
      </c>
      <c r="N16" s="63">
        <v>928.62</v>
      </c>
      <c r="O16" s="64">
        <v>1482</v>
      </c>
      <c r="P16" s="46">
        <f>O16/N16-1</f>
        <v>0.59591652128965555</v>
      </c>
      <c r="Q16" s="67">
        <v>989.899</v>
      </c>
      <c r="R16" s="62" t="e">
        <f ca="1">OFFSET('Revenue Build'!#REF!,MATCH($D16,'Revenue Build'!$C$6:$C$97,0)-1,MATCH(Q$8,'Revenue Build'!$C$4:$ET$4,0)-1)</f>
        <v>#REF!</v>
      </c>
      <c r="S16" s="46" t="e">
        <f ca="1">R16/Q16-1</f>
        <v>#REF!</v>
      </c>
      <c r="T16" s="63">
        <v>989.899</v>
      </c>
      <c r="U16" s="64">
        <v>1552</v>
      </c>
      <c r="V16" s="46">
        <f>U16/T16-1</f>
        <v>0.56783671869554375</v>
      </c>
      <c r="W16" s="67">
        <v>1334.7239999999999</v>
      </c>
      <c r="X16" s="62" t="e">
        <f ca="1">OFFSET('Revenue Build'!#REF!,MATCH($D16,'Revenue Build'!$C$6:$C$97,0)-1,MATCH(W$8,'Revenue Build'!$C$4:$ET$4,0)-1)</f>
        <v>#REF!</v>
      </c>
      <c r="Y16" s="46" t="e">
        <f ca="1">X16/W16-1</f>
        <v>#REF!</v>
      </c>
      <c r="Z16" s="63">
        <v>1334.7239999999999</v>
      </c>
      <c r="AA16" s="64">
        <v>2146</v>
      </c>
      <c r="AB16" s="46">
        <f>AA16/Z16-1</f>
        <v>0.60782304056868686</v>
      </c>
      <c r="AC16" s="67">
        <v>4112.1049999999996</v>
      </c>
      <c r="AD16" s="62" t="e">
        <f ca="1">OFFSET('Revenue Build'!#REF!,MATCH($D16,'Revenue Build'!$C$6:$C$97,0)-1,MATCH(AC$8,'Revenue Build'!$C$4:$ET$4,0)-1)</f>
        <v>#REF!</v>
      </c>
      <c r="AE16" s="46" t="e">
        <f ca="1">AD16/AC16-1</f>
        <v>#REF!</v>
      </c>
      <c r="AF16" s="63">
        <v>4112.1049999999996</v>
      </c>
      <c r="AG16" s="46" t="e">
        <f ca="1">AD16/AF16-1</f>
        <v>#REF!</v>
      </c>
      <c r="AH16" s="64">
        <v>6530</v>
      </c>
      <c r="AI16" s="46">
        <f>AH16/AF16-1</f>
        <v>0.58799446998556726</v>
      </c>
      <c r="AJ16" s="67">
        <v>1126</v>
      </c>
      <c r="AK16" s="62" t="e">
        <f ca="1">OFFSET('Revenue Build'!#REF!,MATCH($D16,'Revenue Build'!$C$6:$C$97,0)-1,MATCH(AJ$8,'Revenue Build'!$C$4:$ET$4,0)-1)</f>
        <v>#REF!</v>
      </c>
      <c r="AL16" s="46" t="e">
        <f ca="1">AK16/AJ16-1</f>
        <v>#REF!</v>
      </c>
      <c r="AM16" s="63">
        <v>1126</v>
      </c>
      <c r="AN16" s="46" t="e">
        <f ca="1">AK16/AM16-1</f>
        <v>#REF!</v>
      </c>
      <c r="AO16" s="64">
        <v>1740</v>
      </c>
      <c r="AP16" s="46">
        <f>AO16/AM16-1</f>
        <v>0.54529307282415629</v>
      </c>
      <c r="AQ16" s="67">
        <v>1250</v>
      </c>
      <c r="AR16" s="62" t="e">
        <f ca="1">OFFSET('Revenue Build'!#REF!,MATCH($D16,'Revenue Build'!$C$6:$C$97,0)-1,MATCH(AQ$8,'Revenue Build'!$C$4:$ET$4,0)-1)</f>
        <v>#REF!</v>
      </c>
      <c r="AS16" s="46" t="e">
        <f ca="1">AR16/AQ16-1</f>
        <v>#REF!</v>
      </c>
      <c r="AT16" s="63">
        <v>1250</v>
      </c>
      <c r="AU16" s="46" t="e">
        <f ca="1">AR16/AT16-1</f>
        <v>#REF!</v>
      </c>
      <c r="AV16" s="64">
        <v>2024</v>
      </c>
      <c r="AW16" s="46">
        <f>AV16/AT16-1</f>
        <v>0.61919999999999997</v>
      </c>
      <c r="AX16" s="67">
        <v>1228</v>
      </c>
      <c r="AY16" s="62" t="e">
        <f ca="1">OFFSET('Revenue Build'!#REF!,MATCH($D16,'Revenue Build'!$C$6:$C$97,0)-1,MATCH(AX$8,'Revenue Build'!$C$4:$ET$4,0)-1)</f>
        <v>#REF!</v>
      </c>
      <c r="AZ16" s="46" t="e">
        <f ca="1">AY16/AX16-1</f>
        <v>#REF!</v>
      </c>
      <c r="BA16" s="63">
        <v>1228</v>
      </c>
      <c r="BB16" s="46" t="e">
        <f ca="1">AY16/BA16-1</f>
        <v>#REF!</v>
      </c>
      <c r="BC16" s="64">
        <v>2145</v>
      </c>
      <c r="BD16" s="46">
        <f>BC16/BA16-1</f>
        <v>0.74674267100977199</v>
      </c>
      <c r="BE16" s="67">
        <v>1718.0812920762992</v>
      </c>
      <c r="BF16" s="62" t="e">
        <f ca="1">OFFSET('Revenue Build'!#REF!,MATCH($D16,'Revenue Build'!$C$6:$C$97,0)-1,MATCH(BE$8,'Revenue Build'!$C$4:$ET$4,0)-1)</f>
        <v>#REF!</v>
      </c>
      <c r="BG16" s="46" t="e">
        <f ca="1">BF16/BE16-1</f>
        <v>#REF!</v>
      </c>
      <c r="BH16" s="63">
        <v>1570.9265</v>
      </c>
      <c r="BI16" s="46" t="e">
        <f ca="1">BF16/BH16-1</f>
        <v>#REF!</v>
      </c>
      <c r="BJ16" s="64">
        <v>2895</v>
      </c>
      <c r="BK16" s="46">
        <f>BJ16/BH16-1</f>
        <v>0.84286152152885574</v>
      </c>
      <c r="BL16" s="67">
        <v>5322.0812920762992</v>
      </c>
      <c r="BM16" s="62" t="e">
        <f ca="1">OFFSET('Revenue Build'!#REF!,MATCH($D16,'Revenue Build'!$C$6:$C$97,0)-1,MATCH(BL$8,'Revenue Build'!$C$4:$ET$4,0)-1)</f>
        <v>#REF!</v>
      </c>
      <c r="BN16" s="46" t="e">
        <f ca="1">BM16/BL16-1</f>
        <v>#REF!</v>
      </c>
      <c r="BO16" s="63">
        <v>5174.3370000000004</v>
      </c>
      <c r="BP16" s="46" t="e">
        <f ca="1">BM16/BO16-1</f>
        <v>#REF!</v>
      </c>
      <c r="BQ16" s="64">
        <v>8804</v>
      </c>
      <c r="BR16" s="46">
        <f>BQ16/BO16-1</f>
        <v>0.70147402459484165</v>
      </c>
      <c r="BS16" s="67">
        <v>1361.8822925803254</v>
      </c>
      <c r="BT16" s="62" t="e">
        <f ca="1">OFFSET('Revenue Build'!#REF!,MATCH($D16,'Revenue Build'!$C$6:$C$97,0)-1,MATCH(BS$8,'Revenue Build'!$C$4:$ET$4,0)-1)</f>
        <v>#REF!</v>
      </c>
      <c r="BU16" s="46" t="e">
        <f ca="1">BT16/BS16-1</f>
        <v>#REF!</v>
      </c>
      <c r="BV16" s="63">
        <v>1322.7509</v>
      </c>
      <c r="BW16" s="46" t="e">
        <f ca="1">BT16/BV16-1</f>
        <v>#REF!</v>
      </c>
      <c r="BX16" s="64">
        <v>2420</v>
      </c>
      <c r="BY16" s="46">
        <f>BX16/BV16-1</f>
        <v>0.82952058471477885</v>
      </c>
      <c r="BZ16" s="67">
        <v>1481.0854062240353</v>
      </c>
      <c r="CA16" s="62" t="e">
        <f ca="1">OFFSET('Revenue Build'!#REF!,MATCH($D16,'Revenue Build'!$C$6:$C$97,0)-1,MATCH(BZ$8,'Revenue Build'!$C$4:$ET$4,0)-1)</f>
        <v>#REF!</v>
      </c>
      <c r="CB16" s="46" t="e">
        <f ca="1">CA16/BZ16-1</f>
        <v>#REF!</v>
      </c>
      <c r="CC16" s="63">
        <v>1463.64</v>
      </c>
      <c r="CD16" s="46" t="e">
        <f ca="1">CA16/CC16-1</f>
        <v>#REF!</v>
      </c>
      <c r="CE16" s="64">
        <v>2781</v>
      </c>
      <c r="CF16" s="46">
        <f>CE16/CC16-1</f>
        <v>0.90005739116176087</v>
      </c>
      <c r="CG16" s="67">
        <v>1548.9188831467798</v>
      </c>
      <c r="CH16" s="62" t="e">
        <f ca="1">OFFSET('Revenue Build'!#REF!,MATCH($D16,'Revenue Build'!$C$6:$C$97,0)-1,MATCH(CG$8,'Revenue Build'!$C$4:$ET$4,0)-1)</f>
        <v>#REF!</v>
      </c>
      <c r="CI16" s="46" t="e">
        <f ca="1">CH16/CG16-1</f>
        <v>#REF!</v>
      </c>
      <c r="CJ16" s="63">
        <v>1483.6270999999999</v>
      </c>
      <c r="CK16" s="46" t="e">
        <f ca="1">CH16/CJ16-1</f>
        <v>#REF!</v>
      </c>
      <c r="CL16" s="64">
        <v>2784.4268000000002</v>
      </c>
      <c r="CM16" s="46">
        <f>CL16/CJ16-1</f>
        <v>0.87676997811646906</v>
      </c>
      <c r="CN16" s="67">
        <v>2107.3247358877443</v>
      </c>
      <c r="CO16" s="62" t="e">
        <f ca="1">OFFSET('Revenue Build'!#REF!,MATCH($D16,'Revenue Build'!$C$6:$C$97,0)-1,MATCH(CN$8,'Revenue Build'!$C$4:$ET$4,0)-1)</f>
        <v>#REF!</v>
      </c>
      <c r="CP16" s="46" t="e">
        <f ca="1">CO16/CN16-1</f>
        <v>#REF!</v>
      </c>
      <c r="CQ16" s="63">
        <v>1916.5413000000001</v>
      </c>
      <c r="CR16" s="46" t="e">
        <f ca="1">CO16/CQ16-1</f>
        <v>#REF!</v>
      </c>
      <c r="CS16" s="64">
        <v>3698.4079999999999</v>
      </c>
      <c r="CT16" s="46">
        <f>CS16/CQ16-1</f>
        <v>0.92973039506114463</v>
      </c>
      <c r="CU16" s="67">
        <v>6499.2113178388845</v>
      </c>
      <c r="CV16" s="62" t="e">
        <f ca="1">OFFSET('Revenue Build'!#REF!,MATCH($D16,'Revenue Build'!$C$6:$C$97,0)-1,MATCH(CU$8,'Revenue Build'!$C$4:$ET$4,0)-1)</f>
        <v>#REF!</v>
      </c>
      <c r="CW16" s="46" t="e">
        <f ca="1">CV16/CU16-1</f>
        <v>#REF!</v>
      </c>
      <c r="CX16" s="63">
        <v>6192.3734999999997</v>
      </c>
      <c r="CY16" s="46" t="e">
        <f ca="1">CV16/CX16-1</f>
        <v>#REF!</v>
      </c>
      <c r="CZ16" s="64">
        <v>11599.311</v>
      </c>
      <c r="DA16" s="46">
        <f>CZ16/CX16-1</f>
        <v>0.87316075168915441</v>
      </c>
      <c r="DB16" s="67">
        <v>1668.8366364673743</v>
      </c>
      <c r="DC16" s="62" t="e">
        <f ca="1">OFFSET('Revenue Build'!#REF!,MATCH($D16,'Revenue Build'!$C$6:$C$97,0)-1,MATCH(DB$8,'Revenue Build'!$C$4:$ET$4,0)-1)</f>
        <v>#REF!</v>
      </c>
      <c r="DD16" s="46" t="e">
        <f ca="1">DC16/DB16-1</f>
        <v>#REF!</v>
      </c>
      <c r="DE16" s="63">
        <v>1653.2393999999999</v>
      </c>
      <c r="DF16" s="46" t="e">
        <f ca="1">DC16/DE16-1</f>
        <v>#REF!</v>
      </c>
      <c r="DG16" s="64">
        <v>3062.951</v>
      </c>
      <c r="DH16" s="46">
        <f>DG16/DE16-1</f>
        <v>0.85269659070549619</v>
      </c>
      <c r="DI16" s="67">
        <v>1815.2007171576406</v>
      </c>
      <c r="DJ16" s="62" t="e">
        <f ca="1">OFFSET('Revenue Build'!#REF!,MATCH($D16,'Revenue Build'!$C$6:$C$97,0)-1,MATCH(DI$8,'Revenue Build'!$C$4:$ET$4,0)-1)</f>
        <v>#REF!</v>
      </c>
      <c r="DK16" s="46" t="e">
        <f ca="1">DJ16/DI16-1</f>
        <v>#REF!</v>
      </c>
      <c r="DL16" s="63">
        <v>1783.4698000000001</v>
      </c>
      <c r="DM16" s="46" t="e">
        <f ca="1">DJ16/DL16-1</f>
        <v>#REF!</v>
      </c>
      <c r="DN16" s="64">
        <v>3372.4704999999999</v>
      </c>
      <c r="DO16" s="46">
        <f>DN16/DL16-1</f>
        <v>0.8909602506305403</v>
      </c>
      <c r="DP16" s="67">
        <v>1894.6823656187964</v>
      </c>
      <c r="DQ16" s="62" t="e">
        <f ca="1">OFFSET('Revenue Build'!#REF!,MATCH($D16,'Revenue Build'!$C$6:$C$97,0)-1,MATCH(DP$8,'Revenue Build'!$C$4:$ET$4,0)-1)</f>
        <v>#REF!</v>
      </c>
      <c r="DR16" s="46" t="e">
        <f ca="1">DQ16/DP16-1</f>
        <v>#REF!</v>
      </c>
      <c r="DS16" s="63">
        <v>1797.1952000000001</v>
      </c>
      <c r="DT16" s="46" t="e">
        <f ca="1">DQ16/DS16-1</f>
        <v>#REF!</v>
      </c>
      <c r="DU16" s="64">
        <v>3493.7424000000001</v>
      </c>
      <c r="DV16" s="46">
        <f>DU16/DS16-1</f>
        <v>0.94399717960519802</v>
      </c>
      <c r="DW16" s="67">
        <v>2574.6843837709057</v>
      </c>
      <c r="DX16" s="62" t="e">
        <f ca="1">OFFSET('Revenue Build'!#REF!,MATCH($D16,'Revenue Build'!$C$6:$C$97,0)-1,MATCH(DW$8,'Revenue Build'!$C$4:$ET$4,0)-1)</f>
        <v>#REF!</v>
      </c>
      <c r="DY16" s="46" t="e">
        <f ca="1">DX16/DW16-1</f>
        <v>#REF!</v>
      </c>
      <c r="DZ16" s="63">
        <v>2323.4340000000002</v>
      </c>
      <c r="EA16" s="46" t="e">
        <f ca="1">DX16/DZ16-1</f>
        <v>#REF!</v>
      </c>
      <c r="EB16" s="64">
        <v>4581.3540000000003</v>
      </c>
      <c r="EC16" s="46" t="e">
        <f ca="1">DX16/EB16-1</f>
        <v>#REF!</v>
      </c>
      <c r="ED16" s="46">
        <f>EB16/DZ16-1</f>
        <v>0.97180294340187845</v>
      </c>
      <c r="EE16" s="67">
        <v>7953.4041030147173</v>
      </c>
      <c r="EF16" s="62" t="e">
        <f ca="1">OFFSET('Revenue Build'!#REF!,MATCH($D16,'Revenue Build'!$C$6:$C$97,0)-1,MATCH(EE$8,'Revenue Build'!$C$4:$ET$4,0)-1)</f>
        <v>#REF!</v>
      </c>
      <c r="EG16" s="46" t="e">
        <f ca="1">EF16/EE16-1</f>
        <v>#REF!</v>
      </c>
      <c r="EH16" s="63">
        <v>7467.0326999999997</v>
      </c>
      <c r="EI16" s="46" t="e">
        <f ca="1">EF16/EH16-1</f>
        <v>#REF!</v>
      </c>
      <c r="EJ16" s="64">
        <v>14477.754000000001</v>
      </c>
      <c r="EK16" s="46" t="e">
        <f ca="1">EF16/EJ16-1</f>
        <v>#REF!</v>
      </c>
      <c r="EL16" s="51">
        <f>EJ16/EH16-1</f>
        <v>0.93888986183226453</v>
      </c>
    </row>
    <row r="17" spans="2:142" s="59" customFormat="1" ht="19.2" customHeight="1">
      <c r="B17" s="42"/>
      <c r="D17" s="663" t="s">
        <v>129</v>
      </c>
      <c r="E17" s="664">
        <v>0.28578700113478828</v>
      </c>
      <c r="F17" s="665" t="e">
        <f ca="1">OFFSET('Revenue Build'!#REF!,MATCH($D16,'Revenue Build'!$C$6:$C$97,0)+1,MATCH(E$8,'Revenue Build'!$C$4:$ET$4,0)-1)</f>
        <v>#REF!</v>
      </c>
      <c r="G17" s="55" t="e">
        <f ca="1">F17-E17</f>
        <v>#REF!</v>
      </c>
      <c r="H17" s="666"/>
      <c r="I17" s="667"/>
      <c r="J17" s="58">
        <f>I17-H17</f>
        <v>0</v>
      </c>
      <c r="K17" s="664">
        <v>0.18264205153284241</v>
      </c>
      <c r="L17" s="665" t="e">
        <f ca="1">OFFSET('Revenue Build'!#REF!,MATCH($D16,'Revenue Build'!$C$6:$C$97,0)+1,MATCH(K$8,'Revenue Build'!$C$4:$ET$4,0)-1)</f>
        <v>#REF!</v>
      </c>
      <c r="M17" s="55" t="e">
        <f ca="1">L17-K17</f>
        <v>#REF!</v>
      </c>
      <c r="N17" s="666"/>
      <c r="O17" s="667"/>
      <c r="P17" s="58">
        <f>O17-N17</f>
        <v>0</v>
      </c>
      <c r="Q17" s="664">
        <v>0.25696352656146026</v>
      </c>
      <c r="R17" s="665" t="e">
        <f ca="1">OFFSET('Revenue Build'!#REF!,MATCH($D16,'Revenue Build'!$C$6:$C$97,0)+1,MATCH(Q$8,'Revenue Build'!$C$4:$ET$4,0)-1)</f>
        <v>#REF!</v>
      </c>
      <c r="S17" s="55" t="e">
        <f ca="1">R17-Q17</f>
        <v>#REF!</v>
      </c>
      <c r="T17" s="666"/>
      <c r="U17" s="667"/>
      <c r="V17" s="58">
        <f>U17-T17</f>
        <v>0</v>
      </c>
      <c r="W17" s="664">
        <v>0.29733985474564917</v>
      </c>
      <c r="X17" s="665" t="e">
        <f ca="1">OFFSET('Revenue Build'!#REF!,MATCH($D16,'Revenue Build'!$C$6:$C$97,0)+1,MATCH(W$8,'Revenue Build'!$C$4:$ET$4,0)-1)</f>
        <v>#REF!</v>
      </c>
      <c r="Y17" s="55" t="e">
        <f ca="1">X17-W17</f>
        <v>#REF!</v>
      </c>
      <c r="Z17" s="666"/>
      <c r="AA17" s="667"/>
      <c r="AB17" s="58">
        <f>AA17-Z17</f>
        <v>0</v>
      </c>
      <c r="AC17" s="668">
        <v>0.25770831332531174</v>
      </c>
      <c r="AD17" s="665" t="e">
        <f ca="1">OFFSET('Revenue Build'!#REF!,MATCH($D16,'Revenue Build'!$C$6:$C$97,0)+1,MATCH(AC$8,'Revenue Build'!$C$4:$ET$4,0)-1)</f>
        <v>#REF!</v>
      </c>
      <c r="AE17" s="55" t="e">
        <f ca="1">AD17-AC17</f>
        <v>#REF!</v>
      </c>
      <c r="AF17" s="666"/>
      <c r="AG17" s="69"/>
      <c r="AH17" s="667"/>
      <c r="AI17" s="55"/>
      <c r="AJ17" s="664">
        <v>0.31103716312981611</v>
      </c>
      <c r="AK17" s="665" t="e">
        <f ca="1">OFFSET('Revenue Build'!#REF!,MATCH($D16,'Revenue Build'!$C$6:$C$97,0)+1,MATCH(AJ$8,'Revenue Build'!$C$4:$ET$4,0)-1)</f>
        <v>#REF!</v>
      </c>
      <c r="AL17" s="55" t="e">
        <f ca="1">AK17-AJ17</f>
        <v>#REF!</v>
      </c>
      <c r="AM17" s="667" t="e">
        <f ca="1">AM16/F16-1</f>
        <v>#REF!</v>
      </c>
      <c r="AN17" s="46" t="e">
        <f ca="1">AK17-AM17</f>
        <v>#REF!</v>
      </c>
      <c r="AO17" s="667" t="e">
        <f ca="1">AO16/F16-1</f>
        <v>#REF!</v>
      </c>
      <c r="AP17" s="58" t="e">
        <f ca="1">AO17-AM17</f>
        <v>#REF!</v>
      </c>
      <c r="AQ17" s="664">
        <v>0.34608343563567434</v>
      </c>
      <c r="AR17" s="665" t="e">
        <f ca="1">OFFSET('Revenue Build'!#REF!,MATCH($D16,'Revenue Build'!$C$6:$C$97,0)+1,MATCH(AQ$8,'Revenue Build'!$C$4:$ET$4,0)-1)</f>
        <v>#REF!</v>
      </c>
      <c r="AS17" s="55" t="e">
        <f ca="1">AR17-AQ17</f>
        <v>#REF!</v>
      </c>
      <c r="AT17" s="667" t="e">
        <v>#DIV/0!</v>
      </c>
      <c r="AU17" s="46" t="e">
        <f ca="1">AR17-AT17</f>
        <v>#REF!</v>
      </c>
      <c r="AV17" s="667" t="e">
        <f ca="1">AV16/M16-1</f>
        <v>#REF!</v>
      </c>
      <c r="AW17" s="58" t="e">
        <f ca="1">AV17-AT17</f>
        <v>#REF!</v>
      </c>
      <c r="AX17" s="664">
        <v>0.24053059958642242</v>
      </c>
      <c r="AY17" s="665" t="e">
        <f ca="1">OFFSET('Revenue Build'!#REF!,MATCH($D16,'Revenue Build'!$C$6:$C$97,0)+1,MATCH(AX$8,'Revenue Build'!$C$4:$ET$4,0)-1)</f>
        <v>#REF!</v>
      </c>
      <c r="AZ17" s="55" t="e">
        <f ca="1">AY17-AX17</f>
        <v>#REF!</v>
      </c>
      <c r="BA17" s="667">
        <v>0.24053059958642242</v>
      </c>
      <c r="BB17" s="46" t="e">
        <f ca="1">AY17-BA17</f>
        <v>#REF!</v>
      </c>
      <c r="BC17" s="667">
        <f>BC16/T16-1</f>
        <v>1.1668877329909413</v>
      </c>
      <c r="BD17" s="58">
        <f>BC17-BA17</f>
        <v>0.92635713340451886</v>
      </c>
      <c r="BE17" s="664">
        <v>0.28721840026574719</v>
      </c>
      <c r="BF17" s="665" t="e">
        <f ca="1">OFFSET('Revenue Build'!#REF!,MATCH($D16,'Revenue Build'!$C$6:$C$97,0)+1,MATCH(BE$8,'Revenue Build'!$C$4:$ET$4,0)-1)</f>
        <v>#REF!</v>
      </c>
      <c r="BG17" s="55" t="e">
        <f ca="1">BF17-BE17</f>
        <v>#REF!</v>
      </c>
      <c r="BH17" s="667">
        <v>0.17696729810807343</v>
      </c>
      <c r="BI17" s="46" t="e">
        <f ca="1">BF17-BH17</f>
        <v>#REF!</v>
      </c>
      <c r="BJ17" s="667">
        <f>BJ16/AA16-1</f>
        <v>0.34902143522833184</v>
      </c>
      <c r="BK17" s="58">
        <f>BJ17-BH17</f>
        <v>0.17205413712025841</v>
      </c>
      <c r="BL17" s="668">
        <v>0.29424742122983227</v>
      </c>
      <c r="BM17" s="665" t="e">
        <f ca="1">OFFSET('Revenue Build'!#REF!,MATCH($D16,'Revenue Build'!$C$6:$C$97,0)+1,MATCH(BL$8,'Revenue Build'!$C$4:$ET$4,0)-1)</f>
        <v>#REF!</v>
      </c>
      <c r="BN17" s="55" t="e">
        <f ca="1">BM17-BL17</f>
        <v>#REF!</v>
      </c>
      <c r="BO17" s="665" t="e">
        <f ca="1">BO16/AD16-1</f>
        <v>#REF!</v>
      </c>
      <c r="BP17" s="55" t="e">
        <f ca="1">BO17-BM17</f>
        <v>#REF!</v>
      </c>
      <c r="BQ17" s="667" t="e">
        <f ca="1">BQ16/AD16-1</f>
        <v>#REF!</v>
      </c>
      <c r="BR17" s="58" t="e">
        <f ca="1">BQ17-BO17</f>
        <v>#REF!</v>
      </c>
      <c r="BS17" s="664">
        <v>0.20948693834842391</v>
      </c>
      <c r="BT17" s="665" t="e">
        <f ca="1">OFFSET('Revenue Build'!#REF!,MATCH($D16,'Revenue Build'!$C$6:$C$97,0)+1,MATCH(BS$8,'Revenue Build'!$C$4:$ET$4,0)-1)</f>
        <v>#REF!</v>
      </c>
      <c r="BU17" s="55" t="e">
        <f ca="1">BT17-BS17</f>
        <v>#REF!</v>
      </c>
      <c r="BV17" s="667">
        <v>0.17473436944937837</v>
      </c>
      <c r="BW17" s="46" t="e">
        <f ca="1">BT17-BV17</f>
        <v>#REF!</v>
      </c>
      <c r="BX17" s="667">
        <f>BX16/AO16-1</f>
        <v>0.39080459770114939</v>
      </c>
      <c r="BY17" s="58">
        <f>BX17-BV17</f>
        <v>0.21607022825177102</v>
      </c>
      <c r="BZ17" s="664">
        <v>0.18486832497922823</v>
      </c>
      <c r="CA17" s="665" t="e">
        <f ca="1">OFFSET('Revenue Build'!#REF!,MATCH($D16,'Revenue Build'!$C$6:$C$97,0)+1,MATCH(BZ$8,'Revenue Build'!$C$4:$ET$4,0)-1)</f>
        <v>#REF!</v>
      </c>
      <c r="CB17" s="55" t="e">
        <f ca="1">CA17-BZ17</f>
        <v>#REF!</v>
      </c>
      <c r="CC17" s="667">
        <v>0.17091200000000017</v>
      </c>
      <c r="CD17" s="46" t="e">
        <f ca="1">CA17-CC17</f>
        <v>#REF!</v>
      </c>
      <c r="CE17" s="667">
        <f>CE16/AV16-1</f>
        <v>0.37401185770750978</v>
      </c>
      <c r="CF17" s="58">
        <f>CE17-CC17</f>
        <v>0.2030998577075096</v>
      </c>
      <c r="CG17" s="664">
        <v>0.26133459539640036</v>
      </c>
      <c r="CH17" s="665" t="e">
        <f ca="1">OFFSET('Revenue Build'!#REF!,MATCH($D16,'Revenue Build'!$C$6:$C$97,0)+1,MATCH(CG$8,'Revenue Build'!$C$4:$ET$4,0)-1)</f>
        <v>#REF!</v>
      </c>
      <c r="CI17" s="55" t="e">
        <f ca="1">CH17-CG17</f>
        <v>#REF!</v>
      </c>
      <c r="CJ17" s="667">
        <v>0.20816539087947872</v>
      </c>
      <c r="CK17" s="46" t="e">
        <f ca="1">CH17-CJ17</f>
        <v>#REF!</v>
      </c>
      <c r="CL17" s="667">
        <f>CL16/BC16-1</f>
        <v>0.29810107226107241</v>
      </c>
      <c r="CM17" s="58">
        <f>CL17-CJ17</f>
        <v>8.9935681381593691E-2</v>
      </c>
      <c r="CN17" s="664">
        <v>0.22655705850859054</v>
      </c>
      <c r="CO17" s="665" t="e">
        <f ca="1">OFFSET('Revenue Build'!#REF!,MATCH($D16,'Revenue Build'!$C$6:$C$97,0)+1,MATCH(CN$8,'Revenue Build'!$C$4:$ET$4,0)-1)</f>
        <v>#REF!</v>
      </c>
      <c r="CP17" s="55" t="e">
        <f ca="1">CO17-CN17</f>
        <v>#REF!</v>
      </c>
      <c r="CQ17" s="667">
        <v>0.22000698314020428</v>
      </c>
      <c r="CR17" s="46" t="e">
        <f ca="1">CO17-CQ17</f>
        <v>#REF!</v>
      </c>
      <c r="CS17" s="667">
        <f>CS16/BJ16-1</f>
        <v>0.27751571675302245</v>
      </c>
      <c r="CT17" s="58">
        <f>CS17-CQ17</f>
        <v>5.7508733612818164E-2</v>
      </c>
      <c r="CU17" s="668">
        <v>0.22117851290906398</v>
      </c>
      <c r="CV17" s="665" t="e">
        <f ca="1">OFFSET('Revenue Build'!#REF!,MATCH($D16,'Revenue Build'!$C$6:$C$97,0)+1,MATCH(CU$8,'Revenue Build'!$C$4:$ET$4,0)-1)</f>
        <v>#REF!</v>
      </c>
      <c r="CW17" s="55" t="e">
        <f ca="1">CV17-CU17</f>
        <v>#REF!</v>
      </c>
      <c r="CX17" s="665">
        <v>0.16352478666934722</v>
      </c>
      <c r="CY17" s="55" t="e">
        <f ca="1">CX17-CV17</f>
        <v>#REF!</v>
      </c>
      <c r="CZ17" s="667" t="e">
        <f ca="1">CZ16/BM16-1</f>
        <v>#REF!</v>
      </c>
      <c r="DA17" s="58" t="e">
        <f ca="1">CZ17-CX17</f>
        <v>#REF!</v>
      </c>
      <c r="DB17" s="664">
        <v>0.22538977528334692</v>
      </c>
      <c r="DC17" s="665" t="e">
        <f ca="1">OFFSET('Revenue Build'!#REF!,MATCH($D16,'Revenue Build'!$C$6:$C$97,0)+1,MATCH(DB$8,'Revenue Build'!$C$4:$ET$4,0)-1)</f>
        <v>#REF!</v>
      </c>
      <c r="DD17" s="55" t="e">
        <f ca="1">DC17-DB17</f>
        <v>#REF!</v>
      </c>
      <c r="DE17" s="667">
        <v>0.24984938585186356</v>
      </c>
      <c r="DF17" s="46" t="e">
        <f ca="1">DC17-DE17</f>
        <v>#REF!</v>
      </c>
      <c r="DG17" s="667">
        <f>DG16/BX16-1</f>
        <v>0.26568223140495872</v>
      </c>
      <c r="DH17" s="58">
        <f>DG17-DE17</f>
        <v>1.5832845553095165E-2</v>
      </c>
      <c r="DI17" s="664">
        <v>0.22558814605122479</v>
      </c>
      <c r="DJ17" s="665" t="e">
        <f ca="1">OFFSET('Revenue Build'!#REF!,MATCH($D16,'Revenue Build'!$C$6:$C$97,0)+1,MATCH(DI$8,'Revenue Build'!$C$4:$ET$4,0)-1)</f>
        <v>#REF!</v>
      </c>
      <c r="DK17" s="55" t="e">
        <f ca="1">DJ17-DI17</f>
        <v>#REF!</v>
      </c>
      <c r="DL17" s="667">
        <v>0.2185167117597222</v>
      </c>
      <c r="DM17" s="46" t="e">
        <f ca="1">DJ17-DL17</f>
        <v>#REF!</v>
      </c>
      <c r="DN17" s="667">
        <f>DN16/CE16-1</f>
        <v>0.21268266810499825</v>
      </c>
      <c r="DO17" s="58">
        <f>DN17-DL17</f>
        <v>-5.8340436547239527E-3</v>
      </c>
      <c r="DP17" s="664">
        <v>0.22322891549334356</v>
      </c>
      <c r="DQ17" s="665" t="e">
        <f ca="1">OFFSET('Revenue Build'!#REF!,MATCH($D16,'Revenue Build'!$C$6:$C$97,0)+1,MATCH(DP$8,'Revenue Build'!$C$4:$ET$4,0)-1)</f>
        <v>#REF!</v>
      </c>
      <c r="DR17" s="55" t="e">
        <f ca="1">DQ17-DP17</f>
        <v>#REF!</v>
      </c>
      <c r="DS17" s="667">
        <v>0.2113523674513631</v>
      </c>
      <c r="DT17" s="46" t="e">
        <f ca="1">DQ17-DS17</f>
        <v>#REF!</v>
      </c>
      <c r="DU17" s="667">
        <f>DU16/CL16-1</f>
        <v>0.25474384889557866</v>
      </c>
      <c r="DV17" s="58">
        <f>DU17-DS17</f>
        <v>4.3391481444215563E-2</v>
      </c>
      <c r="DW17" s="664">
        <v>0.22177865609605663</v>
      </c>
      <c r="DX17" s="665" t="e">
        <f ca="1">OFFSET('Revenue Build'!#REF!,MATCH($D16,'Revenue Build'!$C$6:$C$97,0)+1,MATCH(DW$8,'Revenue Build'!$C$4:$ET$4,0)-1)</f>
        <v>#REF!</v>
      </c>
      <c r="DY17" s="55" t="e">
        <f ca="1">DX17-DW17</f>
        <v>#REF!</v>
      </c>
      <c r="DZ17" s="667">
        <v>0.21230573011914755</v>
      </c>
      <c r="EA17" s="46" t="e">
        <f ca="1">DX17-DZ17</f>
        <v>#REF!</v>
      </c>
      <c r="EB17" s="667">
        <f>EB16/CS16-1</f>
        <v>0.23873677539092508</v>
      </c>
      <c r="EC17" s="55" t="e">
        <f ca="1">DX17-DZ17</f>
        <v>#REF!</v>
      </c>
      <c r="ED17" s="58">
        <f>EB17-DZ17</f>
        <v>2.6431045271777531E-2</v>
      </c>
      <c r="EE17" s="668">
        <v>0.22374911570953193</v>
      </c>
      <c r="EF17" s="665" t="e">
        <f ca="1">OFFSET('Revenue Build'!#REF!,MATCH($D16,'Revenue Build'!$C$6:$C$97,0)+1,MATCH(EE$8,'Revenue Build'!$C$4:$ET$4,0)-1)</f>
        <v>#REF!</v>
      </c>
      <c r="EG17" s="55" t="e">
        <f ca="1">EF17-EE17</f>
        <v>#REF!</v>
      </c>
      <c r="EH17" s="665">
        <v>0.1489136658019814</v>
      </c>
      <c r="EI17" s="55" t="e">
        <f ca="1">EF17-EH17</f>
        <v>#REF!</v>
      </c>
      <c r="EJ17" s="667" t="e">
        <f ca="1">EJ16/CV16-1</f>
        <v>#REF!</v>
      </c>
      <c r="EK17" s="55" t="e">
        <f ca="1">EF17-EH17</f>
        <v>#REF!</v>
      </c>
      <c r="EL17" s="58" t="e">
        <f ca="1">EJ17-EH17</f>
        <v>#REF!</v>
      </c>
    </row>
    <row r="18" spans="2:142" ht="24.75" customHeight="1">
      <c r="B18" s="42" t="s">
        <v>342</v>
      </c>
      <c r="D18" s="60" t="s">
        <v>88</v>
      </c>
      <c r="E18" s="61">
        <v>36.683000000000106</v>
      </c>
      <c r="F18" s="70">
        <f ca="1">OFFSET(Income!$C$4,MATCH($D18,Income!$C$4:$C$134,0)-1,MATCH(E$8,Income!$C$4:$ET$4,0)-1)</f>
        <v>207</v>
      </c>
      <c r="G18" s="46">
        <f t="shared" ca="1" si="0"/>
        <v>4.6429408717934573</v>
      </c>
      <c r="H18" s="63">
        <v>47.487569999999998</v>
      </c>
      <c r="I18" s="64">
        <v>209.07142999999999</v>
      </c>
      <c r="J18" s="46">
        <f t="shared" si="1"/>
        <v>3.4026558950057879</v>
      </c>
      <c r="K18" s="61">
        <v>-34.385999999999967</v>
      </c>
      <c r="L18" s="70">
        <f ca="1">OFFSET(Income!$C$4,MATCH($D18,Income!$C$4:$C$134,0)-1,MATCH(K$8,Income!$C$4:$ET$4,0)-1)</f>
        <v>305</v>
      </c>
      <c r="M18" s="46">
        <f ca="1">L18/K18-1</f>
        <v>-9.8698889082766321</v>
      </c>
      <c r="N18" s="63">
        <v>-27.44143</v>
      </c>
      <c r="O18" s="64">
        <v>307.92856</v>
      </c>
      <c r="P18" s="46">
        <f>O18/N18-1</f>
        <v>-12.221301513805949</v>
      </c>
      <c r="Q18" s="61">
        <v>-40.27000000000001</v>
      </c>
      <c r="R18" s="70" t="e">
        <f ca="1">OFFSET(Income!$C$4,MATCH($D18,Income!$C$4:$C$134,0)-1,MATCH(Q$8,Income!$C$4:$ET$4,0)-1)</f>
        <v>#N/A</v>
      </c>
      <c r="S18" s="46" t="e">
        <f ca="1">R18/Q18-1</f>
        <v>#N/A</v>
      </c>
      <c r="T18" s="63">
        <v>-23.876249999999999</v>
      </c>
      <c r="U18" s="64">
        <v>406.5625</v>
      </c>
      <c r="V18" s="46">
        <f>U18/T18-1</f>
        <v>-18.027904298204284</v>
      </c>
      <c r="W18" s="61">
        <v>67.131000000000085</v>
      </c>
      <c r="X18" s="70" t="e">
        <f ca="1">OFFSET(Income!$C$4,MATCH($D18,Income!$C$4:$C$134,0)-1,MATCH(W$8,Income!$C$4:$ET$4,0)-1)</f>
        <v>#N/A</v>
      </c>
      <c r="Y18" s="46" t="e">
        <f ca="1">X18/W18-1</f>
        <v>#N/A</v>
      </c>
      <c r="Z18" s="63">
        <v>85.808390000000003</v>
      </c>
      <c r="AA18" s="64">
        <v>591.6</v>
      </c>
      <c r="AB18" s="46">
        <f>AA18/Z18-1</f>
        <v>5.8944307194203267</v>
      </c>
      <c r="AC18" s="61">
        <v>29.158000000000214</v>
      </c>
      <c r="AD18" s="70" t="e">
        <f ca="1">OFFSET(Income!$C$4,MATCH($D18,Income!$C$4:$C$134,0)-1,MATCH(AC$8,Income!$C$4:$ET$4,0)-1)</f>
        <v>#N/A</v>
      </c>
      <c r="AE18" s="46" t="e">
        <f ca="1">AD18/AC18-1</f>
        <v>#N/A</v>
      </c>
      <c r="AF18" s="63">
        <v>79.164000000000001</v>
      </c>
      <c r="AG18" s="46" t="e">
        <f t="shared" ref="AG18:AG23" ca="1" si="2">AD18/AF18-1</f>
        <v>#N/A</v>
      </c>
      <c r="AH18" s="64">
        <v>1505.7</v>
      </c>
      <c r="AI18" s="46">
        <f>AH18/AF18-1</f>
        <v>18.0200090950432</v>
      </c>
      <c r="AJ18" s="61">
        <v>-29</v>
      </c>
      <c r="AK18" s="70" t="e">
        <f ca="1">OFFSET(Income!$C$4,MATCH($D18,Income!$C$4:$C$134,0)-1,MATCH(AJ$8,Income!$C$4:$ET$4,0)-1)</f>
        <v>#N/A</v>
      </c>
      <c r="AL18" s="46" t="e">
        <f ca="1">AK18/AJ18-1</f>
        <v>#N/A</v>
      </c>
      <c r="AM18" s="63">
        <v>-1.9851000000000001</v>
      </c>
      <c r="AN18" s="50" t="e">
        <f ca="1">AK18/AM18-1</f>
        <v>#N/A</v>
      </c>
      <c r="AO18" s="64">
        <v>335.5</v>
      </c>
      <c r="AP18" s="46">
        <f>AO18/AM18-1</f>
        <v>-170.00911792856783</v>
      </c>
      <c r="AQ18" s="61">
        <v>148</v>
      </c>
      <c r="AR18" s="70" t="e">
        <f ca="1">OFFSET(Income!$C$4,MATCH($D18,Income!$C$4:$C$134,0)-1,MATCH(AQ$8,Income!$C$4:$ET$4,0)-1)</f>
        <v>#N/A</v>
      </c>
      <c r="AS18" s="46" t="e">
        <f ca="1">AR18/AQ18-1</f>
        <v>#N/A</v>
      </c>
      <c r="AT18" s="63">
        <v>157.85714999999999</v>
      </c>
      <c r="AU18" s="50" t="e">
        <f ca="1">AR18/AT18-1</f>
        <v>#N/A</v>
      </c>
      <c r="AV18" s="64">
        <v>428.70587</v>
      </c>
      <c r="AW18" s="46">
        <f>AV18/AT18-1</f>
        <v>1.7157836689690651</v>
      </c>
      <c r="AX18" s="61">
        <v>280</v>
      </c>
      <c r="AY18" s="70" t="e">
        <f ca="1">OFFSET(Income!$C$4,MATCH($D18,Income!$C$4:$C$134,0)-1,MATCH(AX$8,Income!$C$4:$ET$4,0)-1)</f>
        <v>#N/A</v>
      </c>
      <c r="AZ18" s="46" t="e">
        <f ca="1">AY18/AX18-1</f>
        <v>#N/A</v>
      </c>
      <c r="BA18" s="63">
        <v>281.92856</v>
      </c>
      <c r="BB18" s="50" t="e">
        <f ca="1">AY18/BA18-1</f>
        <v>#N/A</v>
      </c>
      <c r="BC18" s="64">
        <v>471.05883999999998</v>
      </c>
      <c r="BD18" s="46">
        <f>BC18/BA18-1</f>
        <v>0.67084469909682065</v>
      </c>
      <c r="BE18" s="61">
        <v>401.07395946087627</v>
      </c>
      <c r="BF18" s="70" t="e">
        <f ca="1">OFFSET(Income!$C$4,MATCH($D18,Income!$C$4:$C$134,0)-1,MATCH(BE$8,Income!$C$4:$ET$4,0)-1)</f>
        <v>#N/A</v>
      </c>
      <c r="BG18" s="46" t="e">
        <f ca="1">BF18/BE18-1</f>
        <v>#N/A</v>
      </c>
      <c r="BH18" s="63">
        <v>384.18819999999999</v>
      </c>
      <c r="BI18" s="50" t="e">
        <f ca="1">BF18/BH18-1</f>
        <v>#N/A</v>
      </c>
      <c r="BJ18" s="64">
        <v>764.93335000000002</v>
      </c>
      <c r="BK18" s="46">
        <f>BJ18/BH18-1</f>
        <v>0.99103811621491755</v>
      </c>
      <c r="BL18" s="61">
        <v>800.07395946087627</v>
      </c>
      <c r="BM18" s="70" t="e">
        <f ca="1">OFFSET(Income!$C$4,MATCH($D18,Income!$C$4:$C$134,0)-1,MATCH(BL$8,Income!$C$4:$ET$4,0)-1)</f>
        <v>#N/A</v>
      </c>
      <c r="BN18" s="46" t="e">
        <f ca="1">BM18/BL18-1</f>
        <v>#N/A</v>
      </c>
      <c r="BO18" s="63">
        <v>804.6825</v>
      </c>
      <c r="BP18" s="46" t="e">
        <f t="shared" ref="BP18:BP23" ca="1" si="3">BM18/BO18-1</f>
        <v>#N/A</v>
      </c>
      <c r="BQ18" s="64">
        <v>1998.7893999999999</v>
      </c>
      <c r="BR18" s="46">
        <f>BQ18/BO18-1</f>
        <v>1.4839478924917588</v>
      </c>
      <c r="BS18" s="61">
        <v>260.69968791924987</v>
      </c>
      <c r="BT18" s="70" t="e">
        <f ca="1">OFFSET(Income!$C$4,MATCH($D18,Income!$C$4:$C$134,0)-1,MATCH(BS$8,Income!$C$4:$ET$4,0)-1)</f>
        <v>#N/A</v>
      </c>
      <c r="BU18" s="46" t="e">
        <f ca="1">BT18/BS18-1</f>
        <v>#N/A</v>
      </c>
      <c r="BV18" s="63">
        <v>233.29166000000001</v>
      </c>
      <c r="BW18" s="50" t="e">
        <f ca="1">BT18/BV18-1</f>
        <v>#N/A</v>
      </c>
      <c r="BX18" s="64">
        <v>528.66669999999999</v>
      </c>
      <c r="BY18" s="46">
        <f>BX18/BV18-1</f>
        <v>1.2661191574529496</v>
      </c>
      <c r="BZ18" s="61">
        <v>288.07682209645253</v>
      </c>
      <c r="CA18" s="70" t="e">
        <f ca="1">OFFSET(Income!$C$4,MATCH($D18,Income!$C$4:$C$134,0)-1,MATCH(BZ$8,Income!$C$4:$ET$4,0)-1)</f>
        <v>#N/A</v>
      </c>
      <c r="CB18" s="46" t="e">
        <f ca="1">CA18/BZ18-1</f>
        <v>#N/A</v>
      </c>
      <c r="CC18" s="63">
        <v>292.42219999999998</v>
      </c>
      <c r="CD18" s="50" t="e">
        <f ca="1">CA18/CC18-1</f>
        <v>#N/A</v>
      </c>
      <c r="CE18" s="64">
        <v>594.84550000000002</v>
      </c>
      <c r="CF18" s="46">
        <f>CE18/CC18-1</f>
        <v>1.034200891724363</v>
      </c>
      <c r="CG18" s="61">
        <v>342.85397288623983</v>
      </c>
      <c r="CH18" s="70">
        <f ca="1">OFFSET(Income!$C$4,MATCH($D18,Income!$C$4:$C$134,0)-1,MATCH(CG$8,Income!$C$4:$ET$4,0)-1)</f>
        <v>713.19016923632353</v>
      </c>
      <c r="CI18" s="46">
        <f ca="1">CH18/CG18-1</f>
        <v>1.0801572262164294</v>
      </c>
      <c r="CJ18" s="63">
        <v>337.6841</v>
      </c>
      <c r="CK18" s="50">
        <f ca="1">CH18/CJ18-1</f>
        <v>1.1120039979268301</v>
      </c>
      <c r="CL18" s="64">
        <v>668.07587000000001</v>
      </c>
      <c r="CM18" s="46">
        <f>CL18/CJ18-1</f>
        <v>0.97840487603650872</v>
      </c>
      <c r="CN18" s="61">
        <v>493.90720490900759</v>
      </c>
      <c r="CO18" s="70">
        <f ca="1">OFFSET(Income!$C$4,MATCH($D18,Income!$C$4:$C$134,0)-1,MATCH(CN$8,Income!$C$4:$ET$4,0)-1)</f>
        <v>1043.9812119789015</v>
      </c>
      <c r="CP18" s="46">
        <f ca="1">CO18/CN18-1</f>
        <v>1.1137193416144515</v>
      </c>
      <c r="CQ18" s="63">
        <v>488.88510000000002</v>
      </c>
      <c r="CR18" s="50">
        <f ca="1">CO18/CQ18-1</f>
        <v>1.1354326650145432</v>
      </c>
      <c r="CS18" s="64">
        <v>970.72040000000004</v>
      </c>
      <c r="CT18" s="46">
        <f>CS18/CQ18-1</f>
        <v>0.98557984278923616</v>
      </c>
      <c r="CU18" s="61">
        <v>1385.5376878109498</v>
      </c>
      <c r="CV18" s="70">
        <f ca="1">OFFSET(Income!$C$4,MATCH($D18,Income!$C$4:$C$134,0)-1,MATCH(CU$8,Income!$C$4:$ET$4,0)-1)</f>
        <v>2912.1713812152248</v>
      </c>
      <c r="CW18" s="46">
        <f ca="1">CV18/CU18-1</f>
        <v>1.1018348377201104</v>
      </c>
      <c r="CX18" s="63">
        <v>1361.9473</v>
      </c>
      <c r="CY18" s="46">
        <f t="shared" ref="CY18:CY23" ca="1" si="4">CV18/CX18-1</f>
        <v>1.1382408711520808</v>
      </c>
      <c r="CZ18" s="64">
        <v>2760.9684999999999</v>
      </c>
      <c r="DA18" s="46">
        <f>CZ18/CX18-1</f>
        <v>1.0272212441700201</v>
      </c>
      <c r="DB18" s="61">
        <v>305.92031240155973</v>
      </c>
      <c r="DC18" s="70">
        <f ca="1">OFFSET(Income!$C$4,MATCH($D18,Income!$C$4:$C$134,0)-1,MATCH(DB$8,Income!$C$4:$ET$4,0)-1)</f>
        <v>697.90777529370177</v>
      </c>
      <c r="DD18" s="46">
        <f ca="1">DC18/DB18-1</f>
        <v>1.2813384629968869</v>
      </c>
      <c r="DE18" s="63">
        <v>360.43027000000001</v>
      </c>
      <c r="DF18" s="50">
        <f ca="1">DC18/DE18-1</f>
        <v>0.93631843211643062</v>
      </c>
      <c r="DG18" s="64">
        <v>652.57934999999998</v>
      </c>
      <c r="DH18" s="46">
        <f>DG18/DE18-1</f>
        <v>0.81055644965668394</v>
      </c>
      <c r="DI18" s="61">
        <v>337.67958558704385</v>
      </c>
      <c r="DJ18" s="70">
        <f ca="1">OFFSET(Income!$C$4,MATCH($D18,Income!$C$4:$C$134,0)-1,MATCH(DI$8,Income!$C$4:$ET$4,0)-1)</f>
        <v>845.7965496673371</v>
      </c>
      <c r="DK18" s="46">
        <f ca="1">DJ18/DI18-1</f>
        <v>1.5047310698304432</v>
      </c>
      <c r="DL18" s="63">
        <v>404.03255999999999</v>
      </c>
      <c r="DM18" s="50">
        <f ca="1">DJ18/DL18-1</f>
        <v>1.093387101443847</v>
      </c>
      <c r="DN18" s="64">
        <v>755.56799999999998</v>
      </c>
      <c r="DO18" s="46">
        <f>DN18/DL18-1</f>
        <v>0.87006710548278576</v>
      </c>
      <c r="DP18" s="61">
        <v>402.72973784755459</v>
      </c>
      <c r="DQ18" s="70">
        <f ca="1">OFFSET(Income!$C$4,MATCH($D18,Income!$C$4:$C$134,0)-1,MATCH(DP$8,Income!$C$4:$ET$4,0)-1)</f>
        <v>946.71253609877147</v>
      </c>
      <c r="DR18" s="46">
        <f ca="1">DQ18/DP18-1</f>
        <v>1.35073908661081</v>
      </c>
      <c r="DS18" s="63">
        <v>476.17117000000002</v>
      </c>
      <c r="DT18" s="50">
        <f ca="1">DQ18/DS18-1</f>
        <v>0.98817693246479288</v>
      </c>
      <c r="DU18" s="64">
        <v>837.26153999999997</v>
      </c>
      <c r="DV18" s="46">
        <f>DU18/DS18-1</f>
        <v>0.75832052158890662</v>
      </c>
      <c r="DW18" s="61">
        <v>585.66895304416209</v>
      </c>
      <c r="DX18" s="70">
        <f ca="1">OFFSET(Income!$C$4,MATCH($D18,Income!$C$4:$C$134,0)-1,MATCH(DW$8,Income!$C$4:$ET$4,0)-1)</f>
        <v>1376.083163038558</v>
      </c>
      <c r="DY18" s="46">
        <f ca="1">DX18/DW18-1</f>
        <v>1.3495921303084595</v>
      </c>
      <c r="DZ18" s="63">
        <v>652.19470000000001</v>
      </c>
      <c r="EA18" s="50">
        <f ca="1">DX18/DZ18-1</f>
        <v>1.109926932921347</v>
      </c>
      <c r="EB18" s="64">
        <v>1191.6364000000001</v>
      </c>
      <c r="EC18" s="46">
        <f ca="1">DX18/EB18-1</f>
        <v>0.15478443176002177</v>
      </c>
      <c r="ED18" s="46">
        <f>EB18/DZ18-1</f>
        <v>0.82711757700576238</v>
      </c>
      <c r="EE18" s="61">
        <v>1631.9985888803203</v>
      </c>
      <c r="EF18" s="70">
        <f ca="1">OFFSET(Income!$C$4,MATCH($D18,Income!$C$4:$C$134,0)-1,MATCH(EE$8,Income!$C$4:$ET$4,0)-1)</f>
        <v>3866.5000240983682</v>
      </c>
      <c r="EG18" s="46">
        <f ca="1">EF18/EE18-1</f>
        <v>1.3691809848629171</v>
      </c>
      <c r="EH18" s="63">
        <v>1853.0806</v>
      </c>
      <c r="EI18" s="46">
        <f ca="1">EF18/EH18-1</f>
        <v>1.0865255532319362</v>
      </c>
      <c r="EJ18" s="64">
        <v>3575.3566999999998</v>
      </c>
      <c r="EK18" s="46">
        <f ca="1">EF18/EJ18-1</f>
        <v>8.1430567220990291E-2</v>
      </c>
      <c r="EL18" s="51">
        <f>EJ18/EH18-1</f>
        <v>0.92941240656234791</v>
      </c>
    </row>
    <row r="19" spans="2:142" ht="25.2" customHeight="1">
      <c r="B19" s="42"/>
      <c r="D19" s="71" t="s">
        <v>155</v>
      </c>
      <c r="E19" s="658">
        <v>3.0477151068067081E-2</v>
      </c>
      <c r="F19" s="539" t="e">
        <f ca="1">F18/F12</f>
        <v>#REF!</v>
      </c>
      <c r="G19" s="46" t="e">
        <f ca="1">F19-E19</f>
        <v>#REF!</v>
      </c>
      <c r="H19" s="660">
        <v>3.945385722938162E-2</v>
      </c>
      <c r="I19" s="539">
        <f>I18/I12</f>
        <v>0.11234359484148307</v>
      </c>
      <c r="J19" s="46">
        <f>I19-H19</f>
        <v>7.2889737612101449E-2</v>
      </c>
      <c r="K19" s="658">
        <v>-2.6551604053239083E-2</v>
      </c>
      <c r="L19" s="539" t="e">
        <f ca="1">L18/L12</f>
        <v>#REF!</v>
      </c>
      <c r="M19" s="46" t="e">
        <f ca="1">L19-K19</f>
        <v>#REF!</v>
      </c>
      <c r="N19" s="660">
        <v>-2.118926260730173E-2</v>
      </c>
      <c r="O19" s="539">
        <f>O18/O12</f>
        <v>0.15057631295843521</v>
      </c>
      <c r="P19" s="46">
        <f>O19-N19</f>
        <v>0.17176557556573693</v>
      </c>
      <c r="Q19" s="658">
        <v>-2.9475918606353395E-2</v>
      </c>
      <c r="R19" s="539" t="e">
        <f ca="1">R18/R12</f>
        <v>#N/A</v>
      </c>
      <c r="S19" s="46" t="e">
        <f ca="1">R19-Q19</f>
        <v>#N/A</v>
      </c>
      <c r="T19" s="660">
        <v>-1.7476394378568291E-2</v>
      </c>
      <c r="U19" s="539">
        <f>U18/U12</f>
        <v>0.18804925994449584</v>
      </c>
      <c r="V19" s="46">
        <f>U19-T19</f>
        <v>0.20552565432306413</v>
      </c>
      <c r="W19" s="658">
        <v>3.8692709648191555E-2</v>
      </c>
      <c r="X19" s="539" t="e">
        <f ca="1">X18/X12</f>
        <v>#N/A</v>
      </c>
      <c r="Y19" s="46" t="e">
        <f ca="1">X19-W19</f>
        <v>#N/A</v>
      </c>
      <c r="Z19" s="660">
        <v>4.9457912434624531E-2</v>
      </c>
      <c r="AA19" s="539">
        <f>AA18/AA12</f>
        <v>0.21038406827880513</v>
      </c>
      <c r="AB19" s="46">
        <f>AA19-Z19</f>
        <v>0.1609261558441806</v>
      </c>
      <c r="AC19" s="658">
        <v>5.2069121678669714E-3</v>
      </c>
      <c r="AD19" s="539" t="e">
        <f ca="1">AD18/AD12</f>
        <v>#N/A</v>
      </c>
      <c r="AE19" s="46" t="e">
        <f ca="1">AD19-AC19</f>
        <v>#N/A</v>
      </c>
      <c r="AF19" s="660">
        <v>1.413677189303169E-2</v>
      </c>
      <c r="AG19" s="46" t="e">
        <f t="shared" ca="1" si="2"/>
        <v>#N/A</v>
      </c>
      <c r="AH19" s="539">
        <f>AH18/AH12</f>
        <v>0.16956081081081081</v>
      </c>
      <c r="AI19" s="46">
        <f>AH19-AF19</f>
        <v>0.15542403891777912</v>
      </c>
      <c r="AJ19" s="72">
        <v>-1.9230769230769232E-2</v>
      </c>
      <c r="AK19" s="46" t="e">
        <f ca="1">AK18/AK12</f>
        <v>#N/A</v>
      </c>
      <c r="AL19" s="46" t="e">
        <f ca="1">AK19-AJ19</f>
        <v>#N/A</v>
      </c>
      <c r="AM19" s="73">
        <v>-1.3163793103448276E-3</v>
      </c>
      <c r="AN19" s="46" t="e">
        <f ca="1">AK19-AM19</f>
        <v>#N/A</v>
      </c>
      <c r="AO19" s="46">
        <f>AO18/AO12</f>
        <v>0.14216101694915254</v>
      </c>
      <c r="AP19" s="51">
        <f>AO19-AM19</f>
        <v>0.14347739625949738</v>
      </c>
      <c r="AQ19" s="72">
        <v>8.7367178276269192E-2</v>
      </c>
      <c r="AR19" s="46" t="e">
        <f ca="1">AR18/AR12</f>
        <v>#N/A</v>
      </c>
      <c r="AS19" s="46" t="e">
        <f ca="1">AR19-AQ19</f>
        <v>#N/A</v>
      </c>
      <c r="AT19" s="73">
        <v>9.3186038961038956E-2</v>
      </c>
      <c r="AU19" s="46" t="e">
        <f ca="1">AR19-AT19</f>
        <v>#N/A</v>
      </c>
      <c r="AV19" s="46">
        <f>AV18/AV12</f>
        <v>0.15996487686567165</v>
      </c>
      <c r="AW19" s="51">
        <f>AV19-AT19</f>
        <v>6.6778837904632696E-2</v>
      </c>
      <c r="AX19" s="72">
        <v>0.1633605600933489</v>
      </c>
      <c r="AY19" s="46" t="e">
        <f ca="1">AY18/AY12</f>
        <v>#N/A</v>
      </c>
      <c r="AZ19" s="46" t="e">
        <f ca="1">AY19-AX19</f>
        <v>#N/A</v>
      </c>
      <c r="BA19" s="73">
        <v>0.16448574095682614</v>
      </c>
      <c r="BB19" s="46" t="e">
        <f ca="1">AY19-BA19</f>
        <v>#N/A</v>
      </c>
      <c r="BC19" s="46">
        <f>BC18/BC12</f>
        <v>0.1656325035161744</v>
      </c>
      <c r="BD19" s="51">
        <f>BC19-BA19</f>
        <v>1.1467625593482578E-3</v>
      </c>
      <c r="BE19" s="72">
        <v>0.18196991845724725</v>
      </c>
      <c r="BF19" s="46" t="e">
        <f ca="1">BF18/BF12</f>
        <v>#N/A</v>
      </c>
      <c r="BG19" s="46" t="e">
        <f ca="1">BF19-BE19</f>
        <v>#N/A</v>
      </c>
      <c r="BH19" s="73">
        <v>0.18539593042951216</v>
      </c>
      <c r="BI19" s="46" t="e">
        <f ca="1">BF19-BH19</f>
        <v>#N/A</v>
      </c>
      <c r="BJ19" s="46">
        <f>BJ18/BJ12</f>
        <v>0.20831518246187364</v>
      </c>
      <c r="BK19" s="51">
        <f>BJ19-BH19</f>
        <v>2.2919252032361476E-2</v>
      </c>
      <c r="BL19" s="658">
        <v>0.11236887489486988</v>
      </c>
      <c r="BM19" s="539" t="e">
        <f ca="1">BM18/BM12</f>
        <v>#N/A</v>
      </c>
      <c r="BN19" s="46" t="e">
        <f ca="1">BM19-BL19</f>
        <v>#N/A</v>
      </c>
      <c r="BO19" s="660">
        <v>0.1151509522004542</v>
      </c>
      <c r="BP19" s="46" t="e">
        <f t="shared" ca="1" si="3"/>
        <v>#N/A</v>
      </c>
      <c r="BQ19" s="539">
        <f>BQ18/BQ12</f>
        <v>0.1729655070958809</v>
      </c>
      <c r="BR19" s="46">
        <f>BQ19-BO19</f>
        <v>5.7814554895426709E-2</v>
      </c>
      <c r="BS19" s="72">
        <v>0.14279402406814151</v>
      </c>
      <c r="BT19" s="46" t="e">
        <f ca="1">BT18/BT12</f>
        <v>#N/A</v>
      </c>
      <c r="BU19" s="46" t="e">
        <f ca="1">BT19-BS19</f>
        <v>#N/A</v>
      </c>
      <c r="BV19" s="73">
        <v>0.12899487723290623</v>
      </c>
      <c r="BW19" s="46" t="e">
        <f ca="1">BT19-BV19</f>
        <v>#N/A</v>
      </c>
      <c r="BX19" s="46">
        <f>BX18/BX12</f>
        <v>0.16677182965299683</v>
      </c>
      <c r="BY19" s="51">
        <f>BX19-BV19</f>
        <v>3.7776952420090604E-2</v>
      </c>
      <c r="BZ19" s="72">
        <v>0.14329430068669369</v>
      </c>
      <c r="CA19" s="46" t="e">
        <f ca="1">CA18/CA12</f>
        <v>#N/A</v>
      </c>
      <c r="CB19" s="46" t="e">
        <f ca="1">CA19-BZ19</f>
        <v>#N/A</v>
      </c>
      <c r="CC19" s="73">
        <v>0.14728179446119452</v>
      </c>
      <c r="CD19" s="46" t="e">
        <f ca="1">CA19-CC19</f>
        <v>#N/A</v>
      </c>
      <c r="CE19" s="46">
        <f>CE18/CE12</f>
        <v>0.16601883896176389</v>
      </c>
      <c r="CF19" s="51">
        <f>CE19-CC19</f>
        <v>1.8737044500569372E-2</v>
      </c>
      <c r="CG19" s="72">
        <v>0.16150084854097324</v>
      </c>
      <c r="CH19" s="46" t="e">
        <f ca="1">CH18/CH12</f>
        <v>#REF!</v>
      </c>
      <c r="CI19" s="46" t="e">
        <f ca="1">CH19-CG19</f>
        <v>#REF!</v>
      </c>
      <c r="CJ19" s="73">
        <v>0.16569697233775432</v>
      </c>
      <c r="CK19" s="46" t="e">
        <f ca="1">CH19-CJ19</f>
        <v>#REF!</v>
      </c>
      <c r="CL19" s="46">
        <f>CL18/CL12</f>
        <v>0.18295864481380733</v>
      </c>
      <c r="CM19" s="51">
        <f>CL19-CJ19</f>
        <v>1.7261672476053008E-2</v>
      </c>
      <c r="CN19" s="72">
        <v>0.18457274833019366</v>
      </c>
      <c r="CO19" s="46" t="e">
        <f ca="1">CO18/CO12</f>
        <v>#REF!</v>
      </c>
      <c r="CP19" s="46" t="e">
        <f ca="1">CO19-CN19</f>
        <v>#REF!</v>
      </c>
      <c r="CQ19" s="73">
        <v>0.196787868449117</v>
      </c>
      <c r="CR19" s="46" t="e">
        <f ca="1">CO19-CQ19</f>
        <v>#REF!</v>
      </c>
      <c r="CS19" s="46">
        <f>CS18/CS12</f>
        <v>0.20846949496292705</v>
      </c>
      <c r="CT19" s="51">
        <f>CS19-CQ19</f>
        <v>1.1681626513810051E-2</v>
      </c>
      <c r="CU19" s="658">
        <v>0.16045670996557732</v>
      </c>
      <c r="CV19" s="539" t="e">
        <f ca="1">CV18/CV12</f>
        <v>#REF!</v>
      </c>
      <c r="CW19" s="46" t="e">
        <f ca="1">CV19-CU19</f>
        <v>#REF!</v>
      </c>
      <c r="CX19" s="660">
        <v>0.16338225633628584</v>
      </c>
      <c r="CY19" s="46" t="e">
        <f t="shared" ca="1" si="4"/>
        <v>#REF!</v>
      </c>
      <c r="CZ19" s="539">
        <f>CZ18/CZ12</f>
        <v>0.18434074597228234</v>
      </c>
      <c r="DA19" s="46">
        <f>CZ19-CX19</f>
        <v>2.0958489635996502E-2</v>
      </c>
      <c r="DB19" s="72">
        <v>0.13865082414495222</v>
      </c>
      <c r="DC19" s="46" t="e">
        <f ca="1">DC18/DC12</f>
        <v>#REF!</v>
      </c>
      <c r="DD19" s="46" t="e">
        <f ca="1">DC19-DB19</f>
        <v>#REF!</v>
      </c>
      <c r="DE19" s="73">
        <v>0.16680351520454806</v>
      </c>
      <c r="DF19" s="46" t="e">
        <f ca="1">DC19-DE19</f>
        <v>#REF!</v>
      </c>
      <c r="DG19" s="46">
        <f>DG18/DG12</f>
        <v>0.16572382335282551</v>
      </c>
      <c r="DH19" s="51">
        <f>DG19-DE19</f>
        <v>-1.0796918517225473E-3</v>
      </c>
      <c r="DI19" s="72">
        <v>0.13903936692684241</v>
      </c>
      <c r="DJ19" s="46" t="e">
        <f ca="1">DJ18/DJ12</f>
        <v>#REF!</v>
      </c>
      <c r="DK19" s="46" t="e">
        <f ca="1">DJ19-DI19</f>
        <v>#REF!</v>
      </c>
      <c r="DL19" s="73">
        <v>0.1704370332526649</v>
      </c>
      <c r="DM19" s="46" t="e">
        <f ca="1">DJ19-DL19</f>
        <v>#REF!</v>
      </c>
      <c r="DN19" s="46">
        <f>DN18/DN12</f>
        <v>0.17395626711706272</v>
      </c>
      <c r="DO19" s="51">
        <f>DN19-DL19</f>
        <v>3.5192338643978138E-3</v>
      </c>
      <c r="DP19" s="72">
        <v>0.15731901181571939</v>
      </c>
      <c r="DQ19" s="46" t="e">
        <f ca="1">DQ18/DQ12</f>
        <v>#REF!</v>
      </c>
      <c r="DR19" s="46" t="e">
        <f ca="1">DQ19-DP19</f>
        <v>#REF!</v>
      </c>
      <c r="DS19" s="73">
        <v>0.19468441348566792</v>
      </c>
      <c r="DT19" s="46" t="e">
        <f ca="1">DQ19-DS19</f>
        <v>#REF!</v>
      </c>
      <c r="DU19" s="46">
        <f>DU18/DU12</f>
        <v>0.18578701958102736</v>
      </c>
      <c r="DV19" s="51">
        <f>DU19-DS19</f>
        <v>-8.8973939046405603E-3</v>
      </c>
      <c r="DW19" s="72">
        <v>0.18111298138947915</v>
      </c>
      <c r="DX19" s="46" t="e">
        <f ca="1">DX18/DX12</f>
        <v>#REF!</v>
      </c>
      <c r="DY19" s="46" t="e">
        <f ca="1">DX19-DW19</f>
        <v>#REF!</v>
      </c>
      <c r="DZ19" s="73">
        <v>0.22017662008451785</v>
      </c>
      <c r="EA19" s="46" t="e">
        <f ca="1">DX19-DZ19</f>
        <v>#REF!</v>
      </c>
      <c r="EB19" s="46">
        <f>EB18/EB12</f>
        <v>0.20799114720649159</v>
      </c>
      <c r="EC19" s="46" t="e">
        <f ca="1">DX19-DZ19</f>
        <v>#REF!</v>
      </c>
      <c r="ED19" s="51">
        <f>EB19-DZ19</f>
        <v>-1.2185472878026266E-2</v>
      </c>
      <c r="EE19" s="658">
        <v>0.15649037509905858</v>
      </c>
      <c r="EF19" s="539" t="e">
        <f ca="1">EF18/EF12</f>
        <v>#REF!</v>
      </c>
      <c r="EG19" s="46" t="e">
        <f ca="1">EF19-EE19</f>
        <v>#REF!</v>
      </c>
      <c r="EH19" s="660">
        <v>0.18501935579721404</v>
      </c>
      <c r="EI19" s="46" t="e">
        <f ca="1">EF19-EH19</f>
        <v>#REF!</v>
      </c>
      <c r="EJ19" s="539">
        <f>EJ18/EJ12</f>
        <v>0.19152366543687707</v>
      </c>
      <c r="EK19" s="46" t="e">
        <f ca="1">EF19-EH19</f>
        <v>#REF!</v>
      </c>
      <c r="EL19" s="51">
        <f>EJ19-EH19</f>
        <v>6.5043096396630307E-3</v>
      </c>
    </row>
    <row r="20" spans="2:142" ht="25.2" customHeight="1">
      <c r="B20" s="42" t="s">
        <v>343</v>
      </c>
      <c r="D20" s="74" t="s">
        <v>166</v>
      </c>
      <c r="E20" s="61">
        <v>25.082000000000079</v>
      </c>
      <c r="F20" s="70" t="e">
        <f ca="1">OFFSET(Income!$C$4,MATCH($D20,Income!$C$4:$C$134,0)-1,MATCH(E$8,Income!$C$4:$ET$4,0)-1)</f>
        <v>#N/A</v>
      </c>
      <c r="G20" s="46" t="e">
        <f t="shared" ca="1" si="0"/>
        <v>#N/A</v>
      </c>
      <c r="H20" s="63">
        <v>25.082000000000001</v>
      </c>
      <c r="I20" s="64">
        <v>256</v>
      </c>
      <c r="J20" s="46">
        <f t="shared" si="1"/>
        <v>9.2065226058528022</v>
      </c>
      <c r="K20" s="61">
        <v>-38.452999999999861</v>
      </c>
      <c r="L20" s="70" t="e">
        <f ca="1">OFFSET(Income!$C$4,MATCH($D20,Income!$C$4:$C$134,0)-1,MATCH(K$8,Income!$C$4:$ET$4,0)-1)</f>
        <v>#N/A</v>
      </c>
      <c r="M20" s="46" t="e">
        <f ca="1">L20/K20-1</f>
        <v>#N/A</v>
      </c>
      <c r="N20" s="63">
        <v>-38.453000000000003</v>
      </c>
      <c r="O20" s="64">
        <v>345</v>
      </c>
      <c r="P20" s="46">
        <f>O20/N20-1</f>
        <v>-9.9719917821756425</v>
      </c>
      <c r="Q20" s="61">
        <v>-30.039000000000016</v>
      </c>
      <c r="R20" s="70" t="e">
        <f ca="1">OFFSET(Income!$C$4,MATCH($D20,Income!$C$4:$C$134,0)-1,MATCH(Q$8,Income!$C$4:$ET$4,0)-1)</f>
        <v>#N/A</v>
      </c>
      <c r="S20" s="46" t="e">
        <f ca="1">R20/Q20-1</f>
        <v>#N/A</v>
      </c>
      <c r="T20" s="63">
        <v>-30</v>
      </c>
      <c r="U20" s="64">
        <v>344</v>
      </c>
      <c r="V20" s="46">
        <f>U20/T20-1</f>
        <v>-12.466666666666667</v>
      </c>
      <c r="W20" s="61">
        <v>90.996000000000151</v>
      </c>
      <c r="X20" s="70" t="e">
        <f ca="1">OFFSET(Income!$C$4,MATCH($D20,Income!$C$4:$C$134,0)-1,MATCH(W$8,Income!$C$4:$ET$4,0)-1)</f>
        <v>#N/A</v>
      </c>
      <c r="Y20" s="46" t="e">
        <f ca="1">X20/W20-1</f>
        <v>#N/A</v>
      </c>
      <c r="Z20" s="63">
        <v>90.995999999999995</v>
      </c>
      <c r="AA20" s="64">
        <v>458</v>
      </c>
      <c r="AB20" s="46">
        <f>AA20/Z20-1</f>
        <v>4.033188272011957</v>
      </c>
      <c r="AC20" s="61">
        <v>47.586000000000354</v>
      </c>
      <c r="AD20" s="70" t="e">
        <f ca="1">OFFSET(Income!$C$4,MATCH($D20,Income!$C$4:$C$134,0)-1,MATCH(AC$8,Income!$C$4:$ET$4,0)-1)</f>
        <v>#N/A</v>
      </c>
      <c r="AE20" s="46" t="e">
        <f ca="1">AD20/AC20-1</f>
        <v>#N/A</v>
      </c>
      <c r="AF20" s="63">
        <v>47.585999999999999</v>
      </c>
      <c r="AG20" s="46" t="e">
        <f t="shared" ca="1" si="2"/>
        <v>#N/A</v>
      </c>
      <c r="AH20" s="64">
        <v>1237</v>
      </c>
      <c r="AI20" s="46">
        <f>AH20/AF20-1</f>
        <v>24.995040558147355</v>
      </c>
      <c r="AJ20" s="61">
        <v>1514.1721097027425</v>
      </c>
      <c r="AK20" s="70">
        <f ca="1">Income!DS129</f>
        <v>1864</v>
      </c>
      <c r="AL20" s="46">
        <f ca="1">AK20/AJ20-1</f>
        <v>0.23103575086053763</v>
      </c>
      <c r="AM20" s="63">
        <v>12</v>
      </c>
      <c r="AN20" s="46">
        <f ca="1">AK20/AM20-1</f>
        <v>154.33333333333334</v>
      </c>
      <c r="AO20" s="64">
        <v>226</v>
      </c>
      <c r="AP20" s="46">
        <f>AO20/AM20-1</f>
        <v>17.833333333333332</v>
      </c>
      <c r="AQ20" s="61">
        <v>0</v>
      </c>
      <c r="AR20" s="70" t="e">
        <f>Income!#REF!</f>
        <v>#REF!</v>
      </c>
      <c r="AS20" s="46" t="e">
        <f>AR20/AQ20-1</f>
        <v>#REF!</v>
      </c>
      <c r="AT20" s="63">
        <v>178</v>
      </c>
      <c r="AU20" s="46" t="e">
        <f>AR20/AT20-1</f>
        <v>#REF!</v>
      </c>
      <c r="AV20" s="64">
        <v>338</v>
      </c>
      <c r="AW20" s="46">
        <f>AV20/AT20-1</f>
        <v>0.898876404494382</v>
      </c>
      <c r="AX20" s="61">
        <v>0</v>
      </c>
      <c r="AY20" s="70" t="e">
        <f>Income!#REF!</f>
        <v>#REF!</v>
      </c>
      <c r="AZ20" s="46" t="e">
        <f>AY20/AX20-1</f>
        <v>#REF!</v>
      </c>
      <c r="BA20" s="63">
        <v>316</v>
      </c>
      <c r="BB20" s="46" t="e">
        <f>AY20/BA20-1</f>
        <v>#REF!</v>
      </c>
      <c r="BC20" s="64">
        <v>367</v>
      </c>
      <c r="BD20" s="46">
        <f>BC20/BA20-1</f>
        <v>0.16139240506329111</v>
      </c>
      <c r="BE20" s="61">
        <v>0</v>
      </c>
      <c r="BF20" s="70">
        <f>Income!EW129</f>
        <v>0</v>
      </c>
      <c r="BG20" s="46" t="e">
        <f>BF20/BE20-1</f>
        <v>#DIV/0!</v>
      </c>
      <c r="BH20" s="63">
        <v>387.87151999999998</v>
      </c>
      <c r="BI20" s="46">
        <f>BF20/BH20-1</f>
        <v>-1</v>
      </c>
      <c r="BJ20" s="64">
        <v>594</v>
      </c>
      <c r="BK20" s="46">
        <f>BJ20/BH20-1</f>
        <v>0.53143494526228685</v>
      </c>
      <c r="BL20" s="61">
        <v>870.45022414713435</v>
      </c>
      <c r="BM20" s="70" t="e">
        <f ca="1">OFFSET(Income!$C$4,MATCH($D20,Income!$C$4:$C$134,0)-1,MATCH(BL$8,Income!$C$4:$ET$4,0)-1)</f>
        <v>#N/A</v>
      </c>
      <c r="BN20" s="46" t="e">
        <f ca="1">BM20/BL20-1</f>
        <v>#N/A</v>
      </c>
      <c r="BO20" s="63">
        <v>888.23375999999996</v>
      </c>
      <c r="BP20" s="46" t="e">
        <f t="shared" ca="1" si="3"/>
        <v>#N/A</v>
      </c>
      <c r="BQ20" s="64">
        <v>1525</v>
      </c>
      <c r="BR20" s="46">
        <f>BQ20/BO20-1</f>
        <v>0.7168903825497468</v>
      </c>
      <c r="BS20" s="61">
        <v>0</v>
      </c>
      <c r="BT20" s="70">
        <f>Income!FK129</f>
        <v>0</v>
      </c>
      <c r="BU20" s="46" t="e">
        <f>BT20/BS20-1</f>
        <v>#DIV/0!</v>
      </c>
      <c r="BV20" s="63">
        <v>264.94045999999997</v>
      </c>
      <c r="BW20" s="46">
        <f>BT20/BV20-1</f>
        <v>-1</v>
      </c>
      <c r="BX20" s="64">
        <v>360</v>
      </c>
      <c r="BY20" s="46">
        <f>BX20/BV20-1</f>
        <v>0.35879585926588953</v>
      </c>
      <c r="BZ20" s="61">
        <v>0</v>
      </c>
      <c r="CA20" s="70">
        <f>Income!FR129</f>
        <v>0</v>
      </c>
      <c r="CB20" s="46" t="e">
        <f>CA20/BZ20-1</f>
        <v>#DIV/0!</v>
      </c>
      <c r="CC20" s="63">
        <v>317.79126000000002</v>
      </c>
      <c r="CD20" s="46">
        <f>CA20/CC20-1</f>
        <v>-1</v>
      </c>
      <c r="CE20" s="64">
        <v>439</v>
      </c>
      <c r="CF20" s="46">
        <f>CE20/CC20-1</f>
        <v>0.381409922979002</v>
      </c>
      <c r="CG20" s="61">
        <v>0</v>
      </c>
      <c r="CH20" s="70">
        <f>Income!FY129</f>
        <v>0</v>
      </c>
      <c r="CI20" s="46" t="e">
        <f>CH20/CG20-1</f>
        <v>#DIV/0!</v>
      </c>
      <c r="CJ20" s="63">
        <v>343.43466000000001</v>
      </c>
      <c r="CK20" s="46">
        <f>CH20/CJ20-1</f>
        <v>-1</v>
      </c>
      <c r="CL20" s="64">
        <v>574.84529999999995</v>
      </c>
      <c r="CM20" s="46">
        <f>CL20/CJ20-1</f>
        <v>0.67381271302086954</v>
      </c>
      <c r="CN20" s="61">
        <v>0</v>
      </c>
      <c r="CO20" s="70">
        <f>Income!GF129</f>
        <v>0</v>
      </c>
      <c r="CP20" s="46" t="e">
        <f>CO20/CN20-1</f>
        <v>#DIV/0!</v>
      </c>
      <c r="CQ20" s="63">
        <v>470.0188</v>
      </c>
      <c r="CR20" s="46">
        <f>CO20/CQ20-1</f>
        <v>-1</v>
      </c>
      <c r="CS20" s="64">
        <v>829.88477</v>
      </c>
      <c r="CT20" s="46">
        <f>CS20/CQ20-1</f>
        <v>0.76564165092970748</v>
      </c>
      <c r="CU20" s="61">
        <v>1287.0297579211128</v>
      </c>
      <c r="CV20" s="70" t="e">
        <f ca="1">OFFSET(Income!$C$4,MATCH($D20,Income!$C$4:$C$134,0)-1,MATCH(CU$8,Income!$C$4:$ET$4,0)-1)</f>
        <v>#N/A</v>
      </c>
      <c r="CW20" s="46" t="e">
        <f ca="1">CV20/CU20-1</f>
        <v>#N/A</v>
      </c>
      <c r="CX20" s="63">
        <v>1429.2572</v>
      </c>
      <c r="CY20" s="46" t="e">
        <f t="shared" ca="1" si="4"/>
        <v>#N/A</v>
      </c>
      <c r="CZ20" s="64">
        <v>2396.5302999999999</v>
      </c>
      <c r="DA20" s="46">
        <f>CZ20/CX20-1</f>
        <v>0.67676629510769648</v>
      </c>
      <c r="DB20" s="61">
        <v>0</v>
      </c>
      <c r="DC20" s="70">
        <f>Income!GT129</f>
        <v>0</v>
      </c>
      <c r="DD20" s="46" t="e">
        <f>DC20/DB20-1</f>
        <v>#DIV/0!</v>
      </c>
      <c r="DE20" s="63">
        <v>392.57852000000003</v>
      </c>
      <c r="DF20" s="46">
        <f>DC20/DE20-1</f>
        <v>-1</v>
      </c>
      <c r="DG20" s="64">
        <v>544.71040000000005</v>
      </c>
      <c r="DH20" s="46">
        <f>DG20/DE20-1</f>
        <v>0.38751962282602737</v>
      </c>
      <c r="DI20" s="61">
        <v>0</v>
      </c>
      <c r="DJ20" s="70">
        <f>Income!HA129</f>
        <v>0</v>
      </c>
      <c r="DK20" s="46" t="e">
        <f>DJ20/DI20-1</f>
        <v>#DIV/0!</v>
      </c>
      <c r="DL20" s="63">
        <v>430.3116</v>
      </c>
      <c r="DM20" s="46">
        <f>DJ20/DL20-1</f>
        <v>-1</v>
      </c>
      <c r="DN20" s="64">
        <v>663.32259999999997</v>
      </c>
      <c r="DO20" s="46">
        <f>DN20/DL20-1</f>
        <v>0.54149365250669512</v>
      </c>
      <c r="DP20" s="61">
        <v>0</v>
      </c>
      <c r="DQ20" s="70">
        <f>Income!HH129</f>
        <v>0</v>
      </c>
      <c r="DR20" s="46" t="e">
        <f>DQ20/DP20-1</f>
        <v>#DIV/0!</v>
      </c>
      <c r="DS20" s="63">
        <v>463.24734000000001</v>
      </c>
      <c r="DT20" s="46">
        <f>DQ20/DS20-1</f>
        <v>-1</v>
      </c>
      <c r="DU20" s="64">
        <v>728.92664000000002</v>
      </c>
      <c r="DV20" s="46">
        <f>DU20/DS20-1</f>
        <v>0.57351500388539733</v>
      </c>
      <c r="DW20" s="61">
        <v>0</v>
      </c>
      <c r="DX20" s="70">
        <f>Income!HO129</f>
        <v>0</v>
      </c>
      <c r="DY20" s="46" t="e">
        <f>DX20/DW20-1</f>
        <v>#DIV/0!</v>
      </c>
      <c r="DZ20" s="63">
        <v>649.11519999999996</v>
      </c>
      <c r="EA20" s="46">
        <f>DX20/DZ20-1</f>
        <v>-1</v>
      </c>
      <c r="EB20" s="64">
        <v>1036.7362000000001</v>
      </c>
      <c r="EC20" s="46">
        <f>DX20/EB20-1</f>
        <v>-1</v>
      </c>
      <c r="ED20" s="46">
        <f>EB20/DZ20-1</f>
        <v>0.5971528628508469</v>
      </c>
      <c r="EE20" s="61">
        <v>1514.1721097027425</v>
      </c>
      <c r="EF20" s="70" t="e">
        <f ca="1">OFFSET(Income!$C$4,MATCH($D20,Income!$C$4:$C$134,0)-1,MATCH(EE$8,Income!$C$4:$ET$4,0)-1)</f>
        <v>#N/A</v>
      </c>
      <c r="EG20" s="46" t="e">
        <f ca="1">EF20/EE20-1</f>
        <v>#N/A</v>
      </c>
      <c r="EH20" s="63">
        <v>1812.3785</v>
      </c>
      <c r="EI20" s="46" t="e">
        <f ca="1">EF20/EH20-1</f>
        <v>#N/A</v>
      </c>
      <c r="EJ20" s="64">
        <v>3062.2804999999998</v>
      </c>
      <c r="EK20" s="46" t="e">
        <f ca="1">EF20/EJ20-1</f>
        <v>#N/A</v>
      </c>
      <c r="EL20" s="51">
        <f>EJ20/EH20-1</f>
        <v>0.68964733360056951</v>
      </c>
    </row>
    <row r="21" spans="2:142" ht="25.2" customHeight="1">
      <c r="B21" s="42" t="s">
        <v>344</v>
      </c>
      <c r="D21" s="74" t="s">
        <v>165</v>
      </c>
      <c r="E21" s="658">
        <v>0.19904285163571911</v>
      </c>
      <c r="F21" s="70" t="e">
        <f ca="1">OFFSET(Income!$C$4,MATCH($D21,Income!$C$4:$C$134,0)-1,MATCH(E$8,Income!$C$4:$ET$4,0)-1)</f>
        <v>#N/A</v>
      </c>
      <c r="G21" s="46" t="e">
        <f t="shared" ca="1" si="0"/>
        <v>#N/A</v>
      </c>
      <c r="H21" s="75">
        <v>0.02</v>
      </c>
      <c r="I21" s="76">
        <v>0.2</v>
      </c>
      <c r="J21" s="46">
        <f t="shared" si="1"/>
        <v>9</v>
      </c>
      <c r="K21" s="658">
        <v>-3.0469607426330612E-2</v>
      </c>
      <c r="L21" s="70" t="e">
        <f ca="1">OFFSET(Income!$C$4,MATCH($D21,Income!$C$4:$C$134,0)-1,MATCH(K$8,Income!$C$4:$ET$4,0)-1)</f>
        <v>#N/A</v>
      </c>
      <c r="M21" s="46" t="e">
        <f ca="1">L21/K21-1</f>
        <v>#N/A</v>
      </c>
      <c r="N21" s="75">
        <v>-0.03</v>
      </c>
      <c r="O21" s="76">
        <v>0.26</v>
      </c>
      <c r="P21" s="46">
        <f>O21/N21-1</f>
        <v>-9.6666666666666679</v>
      </c>
      <c r="Q21" s="658">
        <v>-2.3663465468268561E-2</v>
      </c>
      <c r="R21" s="70" t="e">
        <f ca="1">OFFSET(Income!$C$4,MATCH($D21,Income!$C$4:$C$134,0)-1,MATCH(Q$8,Income!$C$4:$ET$4,0)-1)</f>
        <v>#N/A</v>
      </c>
      <c r="S21" s="46" t="e">
        <f ca="1">R21/Q21-1</f>
        <v>#N/A</v>
      </c>
      <c r="T21" s="75">
        <v>-0.02</v>
      </c>
      <c r="U21" s="76">
        <v>0.36053659999999998</v>
      </c>
      <c r="V21" s="46">
        <f>U21/T21-1</f>
        <v>-19.02683</v>
      </c>
      <c r="W21" s="658">
        <v>7.1462520198198681E-2</v>
      </c>
      <c r="X21" s="70" t="e">
        <f ca="1">OFFSET(Income!$C$4,MATCH($D21,Income!$C$4:$C$134,0)-1,MATCH(W$8,Income!$C$4:$ET$4,0)-1)</f>
        <v>#N/A</v>
      </c>
      <c r="Y21" s="46" t="e">
        <f ca="1">X21/W21-1</f>
        <v>#N/A</v>
      </c>
      <c r="Z21" s="75">
        <v>7.0000000000000007E-2</v>
      </c>
      <c r="AA21" s="76">
        <v>0.44007017999999998</v>
      </c>
      <c r="AB21" s="46">
        <f>AA21/Z21-1</f>
        <v>5.2867168571428564</v>
      </c>
      <c r="AC21" s="77">
        <v>4.8423868992537152E-2</v>
      </c>
      <c r="AD21" s="70" t="e">
        <f ca="1">OFFSET(Income!$C$4,MATCH($D21,Income!$C$4:$C$134,0)-1,MATCH(AC$8,Income!$C$4:$ET$4,0)-1)</f>
        <v>#N/A</v>
      </c>
      <c r="AE21" s="46" t="e">
        <f ca="1">AD21/AC21-1</f>
        <v>#N/A</v>
      </c>
      <c r="AF21" s="75">
        <v>0.04</v>
      </c>
      <c r="AG21" s="46" t="e">
        <f t="shared" ca="1" si="2"/>
        <v>#N/A</v>
      </c>
      <c r="AH21" s="76">
        <v>1.2607212000000001</v>
      </c>
      <c r="AI21" s="46">
        <f>AH21/AF21-1</f>
        <v>30.518030000000003</v>
      </c>
      <c r="AJ21" s="658">
        <v>1.1518294003855341</v>
      </c>
      <c r="AK21" s="78">
        <f ca="1">Income!DS132</f>
        <v>1.4268074096975412</v>
      </c>
      <c r="AL21" s="46">
        <f ca="1">AK21/AJ21-1</f>
        <v>0.23873154237942518</v>
      </c>
      <c r="AM21" s="75">
        <v>0.01</v>
      </c>
      <c r="AN21" s="46">
        <f ca="1">AK21/AM21-1</f>
        <v>141.68074096975411</v>
      </c>
      <c r="AO21" s="76">
        <v>0.25566137</v>
      </c>
      <c r="AP21" s="46">
        <f>AO21/AM21-1</f>
        <v>24.566136999999998</v>
      </c>
      <c r="AQ21" s="658">
        <v>0</v>
      </c>
      <c r="AR21" s="78" t="e">
        <f>Income!#REF!</f>
        <v>#REF!</v>
      </c>
      <c r="AS21" s="46" t="e">
        <f>AR21/AQ21-1</f>
        <v>#REF!</v>
      </c>
      <c r="AT21" s="75">
        <v>0.14000000000000001</v>
      </c>
      <c r="AU21" s="46" t="e">
        <f>AR21/AT21-1</f>
        <v>#REF!</v>
      </c>
      <c r="AV21" s="76">
        <v>0.34882723999999998</v>
      </c>
      <c r="AW21" s="46">
        <f>AV21/AT21-1</f>
        <v>1.4916231428571427</v>
      </c>
      <c r="AX21" s="658">
        <v>0</v>
      </c>
      <c r="AY21" s="78" t="e">
        <f>Income!#REF!</f>
        <v>#REF!</v>
      </c>
      <c r="AZ21" s="46" t="e">
        <f>AY21/AX21-1</f>
        <v>#REF!</v>
      </c>
      <c r="BA21" s="75">
        <v>0.24</v>
      </c>
      <c r="BB21" s="46" t="e">
        <f>AY21/BA21-1</f>
        <v>#REF!</v>
      </c>
      <c r="BC21" s="76">
        <v>0.33815532999999998</v>
      </c>
      <c r="BD21" s="46">
        <f>BC21/BA21-1</f>
        <v>0.40898054166666653</v>
      </c>
      <c r="BE21" s="658">
        <v>0</v>
      </c>
      <c r="BF21" s="78">
        <f>Income!EW132</f>
        <v>0</v>
      </c>
      <c r="BG21" s="46" t="e">
        <f>BF21/BE21-1</f>
        <v>#DIV/0!</v>
      </c>
      <c r="BH21" s="75">
        <v>0.30118918</v>
      </c>
      <c r="BI21" s="46">
        <f>BF21/BH21-1</f>
        <v>-1</v>
      </c>
      <c r="BJ21" s="76">
        <v>0.48115477000000001</v>
      </c>
      <c r="BK21" s="46">
        <f>BJ21/BH21-1</f>
        <v>0.59751678330542957</v>
      </c>
      <c r="BL21" s="77">
        <v>0.67395128963675754</v>
      </c>
      <c r="BM21" s="70" t="e">
        <f ca="1">OFFSET(Income!$C$4,MATCH($D21,Income!$C$4:$C$134,0)-1,MATCH(BL$8,Income!$C$4:$ET$4,0)-1)</f>
        <v>#N/A</v>
      </c>
      <c r="BN21" s="46" t="e">
        <f ca="1">BM21/BL21-1</f>
        <v>#N/A</v>
      </c>
      <c r="BO21" s="75">
        <v>0.69120484999999998</v>
      </c>
      <c r="BP21" s="46" t="e">
        <f t="shared" ca="1" si="3"/>
        <v>#N/A</v>
      </c>
      <c r="BQ21" s="76">
        <v>1.4241035</v>
      </c>
      <c r="BR21" s="46">
        <f>BQ21/BO21-1</f>
        <v>1.0603204679481055</v>
      </c>
      <c r="BS21" s="658">
        <v>0</v>
      </c>
      <c r="BT21" s="78">
        <f>Income!FK132</f>
        <v>0</v>
      </c>
      <c r="BU21" s="46" t="e">
        <f>BT21/BS21-1</f>
        <v>#DIV/0!</v>
      </c>
      <c r="BV21" s="75">
        <v>0.20397323000000001</v>
      </c>
      <c r="BW21" s="46">
        <f>BT21/BV21-1</f>
        <v>-1</v>
      </c>
      <c r="BX21" s="76">
        <v>0.36001422999999999</v>
      </c>
      <c r="BY21" s="46">
        <f>BX21/BV21-1</f>
        <v>0.7650072511966397</v>
      </c>
      <c r="BZ21" s="658">
        <v>0</v>
      </c>
      <c r="CA21" s="78">
        <f>Income!FR132</f>
        <v>0</v>
      </c>
      <c r="CB21" s="46" t="e">
        <f>CA21/BZ21-1</f>
        <v>#DIV/0!</v>
      </c>
      <c r="CC21" s="75">
        <v>0.24201033999999999</v>
      </c>
      <c r="CD21" s="46">
        <f>CA21/CC21-1</f>
        <v>-1</v>
      </c>
      <c r="CE21" s="76">
        <v>0.41153960000000001</v>
      </c>
      <c r="CF21" s="46">
        <f>CE21/CC21-1</f>
        <v>0.70050420159733684</v>
      </c>
      <c r="CG21" s="658">
        <v>0</v>
      </c>
      <c r="CH21" s="78">
        <f>Income!FY132</f>
        <v>0</v>
      </c>
      <c r="CI21" s="46" t="e">
        <f>CH21/CG21-1</f>
        <v>#DIV/0!</v>
      </c>
      <c r="CJ21" s="75">
        <v>0.26639797999999998</v>
      </c>
      <c r="CK21" s="46">
        <f>CH21/CJ21-1</f>
        <v>-1</v>
      </c>
      <c r="CL21" s="76">
        <v>0.45402429</v>
      </c>
      <c r="CM21" s="46">
        <f>CL21/CJ21-1</f>
        <v>0.70430830594135907</v>
      </c>
      <c r="CN21" s="658">
        <v>0</v>
      </c>
      <c r="CO21" s="78">
        <f>Income!GF132</f>
        <v>0</v>
      </c>
      <c r="CP21" s="46" t="e">
        <f>CO21/CN21-1</f>
        <v>#DIV/0!</v>
      </c>
      <c r="CQ21" s="75">
        <v>0.3647803</v>
      </c>
      <c r="CR21" s="46">
        <f>CO21/CQ21-1</f>
        <v>-1</v>
      </c>
      <c r="CS21" s="76">
        <v>0.64575570000000004</v>
      </c>
      <c r="CT21" s="46">
        <f>CS21/CQ21-1</f>
        <v>0.77025924919739364</v>
      </c>
      <c r="CU21" s="77">
        <v>0.98654706683397286</v>
      </c>
      <c r="CV21" s="70" t="e">
        <f ca="1">OFFSET(Income!$C$4,MATCH($D21,Income!$C$4:$C$134,0)-1,MATCH(CU$8,Income!$C$4:$ET$4,0)-1)</f>
        <v>#N/A</v>
      </c>
      <c r="CW21" s="46" t="e">
        <f ca="1">CV21/CU21-1</f>
        <v>#N/A</v>
      </c>
      <c r="CX21" s="75">
        <v>1.0338609999999999</v>
      </c>
      <c r="CY21" s="46" t="e">
        <f t="shared" ca="1" si="4"/>
        <v>#N/A</v>
      </c>
      <c r="CZ21" s="76">
        <v>1.8687165999999999</v>
      </c>
      <c r="DA21" s="46">
        <f>CZ21/CX21-1</f>
        <v>0.80751242188263239</v>
      </c>
      <c r="DB21" s="658">
        <v>0</v>
      </c>
      <c r="DC21" s="78">
        <f>Income!GT132</f>
        <v>0</v>
      </c>
      <c r="DD21" s="46" t="e">
        <f>DC21/DB21-1</f>
        <v>#DIV/0!</v>
      </c>
      <c r="DE21" s="75">
        <v>0.28306478000000002</v>
      </c>
      <c r="DF21" s="46">
        <f>DC21/DE21-1</f>
        <v>-1</v>
      </c>
      <c r="DG21" s="76">
        <v>0.44013613000000001</v>
      </c>
      <c r="DH21" s="46">
        <f>DG21/DE21-1</f>
        <v>0.55489542005190473</v>
      </c>
      <c r="DI21" s="658">
        <v>0</v>
      </c>
      <c r="DJ21" s="78">
        <f>Income!HA132</f>
        <v>0</v>
      </c>
      <c r="DK21" s="46" t="e">
        <f>DJ21/DI21-1</f>
        <v>#DIV/0!</v>
      </c>
      <c r="DL21" s="75">
        <v>0.32543463</v>
      </c>
      <c r="DM21" s="46">
        <f>DJ21/DL21-1</f>
        <v>-1</v>
      </c>
      <c r="DN21" s="76">
        <v>0.53064270000000002</v>
      </c>
      <c r="DO21" s="46">
        <f>DN21/DL21-1</f>
        <v>0.63056617545588201</v>
      </c>
      <c r="DP21" s="658">
        <v>0</v>
      </c>
      <c r="DQ21" s="78">
        <f>Income!HH132</f>
        <v>0</v>
      </c>
      <c r="DR21" s="46" t="e">
        <f>DQ21/DP21-1</f>
        <v>#DIV/0!</v>
      </c>
      <c r="DS21" s="75">
        <v>0.35467884</v>
      </c>
      <c r="DT21" s="46">
        <f>DQ21/DS21-1</f>
        <v>-1</v>
      </c>
      <c r="DU21" s="76">
        <v>0.58788640000000003</v>
      </c>
      <c r="DV21" s="46">
        <f>DU21/DS21-1</f>
        <v>0.65751754460457823</v>
      </c>
      <c r="DW21" s="658">
        <v>0</v>
      </c>
      <c r="DX21" s="78">
        <f>Income!HO132</f>
        <v>0</v>
      </c>
      <c r="DY21" s="46" t="e">
        <f>DX21/DW21-1</f>
        <v>#DIV/0!</v>
      </c>
      <c r="DZ21" s="75">
        <v>0.48246392999999999</v>
      </c>
      <c r="EA21" s="46">
        <f>DX21/DZ21-1</f>
        <v>-1</v>
      </c>
      <c r="EB21" s="76">
        <v>0.82372372999999999</v>
      </c>
      <c r="EC21" s="46">
        <f>DX21/EB21-1</f>
        <v>-1</v>
      </c>
      <c r="ED21" s="46">
        <f>EB21/DZ21-1</f>
        <v>0.70732707417111995</v>
      </c>
      <c r="EE21" s="77">
        <v>1.1518294003855341</v>
      </c>
      <c r="EF21" s="70" t="e">
        <f ca="1">OFFSET(Income!$C$4,MATCH($D21,Income!$C$4:$C$134,0)-1,MATCH(EE$8,Income!$C$4:$ET$4,0)-1)</f>
        <v>#N/A</v>
      </c>
      <c r="EG21" s="46" t="e">
        <f ca="1">EF21/EE21-1</f>
        <v>#N/A</v>
      </c>
      <c r="EH21" s="75">
        <v>1.3711163</v>
      </c>
      <c r="EI21" s="46" t="e">
        <f ca="1">EF21/EH21-1</f>
        <v>#N/A</v>
      </c>
      <c r="EJ21" s="76">
        <v>2.4000979999999998</v>
      </c>
      <c r="EK21" s="46" t="e">
        <f ca="1">EF21/EJ21-1</f>
        <v>#N/A</v>
      </c>
      <c r="EL21" s="51">
        <f>EJ21/EH21-1</f>
        <v>0.75047003671388035</v>
      </c>
    </row>
    <row r="22" spans="2:142" ht="25.2" customHeight="1">
      <c r="B22" s="42" t="s">
        <v>345</v>
      </c>
      <c r="D22" s="74" t="s">
        <v>219</v>
      </c>
      <c r="E22" s="61">
        <v>-1474.4079999999997</v>
      </c>
      <c r="F22" s="70">
        <f ca="1">OFFSET(Income!$C$4,MATCH($D22,Income!$C$4:$C$134,0)-1,MATCH(E$8,Income!$C$4:$ET$4,0)-1)</f>
        <v>-273</v>
      </c>
      <c r="G22" s="46">
        <f t="shared" ca="1" si="0"/>
        <v>-0.81484093954997527</v>
      </c>
      <c r="H22" s="63">
        <v>-1474.4079999999999</v>
      </c>
      <c r="I22" s="64">
        <v>-273</v>
      </c>
      <c r="J22" s="46">
        <f t="shared" si="1"/>
        <v>-0.81484093954997527</v>
      </c>
      <c r="K22" s="61">
        <v>-1203.9069999999999</v>
      </c>
      <c r="L22" s="70">
        <f ca="1">OFFSET(Income!$C$4,MATCH($D22,Income!$C$4:$C$134,0)-1,MATCH(K$8,Income!$C$4:$ET$4,0)-1)</f>
        <v>171</v>
      </c>
      <c r="M22" s="46">
        <f ca="1">L22/K22-1</f>
        <v>-1.1420375494120394</v>
      </c>
      <c r="N22" s="63">
        <v>-1203.9069999999999</v>
      </c>
      <c r="O22" s="64">
        <v>171</v>
      </c>
      <c r="P22" s="46">
        <f>O22/N22-1</f>
        <v>-1.1420375494120394</v>
      </c>
      <c r="Q22" s="61">
        <v>-158.40899999999996</v>
      </c>
      <c r="R22" s="70" t="e">
        <f ca="1">OFFSET(Income!$C$4,MATCH($D22,Income!$C$4:$C$134,0)-1,MATCH(Q$8,Income!$C$4:$ET$4,0)-1)</f>
        <v>#N/A</v>
      </c>
      <c r="S22" s="46" t="e">
        <f ca="1">R22/Q22-1</f>
        <v>#N/A</v>
      </c>
      <c r="T22" s="63">
        <v>-158.40899999999999</v>
      </c>
      <c r="U22" s="64">
        <v>828</v>
      </c>
      <c r="V22" s="46">
        <f>U22/T22-1</f>
        <v>-6.2269757400147725</v>
      </c>
      <c r="W22" s="61">
        <v>-623.69400000000019</v>
      </c>
      <c r="X22" s="70" t="e">
        <f ca="1">OFFSET(Income!$C$4,MATCH($D22,Income!$C$4:$C$134,0)-1,MATCH(W$8,Income!$C$4:$ET$4,0)-1)</f>
        <v>#N/A</v>
      </c>
      <c r="Y22" s="46" t="e">
        <f ca="1">X22/W22-1</f>
        <v>#N/A</v>
      </c>
      <c r="Z22" s="63">
        <v>-623.69399999999996</v>
      </c>
      <c r="AA22" s="64">
        <v>1293</v>
      </c>
      <c r="AB22" s="46">
        <f>AA22/Z22-1</f>
        <v>-3.0731320166620173</v>
      </c>
      <c r="AC22" s="61">
        <v>-3460.4179999999997</v>
      </c>
      <c r="AD22" s="70" t="e">
        <f ca="1">OFFSET(Income!$C$4,MATCH($D22,Income!$C$4:$C$134,0)-1,MATCH(AC$8,Income!$C$4:$ET$4,0)-1)</f>
        <v>#N/A</v>
      </c>
      <c r="AE22" s="46" t="e">
        <f ca="1">AD22/AC22-1</f>
        <v>#N/A</v>
      </c>
      <c r="AF22" s="63">
        <v>-3460.4180000000001</v>
      </c>
      <c r="AG22" s="46" t="e">
        <f t="shared" ca="1" si="2"/>
        <v>#N/A</v>
      </c>
      <c r="AH22" s="64">
        <v>2019</v>
      </c>
      <c r="AI22" s="46">
        <f>AH22/AF22-1</f>
        <v>-1.5834555247371849</v>
      </c>
      <c r="AJ22" s="61">
        <v>807.41589994601441</v>
      </c>
      <c r="AK22" s="70">
        <f>Income!DS62</f>
        <v>1231</v>
      </c>
      <c r="AL22" s="46">
        <f>AK22/AJ22-1</f>
        <v>0.52461699117184502</v>
      </c>
      <c r="AM22" s="63">
        <v>68</v>
      </c>
      <c r="AN22" s="46">
        <f>AK22/AM22-1</f>
        <v>17.102941176470587</v>
      </c>
      <c r="AO22" s="64">
        <v>-682</v>
      </c>
      <c r="AP22" s="46">
        <f>AO22/AM22-1</f>
        <v>-11.029411764705882</v>
      </c>
      <c r="AQ22" s="61">
        <v>0</v>
      </c>
      <c r="AR22" s="70" t="e">
        <f>Income!#REF!</f>
        <v>#REF!</v>
      </c>
      <c r="AS22" s="46" t="e">
        <f>AR22/AQ22-1</f>
        <v>#REF!</v>
      </c>
      <c r="AT22" s="63">
        <v>-1311</v>
      </c>
      <c r="AU22" s="46" t="e">
        <f>AR22/AT22-1</f>
        <v>#REF!</v>
      </c>
      <c r="AV22" s="64">
        <v>906</v>
      </c>
      <c r="AW22" s="46">
        <f>AV22/AT22-1</f>
        <v>-1.6910755148741419</v>
      </c>
      <c r="AX22" s="61">
        <v>0</v>
      </c>
      <c r="AY22" s="70" t="e">
        <f>Income!#REF!</f>
        <v>#REF!</v>
      </c>
      <c r="AZ22" s="46" t="e">
        <f>AY22/AX22-1</f>
        <v>#REF!</v>
      </c>
      <c r="BA22" s="63">
        <v>718</v>
      </c>
      <c r="BB22" s="46" t="e">
        <f>AY22/BA22-1</f>
        <v>#REF!</v>
      </c>
      <c r="BC22" s="64">
        <v>264</v>
      </c>
      <c r="BD22" s="46">
        <f>BC22/BA22-1</f>
        <v>-0.63231197771587744</v>
      </c>
      <c r="BE22" s="61">
        <v>0</v>
      </c>
      <c r="BF22" s="70">
        <f>Income!EW62</f>
        <v>0</v>
      </c>
      <c r="BG22" s="46" t="e">
        <f>BF22/BE22-1</f>
        <v>#DIV/0!</v>
      </c>
      <c r="BH22" s="63">
        <v>283.37826999999999</v>
      </c>
      <c r="BI22" s="46">
        <f>BF22/BH22-1</f>
        <v>-1</v>
      </c>
      <c r="BJ22" s="64">
        <v>743</v>
      </c>
      <c r="BK22" s="46">
        <f>BJ22/BH22-1</f>
        <v>1.6219371019521009</v>
      </c>
      <c r="BL22" s="61">
        <v>-318.00226513245576</v>
      </c>
      <c r="BM22" s="70" t="e">
        <f ca="1">OFFSET(Income!$C$4,MATCH($D22,Income!$C$4:$C$134,0)-1,MATCH(BL$8,Income!$C$4:$ET$4,0)-1)</f>
        <v>#N/A</v>
      </c>
      <c r="BN22" s="46" t="e">
        <f ca="1">BM22/BL22-1</f>
        <v>#N/A</v>
      </c>
      <c r="BO22" s="63">
        <v>-275.42829999999998</v>
      </c>
      <c r="BP22" s="46" t="e">
        <f t="shared" ca="1" si="3"/>
        <v>#N/A</v>
      </c>
      <c r="BQ22" s="64">
        <v>1231</v>
      </c>
      <c r="BR22" s="46">
        <f>BQ22/BO22-1</f>
        <v>-5.4694027447433688</v>
      </c>
      <c r="BS22" s="61">
        <v>0</v>
      </c>
      <c r="BT22" s="70">
        <f>Income!FK62</f>
        <v>0</v>
      </c>
      <c r="BU22" s="46" t="e">
        <f>BT22/BS22-1</f>
        <v>#DIV/0!</v>
      </c>
      <c r="BV22" s="63">
        <v>142.13024999999999</v>
      </c>
      <c r="BW22" s="46">
        <f>BT22/BV22-1</f>
        <v>-1</v>
      </c>
      <c r="BX22" s="64">
        <v>-581</v>
      </c>
      <c r="BY22" s="46">
        <f>BX22/BV22-1</f>
        <v>-5.0877997470629932</v>
      </c>
      <c r="BZ22" s="61">
        <v>0</v>
      </c>
      <c r="CA22" s="70">
        <f>Income!FR62</f>
        <v>0</v>
      </c>
      <c r="CB22" s="46" t="e">
        <f>CA22/BZ22-1</f>
        <v>#DIV/0!</v>
      </c>
      <c r="CC22" s="63">
        <v>159.96007</v>
      </c>
      <c r="CD22" s="46">
        <f>CA22/CC22-1</f>
        <v>-1</v>
      </c>
      <c r="CE22" s="64">
        <v>1502</v>
      </c>
      <c r="CF22" s="46">
        <f>CE22/CC22-1</f>
        <v>8.3898433527817282</v>
      </c>
      <c r="CG22" s="61">
        <v>0</v>
      </c>
      <c r="CH22" s="70">
        <f>Income!FY62</f>
        <v>0</v>
      </c>
      <c r="CI22" s="46" t="e">
        <f>CH22/CG22-1</f>
        <v>#DIV/0!</v>
      </c>
      <c r="CJ22" s="63">
        <v>222.02824000000001</v>
      </c>
      <c r="CK22" s="46">
        <f>CH22/CJ22-1</f>
        <v>-1</v>
      </c>
      <c r="CL22" s="64">
        <v>486.94247000000001</v>
      </c>
      <c r="CM22" s="46">
        <f>CL22/CJ22-1</f>
        <v>1.1931555643552367</v>
      </c>
      <c r="CN22" s="61">
        <v>0</v>
      </c>
      <c r="CO22" s="70">
        <f>Income!GF62</f>
        <v>0</v>
      </c>
      <c r="CP22" s="46" t="e">
        <f>CO22/CN22-1</f>
        <v>#DIV/0!</v>
      </c>
      <c r="CQ22" s="63">
        <v>357.33575000000002</v>
      </c>
      <c r="CR22" s="46">
        <f>CO22/CQ22-1</f>
        <v>-1</v>
      </c>
      <c r="CS22" s="64">
        <v>746.77593999999999</v>
      </c>
      <c r="CT22" s="46">
        <f>CS22/CQ22-1</f>
        <v>1.0898439073056641</v>
      </c>
      <c r="CU22" s="61">
        <v>701.8383432205876</v>
      </c>
      <c r="CV22" s="70">
        <f ca="1">OFFSET(Income!$C$4,MATCH($D22,Income!$C$4:$C$134,0)-1,MATCH(CU$8,Income!$C$4:$ET$4,0)-1)</f>
        <v>2164.5148321330189</v>
      </c>
      <c r="CW22" s="46">
        <f ca="1">CV22/CU22-1</f>
        <v>2.0840646611020404</v>
      </c>
      <c r="CX22" s="63">
        <v>867.66143999999997</v>
      </c>
      <c r="CY22" s="46">
        <f t="shared" ca="1" si="4"/>
        <v>1.4946537120896131</v>
      </c>
      <c r="CZ22" s="64">
        <v>1020.0390599999999</v>
      </c>
      <c r="DA22" s="46">
        <f>CZ22/CX22-1</f>
        <v>0.17561875286286788</v>
      </c>
      <c r="DB22" s="61">
        <v>0</v>
      </c>
      <c r="DC22" s="70">
        <f>Income!GT62</f>
        <v>0</v>
      </c>
      <c r="DD22" s="46" t="e">
        <f>DC22/DB22-1</f>
        <v>#DIV/0!</v>
      </c>
      <c r="DE22" s="63">
        <v>254.56557000000001</v>
      </c>
      <c r="DF22" s="46">
        <f>DC22/DE22-1</f>
        <v>-1</v>
      </c>
      <c r="DG22" s="64">
        <v>467.27697999999998</v>
      </c>
      <c r="DH22" s="46">
        <f>DG22/DE22-1</f>
        <v>0.83558593567857575</v>
      </c>
      <c r="DI22" s="61">
        <v>0</v>
      </c>
      <c r="DJ22" s="70">
        <f>Income!HA62</f>
        <v>0</v>
      </c>
      <c r="DK22" s="46" t="e">
        <f>DJ22/DI22-1</f>
        <v>#DIV/0!</v>
      </c>
      <c r="DL22" s="63">
        <v>259.82190000000003</v>
      </c>
      <c r="DM22" s="46">
        <f>DJ22/DL22-1</f>
        <v>-1</v>
      </c>
      <c r="DN22" s="64">
        <v>590.53534000000002</v>
      </c>
      <c r="DO22" s="46">
        <f>DN22/DL22-1</f>
        <v>1.2728466691991707</v>
      </c>
      <c r="DP22" s="61">
        <v>0</v>
      </c>
      <c r="DQ22" s="70">
        <f>Income!HH62</f>
        <v>0</v>
      </c>
      <c r="DR22" s="46" t="e">
        <f>DQ22/DP22-1</f>
        <v>#DIV/0!</v>
      </c>
      <c r="DS22" s="63">
        <v>361.2364</v>
      </c>
      <c r="DT22" s="46">
        <f>DQ22/DS22-1</f>
        <v>-1</v>
      </c>
      <c r="DU22" s="64">
        <v>667.45309999999995</v>
      </c>
      <c r="DV22" s="46">
        <f>DU22/DS22-1</f>
        <v>0.8476905981789209</v>
      </c>
      <c r="DW22" s="61">
        <v>0</v>
      </c>
      <c r="DX22" s="70">
        <f>Income!HO62</f>
        <v>0</v>
      </c>
      <c r="DY22" s="46" t="e">
        <f>DX22/DW22-1</f>
        <v>#DIV/0!</v>
      </c>
      <c r="DZ22" s="63">
        <v>519.97735999999998</v>
      </c>
      <c r="EA22" s="46">
        <f>DX22/DZ22-1</f>
        <v>-1</v>
      </c>
      <c r="EB22" s="64">
        <v>973.40719999999999</v>
      </c>
      <c r="EC22" s="46">
        <f>DX22/EB22-1</f>
        <v>-1</v>
      </c>
      <c r="ED22" s="46">
        <f>EB22/DZ22-1</f>
        <v>0.87201842787924466</v>
      </c>
      <c r="EE22" s="61">
        <v>807.41589994601441</v>
      </c>
      <c r="EF22" s="70">
        <f ca="1">OFFSET(Income!$C$4,MATCH($D22,Income!$C$4:$C$134,0)-1,MATCH(EE$8,Income!$C$4:$ET$4,0)-1)</f>
        <v>2810.5945443918181</v>
      </c>
      <c r="EG22" s="46">
        <f ca="1">EF22/EE22-1</f>
        <v>2.4809749778023202</v>
      </c>
      <c r="EH22" s="63">
        <v>1328.7565999999999</v>
      </c>
      <c r="EI22" s="46">
        <f ca="1">EF22/EH22-1</f>
        <v>1.1152064602289227</v>
      </c>
      <c r="EJ22" s="64">
        <v>2727.6523000000002</v>
      </c>
      <c r="EK22" s="46">
        <f ca="1">EF22/EJ22-1</f>
        <v>3.0407924203468939E-2</v>
      </c>
      <c r="EL22" s="51">
        <f>EJ22/EH22-1</f>
        <v>1.0527855139157918</v>
      </c>
    </row>
    <row r="23" spans="2:142" ht="25.2" customHeight="1">
      <c r="B23" s="42" t="s">
        <v>346</v>
      </c>
      <c r="D23" s="79" t="s">
        <v>220</v>
      </c>
      <c r="E23" s="80">
        <v>-11.700437476856564</v>
      </c>
      <c r="F23" s="81">
        <f ca="1">OFFSET(Income!$C$4,MATCH($D23,Income!$C$4:$C$134,0)-1,MATCH(E$8,Income!$C$4:$ET$4,0)-1)</f>
        <v>-0.21205914008764981</v>
      </c>
      <c r="G23" s="55">
        <f t="shared" ca="1" si="0"/>
        <v>-0.9818759648511346</v>
      </c>
      <c r="H23" s="82">
        <v>-1.155</v>
      </c>
      <c r="I23" s="83">
        <v>-0.21</v>
      </c>
      <c r="J23" s="58">
        <f t="shared" si="1"/>
        <v>-0.81818181818181823</v>
      </c>
      <c r="K23" s="80">
        <v>-0.95395869419321089</v>
      </c>
      <c r="L23" s="81">
        <f ca="1">OFFSET(Income!$C$4,MATCH($D23,Income!$C$4:$C$134,0)-1,MATCH(K$8,Income!$C$4:$ET$4,0)-1)</f>
        <v>0.13154725709164128</v>
      </c>
      <c r="M23" s="55">
        <f ca="1">L23/K23-1</f>
        <v>-1.1378961771535554</v>
      </c>
      <c r="N23" s="82">
        <v>-0.95</v>
      </c>
      <c r="O23" s="83">
        <v>0.13</v>
      </c>
      <c r="P23" s="58">
        <f>O23/N23-1</f>
        <v>-1.1368421052631579</v>
      </c>
      <c r="Q23" s="80">
        <v>-0.12478797234804594</v>
      </c>
      <c r="R23" s="81" t="e">
        <f ca="1">OFFSET(Income!$C$4,MATCH($D23,Income!$C$4:$C$134,0)-1,MATCH(Q$8,Income!$C$4:$ET$4,0)-1)</f>
        <v>#N/A</v>
      </c>
      <c r="S23" s="55" t="e">
        <f ca="1">R23/Q23-1</f>
        <v>#N/A</v>
      </c>
      <c r="T23" s="82">
        <v>-0.12</v>
      </c>
      <c r="U23" s="83">
        <v>0.63923269999999999</v>
      </c>
      <c r="V23" s="58">
        <f>U23/T23-1</f>
        <v>-6.3269391666666666</v>
      </c>
      <c r="W23" s="80">
        <v>-0.48980993749720064</v>
      </c>
      <c r="X23" s="81" t="e">
        <f ca="1">OFFSET(Income!$C$4,MATCH($D23,Income!$C$4:$C$134,0)-1,MATCH(W$8,Income!$C$4:$ET$4,0)-1)</f>
        <v>#N/A</v>
      </c>
      <c r="Y23" s="55" t="e">
        <f ca="1">X23/W23-1</f>
        <v>#N/A</v>
      </c>
      <c r="Z23" s="82">
        <v>-0.48</v>
      </c>
      <c r="AA23" s="83">
        <v>0.99075069999999998</v>
      </c>
      <c r="AB23" s="58">
        <f>AA23/Z23-1</f>
        <v>-3.0640639583333336</v>
      </c>
      <c r="AC23" s="80">
        <v>-3.5213472006770092</v>
      </c>
      <c r="AD23" s="81" t="e">
        <f ca="1">OFFSET(Income!$C$4,MATCH($D23,Income!$C$4:$C$134,0)-1,MATCH(AC$8,Income!$C$4:$ET$4,0)-1)</f>
        <v>#N/A</v>
      </c>
      <c r="AE23" s="55" t="e">
        <f ca="1">AD23/AC23-1</f>
        <v>#N/A</v>
      </c>
      <c r="AF23" s="82">
        <v>-2.69</v>
      </c>
      <c r="AG23" s="55" t="e">
        <f t="shared" ca="1" si="2"/>
        <v>#N/A</v>
      </c>
      <c r="AH23" s="83">
        <v>1.5520631</v>
      </c>
      <c r="AI23" s="55">
        <f>AH23/AF23-1</f>
        <v>-1.5769751301115242</v>
      </c>
      <c r="AJ23" s="80">
        <v>5.2644534270144469E-2</v>
      </c>
      <c r="AK23" s="84" t="e">
        <f ca="1">OFFSET(Income!$C$4,MATCH($D23,Income!$C$4:$C$134,0)-1,MATCH(AJ$8,Income!$C$4:$ET$4,0)-1)</f>
        <v>#N/A</v>
      </c>
      <c r="AL23" s="55" t="e">
        <f ca="1">AK23/AJ23-1</f>
        <v>#N/A</v>
      </c>
      <c r="AM23" s="82">
        <v>0.05</v>
      </c>
      <c r="AN23" s="46" t="e">
        <f ca="1">AK23/AM23-1</f>
        <v>#N/A</v>
      </c>
      <c r="AO23" s="83">
        <v>-0.52877337000000002</v>
      </c>
      <c r="AP23" s="58">
        <f>AO23/AM23-1</f>
        <v>-11.575467399999999</v>
      </c>
      <c r="AQ23" s="80">
        <v>-1.0238926705812337</v>
      </c>
      <c r="AR23" s="84" t="e">
        <f ca="1">OFFSET(Income!$C$4,MATCH($D23,Income!$C$4:$C$134,0)-1,MATCH(AQ$8,Income!$C$4:$ET$4,0)-1)</f>
        <v>#N/A</v>
      </c>
      <c r="AS23" s="55" t="e">
        <f ca="1">AR23/AQ23-1</f>
        <v>#N/A</v>
      </c>
      <c r="AT23" s="82">
        <v>-1.01</v>
      </c>
      <c r="AU23" s="55" t="e">
        <f ca="1">AR23/AT23-1</f>
        <v>#N/A</v>
      </c>
      <c r="AV23" s="83">
        <v>0.69134830000000003</v>
      </c>
      <c r="AW23" s="58">
        <f>AV23/AT23-1</f>
        <v>-1.6845032673267326</v>
      </c>
      <c r="AX23" s="80">
        <v>0.5540849461982128</v>
      </c>
      <c r="AY23" s="84" t="e">
        <f ca="1">OFFSET(Income!$C$4,MATCH($D23,Income!$C$4:$C$134,0)-1,MATCH(AX$8,Income!$C$4:$ET$4,0)-1)</f>
        <v>#N/A</v>
      </c>
      <c r="AZ23" s="55" t="e">
        <f ca="1">AY23/AX23-1</f>
        <v>#N/A</v>
      </c>
      <c r="BA23" s="82">
        <v>0.55000000000000004</v>
      </c>
      <c r="BB23" s="55" t="e">
        <f ca="1">AY23/BA23-1</f>
        <v>#N/A</v>
      </c>
      <c r="BC23" s="83">
        <v>0.20030481999999999</v>
      </c>
      <c r="BD23" s="58">
        <f>BC23/BA23-1</f>
        <v>-0.63580941818181824</v>
      </c>
      <c r="BE23" s="80">
        <v>0.1594338148960488</v>
      </c>
      <c r="BF23" s="84" t="e">
        <f ca="1">OFFSET(Income!$C$4,MATCH($D23,Income!$C$4:$C$134,0)-1,MATCH(BE$8,Income!$C$4:$ET$4,0)-1)</f>
        <v>#N/A</v>
      </c>
      <c r="BG23" s="55" t="e">
        <f ca="1">BF23/BE23-1</f>
        <v>#N/A</v>
      </c>
      <c r="BH23" s="82">
        <v>0.21813247999999999</v>
      </c>
      <c r="BI23" s="55" t="e">
        <f ca="1">BF23/BH23-1</f>
        <v>#N/A</v>
      </c>
      <c r="BJ23" s="83">
        <v>0.56969499999999995</v>
      </c>
      <c r="BK23" s="58">
        <f>BJ23/BH23-1</f>
        <v>1.6116926741033706</v>
      </c>
      <c r="BL23" s="80">
        <v>-0.24812664973173698</v>
      </c>
      <c r="BM23" s="81" t="e">
        <f ca="1">OFFSET(Income!$C$4,MATCH($D23,Income!$C$4:$C$134,0)-1,MATCH(BL$8,Income!$C$4:$ET$4,0)-1)</f>
        <v>#N/A</v>
      </c>
      <c r="BN23" s="55" t="e">
        <f ca="1">BM23/BL23-1</f>
        <v>#N/A</v>
      </c>
      <c r="BO23" s="82">
        <v>-0.18907657</v>
      </c>
      <c r="BP23" s="55" t="e">
        <f t="shared" ca="1" si="3"/>
        <v>#N/A</v>
      </c>
      <c r="BQ23" s="83">
        <v>0.94059413999999997</v>
      </c>
      <c r="BR23" s="55">
        <f>BQ23/BO23-1</f>
        <v>-5.9746731707688578</v>
      </c>
      <c r="BS23" s="80">
        <v>9.2190410883828067E-2</v>
      </c>
      <c r="BT23" s="84" t="e">
        <f ca="1">OFFSET(Income!$C$4,MATCH($D23,Income!$C$4:$C$134,0)-1,MATCH(BS$8,Income!$C$4:$ET$4,0)-1)</f>
        <v>#N/A</v>
      </c>
      <c r="BU23" s="55" t="e">
        <f ca="1">BT23/BS23-1</f>
        <v>#N/A</v>
      </c>
      <c r="BV23" s="82">
        <v>0.11290799999999999</v>
      </c>
      <c r="BW23" s="55" t="e">
        <f ca="1">BT23/BV23-1</f>
        <v>#N/A</v>
      </c>
      <c r="BX23" s="83">
        <v>-0.44940332</v>
      </c>
      <c r="BY23" s="58">
        <f>BX23/BV23-1</f>
        <v>-4.9802610975307333</v>
      </c>
      <c r="BZ23" s="80">
        <v>0.10173641616719753</v>
      </c>
      <c r="CA23" s="84" t="e">
        <f ca="1">OFFSET(Income!$C$4,MATCH($D23,Income!$C$4:$C$134,0)-1,MATCH(BZ$8,Income!$C$4:$ET$4,0)-1)</f>
        <v>#N/A</v>
      </c>
      <c r="CB23" s="55" t="e">
        <f ca="1">CA23/BZ23-1</f>
        <v>#N/A</v>
      </c>
      <c r="CC23" s="82">
        <v>0.12611032</v>
      </c>
      <c r="CD23" s="55" t="e">
        <f ca="1">CA23/CC23-1</f>
        <v>#N/A</v>
      </c>
      <c r="CE23" s="83">
        <v>0.42264079999999998</v>
      </c>
      <c r="CF23" s="58">
        <f>CE23/CC23-1</f>
        <v>2.3513577635835037</v>
      </c>
      <c r="CG23" s="80">
        <v>0.13371043484078063</v>
      </c>
      <c r="CH23" s="84">
        <f ca="1">OFFSET(Income!$C$4,MATCH($D23,Income!$C$4:$C$134,0)-1,MATCH(CG$8,Income!$C$4:$ET$4,0)-1)</f>
        <v>0.38688238037815359</v>
      </c>
      <c r="CI23" s="55">
        <f ca="1">CH23/CG23-1</f>
        <v>1.8934344641003107</v>
      </c>
      <c r="CJ23" s="82">
        <v>0.18446056999999999</v>
      </c>
      <c r="CK23" s="55">
        <f ca="1">CH23/CJ23-1</f>
        <v>1.0973717059323498</v>
      </c>
      <c r="CL23" s="83">
        <v>0.36635869999999998</v>
      </c>
      <c r="CM23" s="58">
        <f>CL23/CJ23-1</f>
        <v>0.98610846751693337</v>
      </c>
      <c r="CN23" s="80">
        <v>0.20997376009751006</v>
      </c>
      <c r="CO23" s="84">
        <f ca="1">OFFSET(Income!$C$4,MATCH($D23,Income!$C$4:$C$134,0)-1,MATCH(CN$8,Income!$C$4:$ET$4,0)-1)</f>
        <v>0.56825072096684548</v>
      </c>
      <c r="CP23" s="55">
        <f ca="1">CO23/CN23-1</f>
        <v>1.706293970746414</v>
      </c>
      <c r="CQ23" s="82">
        <v>0.2776594</v>
      </c>
      <c r="CR23" s="55">
        <f ca="1">CO23/CQ23-1</f>
        <v>1.0465747637819769</v>
      </c>
      <c r="CS23" s="83">
        <v>0.55158079999999998</v>
      </c>
      <c r="CT23" s="58">
        <f>CS23/CQ23-1</f>
        <v>0.98653746280514887</v>
      </c>
      <c r="CU23" s="80">
        <v>0.53798022511483035</v>
      </c>
      <c r="CV23" s="81">
        <f ca="1">OFFSET(Income!$C$4,MATCH($D23,Income!$C$4:$C$134,0)-1,MATCH(CU$8,Income!$C$4:$ET$4,0)-1)</f>
        <v>1.6635140074363071</v>
      </c>
      <c r="CW23" s="55">
        <f ca="1">CV23/CU23-1</f>
        <v>2.0921471269343308</v>
      </c>
      <c r="CX23" s="82">
        <v>0.70595324000000004</v>
      </c>
      <c r="CY23" s="55">
        <f t="shared" ca="1" si="4"/>
        <v>1.3564082055014111</v>
      </c>
      <c r="CZ23" s="83">
        <v>0.89964180000000005</v>
      </c>
      <c r="DA23" s="55">
        <f>CZ23/CX23-1</f>
        <v>0.27436457406159076</v>
      </c>
      <c r="DB23" s="80">
        <v>0.10371521224847409</v>
      </c>
      <c r="DC23" s="84">
        <f ca="1">OFFSET(Income!$C$4,MATCH($D23,Income!$C$4:$C$134,0)-1,MATCH(DB$8,Income!$C$4:$ET$4,0)-1)</f>
        <v>0.36946787090279692</v>
      </c>
      <c r="DD23" s="55">
        <f ca="1">DC23/DB23-1</f>
        <v>2.5623305674547536</v>
      </c>
      <c r="DE23" s="82">
        <v>0.19434660000000001</v>
      </c>
      <c r="DF23" s="55">
        <f ca="1">DC23/DE23-1</f>
        <v>0.9010771009258558</v>
      </c>
      <c r="DG23" s="83">
        <v>0.36926809999999999</v>
      </c>
      <c r="DH23" s="58">
        <f>DG23/DE23-1</f>
        <v>0.90004919046692855</v>
      </c>
      <c r="DI23" s="80">
        <v>0.11431576771924382</v>
      </c>
      <c r="DJ23" s="84">
        <f ca="1">OFFSET(Income!$C$4,MATCH($D23,Income!$C$4:$C$134,0)-1,MATCH(DI$8,Income!$C$4:$ET$4,0)-1)</f>
        <v>0.47677482064476145</v>
      </c>
      <c r="DK23" s="55">
        <f ca="1">DJ23/DI23-1</f>
        <v>3.1706829263982765</v>
      </c>
      <c r="DL23" s="82">
        <v>0.19653619999999999</v>
      </c>
      <c r="DM23" s="55">
        <f ca="1">DJ23/DL23-1</f>
        <v>1.4258880585091269</v>
      </c>
      <c r="DN23" s="83">
        <v>0.41964309999999999</v>
      </c>
      <c r="DO23" s="58">
        <f>DN23/DL23-1</f>
        <v>1.1351949411864073</v>
      </c>
      <c r="DP23" s="80">
        <v>0.15212572363617127</v>
      </c>
      <c r="DQ23" s="84">
        <f ca="1">OFFSET(Income!$C$4,MATCH($D23,Income!$C$4:$C$134,0)-1,MATCH(DP$8,Income!$C$4:$ET$4,0)-1)</f>
        <v>0.52721302046524676</v>
      </c>
      <c r="DR23" s="55">
        <f ca="1">DQ23/DP23-1</f>
        <v>2.4656401814471969</v>
      </c>
      <c r="DS23" s="82">
        <v>0.27266859999999998</v>
      </c>
      <c r="DT23" s="55">
        <f ca="1">DQ23/DS23-1</f>
        <v>0.93353037520729121</v>
      </c>
      <c r="DU23" s="83">
        <v>0.45314853999999999</v>
      </c>
      <c r="DV23" s="58">
        <f>DU23/DS23-1</f>
        <v>0.6619021772217264</v>
      </c>
      <c r="DW23" s="80">
        <v>0.24360884963212961</v>
      </c>
      <c r="DX23" s="84">
        <f ca="1">OFFSET(Income!$C$4,MATCH($D23,Income!$C$4:$C$134,0)-1,MATCH(DW$8,Income!$C$4:$ET$4,0)-1)</f>
        <v>0.77216054202592088</v>
      </c>
      <c r="DY23" s="55">
        <f ca="1">DX23/DW23-1</f>
        <v>2.1696736107573678</v>
      </c>
      <c r="DZ23" s="82">
        <v>0.38889279999999998</v>
      </c>
      <c r="EA23" s="55">
        <f ca="1">DX23/DZ23-1</f>
        <v>0.98553571067893486</v>
      </c>
      <c r="EB23" s="83">
        <v>0.6872509</v>
      </c>
      <c r="EC23" s="55">
        <f ca="1">DX23/EB23-1</f>
        <v>0.12354969928147175</v>
      </c>
      <c r="ED23" s="58">
        <f>EB23/DZ23-1</f>
        <v>0.7671988270289396</v>
      </c>
      <c r="EE23" s="80">
        <v>0.61420056936535428</v>
      </c>
      <c r="EF23" s="81">
        <f ca="1">OFFSET(Income!$C$4,MATCH($D23,Income!$C$4:$C$134,0)-1,MATCH(EE$8,Income!$C$4:$ET$4,0)-1)</f>
        <v>2.146817870393372</v>
      </c>
      <c r="EG23" s="55">
        <f ca="1">EF23/EE23-1</f>
        <v>2.4953042661807556</v>
      </c>
      <c r="EH23" s="82">
        <v>1.0527196000000001</v>
      </c>
      <c r="EI23" s="55">
        <f ca="1">EF23/EH23-1</f>
        <v>1.0393064500683487</v>
      </c>
      <c r="EJ23" s="83">
        <v>2.0756657000000001</v>
      </c>
      <c r="EK23" s="55">
        <f ca="1">EF23/EJ23-1</f>
        <v>3.4279205169393201E-2</v>
      </c>
      <c r="EL23" s="58">
        <f>EJ23/EH23-1</f>
        <v>0.97171753997930677</v>
      </c>
    </row>
    <row r="24" spans="2:142" ht="12" customHeight="1">
      <c r="B24" s="42"/>
      <c r="D24" s="85"/>
      <c r="E24" s="78"/>
      <c r="F24" s="78"/>
      <c r="G24" s="78"/>
      <c r="H24" s="76"/>
      <c r="I24" s="76"/>
      <c r="J24" s="76"/>
      <c r="K24" s="78"/>
      <c r="L24" s="78"/>
      <c r="M24" s="76"/>
      <c r="N24" s="76"/>
      <c r="O24" s="76"/>
      <c r="P24" s="76"/>
      <c r="Q24" s="78"/>
      <c r="R24" s="78"/>
      <c r="S24" s="76"/>
      <c r="T24" s="76"/>
      <c r="U24" s="76"/>
      <c r="V24" s="76"/>
      <c r="W24" s="78"/>
      <c r="X24" s="78"/>
      <c r="Y24" s="76"/>
      <c r="Z24" s="76"/>
      <c r="AA24" s="76"/>
      <c r="AB24" s="76"/>
      <c r="AC24" s="78"/>
      <c r="AD24" s="78"/>
      <c r="AE24" s="76"/>
      <c r="AF24" s="76"/>
      <c r="AG24" s="76"/>
      <c r="AH24" s="76"/>
      <c r="AI24" s="76"/>
      <c r="AJ24" s="78"/>
      <c r="AK24" s="78"/>
      <c r="AL24" s="76"/>
      <c r="AM24" s="76"/>
      <c r="AN24" s="86"/>
      <c r="AO24" s="76"/>
      <c r="AP24" s="76"/>
      <c r="AQ24" s="78"/>
      <c r="AR24" s="78"/>
      <c r="AS24" s="76"/>
      <c r="AT24" s="76"/>
      <c r="AU24" s="76"/>
      <c r="AV24" s="76"/>
      <c r="AW24" s="76"/>
      <c r="AX24" s="78"/>
      <c r="AY24" s="78"/>
      <c r="AZ24" s="76"/>
      <c r="BA24" s="76"/>
      <c r="BB24" s="76"/>
      <c r="BC24" s="76"/>
      <c r="BD24" s="76"/>
      <c r="BE24" s="78"/>
      <c r="BF24" s="78"/>
      <c r="BG24" s="76"/>
      <c r="BH24" s="76"/>
      <c r="BI24" s="76"/>
      <c r="BJ24" s="76"/>
      <c r="BK24" s="76"/>
      <c r="BL24" s="78"/>
      <c r="BM24" s="78"/>
      <c r="BN24" s="76"/>
      <c r="BO24" s="76"/>
      <c r="BP24" s="76"/>
      <c r="BQ24" s="76"/>
      <c r="BR24" s="76"/>
      <c r="BS24" s="78"/>
      <c r="BT24" s="78"/>
      <c r="BU24" s="87"/>
      <c r="BV24" s="87"/>
      <c r="BW24" s="87"/>
      <c r="BX24" s="87"/>
      <c r="BY24" s="87"/>
      <c r="BZ24" s="78"/>
      <c r="CA24" s="78"/>
      <c r="CB24" s="87"/>
      <c r="CC24" s="87"/>
      <c r="CD24" s="87"/>
      <c r="CE24" s="87"/>
      <c r="CF24" s="87"/>
      <c r="CG24" s="78"/>
      <c r="CH24" s="78"/>
      <c r="CI24" s="87"/>
      <c r="CJ24" s="87"/>
      <c r="CK24" s="87"/>
      <c r="CL24" s="87"/>
      <c r="CM24" s="87"/>
      <c r="CN24" s="78"/>
      <c r="CO24" s="78"/>
      <c r="CP24" s="87"/>
      <c r="CQ24" s="87"/>
      <c r="CR24" s="87"/>
      <c r="CS24" s="87"/>
      <c r="CT24" s="87"/>
      <c r="CU24" s="78"/>
      <c r="CV24" s="78"/>
      <c r="CW24" s="76"/>
      <c r="CX24" s="76"/>
      <c r="CY24" s="76"/>
      <c r="CZ24" s="76"/>
      <c r="DA24" s="76"/>
    </row>
    <row r="43" customFormat="1" ht="10.5" customHeight="1"/>
    <row r="44" customFormat="1" ht="10.5" customHeight="1"/>
    <row r="45" customFormat="1" ht="10.5" customHeight="1"/>
    <row r="46" customFormat="1" ht="10.5" customHeight="1"/>
    <row r="47" customFormat="1" ht="10.5" customHeight="1"/>
    <row r="48" customFormat="1" ht="10.5" customHeight="1"/>
    <row r="49" customFormat="1" ht="10.5" customHeight="1"/>
    <row r="50" customFormat="1" ht="10.5" customHeight="1"/>
    <row r="51" customFormat="1" ht="10.5" customHeight="1"/>
    <row r="52" customFormat="1" ht="10.5" customHeight="1"/>
    <row r="53" customFormat="1" ht="10.5" customHeight="1"/>
    <row r="54" customFormat="1" ht="10.5" customHeight="1"/>
    <row r="55" customFormat="1" ht="10.5" customHeight="1"/>
    <row r="56" customFormat="1" ht="10.5" customHeight="1"/>
    <row r="57" customFormat="1" ht="10.5" customHeight="1"/>
    <row r="58" customFormat="1" ht="10.5" customHeight="1"/>
    <row r="59" customFormat="1" ht="10.5" customHeight="1"/>
    <row r="60" customFormat="1" ht="10.5" customHeight="1"/>
    <row r="61" customFormat="1" ht="10.5" customHeight="1"/>
    <row r="62" customFormat="1" ht="10.5" customHeight="1"/>
    <row r="63" customFormat="1" ht="10.5" customHeight="1"/>
    <row r="64" customFormat="1" ht="10.5" customHeight="1"/>
    <row r="65" customFormat="1" ht="10.5" customHeight="1"/>
    <row r="66" customFormat="1" ht="10.5" customHeight="1"/>
    <row r="67" customFormat="1" ht="10.5" customHeight="1"/>
    <row r="68" customFormat="1" ht="10.5" customHeight="1"/>
    <row r="69" customFormat="1" ht="10.5" customHeight="1"/>
    <row r="70" customFormat="1" ht="10.5" customHeight="1"/>
    <row r="71" customFormat="1" ht="10.5" customHeight="1"/>
    <row r="72" customFormat="1" ht="10.5" customHeight="1"/>
    <row r="73" customFormat="1" ht="10.5" customHeight="1"/>
    <row r="74" customFormat="1" ht="10.5" customHeight="1"/>
    <row r="75" customFormat="1" ht="10.5" customHeight="1"/>
    <row r="76" customFormat="1" ht="10.5" customHeight="1"/>
    <row r="77" customFormat="1" ht="10.5" customHeight="1"/>
    <row r="78" customFormat="1" ht="10.5" customHeight="1"/>
    <row r="79" customFormat="1" ht="10.5" customHeight="1"/>
    <row r="80" customFormat="1" ht="10.5" customHeight="1"/>
    <row r="81" customFormat="1" ht="10.5" customHeight="1"/>
    <row r="82" customFormat="1" ht="10.5" customHeight="1"/>
    <row r="83" customFormat="1" ht="10.5" customHeight="1"/>
    <row r="84" customFormat="1" ht="10.5" customHeight="1"/>
    <row r="85" customFormat="1" ht="10.5" customHeight="1"/>
    <row r="86" customFormat="1" ht="10.5" customHeight="1"/>
    <row r="87" customFormat="1" ht="10.5" customHeight="1"/>
    <row r="88" customFormat="1" ht="10.5" customHeight="1"/>
    <row r="89" customFormat="1" ht="10.5" customHeight="1"/>
    <row r="90" customFormat="1" ht="10.5" customHeight="1"/>
    <row r="91" customFormat="1" ht="10.5" customHeight="1"/>
    <row r="92" customFormat="1" ht="10.5" customHeight="1"/>
    <row r="93" customFormat="1" ht="10.5" customHeight="1"/>
    <row r="94" customFormat="1" ht="10.5" customHeight="1"/>
    <row r="95" customFormat="1" ht="10.5" customHeight="1"/>
    <row r="96" customFormat="1" ht="10.5" customHeight="1"/>
    <row r="97" customFormat="1" ht="10.5" customHeight="1"/>
    <row r="98" customFormat="1" ht="10.5" customHeight="1"/>
    <row r="99" customFormat="1" ht="10.5" customHeight="1"/>
    <row r="100" customFormat="1" ht="10.5" customHeight="1"/>
    <row r="101" customFormat="1" ht="10.5" customHeight="1"/>
    <row r="102" customFormat="1" ht="10.5" customHeight="1"/>
    <row r="103" customFormat="1" ht="10.5" customHeight="1"/>
    <row r="104" customFormat="1" ht="10.5" customHeight="1"/>
    <row r="105" customFormat="1" ht="10.5" customHeight="1"/>
    <row r="106" customFormat="1" ht="10.5" customHeight="1"/>
    <row r="107" customFormat="1" ht="10.5" customHeight="1"/>
    <row r="108" customFormat="1" ht="10.5" customHeight="1"/>
    <row r="109" customFormat="1" ht="10.5" customHeight="1"/>
    <row r="110" customFormat="1" ht="10.5" customHeight="1"/>
    <row r="111" customFormat="1" ht="10.5" customHeight="1"/>
    <row r="112" customFormat="1" ht="10.5" customHeight="1"/>
    <row r="113" customFormat="1" ht="10.5" customHeight="1"/>
    <row r="114" customFormat="1" ht="10.5" customHeight="1"/>
    <row r="115" customFormat="1" ht="10.5" customHeight="1"/>
    <row r="116" customFormat="1" ht="10.5" customHeight="1"/>
    <row r="117" customFormat="1" ht="10.5" customHeight="1"/>
    <row r="118" customFormat="1" ht="10.5" customHeight="1"/>
    <row r="119" customFormat="1" ht="10.5" customHeight="1"/>
    <row r="120" customFormat="1" ht="10.5" customHeight="1"/>
    <row r="121" customFormat="1" ht="10.5" customHeight="1"/>
    <row r="122" customFormat="1" ht="10.5" customHeight="1"/>
    <row r="123" customFormat="1" ht="10.5" customHeight="1"/>
    <row r="124" customFormat="1" ht="10.5" customHeight="1"/>
    <row r="125" customFormat="1" ht="10.5" customHeight="1"/>
    <row r="126" customFormat="1" ht="10.5" customHeight="1"/>
    <row r="127" customFormat="1" ht="10.5" customHeight="1"/>
    <row r="128" customFormat="1" ht="10.5" customHeight="1"/>
    <row r="129" customFormat="1" ht="10.5" customHeight="1"/>
    <row r="130" customFormat="1" ht="10.5" customHeight="1"/>
    <row r="131" customFormat="1" ht="10.5" customHeight="1"/>
    <row r="132" customFormat="1" ht="10.5" customHeight="1"/>
    <row r="133" customFormat="1" ht="10.5" customHeight="1"/>
    <row r="134" customFormat="1" ht="10.5" customHeight="1"/>
    <row r="135" customFormat="1" ht="10.5" customHeight="1"/>
    <row r="136" customFormat="1" ht="10.5" customHeight="1"/>
    <row r="137" customFormat="1" ht="10.5" customHeight="1"/>
    <row r="138" customFormat="1" ht="10.5" customHeight="1"/>
    <row r="139" customFormat="1" ht="10.5" customHeight="1"/>
    <row r="140" customFormat="1" ht="10.5" customHeight="1"/>
    <row r="141" customFormat="1" ht="10.5" customHeight="1"/>
    <row r="142" customFormat="1" ht="10.5" customHeight="1"/>
    <row r="143" customFormat="1" ht="10.5" customHeight="1"/>
    <row r="144" customFormat="1" ht="10.5" customHeight="1"/>
    <row r="145" customFormat="1" ht="10.5" customHeight="1"/>
    <row r="146" customFormat="1" ht="10.5" customHeight="1"/>
    <row r="147" customFormat="1" ht="10.5" customHeight="1"/>
    <row r="148" customFormat="1" ht="10.5" customHeight="1"/>
    <row r="149" customFormat="1" ht="10.5" customHeight="1"/>
    <row r="150" customFormat="1" ht="10.5" customHeight="1"/>
    <row r="151" customFormat="1" ht="10.5" customHeight="1"/>
    <row r="152" customFormat="1" ht="10.5" customHeight="1"/>
    <row r="153" customFormat="1" ht="10.5" customHeight="1"/>
    <row r="154" customFormat="1" ht="10.5" customHeight="1"/>
    <row r="155" customFormat="1" ht="10.5" customHeight="1"/>
    <row r="156" customFormat="1" ht="10.5" customHeight="1"/>
    <row r="157" customFormat="1" ht="10.5" customHeight="1"/>
    <row r="158" customFormat="1" ht="10.5" customHeight="1"/>
    <row r="159" customFormat="1" ht="10.5" customHeight="1"/>
    <row r="160" customFormat="1" ht="10.5" customHeight="1"/>
    <row r="161" customFormat="1" ht="10.5" customHeight="1"/>
    <row r="162" customFormat="1" ht="10.5" customHeight="1"/>
    <row r="163" customFormat="1" ht="10.5" customHeight="1"/>
    <row r="164" customFormat="1" ht="10.5" customHeight="1"/>
    <row r="165" customFormat="1" ht="10.5" customHeight="1"/>
    <row r="166" customFormat="1" ht="10.5" customHeight="1"/>
    <row r="167" customFormat="1" ht="10.5" customHeight="1"/>
  </sheetData>
  <phoneticPr fontId="16" type="noConversion"/>
  <dataValidations count="200">
    <dataValidation allowBlank="1" errorTitle="1x1xSingleCell" error="60855" promptTitle="FactSet Formula" prompt="=FDS(&quot;SHOP-US&quot;,&quot;FE_ESTIMATE(&quot;&amp;$B10&amp;&quot;,MEAN,QTR,&quot;&amp;E$6&amp;&quot;/&quot;&amp;E$7&amp;&quot;F,NOW,,,'')&quot;)" sqref="I10" xr:uid="{5FEAE150-068F-4732-B3B2-4785CFB948E9}"/>
    <dataValidation allowBlank="1" errorTitle="1x1xSingleCell" error="151" promptTitle="FactSet Formula" prompt="=FDS(&quot;SHOP-US&quot;,&quot;FE_ESTIMATE(&quot;&amp;$B11&amp;&quot;,MEAN,QTR,&quot;&amp;E$6&amp;&quot;/&quot;&amp;E$7&amp;&quot;F,NOW,,,'')&quot;)" sqref="I11" xr:uid="{500D3CD3-0FB9-4EB8-8C1F-B0EA3AE017C4}"/>
    <dataValidation allowBlank="1" errorTitle="1x1xSingleCell" error="1861" promptTitle="FactSet Formula" prompt="=FDS(&quot;SHOP-US&quot;,&quot;FE_ESTIMATE(&quot;&amp;$B12&amp;&quot;,MEAN,QTR,&quot;&amp;E$6&amp;&quot;/&quot;&amp;E$7&amp;&quot;F,NOW,,,'')&quot;)" sqref="I12" xr:uid="{36345BD2-5AF2-4812-9118-1FCCECE4CF70}"/>
    <dataValidation allowBlank="1" errorTitle="1x1xSingleCell" error="511" promptTitle="FactSet Formula" prompt="=FDS(&quot;SHOP-US&quot;,&quot;FE_ESTIMATE(&quot;&amp;$B14&amp;&quot;,MEAN,QTR,&quot;&amp;E$6&amp;&quot;/&quot;&amp;E$7&amp;&quot;F,NOW,,,'')&quot;)" sqref="I14" xr:uid="{E2332865-033D-458F-8E21-572C309732AE}"/>
    <dataValidation allowBlank="1" errorTitle="1x1xSingleCell" error="1350" promptTitle="FactSet Formula" prompt="=FDS(&quot;SHOP-US&quot;,&quot;FE_ESTIMATE(&quot;&amp;$B16&amp;&quot;,MEAN,QTR,&quot;&amp;E$6&amp;&quot;/&quot;&amp;E$7&amp;&quot;F,NOW,,,'')&quot;)" sqref="I16" xr:uid="{1A86AB79-D845-477D-96BF-A0970C1630E5}"/>
    <dataValidation allowBlank="1" errorTitle="1x1xSingleCell" error="209.07143" promptTitle="FactSet Formula" prompt="=FDS(&quot;SHOP-US&quot;,&quot;FE_ESTIMATE(&quot;&amp;$B18&amp;&quot;,MEAN,QTR,&quot;&amp;E$6&amp;&quot;/&quot;&amp;E$7&amp;&quot;F,NOW,,,'')&quot;)" sqref="I18" xr:uid="{15DB9575-2C9F-489B-99E1-B149FD6046DC}"/>
    <dataValidation allowBlank="1" errorTitle="1x1xSingleCell" error="256" promptTitle="FactSet Formula" prompt="=FDS(&quot;SHOP-US&quot;,&quot;FE_ESTIMATE(&quot;&amp;$B20&amp;&quot;,MEAN,QTR,&quot;&amp;E$6&amp;&quot;/&quot;&amp;E$7&amp;&quot;F,NOW,,,'')&quot;)" sqref="I20" xr:uid="{A737EB83-3404-4677-B122-52F82EBEBAD7}"/>
    <dataValidation allowBlank="1" errorTitle="1x1xSingleCell" error="0.2" promptTitle="FactSet Formula" prompt="=FDS(&quot;SHOP-US&quot;,&quot;FE_ESTIMATE(&quot;&amp;$B21&amp;&quot;,MEAN,QTR,&quot;&amp;E$6&amp;&quot;/&quot;&amp;E$7&amp;&quot;F,NOW,,,'')&quot;)" sqref="I21" xr:uid="{BA2558E8-D13C-4C87-BD0D-04CFEF13258B}"/>
    <dataValidation allowBlank="1" errorTitle="1x1xSingleCell" error="-273" promptTitle="FactSet Formula" prompt="=FDS(&quot;SHOP-US&quot;,&quot;FE_ESTIMATE(&quot;&amp;$B22&amp;&quot;,MEAN,QTR,&quot;&amp;E$6&amp;&quot;/&quot;&amp;E$7&amp;&quot;F,NOW,,,'')&quot;)" sqref="I22" xr:uid="{42DA93D4-482F-4D2C-9DF3-DCD2065BBFB6}"/>
    <dataValidation allowBlank="1" errorTitle="1x1xSingleCell" error="-0.21" promptTitle="FactSet Formula" prompt="=FDS(&quot;SHOP-US&quot;,&quot;FE_ESTIMATE(&quot;&amp;$B23&amp;&quot;,MEAN,QTR,&quot;&amp;E$6&amp;&quot;/&quot;&amp;E$7&amp;&quot;F,NOW,,,'')&quot;)" sqref="I23" xr:uid="{F6D86F99-829E-4AEB-910E-4869F53D6760}"/>
    <dataValidation allowBlank="1" errorTitle="1x1xSingleCell" error="67245" promptTitle="FactSet Formula" prompt="=FDS(&quot;SHOP-US&quot;,&quot;FE_ESTIMATE(&quot;&amp;$B10&amp;&quot;,MEAN,QTR,&quot;&amp;K$6&amp;&quot;/&quot;&amp;K$7&amp;&quot;F,NOW,,,'')&quot;)" sqref="O10" xr:uid="{6702B432-EAAA-4D0B-B6B1-7C0862524953}"/>
    <dataValidation allowBlank="1" errorTitle="1x1xSingleCell" error="169" promptTitle="FactSet Formula" prompt="=FDS(&quot;SHOP-US&quot;,&quot;FE_ESTIMATE(&quot;&amp;$B11&amp;&quot;,MEAN,QTR,&quot;&amp;K$6&amp;&quot;/&quot;&amp;K$7&amp;&quot;F,NOW,,,'')&quot;)" sqref="O11" xr:uid="{4F8F616E-8F7D-427D-A633-A870E7C568BE}"/>
    <dataValidation allowBlank="1" errorTitle="1x1xSingleCell" error="2045" promptTitle="FactSet Formula" prompt="=FDS(&quot;SHOP-US&quot;,&quot;FE_ESTIMATE(&quot;&amp;$B12&amp;&quot;,MEAN,QTR,&quot;&amp;K$6&amp;&quot;/&quot;&amp;K$7&amp;&quot;F,NOW,,,'')&quot;)" sqref="O12" xr:uid="{E301CABD-1A1D-436F-A340-31994F9BE8BC}"/>
    <dataValidation allowBlank="1" errorTitle="1x1xSingleCell" error="563" promptTitle="FactSet Formula" prompt="=FDS(&quot;SHOP-US&quot;,&quot;FE_ESTIMATE(&quot;&amp;$B14&amp;&quot;,MEAN,QTR,&quot;&amp;K$6&amp;&quot;/&quot;&amp;K$7&amp;&quot;F,NOW,,,'')&quot;)" sqref="O14" xr:uid="{C5A70CAA-B84D-4E5D-9B2C-B0D24B7EA6F8}"/>
    <dataValidation allowBlank="1" errorTitle="1x1xSingleCell" error="1482" promptTitle="FactSet Formula" prompt="=FDS(&quot;SHOP-US&quot;,&quot;FE_ESTIMATE(&quot;&amp;$B16&amp;&quot;,MEAN,QTR,&quot;&amp;K$6&amp;&quot;/&quot;&amp;K$7&amp;&quot;F,NOW,,,'')&quot;)" sqref="O16" xr:uid="{3F0222F3-C1FE-4802-972F-DCBF7ED1376E}"/>
    <dataValidation allowBlank="1" errorTitle="1x1xSingleCell" error="307.92856" promptTitle="FactSet Formula" prompt="=FDS(&quot;SHOP-US&quot;,&quot;FE_ESTIMATE(&quot;&amp;$B18&amp;&quot;,MEAN,QTR,&quot;&amp;K$6&amp;&quot;/&quot;&amp;K$7&amp;&quot;F,NOW,,,'')&quot;)" sqref="O18" xr:uid="{AEBC45EA-F428-4D06-BD8F-0A09EAA42918}"/>
    <dataValidation allowBlank="1" errorTitle="1x1xSingleCell" error="345" promptTitle="FactSet Formula" prompt="=FDS(&quot;SHOP-US&quot;,&quot;FE_ESTIMATE(&quot;&amp;$B20&amp;&quot;,MEAN,QTR,&quot;&amp;K$6&amp;&quot;/&quot;&amp;K$7&amp;&quot;F,NOW,,,'')&quot;)" sqref="O20" xr:uid="{2E907CAC-D73C-44A5-8DBB-E0BF3EF111E9}"/>
    <dataValidation allowBlank="1" errorTitle="1x1xSingleCell" error="0.26" promptTitle="FactSet Formula" prompt="=FDS(&quot;SHOP-US&quot;,&quot;FE_ESTIMATE(&quot;&amp;$B21&amp;&quot;,MEAN,QTR,&quot;&amp;K$6&amp;&quot;/&quot;&amp;K$7&amp;&quot;F,NOW,,,'')&quot;)" sqref="O21" xr:uid="{AC63C5A3-0CF0-4CE8-A03F-ABE9CC8B928B}"/>
    <dataValidation allowBlank="1" errorTitle="1x1xSingleCell" error="171" promptTitle="FactSet Formula" prompt="=FDS(&quot;SHOP-US&quot;,&quot;FE_ESTIMATE(&quot;&amp;$B22&amp;&quot;,MEAN,QTR,&quot;&amp;K$6&amp;&quot;/&quot;&amp;K$7&amp;&quot;F,NOW,,,'')&quot;)" sqref="O22" xr:uid="{35AB8DEC-38FF-4605-A361-B96EA38197F1}"/>
    <dataValidation allowBlank="1" errorTitle="1x1xSingleCell" error="0.13" promptTitle="FactSet Formula" prompt="=FDS(&quot;SHOP-US&quot;,&quot;FE_ESTIMATE(&quot;&amp;$B23&amp;&quot;,MEAN,QTR,&quot;&amp;K$6&amp;&quot;/&quot;&amp;K$7&amp;&quot;F,NOW,,,'')&quot;)" sqref="O23" xr:uid="{2364B7F5-7449-443F-8B2B-AE84F03C6679}"/>
    <dataValidation allowBlank="1" errorTitle="1x1xSingleCell" error="69715" promptTitle="FactSet Formula" prompt="=FDS(&quot;SHOP-US&quot;,&quot;FE_ESTIMATE(&quot;&amp;$B10&amp;&quot;,MEAN,QTR,&quot;&amp;Q$6&amp;&quot;/&quot;&amp;Q$7&amp;&quot;F,NOW,,,'')&quot;)" sqref="U10" xr:uid="{5E84F1BD-3889-4BD4-90A5-2A2E1E64B221}"/>
    <dataValidation allowBlank="1" errorTitle="1x1xSingleCell" error="175" promptTitle="FactSet Formula" prompt="=FDS(&quot;SHOP-US&quot;,&quot;FE_ESTIMATE(&quot;&amp;$B11&amp;&quot;,MEAN,QTR,&quot;&amp;Q$6&amp;&quot;/&quot;&amp;Q$7&amp;&quot;F,NOW,,,'')&quot;)" sqref="U11" xr:uid="{C4868308-902A-45D4-9132-224031B15C4C}"/>
    <dataValidation allowBlank="1" errorTitle="1x1xSingleCell" error="2162" promptTitle="FactSet Formula" prompt="=FDS(&quot;SHOP-US&quot;,&quot;FE_ESTIMATE(&quot;&amp;$B12&amp;&quot;,MEAN,QTR,&quot;&amp;Q$6&amp;&quot;/&quot;&amp;Q$7&amp;&quot;F,NOW,,,'')&quot;)" sqref="U12" xr:uid="{0AFE319D-F9F5-44F5-87AF-CDA15330A91C}"/>
    <dataValidation allowBlank="1" errorTitle="1x1xSingleCell" error="610" promptTitle="FactSet Formula" prompt="=FDS(&quot;SHOP-US&quot;,&quot;FE_ESTIMATE(&quot;&amp;$B14&amp;&quot;,MEAN,QTR,&quot;&amp;Q$6&amp;&quot;/&quot;&amp;Q$7&amp;&quot;F,NOW,,,'')&quot;)" sqref="U14" xr:uid="{7899EC3C-70AE-49B5-A5B9-99B7C0075DA4}"/>
    <dataValidation allowBlank="1" errorTitle="1x1xSingleCell" error="1552" promptTitle="FactSet Formula" prompt="=FDS(&quot;SHOP-US&quot;,&quot;FE_ESTIMATE(&quot;&amp;$B16&amp;&quot;,MEAN,QTR,&quot;&amp;Q$6&amp;&quot;/&quot;&amp;Q$7&amp;&quot;F,NOW,,,'')&quot;)" sqref="U16" xr:uid="{B0487332-9E28-42B5-8F39-C746B4DAB5D6}"/>
    <dataValidation allowBlank="1" errorTitle="1x1xSingleCell" error="406.5625" promptTitle="FactSet Formula" prompt="=FDS(&quot;SHOP-US&quot;,&quot;FE_ESTIMATE(&quot;&amp;$B18&amp;&quot;,MEAN,QTR,&quot;&amp;Q$6&amp;&quot;/&quot;&amp;Q$7&amp;&quot;F,NOW,,,'')&quot;)" sqref="U18" xr:uid="{8C811FB2-A078-4DE6-916D-DFCB15AA7D43}"/>
    <dataValidation allowBlank="1" errorTitle="1x1xSingleCell" error="344" promptTitle="FactSet Formula" prompt="=FDS(&quot;SHOP-US&quot;,&quot;FE_ESTIMATE(&quot;&amp;$B20&amp;&quot;,MEAN,QTR,&quot;&amp;Q$6&amp;&quot;/&quot;&amp;Q$7&amp;&quot;F,NOW,,,'')&quot;)" sqref="U20" xr:uid="{45ACEB45-1240-4FC7-9810-7A3D1C60C2CA}"/>
    <dataValidation allowBlank="1" errorTitle="1x1xSingleCell" error="0.3605366" promptTitle="FactSet Formula" prompt="=FDS(&quot;SHOP-US&quot;,&quot;FE_ESTIMATE(&quot;&amp;$B21&amp;&quot;,MEAN,QTR,&quot;&amp;Q$6&amp;&quot;/&quot;&amp;Q$7&amp;&quot;F,NOW,,,'')&quot;)" sqref="U21" xr:uid="{17720D94-BB75-4204-B3F8-CE1C83FAB155}"/>
    <dataValidation allowBlank="1" errorTitle="1x1xSingleCell" error="828" promptTitle="FactSet Formula" prompt="=FDS(&quot;SHOP-US&quot;,&quot;FE_ESTIMATE(&quot;&amp;$B22&amp;&quot;,MEAN,QTR,&quot;&amp;Q$6&amp;&quot;/&quot;&amp;Q$7&amp;&quot;F,NOW,,,'')&quot;)" sqref="U22" xr:uid="{6A74D609-9F4B-4F3E-86E8-81BE99202874}"/>
    <dataValidation allowBlank="1" errorTitle="1x1xSingleCell" error="0.6392327" promptTitle="FactSet Formula" prompt="=FDS(&quot;SHOP-US&quot;,&quot;FE_ESTIMATE(&quot;&amp;$B23&amp;&quot;,MEAN,QTR,&quot;&amp;Q$6&amp;&quot;/&quot;&amp;Q$7&amp;&quot;F,NOW,,,'')&quot;)" sqref="U23" xr:uid="{737976C6-CC6B-4ABB-B96D-745E37817407}"/>
    <dataValidation allowBlank="1" errorTitle="1x1xSingleCell" error="94445" promptTitle="FactSet Formula" prompt="=FDS(&quot;SHOP-US&quot;,&quot;FE_ESTIMATE(&quot;&amp;$B10&amp;&quot;,MEAN,QTR,&quot;&amp;W$6&amp;&quot;/&quot;&amp;W$7&amp;&quot;F,NOW,,,'')&quot;)" sqref="AA10" xr:uid="{CC150EEF-799D-468D-83CD-221BB6E56B30}"/>
    <dataValidation allowBlank="1" errorTitle="1x1xSingleCell" error="178" promptTitle="FactSet Formula" prompt="=FDS(&quot;SHOP-US&quot;,&quot;FE_ESTIMATE(&quot;&amp;$B11&amp;&quot;,MEAN,QTR,&quot;&amp;W$6&amp;&quot;/&quot;&amp;W$7&amp;&quot;F,NOW,,,'')&quot;)" sqref="AA11" xr:uid="{1AAE58AD-2E36-4EBE-BBBB-34AFA9BDF614}"/>
    <dataValidation allowBlank="1" errorTitle="1x1xSingleCell" error="2812" promptTitle="FactSet Formula" prompt="=FDS(&quot;SHOP-US&quot;,&quot;FE_ESTIMATE(&quot;&amp;$B12&amp;&quot;,MEAN,QTR,&quot;&amp;W$6&amp;&quot;/&quot;&amp;W$7&amp;&quot;F,NOW,,,'')&quot;)" sqref="AA12" xr:uid="{97E2D424-8138-4DCD-9B69-E139E5B988D9}"/>
    <dataValidation allowBlank="1" errorTitle="1x1xSingleCell" error="666" promptTitle="FactSet Formula" prompt="=FDS(&quot;SHOP-US&quot;,&quot;FE_ESTIMATE(&quot;&amp;$B14&amp;&quot;,MEAN,QTR,&quot;&amp;W$6&amp;&quot;/&quot;&amp;W$7&amp;&quot;F,NOW,,,'')&quot;)" sqref="AA14" xr:uid="{55F79207-DC1D-491B-8A29-7B17586C0D0D}"/>
    <dataValidation allowBlank="1" errorTitle="1x1xSingleCell" error="2146" promptTitle="FactSet Formula" prompt="=FDS(&quot;SHOP-US&quot;,&quot;FE_ESTIMATE(&quot;&amp;$B16&amp;&quot;,MEAN,QTR,&quot;&amp;W$6&amp;&quot;/&quot;&amp;W$7&amp;&quot;F,NOW,,,'')&quot;)" sqref="AA16" xr:uid="{9898D6C8-2F24-4016-A059-E479065F9BD0}"/>
    <dataValidation allowBlank="1" errorTitle="1x1xSingleCell" error="591.6" promptTitle="FactSet Formula" prompt="=FDS(&quot;SHOP-US&quot;,&quot;FE_ESTIMATE(&quot;&amp;$B18&amp;&quot;,MEAN,QTR,&quot;&amp;W$6&amp;&quot;/&quot;&amp;W$7&amp;&quot;F,NOW,,,'')&quot;)" sqref="AA18" xr:uid="{540B06F5-639A-4CE1-8938-75450D3A43D4}"/>
    <dataValidation allowBlank="1" errorTitle="1x1xSingleCell" error="458" promptTitle="FactSet Formula" prompt="=FDS(&quot;SHOP-US&quot;,&quot;FE_ESTIMATE(&quot;&amp;$B20&amp;&quot;,MEAN,QTR,&quot;&amp;W$6&amp;&quot;/&quot;&amp;W$7&amp;&quot;F,NOW,,,'')&quot;)" sqref="AA20" xr:uid="{B6DB1BA1-F0B6-48F1-962E-913C5A65C455}"/>
    <dataValidation allowBlank="1" errorTitle="1x1xSingleCell" error="0.44007018" promptTitle="FactSet Formula" prompt="=FDS(&quot;SHOP-US&quot;,&quot;FE_ESTIMATE(&quot;&amp;$B21&amp;&quot;,MEAN,QTR,&quot;&amp;W$6&amp;&quot;/&quot;&amp;W$7&amp;&quot;F,NOW,,,'')&quot;)" sqref="AA21" xr:uid="{49346CE6-0121-4716-9199-347EE500A93F}"/>
    <dataValidation allowBlank="1" errorTitle="1x1xSingleCell" error="1293" promptTitle="FactSet Formula" prompt="=FDS(&quot;SHOP-US&quot;,&quot;FE_ESTIMATE(&quot;&amp;$B22&amp;&quot;,MEAN,QTR,&quot;&amp;W$6&amp;&quot;/&quot;&amp;W$7&amp;&quot;F,NOW,,,'')&quot;)" sqref="AA22" xr:uid="{89A92223-F3E3-4537-A13F-F4F928F698EB}"/>
    <dataValidation allowBlank="1" errorTitle="1x1xSingleCell" error="0.9907507" promptTitle="FactSet Formula" prompt="=FDS(&quot;SHOP-US&quot;,&quot;FE_ESTIMATE(&quot;&amp;$B23&amp;&quot;,MEAN,QTR,&quot;&amp;W$6&amp;&quot;/&quot;&amp;W$7&amp;&quot;F,NOW,,,'')&quot;)" sqref="AA23" xr:uid="{1DBAB052-A982-40FA-A3B4-C9E38DC065AF}"/>
    <dataValidation allowBlank="1" errorTitle="1x1xSingleCell" error="292259.28" promptTitle="FactSet Formula" prompt="=FDS(&quot;SHOP-US&quot;,&quot;FE_ESTIMATE(&quot;&amp;$B10&amp;&quot;,MEAN,ANNUAL_ROLL,&quot;&amp;AC$6&amp;&quot;,NOW,,,'')&quot;)" sqref="AH10" xr:uid="{2E7B38ED-C415-4867-81BB-4E2B3797F929}"/>
    <dataValidation allowBlank="1" errorTitle="1x1xSingleCell" error="178" promptTitle="FactSet Formula" prompt="=FDS(&quot;SHOP-US&quot;,&quot;FE_ESTIMATE(&quot;&amp;$B11&amp;&quot;,MEAN,ANNUAL_ROLL,&quot;&amp;AC$6&amp;&quot;,NOW,,,'')&quot;)" sqref="AH11" xr:uid="{B08AF2B2-81D0-43CC-BFD3-C0C713303732}"/>
    <dataValidation allowBlank="1" errorTitle="1x1xSingleCell" error="8880" promptTitle="FactSet Formula" prompt="=FDS(&quot;SHOP-US&quot;,&quot;FE_ESTIMATE(&quot;&amp;$B12&amp;&quot;,MEAN,ANNUAL_ROLL,&quot;&amp;AC$6&amp;&quot;,NOW,,,'')&quot;)" sqref="AH12" xr:uid="{968025A9-A21D-46EB-894F-E491A230438E}"/>
    <dataValidation allowBlank="1" errorTitle="1x1xSingleCell" error="2350" promptTitle="FactSet Formula" prompt="=FDS(&quot;SHOP-US&quot;,&quot;FE_ESTIMATE(&quot;&amp;$B14&amp;&quot;,MEAN,ANNUAL_ROLL,&quot;&amp;AC$6&amp;&quot;,NOW,,,'')&quot;)" sqref="AH14" xr:uid="{023C7CD9-F788-4380-908C-8C4980C2123F}"/>
    <dataValidation allowBlank="1" errorTitle="1x1xSingleCell" error="6530" promptTitle="FactSet Formula" prompt="=FDS(&quot;SHOP-US&quot;,&quot;FE_ESTIMATE(&quot;&amp;$B16&amp;&quot;,MEAN,ANNUAL_ROLL,&quot;&amp;AC$6&amp;&quot;,NOW,,,'')&quot;)" sqref="AH16" xr:uid="{51B7D51B-3CF6-49FE-BB02-5F6A01B05B99}"/>
    <dataValidation allowBlank="1" errorTitle="1x1xSingleCell" error="1505.7" promptTitle="FactSet Formula" prompt="=FDS(&quot;SHOP-US&quot;,&quot;FE_ESTIMATE(&quot;&amp;$B18&amp;&quot;,MEAN,ANNUAL_ROLL,&quot;&amp;AC$6&amp;&quot;,NOW,,,'')&quot;)" sqref="AH18" xr:uid="{82DEDDE7-90E9-438B-B57A-69EC3CE1DD47}"/>
    <dataValidation allowBlank="1" errorTitle="1x1xSingleCell" error="1237" promptTitle="FactSet Formula" prompt="=FDS(&quot;SHOP-US&quot;,&quot;FE_ESTIMATE(&quot;&amp;$B20&amp;&quot;,MEAN,ANNUAL_ROLL,&quot;&amp;AC$6&amp;&quot;,NOW,,,'')&quot;)" sqref="AH20" xr:uid="{A0446543-3E68-41C1-8861-6379BFE2AF01}"/>
    <dataValidation allowBlank="1" errorTitle="1x1xSingleCell" error="1.2607212" promptTitle="FactSet Formula" prompt="=FDS(&quot;SHOP-US&quot;,&quot;FE_ESTIMATE(&quot;&amp;$B21&amp;&quot;,MEAN,ANNUAL_ROLL,&quot;&amp;AC$6&amp;&quot;,NOW,,,'')&quot;)" sqref="AH21" xr:uid="{EAB2674E-E8F8-45A0-9451-F5AE13BC9D9B}"/>
    <dataValidation allowBlank="1" errorTitle="1x1xSingleCell" error="2019" promptTitle="FactSet Formula" prompt="=FDS(&quot;SHOP-US&quot;,&quot;FE_ESTIMATE(&quot;&amp;$B22&amp;&quot;,MEAN,ANNUAL_ROLL,&quot;&amp;AC$6&amp;&quot;,NOW,,,'')&quot;)" sqref="AH22" xr:uid="{2DECE26C-EBCC-408D-8D4E-8717B1A46BB3}"/>
    <dataValidation allowBlank="1" errorTitle="1x1xSingleCell" error="1.5520631" promptTitle="FactSet Formula" prompt="=FDS(&quot;SHOP-US&quot;,&quot;FE_ESTIMATE(&quot;&amp;$B23&amp;&quot;,MEAN,ANNUAL_ROLL,&quot;&amp;AC$6&amp;&quot;,NOW,,,'')&quot;)" sqref="AH23" xr:uid="{261DD529-CEC7-486E-B8E0-F625402733E0}"/>
    <dataValidation allowBlank="1" errorTitle="1x1xSingleCell" error="74775" promptTitle="FactSet Formula" prompt="=FDS(&quot;SHOP-US&quot;,&quot;FE_ESTIMATE(&quot;&amp;$B10&amp;&quot;,MEAN,QTR,&quot;&amp;AJ$6&amp;&quot;/&quot;&amp;AJ$7&amp;&quot;F,NOW,,,'')&quot;)" sqref="AO10" xr:uid="{3406BC21-A3AC-4D9A-882A-65C8565D1A38}"/>
    <dataValidation allowBlank="1" errorTitle="1x1xSingleCell" error="182" promptTitle="FactSet Formula" prompt="=FDS(&quot;SHOP-US&quot;,&quot;FE_ESTIMATE(&quot;&amp;$B11&amp;&quot;,MEAN,QTR,&quot;&amp;AJ$6&amp;&quot;/&quot;&amp;AJ$7&amp;&quot;F,NOW,,,'')&quot;)" sqref="AO11" xr:uid="{6E5265DE-D5AD-4769-943B-7C0602E551EC}"/>
    <dataValidation allowBlank="1" errorTitle="1x1xSingleCell" error="2360" promptTitle="FactSet Formula" prompt="=FDS(&quot;SHOP-US&quot;,&quot;FE_ESTIMATE(&quot;&amp;$B12&amp;&quot;,MEAN,QTR,&quot;&amp;AJ$6&amp;&quot;/&quot;&amp;AJ$7&amp;&quot;F,NOW,,,'')&quot;)" sqref="AO12" xr:uid="{76E8BB3D-B560-4740-9B55-5D5DC46DEA06}"/>
    <dataValidation allowBlank="1" errorTitle="1x1xSingleCell" error="620" promptTitle="FactSet Formula" prompt="=FDS(&quot;SHOP-US&quot;,&quot;FE_ESTIMATE(&quot;&amp;$B14&amp;&quot;,MEAN,QTR,&quot;&amp;AJ$6&amp;&quot;/&quot;&amp;AJ$7&amp;&quot;F,NOW,,,'')&quot;)" sqref="AO14" xr:uid="{BC9A903B-1735-4D0A-995B-6361B749B489}"/>
    <dataValidation allowBlank="1" errorTitle="1x1xSingleCell" error="1740" promptTitle="FactSet Formula" prompt="=FDS(&quot;SHOP-US&quot;,&quot;FE_ESTIMATE(&quot;&amp;$B16&amp;&quot;,MEAN,QTR,&quot;&amp;AJ$6&amp;&quot;/&quot;&amp;AJ$7&amp;&quot;F,NOW,,,'')&quot;)" sqref="AO16" xr:uid="{E119861D-852B-4073-974D-B293485B3A0A}"/>
    <dataValidation allowBlank="1" errorTitle="1x1xSingleCell" error="335.5" promptTitle="FactSet Formula" prompt="=FDS(&quot;SHOP-US&quot;,&quot;FE_ESTIMATE(&quot;&amp;$B18&amp;&quot;,MEAN,QTR,&quot;&amp;AJ$6&amp;&quot;/&quot;&amp;AJ$7&amp;&quot;F,NOW,,,'')&quot;)" sqref="AO18" xr:uid="{ADC95606-C3DC-4541-A5DA-69DDA6D3B838}"/>
    <dataValidation allowBlank="1" errorTitle="1x1xSingleCell" error="226" promptTitle="FactSet Formula" prompt="=FDS(&quot;SHOP-US&quot;,&quot;FE_ESTIMATE(&quot;&amp;$B20&amp;&quot;,MEAN,QTR,&quot;&amp;AJ$6&amp;&quot;/&quot;&amp;AJ$7&amp;&quot;F,NOW,,,'')&quot;)" sqref="AO20" xr:uid="{E4C7CC96-AD2C-4E47-B96A-3367BBFE891F}"/>
    <dataValidation allowBlank="1" errorTitle="1x1xSingleCell" error="0.25566137" promptTitle="FactSet Formula" prompt="=FDS(&quot;SHOP-US&quot;,&quot;FE_ESTIMATE(&quot;&amp;$B21&amp;&quot;,MEAN,QTR,&quot;&amp;AJ$6&amp;&quot;/&quot;&amp;AJ$7&amp;&quot;F,NOW,,,'')&quot;)" sqref="AO21" xr:uid="{062E33F9-0A34-44C5-9C13-B7A9CF93B652}"/>
    <dataValidation allowBlank="1" errorTitle="1x1xSingleCell" error="-682" promptTitle="FactSet Formula" prompt="=FDS(&quot;SHOP-US&quot;,&quot;FE_ESTIMATE(&quot;&amp;$B22&amp;&quot;,MEAN,QTR,&quot;&amp;AJ$6&amp;&quot;/&quot;&amp;AJ$7&amp;&quot;F,NOW,,,'')&quot;)" sqref="AO22" xr:uid="{3967F3E7-17EE-43AC-AB3E-00B8873641E0}"/>
    <dataValidation allowBlank="1" errorTitle="1x1xSingleCell" error="-0.52877337" promptTitle="FactSet Formula" prompt="=FDS(&quot;SHOP-US&quot;,&quot;FE_ESTIMATE(&quot;&amp;$B23&amp;&quot;,MEAN,QTR,&quot;&amp;AJ$6&amp;&quot;/&quot;&amp;AJ$7&amp;&quot;F,NOW,,,'')&quot;)" sqref="AO23" xr:uid="{2325D51A-28F3-4485-9DF4-D5C4846FC61B}"/>
    <dataValidation allowBlank="1" errorTitle="1x1xSingleCell" error="87837" promptTitle="FactSet Formula" prompt="=FDS(&quot;SHOP-US&quot;,&quot;FE_ESTIMATE(&quot;&amp;$B10&amp;&quot;,MEAN,QTR,&quot;&amp;AQ$6&amp;&quot;/&quot;&amp;AQ$7&amp;&quot;F,NOW,,,'')&quot;)" sqref="AV10" xr:uid="{873F9FEA-15BD-448E-BF0B-04A7158B52D9}"/>
    <dataValidation allowBlank="1" errorTitle="1x1xSingleCell" error="185" promptTitle="FactSet Formula" prompt="=FDS(&quot;SHOP-US&quot;,&quot;FE_ESTIMATE(&quot;&amp;$B11&amp;&quot;,MEAN,QTR,&quot;&amp;AQ$6&amp;&quot;/&quot;&amp;AQ$7&amp;&quot;F,NOW,,,'')&quot;)" sqref="AV11" xr:uid="{963BC3A4-D792-44D9-9D1A-3856E3A08B13}"/>
    <dataValidation allowBlank="1" errorTitle="1x1xSingleCell" error="2680" promptTitle="FactSet Formula" prompt="=FDS(&quot;SHOP-US&quot;,&quot;FE_ESTIMATE(&quot;&amp;$B12&amp;&quot;,MEAN,QTR,&quot;&amp;AQ$6&amp;&quot;/&quot;&amp;AQ$7&amp;&quot;F,NOW,,,'')&quot;)" sqref="AV12" xr:uid="{2351A573-342A-497E-8B0B-9B7DB10C3238}"/>
    <dataValidation allowBlank="1" errorTitle="1x1xSingleCell" error="656" promptTitle="FactSet Formula" prompt="=FDS(&quot;SHOP-US&quot;,&quot;FE_ESTIMATE(&quot;&amp;$B14&amp;&quot;,MEAN,QTR,&quot;&amp;AQ$6&amp;&quot;/&quot;&amp;AQ$7&amp;&quot;F,NOW,,,'')&quot;)" sqref="AV14" xr:uid="{D352FAA1-A797-42FD-BB50-937D7D4034A8}"/>
    <dataValidation allowBlank="1" errorTitle="1x1xSingleCell" error="2024" promptTitle="FactSet Formula" prompt="=FDS(&quot;SHOP-US&quot;,&quot;FE_ESTIMATE(&quot;&amp;$B16&amp;&quot;,MEAN,QTR,&quot;&amp;AQ$6&amp;&quot;/&quot;&amp;AQ$7&amp;&quot;F,NOW,,,'')&quot;)" sqref="AV16" xr:uid="{B44E0ED4-1C84-48FD-9F17-C4041559C670}"/>
    <dataValidation allowBlank="1" errorTitle="1x1xSingleCell" error="428.70587" promptTitle="FactSet Formula" prompt="=FDS(&quot;SHOP-US&quot;,&quot;FE_ESTIMATE(&quot;&amp;$B18&amp;&quot;,MEAN,QTR,&quot;&amp;AQ$6&amp;&quot;/&quot;&amp;AQ$7&amp;&quot;F,NOW,,,'')&quot;)" sqref="AV18" xr:uid="{1957B4A3-5BDE-4CFC-8123-88CC1DC3FD9C}"/>
    <dataValidation allowBlank="1" errorTitle="1x1xSingleCell" error="338" promptTitle="FactSet Formula" prompt="=FDS(&quot;SHOP-US&quot;,&quot;FE_ESTIMATE(&quot;&amp;$B20&amp;&quot;,MEAN,QTR,&quot;&amp;AQ$6&amp;&quot;/&quot;&amp;AQ$7&amp;&quot;F,NOW,,,'')&quot;)" sqref="AV20" xr:uid="{E44E122A-1E43-48DD-AF7A-48BA3D6CBCE5}"/>
    <dataValidation allowBlank="1" errorTitle="1x1xSingleCell" error="0.34882724" promptTitle="FactSet Formula" prompt="=FDS(&quot;SHOP-US&quot;,&quot;FE_ESTIMATE(&quot;&amp;$B21&amp;&quot;,MEAN,QTR,&quot;&amp;AQ$6&amp;&quot;/&quot;&amp;AQ$7&amp;&quot;F,NOW,,,'')&quot;)" sqref="AV21" xr:uid="{8C4D95C5-0877-4545-94A0-45DFCE3227A9}"/>
    <dataValidation allowBlank="1" errorTitle="1x1xSingleCell" error="906" promptTitle="FactSet Formula" prompt="=FDS(&quot;SHOP-US&quot;,&quot;FE_ESTIMATE(&quot;&amp;$B22&amp;&quot;,MEAN,QTR,&quot;&amp;AQ$6&amp;&quot;/&quot;&amp;AQ$7&amp;&quot;F,NOW,,,'')&quot;)" sqref="AV22" xr:uid="{ECB5DCF1-43EC-400B-8471-D21C74B4A0E9}"/>
    <dataValidation allowBlank="1" errorTitle="1x1xSingleCell" error="0.6913483" promptTitle="FactSet Formula" prompt="=FDS(&quot;SHOP-US&quot;,&quot;FE_ESTIMATE(&quot;&amp;$B23&amp;&quot;,MEAN,QTR,&quot;&amp;AQ$6&amp;&quot;/&quot;&amp;AQ$7&amp;&quot;F,NOW,,,'')&quot;)" sqref="AV23" xr:uid="{633D7FEF-0DD2-45D3-9CDE-FDB6AB7EA1BC}"/>
    <dataValidation allowBlank="1" errorTitle="1x1xSingleCell" error="92010.7" promptTitle="FactSet Formula" prompt="=FDS(&quot;SHOP-US&quot;,&quot;FE_ESTIMATE(&quot;&amp;$B10&amp;&quot;,MEAN,QTR,&quot;&amp;AX$6&amp;&quot;/&quot;&amp;AX$7&amp;&quot;F,NOW,,,'')&quot;)" sqref="BC10" xr:uid="{5E192BF5-1462-4681-9FE5-74ACF18BDAFE}"/>
    <dataValidation allowBlank="1" errorTitle="1x1xSingleCell" error="193" promptTitle="FactSet Formula" prompt="=FDS(&quot;SHOP-US&quot;,&quot;FE_ESTIMATE(&quot;&amp;$B11&amp;&quot;,MEAN,QTR,&quot;&amp;AX$6&amp;&quot;/&quot;&amp;AX$7&amp;&quot;F,NOW,,,'')&quot;)" sqref="BC11" xr:uid="{15E2BCF1-F211-4759-8477-E59F1CEA9078}"/>
    <dataValidation allowBlank="1" errorTitle="1x1xSingleCell" error="2844" promptTitle="FactSet Formula" prompt="=FDS(&quot;SHOP-US&quot;,&quot;FE_ESTIMATE(&quot;&amp;$B12&amp;&quot;,MEAN,QTR,&quot;&amp;AX$6&amp;&quot;/&quot;&amp;AX$7&amp;&quot;F,NOW,,,'')&quot;)" sqref="BC12" xr:uid="{BBFEB9AF-445E-48CD-937E-176581D471DA}"/>
    <dataValidation allowBlank="1" errorTitle="1x1xSingleCell" error="699" promptTitle="FactSet Formula" prompt="=FDS(&quot;SHOP-US&quot;,&quot;FE_ESTIMATE(&quot;&amp;$B14&amp;&quot;,MEAN,QTR,&quot;&amp;AX$6&amp;&quot;/&quot;&amp;AX$7&amp;&quot;F,NOW,,,'')&quot;)" sqref="BC14" xr:uid="{A6A6D7EC-18FD-4901-8C60-45CD46129C0F}"/>
    <dataValidation allowBlank="1" errorTitle="1x1xSingleCell" error="2145" promptTitle="FactSet Formula" prompt="=FDS(&quot;SHOP-US&quot;,&quot;FE_ESTIMATE(&quot;&amp;$B16&amp;&quot;,MEAN,QTR,&quot;&amp;AX$6&amp;&quot;/&quot;&amp;AX$7&amp;&quot;F,NOW,,,'')&quot;)" sqref="BC16" xr:uid="{EEBE72C0-23DF-4AC9-AAD4-5B9502ED15AE}"/>
    <dataValidation allowBlank="1" errorTitle="1x1xSingleCell" error="471.05884" promptTitle="FactSet Formula" prompt="=FDS(&quot;SHOP-US&quot;,&quot;FE_ESTIMATE(&quot;&amp;$B18&amp;&quot;,MEAN,QTR,&quot;&amp;AX$6&amp;&quot;/&quot;&amp;AX$7&amp;&quot;F,NOW,,,'')&quot;)" sqref="BC18" xr:uid="{7A2F0BD1-6768-422B-A532-B2865F2D6C6E}"/>
    <dataValidation allowBlank="1" errorTitle="1x1xSingleCell" error="367" promptTitle="FactSet Formula" prompt="=FDS(&quot;SHOP-US&quot;,&quot;FE_ESTIMATE(&quot;&amp;$B20&amp;&quot;,MEAN,QTR,&quot;&amp;AX$6&amp;&quot;/&quot;&amp;AX$7&amp;&quot;F,NOW,,,'')&quot;)" sqref="BC20" xr:uid="{83B6AC96-6973-4DFF-83F4-DD622CACA77B}"/>
    <dataValidation allowBlank="1" errorTitle="1x1xSingleCell" error="0.33815533" promptTitle="FactSet Formula" prompt="=FDS(&quot;SHOP-US&quot;,&quot;FE_ESTIMATE(&quot;&amp;$B21&amp;&quot;,MEAN,QTR,&quot;&amp;AX$6&amp;&quot;/&quot;&amp;AX$7&amp;&quot;F,NOW,,,'')&quot;)" sqref="BC21" xr:uid="{84476685-EC89-40D5-A646-FAF206BA54DA}"/>
    <dataValidation allowBlank="1" errorTitle="1x1xSingleCell" error="264" promptTitle="FactSet Formula" prompt="=FDS(&quot;SHOP-US&quot;,&quot;FE_ESTIMATE(&quot;&amp;$B22&amp;&quot;,MEAN,QTR,&quot;&amp;AX$6&amp;&quot;/&quot;&amp;AX$7&amp;&quot;F,NOW,,,'')&quot;)" sqref="BC22" xr:uid="{B78B6DC0-626A-4993-8D84-F2BF51ED07B1}"/>
    <dataValidation allowBlank="1" errorTitle="1x1xSingleCell" error="0.20030482" promptTitle="FactSet Formula" prompt="=FDS(&quot;SHOP-US&quot;,&quot;FE_ESTIMATE(&quot;&amp;$B23&amp;&quot;,MEAN,QTR,&quot;&amp;AX$6&amp;&quot;/&quot;&amp;AX$7&amp;&quot;F,NOW,,,'')&quot;)" sqref="BC23" xr:uid="{EDCE9F50-5CF0-4ED8-B5C0-3DF605807242}"/>
    <dataValidation allowBlank="1" errorTitle="1x1xSingleCell" error="123841" promptTitle="FactSet Formula" prompt="=FDS(&quot;SHOP-US&quot;,&quot;FE_ESTIMATE(&quot;&amp;$B10&amp;&quot;,MEAN,QTR,&quot;&amp;BE$6&amp;&quot;/&quot;&amp;BE$7&amp;&quot;F,NOW,,,'')&quot;)" sqref="BJ10" xr:uid="{F0C0C757-E972-4567-A1AB-F89AFA69FB1E}"/>
    <dataValidation allowBlank="1" errorTitle="1x1xSingleCell" error="205" promptTitle="FactSet Formula" prompt="=FDS(&quot;SHOP-US&quot;,&quot;FE_ESTIMATE(&quot;&amp;$B11&amp;&quot;,MEAN,QTR,&quot;&amp;BE$6&amp;&quot;/&quot;&amp;BE$7&amp;&quot;F,NOW,,,'')&quot;)" sqref="BJ11" xr:uid="{137696B3-5C99-4055-B0A7-A0A09C314BA8}"/>
    <dataValidation allowBlank="1" errorTitle="1x1xSingleCell" error="3672" promptTitle="FactSet Formula" prompt="=FDS(&quot;SHOP-US&quot;,&quot;FE_ESTIMATE(&quot;&amp;$B12&amp;&quot;,MEAN,QTR,&quot;&amp;BE$6&amp;&quot;/&quot;&amp;BE$7&amp;&quot;F,NOW,,,'')&quot;)" sqref="BJ12" xr:uid="{A9D18A1D-463C-4644-AA94-C06CD1E07B77}"/>
    <dataValidation allowBlank="1" errorTitle="1x1xSingleCell" error="777" promptTitle="FactSet Formula" prompt="=FDS(&quot;SHOP-US&quot;,&quot;FE_ESTIMATE(&quot;&amp;$B14&amp;&quot;,MEAN,QTR,&quot;&amp;BE$6&amp;&quot;/&quot;&amp;BE$7&amp;&quot;F,NOW,,,'')&quot;)" sqref="BJ14" xr:uid="{9B3877CA-89E3-4ED3-9240-3AB45E70CD5D}"/>
    <dataValidation allowBlank="1" errorTitle="1x1xSingleCell" error="2895" promptTitle="FactSet Formula" prompt="=FDS(&quot;SHOP-US&quot;,&quot;FE_ESTIMATE(&quot;&amp;$B16&amp;&quot;,MEAN,QTR,&quot;&amp;BE$6&amp;&quot;/&quot;&amp;BE$7&amp;&quot;F,NOW,,,'')&quot;)" sqref="BJ16" xr:uid="{61A7A1AC-39B7-4537-95F5-29D62682E09F}"/>
    <dataValidation allowBlank="1" errorTitle="1x1xSingleCell" error="764.93335" promptTitle="FactSet Formula" prompt="=FDS(&quot;SHOP-US&quot;,&quot;FE_ESTIMATE(&quot;&amp;$B18&amp;&quot;,MEAN,QTR,&quot;&amp;BE$6&amp;&quot;/&quot;&amp;BE$7&amp;&quot;F,NOW,,,'')&quot;)" sqref="BJ18" xr:uid="{FC98025F-7EA0-4192-B57A-854F23A0BB29}"/>
    <dataValidation allowBlank="1" errorTitle="1x1xSingleCell" error="594" promptTitle="FactSet Formula" prompt="=FDS(&quot;SHOP-US&quot;,&quot;FE_ESTIMATE(&quot;&amp;$B20&amp;&quot;,MEAN,QTR,&quot;&amp;BE$6&amp;&quot;/&quot;&amp;BE$7&amp;&quot;F,NOW,,,'')&quot;)" sqref="BJ20" xr:uid="{5B76D7E5-BF12-4585-BF46-0B848085B188}"/>
    <dataValidation allowBlank="1" errorTitle="1x1xSingleCell" error="0.48115477" promptTitle="FactSet Formula" prompt="=FDS(&quot;SHOP-US&quot;,&quot;FE_ESTIMATE(&quot;&amp;$B21&amp;&quot;,MEAN,QTR,&quot;&amp;BE$6&amp;&quot;/&quot;&amp;BE$7&amp;&quot;F,NOW,,,'')&quot;)" sqref="BJ21" xr:uid="{7CB09E6B-94DD-441B-9D2A-085BC38B2233}"/>
    <dataValidation allowBlank="1" errorTitle="1x1xSingleCell" error="743" promptTitle="FactSet Formula" prompt="=FDS(&quot;SHOP-US&quot;,&quot;FE_ESTIMATE(&quot;&amp;$B22&amp;&quot;,MEAN,QTR,&quot;&amp;BE$6&amp;&quot;/&quot;&amp;BE$7&amp;&quot;F,NOW,,,'')&quot;)" sqref="BJ22" xr:uid="{310722EF-88CF-44A2-8BC3-49CBC0671872}"/>
    <dataValidation allowBlank="1" errorTitle="1x1xSingleCell" error="0.569695" promptTitle="FactSet Formula" prompt="=FDS(&quot;SHOP-US&quot;,&quot;FE_ESTIMATE(&quot;&amp;$B23&amp;&quot;,MEAN,QTR,&quot;&amp;BE$6&amp;&quot;/&quot;&amp;BE$7&amp;&quot;F,NOW,,,'')&quot;)" sqref="BJ23" xr:uid="{53147657-728D-4C9D-95AA-E510166AC35B}"/>
    <dataValidation allowBlank="1" errorTitle="1x1xSingleCell" error="378441" promptTitle="FactSet Formula" prompt="=FDS(&quot;SHOP-US&quot;,&quot;FE_ESTIMATE(&quot;&amp;$B10&amp;&quot;,MEAN,ANNUAL_ROLL,&quot;&amp;BL$6&amp;&quot;,NOW,,,'')&quot;)" sqref="BQ10" xr:uid="{6794E07E-9594-4230-943E-B3A384743389}"/>
    <dataValidation allowBlank="1" errorTitle="1x1xSingleCell" error="205" promptTitle="FactSet Formula" prompt="=FDS(&quot;SHOP-US&quot;,&quot;FE_ESTIMATE(&quot;&amp;$B11&amp;&quot;,MEAN,ANNUAL_ROLL,&quot;&amp;BL$6&amp;&quot;,NOW,,,'')&quot;)" sqref="BQ11" xr:uid="{814CFF42-96B3-4C49-9820-A8A3FCF4A813}"/>
    <dataValidation allowBlank="1" errorTitle="1x1xSingleCell" error="11556" promptTitle="FactSet Formula" prompt="=FDS(&quot;SHOP-US&quot;,&quot;FE_ESTIMATE(&quot;&amp;$B12&amp;&quot;,MEAN,ANNUAL_ROLL,&quot;&amp;BL$6&amp;&quot;,NOW,,,'')&quot;)" sqref="BQ12" xr:uid="{9E35C5C6-F806-45B9-9877-5CB818B19F77}"/>
    <dataValidation allowBlank="1" errorTitle="1x1xSingleCell" error="2752" promptTitle="FactSet Formula" prompt="=FDS(&quot;SHOP-US&quot;,&quot;FE_ESTIMATE(&quot;&amp;$B14&amp;&quot;,MEAN,ANNUAL_ROLL,&quot;&amp;BL$6&amp;&quot;,NOW,,,'')&quot;)" sqref="BQ14" xr:uid="{886AE3B5-8015-4D88-9E9C-F2AF88967F79}"/>
    <dataValidation allowBlank="1" errorTitle="1x1xSingleCell" error="8804" promptTitle="FactSet Formula" prompt="=FDS(&quot;SHOP-US&quot;,&quot;FE_ESTIMATE(&quot;&amp;$B16&amp;&quot;,MEAN,ANNUAL_ROLL,&quot;&amp;BL$6&amp;&quot;,NOW,,,'')&quot;)" sqref="BQ16" xr:uid="{E48C1319-4BFC-4CD5-9191-9FCAEB646ADD}"/>
    <dataValidation allowBlank="1" errorTitle="1x1xSingleCell" error="1998.7894" promptTitle="FactSet Formula" prompt="=FDS(&quot;SHOP-US&quot;,&quot;FE_ESTIMATE(&quot;&amp;$B18&amp;&quot;,MEAN,ANNUAL_ROLL,&quot;&amp;BL$6&amp;&quot;,NOW,,,'')&quot;)" sqref="BQ18" xr:uid="{14972427-AF74-4E73-A2C2-56FCEF24F5F6}"/>
    <dataValidation allowBlank="1" errorTitle="1x1xSingleCell" error="1525" promptTitle="FactSet Formula" prompt="=FDS(&quot;SHOP-US&quot;,&quot;FE_ESTIMATE(&quot;&amp;$B20&amp;&quot;,MEAN,ANNUAL_ROLL,&quot;&amp;BL$6&amp;&quot;,NOW,,,'')&quot;)" sqref="BQ20" xr:uid="{C3D37CF0-06BB-4183-842B-3CBF0623C9B6}"/>
    <dataValidation allowBlank="1" errorTitle="1x1xSingleCell" error="1.4241035" promptTitle="FactSet Formula" prompt="=FDS(&quot;SHOP-US&quot;,&quot;FE_ESTIMATE(&quot;&amp;$B21&amp;&quot;,MEAN,ANNUAL_ROLL,&quot;&amp;BL$6&amp;&quot;,NOW,,,'')&quot;)" sqref="BQ21" xr:uid="{92456CE0-2F56-4DB1-A50A-D7AE19456F8C}"/>
    <dataValidation allowBlank="1" errorTitle="1x1xSingleCell" error="1231" promptTitle="FactSet Formula" prompt="=FDS(&quot;SHOP-US&quot;,&quot;FE_ESTIMATE(&quot;&amp;$B22&amp;&quot;,MEAN,ANNUAL_ROLL,&quot;&amp;BL$6&amp;&quot;,NOW,,,'')&quot;)" sqref="BQ22" xr:uid="{4B0A6750-EAFB-4323-BDF0-E54D6AF1CA07}"/>
    <dataValidation allowBlank="1" errorTitle="1x1xSingleCell" error="0.94059414" promptTitle="FactSet Formula" prompt="=FDS(&quot;SHOP-US&quot;,&quot;FE_ESTIMATE(&quot;&amp;$B23&amp;&quot;,MEAN,ANNUAL_ROLL,&quot;&amp;BL$6&amp;&quot;,NOW,,,'')&quot;)" sqref="BQ23" xr:uid="{DADFA1C9-4A9D-469C-A7EE-0C6DB78A47D3}"/>
    <dataValidation allowBlank="1" errorTitle="1x1xSingleCell" error="100743" promptTitle="FactSet Formula" prompt="=FDS(&quot;SHOP-US&quot;,&quot;FE_ESTIMATE(&quot;&amp;$B10&amp;&quot;,MEAN,QTR,&quot;&amp;BS$6&amp;&quot;/&quot;&amp;BS$7&amp;&quot;F,NOW,,,'')&quot;)" sqref="BX10" xr:uid="{774675E5-63B1-4640-8CB1-9B88826773DF}"/>
    <dataValidation allowBlank="1" errorTitle="1x1xSingleCell" error="212.6923" promptTitle="FactSet Formula" prompt="=FDS(&quot;SHOP-US&quot;,&quot;FE_ESTIMATE(&quot;&amp;$B11&amp;&quot;,MEAN,QTR,&quot;&amp;BS$6&amp;&quot;/&quot;&amp;BS$7&amp;&quot;F,NOW,,,'')&quot;)" sqref="BX11" xr:uid="{CCC02163-9AE4-44FB-8EDE-19D490E18F13}"/>
    <dataValidation allowBlank="1" errorTitle="1x1xSingleCell" error="3170" promptTitle="FactSet Formula" prompt="=FDS(&quot;SHOP-US&quot;,&quot;FE_ESTIMATE(&quot;&amp;$B12&amp;&quot;,MEAN,QTR,&quot;&amp;BS$6&amp;&quot;/&quot;&amp;BS$7&amp;&quot;F,NOW,,,'')&quot;)" sqref="BX12" xr:uid="{BF7B1AA6-4CAF-418F-93A2-39803199D64E}"/>
    <dataValidation allowBlank="1" errorTitle="1x1xSingleCell" error="750" promptTitle="FactSet Formula" prompt="=FDS(&quot;SHOP-US&quot;,&quot;FE_ESTIMATE(&quot;&amp;$B14&amp;&quot;,MEAN,QTR,&quot;&amp;BS$6&amp;&quot;/&quot;&amp;BS$7&amp;&quot;F,NOW,,,'')&quot;)" sqref="BX14" xr:uid="{27CA9658-2FEE-47AC-A436-19E0BC6C523E}"/>
    <dataValidation allowBlank="1" errorTitle="1x1xSingleCell" error="2420" promptTitle="FactSet Formula" prompt="=FDS(&quot;SHOP-US&quot;,&quot;FE_ESTIMATE(&quot;&amp;$B16&amp;&quot;,MEAN,QTR,&quot;&amp;BS$6&amp;&quot;/&quot;&amp;BS$7&amp;&quot;F,NOW,,,'')&quot;)" sqref="BX16" xr:uid="{F81CC42A-66E4-4934-83C7-243AA73A2B7A}"/>
    <dataValidation allowBlank="1" errorTitle="1x1xSingleCell" error="528.6667" promptTitle="FactSet Formula" prompt="=FDS(&quot;SHOP-US&quot;,&quot;FE_ESTIMATE(&quot;&amp;$B18&amp;&quot;,MEAN,QTR,&quot;&amp;BS$6&amp;&quot;/&quot;&amp;BS$7&amp;&quot;F,NOW,,,'')&quot;)" sqref="BX18" xr:uid="{A61E5526-75F3-4262-AF07-91586C5D9B29}"/>
    <dataValidation allowBlank="1" errorTitle="1x1xSingleCell" error="360" promptTitle="FactSet Formula" prompt="=FDS(&quot;SHOP-US&quot;,&quot;FE_ESTIMATE(&quot;&amp;$B20&amp;&quot;,MEAN,QTR,&quot;&amp;BS$6&amp;&quot;/&quot;&amp;BS$7&amp;&quot;F,NOW,,,'')&quot;)" sqref="BX20" xr:uid="{0B645C5A-A500-41D1-A813-CD85B8F32E43}"/>
    <dataValidation allowBlank="1" errorTitle="1x1xSingleCell" error="0.36001423" promptTitle="FactSet Formula" prompt="=FDS(&quot;SHOP-US&quot;,&quot;FE_ESTIMATE(&quot;&amp;$B21&amp;&quot;,MEAN,QTR,&quot;&amp;BS$6&amp;&quot;/&quot;&amp;BS$7&amp;&quot;F,NOW,,,'')&quot;)" sqref="BX21" xr:uid="{FF3AD63B-7799-4A8B-941A-CAE154B5806C}"/>
    <dataValidation allowBlank="1" errorTitle="1x1xSingleCell" error="-581" promptTitle="FactSet Formula" prompt="=FDS(&quot;SHOP-US&quot;,&quot;FE_ESTIMATE(&quot;&amp;$B22&amp;&quot;,MEAN,QTR,&quot;&amp;BS$6&amp;&quot;/&quot;&amp;BS$7&amp;&quot;F,NOW,,,'')&quot;)" sqref="BX22" xr:uid="{A9A60BFC-C350-46FB-B882-5B5AB5B9ECCE}"/>
    <dataValidation allowBlank="1" errorTitle="1x1xSingleCell" error="-0.44940332" promptTitle="FactSet Formula" prompt="=FDS(&quot;SHOP-US&quot;,&quot;FE_ESTIMATE(&quot;&amp;$B23&amp;&quot;,MEAN,QTR,&quot;&amp;BS$6&amp;&quot;/&quot;&amp;BS$7&amp;&quot;F,NOW,,,'')&quot;)" sqref="BX23" xr:uid="{3AC3CC40-1EE7-4904-9F2A-2C425F44AEE4}"/>
    <dataValidation allowBlank="1" errorTitle="1x1xSingleCell" error="115567" promptTitle="FactSet Formula" prompt="=FDS(&quot;SHOP-US&quot;,&quot;FE_ESTIMATE(&quot;&amp;$B10&amp;&quot;,MEAN,QTR,&quot;&amp;BZ$6&amp;&quot;/&quot;&amp;BZ$7&amp;&quot;F,NOW,,,'')&quot;)" sqref="CE10" xr:uid="{042D3FC9-B0C5-4141-BAD3-5B37B16617F1}"/>
    <dataValidation allowBlank="1" errorTitle="1x1xSingleCell" error="221.93333" promptTitle="FactSet Formula" prompt="=FDS(&quot;SHOP-US&quot;,&quot;FE_ESTIMATE(&quot;&amp;$B11&amp;&quot;,MEAN,QTR,&quot;&amp;BZ$6&amp;&quot;/&quot;&amp;BZ$7&amp;&quot;F,NOW,,,'')&quot;)" sqref="CE11" xr:uid="{5F46E68D-2DEC-4282-9C33-0145785DD76A}"/>
    <dataValidation allowBlank="1" errorTitle="1x1xSingleCell" error="3583" promptTitle="FactSet Formula" prompt="=FDS(&quot;SHOP-US&quot;,&quot;FE_ESTIMATE(&quot;&amp;$B12&amp;&quot;,MEAN,QTR,&quot;&amp;BZ$6&amp;&quot;/&quot;&amp;BZ$7&amp;&quot;F,NOW,,,'')&quot;)" sqref="CE12" xr:uid="{545D75E3-68B9-4511-9EA7-C3A937DD07B8}"/>
    <dataValidation allowBlank="1" errorTitle="1x1xSingleCell" error="802" promptTitle="FactSet Formula" prompt="=FDS(&quot;SHOP-US&quot;,&quot;FE_ESTIMATE(&quot;&amp;$B14&amp;&quot;,MEAN,QTR,&quot;&amp;BZ$6&amp;&quot;/&quot;&amp;BZ$7&amp;&quot;F,NOW,,,'')&quot;)" sqref="CE14" xr:uid="{B8CE1AF0-1ACC-47CB-AE31-DCA1111D2559}"/>
    <dataValidation allowBlank="1" errorTitle="1x1xSingleCell" error="2781" promptTitle="FactSet Formula" prompt="=FDS(&quot;SHOP-US&quot;,&quot;FE_ESTIMATE(&quot;&amp;$B16&amp;&quot;,MEAN,QTR,&quot;&amp;BZ$6&amp;&quot;/&quot;&amp;BZ$7&amp;&quot;F,NOW,,,'')&quot;)" sqref="CE16" xr:uid="{E5C5D8E6-6D9A-43D2-8E55-8323E6BE6B78}"/>
    <dataValidation allowBlank="1" errorTitle="1x1xSingleCell" error="594.8455" promptTitle="FactSet Formula" prompt="=FDS(&quot;SHOP-US&quot;,&quot;FE_ESTIMATE(&quot;&amp;$B18&amp;&quot;,MEAN,QTR,&quot;&amp;BZ$6&amp;&quot;/&quot;&amp;BZ$7&amp;&quot;F,NOW,,,'')&quot;)" sqref="CE18" xr:uid="{3ED0122F-63E3-4E31-BAE7-1A4E9606824B}"/>
    <dataValidation allowBlank="1" errorTitle="1x1xSingleCell" error="439" promptTitle="FactSet Formula" prompt="=FDS(&quot;SHOP-US&quot;,&quot;FE_ESTIMATE(&quot;&amp;$B20&amp;&quot;,MEAN,QTR,&quot;&amp;BZ$6&amp;&quot;/&quot;&amp;BZ$7&amp;&quot;F,NOW,,,'')&quot;)" sqref="CE20" xr:uid="{382C7FD1-0D87-4B88-B755-D66F552D3AE7}"/>
    <dataValidation allowBlank="1" errorTitle="1x1xSingleCell" error="0.4115396" promptTitle="FactSet Formula" prompt="=FDS(&quot;SHOP-US&quot;,&quot;FE_ESTIMATE(&quot;&amp;$B21&amp;&quot;,MEAN,QTR,&quot;&amp;BZ$6&amp;&quot;/&quot;&amp;BZ$7&amp;&quot;F,NOW,,,'')&quot;)" sqref="CE21" xr:uid="{9BF7D614-ED32-4A79-92A7-13B9F6D7088F}"/>
    <dataValidation allowBlank="1" errorTitle="1x1xSingleCell" error="1502" promptTitle="FactSet Formula" prompt="=FDS(&quot;SHOP-US&quot;,&quot;FE_ESTIMATE(&quot;&amp;$B22&amp;&quot;,MEAN,QTR,&quot;&amp;BZ$6&amp;&quot;/&quot;&amp;BZ$7&amp;&quot;F,NOW,,,'')&quot;)" sqref="CE22" xr:uid="{B1508B47-16D2-4D6C-8E85-CFFFC09EAA7D}"/>
    <dataValidation allowBlank="1" errorTitle="1x1xSingleCell" error="0.4226408" promptTitle="FactSet Formula" prompt="=FDS(&quot;SHOP-US&quot;,&quot;FE_ESTIMATE(&quot;&amp;$B23&amp;&quot;,MEAN,QTR,&quot;&amp;BZ$6&amp;&quot;/&quot;&amp;BZ$7&amp;&quot;F,NOW,,,'')&quot;)" sqref="CE23" xr:uid="{E4C9B7B2-016F-4EAC-B374-10D6E0B4E5D4}"/>
    <dataValidation allowBlank="1" errorTitle="1x1xSingleCell" error="116926.805" promptTitle="FactSet Formula" prompt="=FDS(&quot;SHOP-US&quot;,&quot;FE_ESTIMATE(&quot;&amp;$B10&amp;&quot;,MEAN,QTR,&quot;&amp;CG$6&amp;&quot;/&quot;&amp;CG$7&amp;&quot;F,NOW,,,'')&quot;)" sqref="CL10" xr:uid="{706EE237-0514-47F2-B139-F35F077E0F15}"/>
    <dataValidation allowBlank="1" errorTitle="1x1xSingleCell" error="226.9235" promptTitle="FactSet Formula" prompt="=FDS(&quot;SHOP-US&quot;,&quot;FE_ESTIMATE(&quot;&amp;$B11&amp;&quot;,MEAN,QTR,&quot;&amp;CG$6&amp;&quot;/&quot;&amp;CG$7&amp;&quot;F,NOW,,,'')&quot;)" sqref="CL11" xr:uid="{5F2D17AD-8C34-4EC0-8CA0-8459924F0B7E}"/>
    <dataValidation allowBlank="1" errorTitle="1x1xSingleCell" error="3651.513" promptTitle="FactSet Formula" prompt="=FDS(&quot;SHOP-US&quot;,&quot;FE_ESTIMATE(&quot;&amp;$B12&amp;&quot;,MEAN,QTR,&quot;&amp;CG$6&amp;&quot;/&quot;&amp;CG$7&amp;&quot;F,NOW,,,'')&quot;)" sqref="CL12" xr:uid="{1E7D495A-4203-49D0-BF97-987EEC0ABC35}"/>
    <dataValidation allowBlank="1" errorTitle="1x1xSingleCell" error="838.4518" promptTitle="FactSet Formula" prompt="=FDS(&quot;SHOP-US&quot;,&quot;FE_ESTIMATE(&quot;&amp;$B14&amp;&quot;,MEAN,QTR,&quot;&amp;CG$6&amp;&quot;/&quot;&amp;CG$7&amp;&quot;F,NOW,,,'')&quot;)" sqref="CL14" xr:uid="{B5DE2D40-4BF3-4236-B931-3CD38824A94E}"/>
    <dataValidation allowBlank="1" errorTitle="1x1xSingleCell" error="2784.4268" promptTitle="FactSet Formula" prompt="=FDS(&quot;SHOP-US&quot;,&quot;FE_ESTIMATE(&quot;&amp;$B16&amp;&quot;,MEAN,QTR,&quot;&amp;CG$6&amp;&quot;/&quot;&amp;CG$7&amp;&quot;F,NOW,,,'')&quot;)" sqref="CL16" xr:uid="{28626E32-AFD3-4FBE-8578-E232E9E9EBCE}"/>
    <dataValidation allowBlank="1" errorTitle="1x1xSingleCell" error="668.07587" promptTitle="FactSet Formula" prompt="=FDS(&quot;SHOP-US&quot;,&quot;FE_ESTIMATE(&quot;&amp;$B18&amp;&quot;,MEAN,QTR,&quot;&amp;CG$6&amp;&quot;/&quot;&amp;CG$7&amp;&quot;F,NOW,,,'')&quot;)" sqref="CL18" xr:uid="{6AC90C01-72A9-4124-A2F6-E033BD7A200E}"/>
    <dataValidation allowBlank="1" errorTitle="1x1xSingleCell" error="574.8453" promptTitle="FactSet Formula" prompt="=FDS(&quot;SHOP-US&quot;,&quot;FE_ESTIMATE(&quot;&amp;$B20&amp;&quot;,MEAN,QTR,&quot;&amp;CG$6&amp;&quot;/&quot;&amp;CG$7&amp;&quot;F,NOW,,,'')&quot;)" sqref="CL20" xr:uid="{DDA9919E-722D-40CA-B049-0A2140CBDA28}"/>
    <dataValidation allowBlank="1" errorTitle="1x1xSingleCell" error="0.45402429" promptTitle="FactSet Formula" prompt="=FDS(&quot;SHOP-US&quot;,&quot;FE_ESTIMATE(&quot;&amp;$B21&amp;&quot;,MEAN,QTR,&quot;&amp;CG$6&amp;&quot;/&quot;&amp;CG$7&amp;&quot;F,NOW,,,'')&quot;)" sqref="CL21" xr:uid="{2A0DD038-3E67-4729-BF1E-F82D41950003}"/>
    <dataValidation allowBlank="1" errorTitle="1x1xSingleCell" error="486.94247" promptTitle="FactSet Formula" prompt="=FDS(&quot;SHOP-US&quot;,&quot;FE_ESTIMATE(&quot;&amp;$B22&amp;&quot;,MEAN,QTR,&quot;&amp;CG$6&amp;&quot;/&quot;&amp;CG$7&amp;&quot;F,NOW,,,'')&quot;)" sqref="CL22" xr:uid="{DA7E6692-8CE0-40DE-8585-8A06D253D909}"/>
    <dataValidation allowBlank="1" errorTitle="1x1xSingleCell" error="0.3663587" promptTitle="FactSet Formula" prompt="=FDS(&quot;SHOP-US&quot;,&quot;FE_ESTIMATE(&quot;&amp;$B23&amp;&quot;,MEAN,QTR,&quot;&amp;CG$6&amp;&quot;/&quot;&amp;CG$7&amp;&quot;F,NOW,,,'')&quot;)" sqref="CL23" xr:uid="{5E37B4BE-8F1B-4A35-A537-0D611E49F672}"/>
    <dataValidation allowBlank="1" errorTitle="1x1xSingleCell" error="156022.83" promptTitle="FactSet Formula" prompt="=FDS(&quot;SHOP-US&quot;,&quot;FE_ESTIMATE(&quot;&amp;$B10&amp;&quot;,MEAN,QTR,&quot;&amp;CN$6&amp;&quot;/&quot;&amp;CN$7&amp;&quot;F,NOW,,,'')&quot;)" sqref="CS10" xr:uid="{8B6110AE-3FD7-471B-95EE-E3A2B525647F}"/>
    <dataValidation allowBlank="1" errorTitle="1x1xSingleCell" error="235.9" promptTitle="FactSet Formula" prompt="=FDS(&quot;SHOP-US&quot;,&quot;FE_ESTIMATE(&quot;&amp;$B11&amp;&quot;,MEAN,QTR,&quot;&amp;CN$6&amp;&quot;/&quot;&amp;CN$7&amp;&quot;F,NOW,,,'')&quot;)" sqref="CS11" xr:uid="{A15D0A71-32BE-44F3-A684-0B711310A336}"/>
    <dataValidation allowBlank="1" errorTitle="1x1xSingleCell" error="4656.4146" promptTitle="FactSet Formula" prompt="=FDS(&quot;SHOP-US&quot;,&quot;FE_ESTIMATE(&quot;&amp;$B12&amp;&quot;,MEAN,QTR,&quot;&amp;CN$6&amp;&quot;/&quot;&amp;CN$7&amp;&quot;F,NOW,,,'')&quot;)" sqref="CS12" xr:uid="{F167F8E0-DBB7-48E5-A1AE-9431DEDDB958}"/>
    <dataValidation allowBlank="1" errorTitle="1x1xSingleCell" error="916.2929" promptTitle="FactSet Formula" prompt="=FDS(&quot;SHOP-US&quot;,&quot;FE_ESTIMATE(&quot;&amp;$B14&amp;&quot;,MEAN,QTR,&quot;&amp;CN$6&amp;&quot;/&quot;&amp;CN$7&amp;&quot;F,NOW,,,'')&quot;)" sqref="CS14" xr:uid="{C32B1CB0-82B4-4694-8A5D-45F2C81BBA24}"/>
    <dataValidation allowBlank="1" errorTitle="1x1xSingleCell" error="3698.408" promptTitle="FactSet Formula" prompt="=FDS(&quot;SHOP-US&quot;,&quot;FE_ESTIMATE(&quot;&amp;$B16&amp;&quot;,MEAN,QTR,&quot;&amp;CN$6&amp;&quot;/&quot;&amp;CN$7&amp;&quot;F,NOW,,,'')&quot;)" sqref="CS16" xr:uid="{29A51178-771D-4183-9496-0FEC8CADED2D}"/>
    <dataValidation allowBlank="1" errorTitle="1x1xSingleCell" error="970.7204" promptTitle="FactSet Formula" prompt="=FDS(&quot;SHOP-US&quot;,&quot;FE_ESTIMATE(&quot;&amp;$B18&amp;&quot;,MEAN,QTR,&quot;&amp;CN$6&amp;&quot;/&quot;&amp;CN$7&amp;&quot;F,NOW,,,'')&quot;)" sqref="CS18" xr:uid="{1C2814D4-25F4-4A3D-8DA4-DA261C48F6DF}"/>
    <dataValidation allowBlank="1" errorTitle="1x1xSingleCell" error="829.88477" promptTitle="FactSet Formula" prompt="=FDS(&quot;SHOP-US&quot;,&quot;FE_ESTIMATE(&quot;&amp;$B20&amp;&quot;,MEAN,QTR,&quot;&amp;CN$6&amp;&quot;/&quot;&amp;CN$7&amp;&quot;F,NOW,,,'')&quot;)" sqref="CS20" xr:uid="{05B42C63-948E-46EF-B416-D07A1A7FF6E3}"/>
    <dataValidation allowBlank="1" errorTitle="1x1xSingleCell" error="0.6457557" promptTitle="FactSet Formula" prompt="=FDS(&quot;SHOP-US&quot;,&quot;FE_ESTIMATE(&quot;&amp;$B21&amp;&quot;,MEAN,QTR,&quot;&amp;CN$6&amp;&quot;/&quot;&amp;CN$7&amp;&quot;F,NOW,,,'')&quot;)" sqref="CS21" xr:uid="{D360BEAC-2C95-4AC3-886B-E232CB56BC33}"/>
    <dataValidation allowBlank="1" errorTitle="1x1xSingleCell" error="746.77594" promptTitle="FactSet Formula" prompt="=FDS(&quot;SHOP-US&quot;,&quot;FE_ESTIMATE(&quot;&amp;$B22&amp;&quot;,MEAN,QTR,&quot;&amp;CN$6&amp;&quot;/&quot;&amp;CN$7&amp;&quot;F,NOW,,,'')&quot;)" sqref="CS22" xr:uid="{87B4CC8A-67BF-4228-B538-094C1FBC0A6A}"/>
    <dataValidation allowBlank="1" errorTitle="1x1xSingleCell" error="0.5515808" promptTitle="FactSet Formula" prompt="=FDS(&quot;SHOP-US&quot;,&quot;FE_ESTIMATE(&quot;&amp;$B23&amp;&quot;,MEAN,QTR,&quot;&amp;CN$6&amp;&quot;/&quot;&amp;CN$7&amp;&quot;F,NOW,,,'')&quot;)" sqref="CS23" xr:uid="{EBB48D46-1836-42B3-B9D4-2470C12B7152}"/>
    <dataValidation allowBlank="1" errorTitle="1x1xSingleCell" error="487453.25" promptTitle="FactSet Formula" prompt="=FDS(&quot;SHOP-US&quot;,&quot;FE_ESTIMATE(&quot;&amp;$B10&amp;&quot;,MEAN,ANNUAL_ROLL,&quot;&amp;CU$6&amp;&quot;,NOW,,,'')&quot;)" sqref="CZ10" xr:uid="{12966D62-9341-4043-8826-ED9A52CA11E8}"/>
    <dataValidation allowBlank="1" errorTitle="1x1xSingleCell" error="236.55385" promptTitle="FactSet Formula" prompt="=FDS(&quot;SHOP-US&quot;,&quot;FE_ESTIMATE(&quot;&amp;$B11&amp;&quot;,MEAN,ANNUAL_ROLL,&quot;&amp;CU$6&amp;&quot;,NOW,,,'')&quot;)" sqref="CZ11" xr:uid="{C5ADF269-AEF6-4DC5-8A67-31DCEC7C3CC3}"/>
    <dataValidation allowBlank="1" errorTitle="1x1xSingleCell" error="14977.527" promptTitle="FactSet Formula" prompt="=FDS(&quot;SHOP-US&quot;,&quot;FE_ESTIMATE(&quot;&amp;$B12&amp;&quot;,MEAN,ANNUAL_ROLL,&quot;&amp;CU$6&amp;&quot;,NOW,,,'')&quot;)" sqref="CZ12" xr:uid="{05A75723-0FA8-4C27-9272-0B09E55A66B6}"/>
    <dataValidation allowBlank="1" errorTitle="1x1xSingleCell" error="3293.032" promptTitle="FactSet Formula" prompt="=FDS(&quot;SHOP-US&quot;,&quot;FE_ESTIMATE(&quot;&amp;$B14&amp;&quot;,MEAN,ANNUAL_ROLL,&quot;&amp;CU$6&amp;&quot;,NOW,,,'')&quot;)" sqref="CZ14" xr:uid="{E497FA95-5C44-4972-8279-77C07AD3B41A}"/>
    <dataValidation allowBlank="1" errorTitle="1x1xSingleCell" error="11599.311" promptTitle="FactSet Formula" prompt="=FDS(&quot;SHOP-US&quot;,&quot;FE_ESTIMATE(&quot;&amp;$B16&amp;&quot;,MEAN,ANNUAL_ROLL,&quot;&amp;CU$6&amp;&quot;,NOW,,,'')&quot;)" sqref="CZ16" xr:uid="{1A89E5B7-D08B-428B-BF51-8EDC0466E163}"/>
    <dataValidation allowBlank="1" errorTitle="1x1xSingleCell" error="2760.9685" promptTitle="FactSet Formula" prompt="=FDS(&quot;SHOP-US&quot;,&quot;FE_ESTIMATE(&quot;&amp;$B18&amp;&quot;,MEAN,ANNUAL_ROLL,&quot;&amp;CU$6&amp;&quot;,NOW,,,'')&quot;)" sqref="CZ18" xr:uid="{7367E15A-C250-42BF-96D3-083ED97F726A}"/>
    <dataValidation allowBlank="1" errorTitle="1x1xSingleCell" error="2396.5303" promptTitle="FactSet Formula" prompt="=FDS(&quot;SHOP-US&quot;,&quot;FE_ESTIMATE(&quot;&amp;$B20&amp;&quot;,MEAN,ANNUAL_ROLL,&quot;&amp;CU$6&amp;&quot;,NOW,,,'')&quot;)" sqref="CZ20" xr:uid="{D457F862-03F2-403F-B1E5-FE802A4888C6}"/>
    <dataValidation allowBlank="1" errorTitle="1x1xSingleCell" error="1.8687166" promptTitle="FactSet Formula" prompt="=FDS(&quot;SHOP-US&quot;,&quot;FE_ESTIMATE(&quot;&amp;$B21&amp;&quot;,MEAN,ANNUAL_ROLL,&quot;&amp;CU$6&amp;&quot;,NOW,,,'')&quot;)" sqref="CZ21" xr:uid="{52EBA891-3DCF-4230-8540-BCDFCB9A1BE8}"/>
    <dataValidation allowBlank="1" errorTitle="1x1xSingleCell" error="1020.03906" promptTitle="FactSet Formula" prompt="=FDS(&quot;SHOP-US&quot;,&quot;FE_ESTIMATE(&quot;&amp;$B22&amp;&quot;,MEAN,ANNUAL_ROLL,&quot;&amp;CU$6&amp;&quot;,NOW,,,'')&quot;)" sqref="CZ22" xr:uid="{27934C7E-8650-4919-908F-187D3E063A4A}"/>
    <dataValidation allowBlank="1" errorTitle="1x1xSingleCell" error="0.8996418" promptTitle="FactSet Formula" prompt="=FDS(&quot;SHOP-US&quot;,&quot;FE_ESTIMATE(&quot;&amp;$B23&amp;&quot;,MEAN,ANNUAL_ROLL,&quot;&amp;CU$6&amp;&quot;,NOW,,,'')&quot;)" sqref="CZ23" xr:uid="{BD20CCD8-87E7-434A-B7C1-33775B7AE3E0}"/>
    <dataValidation allowBlank="1" errorTitle="1x1xSingleCell" error="124690.234" promptTitle="FactSet Formula" prompt="=FDS(&quot;SHOP-US&quot;,&quot;FE_ESTIMATE(&quot;&amp;$B10&amp;&quot;,MEAN,QTR,&quot;&amp;DB$6&amp;&quot;/&quot;&amp;DB$7&amp;&quot;F,NOW,,,'')&quot;)" sqref="DG10" xr:uid="{0F6308A9-7B1E-477B-B0A8-72AA4C4024A3}"/>
    <dataValidation allowBlank="1" errorTitle="1x1xSingleCell" error="241.4" promptTitle="FactSet Formula" prompt="=FDS(&quot;SHOP-US&quot;,&quot;FE_ESTIMATE(&quot;&amp;$B11&amp;&quot;,MEAN,QTR,&quot;&amp;DB$6&amp;&quot;/&quot;&amp;DB$7&amp;&quot;F,NOW,,,'')&quot;)" sqref="DG11" xr:uid="{1271102E-241A-4C01-A3A7-399F309EC27D}"/>
    <dataValidation allowBlank="1" errorTitle="1x1xSingleCell" error="3937.7522" promptTitle="FactSet Formula" prompt="=FDS(&quot;SHOP-US&quot;,&quot;FE_ESTIMATE(&quot;&amp;$B12&amp;&quot;,MEAN,QTR,&quot;&amp;DB$6&amp;&quot;/&quot;&amp;DB$7&amp;&quot;F,NOW,,,'')&quot;)" sqref="DG12" xr:uid="{85BBED5D-14A3-4694-B3D3-1243AC5B2540}"/>
    <dataValidation allowBlank="1" errorTitle="1x1xSingleCell" error="885.0574" promptTitle="FactSet Formula" prompt="=FDS(&quot;SHOP-US&quot;,&quot;FE_ESTIMATE(&quot;&amp;$B14&amp;&quot;,MEAN,QTR,&quot;&amp;DB$6&amp;&quot;/&quot;&amp;DB$7&amp;&quot;F,NOW,,,'')&quot;)" sqref="DG14" xr:uid="{610EE1D3-DF7D-47C8-A88E-617ACEA56B53}"/>
    <dataValidation allowBlank="1" errorTitle="1x1xSingleCell" error="3062.951" promptTitle="FactSet Formula" prompt="=FDS(&quot;SHOP-US&quot;,&quot;FE_ESTIMATE(&quot;&amp;$B16&amp;&quot;,MEAN,QTR,&quot;&amp;DB$6&amp;&quot;/&quot;&amp;DB$7&amp;&quot;F,NOW,,,'')&quot;)" sqref="DG16" xr:uid="{FF85D976-7F5F-4661-AA26-463B0EB227B7}"/>
    <dataValidation allowBlank="1" errorTitle="1x1xSingleCell" error="652.57935" promptTitle="FactSet Formula" prompt="=FDS(&quot;SHOP-US&quot;,&quot;FE_ESTIMATE(&quot;&amp;$B18&amp;&quot;,MEAN,QTR,&quot;&amp;DB$6&amp;&quot;/&quot;&amp;DB$7&amp;&quot;F,NOW,,,'')&quot;)" sqref="DG18" xr:uid="{176743C9-1748-4105-BF89-432FBCBF94DB}"/>
    <dataValidation allowBlank="1" errorTitle="1x1xSingleCell" error="544.7104" promptTitle="FactSet Formula" prompt="=FDS(&quot;SHOP-US&quot;,&quot;FE_ESTIMATE(&quot;&amp;$B20&amp;&quot;,MEAN,QTR,&quot;&amp;DB$6&amp;&quot;/&quot;&amp;DB$7&amp;&quot;F,NOW,,,'')&quot;)" sqref="DG20" xr:uid="{F1EEA6A6-21C8-47BF-B201-6CBD0C9F3774}"/>
    <dataValidation allowBlank="1" errorTitle="1x1xSingleCell" error="0.44013613" promptTitle="FactSet Formula" prompt="=FDS(&quot;SHOP-US&quot;,&quot;FE_ESTIMATE(&quot;&amp;$B21&amp;&quot;,MEAN,QTR,&quot;&amp;DB$6&amp;&quot;/&quot;&amp;DB$7&amp;&quot;F,NOW,,,'')&quot;)" sqref="DG21" xr:uid="{F8B28674-4061-476F-83E0-FB194606E878}"/>
    <dataValidation allowBlank="1" errorTitle="1x1xSingleCell" error="467.27698" promptTitle="FactSet Formula" prompt="=FDS(&quot;SHOP-US&quot;,&quot;FE_ESTIMATE(&quot;&amp;$B22&amp;&quot;,MEAN,QTR,&quot;&amp;DB$6&amp;&quot;/&quot;&amp;DB$7&amp;&quot;F,NOW,,,'')&quot;)" sqref="DG22" xr:uid="{046B6B76-C8BB-43B5-BB55-594354A3D418}"/>
    <dataValidation allowBlank="1" errorTitle="1x1xSingleCell" error="0.3692681" promptTitle="FactSet Formula" prompt="=FDS(&quot;SHOP-US&quot;,&quot;FE_ESTIMATE(&quot;&amp;$B23&amp;&quot;,MEAN,QTR,&quot;&amp;DB$6&amp;&quot;/&quot;&amp;DB$7&amp;&quot;F,NOW,,,'')&quot;)" sqref="DG23" xr:uid="{9CD2C657-32C0-4F68-B2CD-0CF63941B2D6}"/>
    <dataValidation allowBlank="1" errorTitle="1x1xSingleCell" error="139180.45" promptTitle="FactSet Formula" prompt="=FDS(&quot;SHOP-US&quot;,&quot;FE_ESTIMATE(&quot;&amp;$B10&amp;&quot;,MEAN,QTR,&quot;&amp;DI$6&amp;&quot;/&quot;&amp;DI$7&amp;&quot;F,NOW,,,'')&quot;)" sqref="DN10" xr:uid="{F670F5B4-E0B3-4DA4-8340-6FC1130642AB}"/>
    <dataValidation allowBlank="1" errorTitle="1x1xSingleCell" error="247.36667" promptTitle="FactSet Formula" prompt="=FDS(&quot;SHOP-US&quot;,&quot;FE_ESTIMATE(&quot;&amp;$B11&amp;&quot;,MEAN,QTR,&quot;&amp;DI$6&amp;&quot;/&quot;&amp;DI$7&amp;&quot;F,NOW,,,'')&quot;)" sqref="DN11" xr:uid="{C057B1AF-F711-4A23-AFA3-5F295A27C212}"/>
    <dataValidation allowBlank="1" errorTitle="1x1xSingleCell" error="4343.4365" promptTitle="FactSet Formula" prompt="=FDS(&quot;SHOP-US&quot;,&quot;FE_ESTIMATE(&quot;&amp;$B12&amp;&quot;,MEAN,QTR,&quot;&amp;DI$6&amp;&quot;/&quot;&amp;DI$7&amp;&quot;F,NOW,,,'')&quot;)" sqref="DN12" xr:uid="{D85CD020-C1BD-4000-823D-727B23126707}"/>
    <dataValidation allowBlank="1" errorTitle="1x1xSingleCell" error="936.164" promptTitle="FactSet Formula" prompt="=FDS(&quot;SHOP-US&quot;,&quot;FE_ESTIMATE(&quot;&amp;$B14&amp;&quot;,MEAN,QTR,&quot;&amp;DI$6&amp;&quot;/&quot;&amp;DI$7&amp;&quot;F,NOW,,,'')&quot;)" sqref="DN14" xr:uid="{2971A5C3-C339-4DD1-BA5F-A72A71605BE1}"/>
    <dataValidation allowBlank="1" errorTitle="1x1xSingleCell" error="3372.4705" promptTitle="FactSet Formula" prompt="=FDS(&quot;SHOP-US&quot;,&quot;FE_ESTIMATE(&quot;&amp;$B16&amp;&quot;,MEAN,QTR,&quot;&amp;DI$6&amp;&quot;/&quot;&amp;DI$7&amp;&quot;F,NOW,,,'')&quot;)" sqref="DN16" xr:uid="{CC829FA8-1043-4F6D-94BD-4B393AE684AE}"/>
    <dataValidation allowBlank="1" errorTitle="1x1xSingleCell" error="755.568" promptTitle="FactSet Formula" prompt="=FDS(&quot;SHOP-US&quot;,&quot;FE_ESTIMATE(&quot;&amp;$B18&amp;&quot;,MEAN,QTR,&quot;&amp;DI$6&amp;&quot;/&quot;&amp;DI$7&amp;&quot;F,NOW,,,'')&quot;)" sqref="DN18" xr:uid="{E6FA3FAC-909E-4950-BEBB-D02B0DE59006}"/>
    <dataValidation allowBlank="1" errorTitle="1x1xSingleCell" error="663.3226" promptTitle="FactSet Formula" prompt="=FDS(&quot;SHOP-US&quot;,&quot;FE_ESTIMATE(&quot;&amp;$B20&amp;&quot;,MEAN,QTR,&quot;&amp;DI$6&amp;&quot;/&quot;&amp;DI$7&amp;&quot;F,NOW,,,'')&quot;)" sqref="DN20" xr:uid="{BA47B7A0-0626-425D-B375-3CAF024D4CA8}"/>
    <dataValidation allowBlank="1" errorTitle="1x1xSingleCell" error="0.5306427" promptTitle="FactSet Formula" prompt="=FDS(&quot;SHOP-US&quot;,&quot;FE_ESTIMATE(&quot;&amp;$B21&amp;&quot;,MEAN,QTR,&quot;&amp;DI$6&amp;&quot;/&quot;&amp;DI$7&amp;&quot;F,NOW,,,'')&quot;)" sqref="DN21" xr:uid="{02BE7690-44EB-40CA-9B6E-DC29C860C775}"/>
    <dataValidation allowBlank="1" errorTitle="1x1xSingleCell" error="590.53534" promptTitle="FactSet Formula" prompt="=FDS(&quot;SHOP-US&quot;,&quot;FE_ESTIMATE(&quot;&amp;$B22&amp;&quot;,MEAN,QTR,&quot;&amp;DI$6&amp;&quot;/&quot;&amp;DI$7&amp;&quot;F,NOW,,,'')&quot;)" sqref="DN22" xr:uid="{A8EAC8B1-7301-45D7-9555-538A9A08FECD}"/>
    <dataValidation allowBlank="1" errorTitle="1x1xSingleCell" error="0.4196431" promptTitle="FactSet Formula" prompt="=FDS(&quot;SHOP-US&quot;,&quot;FE_ESTIMATE(&quot;&amp;$B23&amp;&quot;,MEAN,QTR,&quot;&amp;DI$6&amp;&quot;/&quot;&amp;DI$7&amp;&quot;F,NOW,,,'')&quot;)" sqref="DN23" xr:uid="{FFA9728D-89EC-4169-9A85-6FE8106854D1}"/>
    <dataValidation allowBlank="1" errorTitle="1x1xSingleCell" error="142704.86" promptTitle="FactSet Formula" prompt="=FDS(&quot;SHOP-US&quot;,&quot;FE_ESTIMATE(&quot;&amp;$B10&amp;&quot;,MEAN,QTR,&quot;&amp;DP$6&amp;&quot;/&quot;&amp;DP$7&amp;&quot;F,NOW,,,'')&quot;)" sqref="DU10" xr:uid="{5C2DDA91-F684-47D4-97A8-3F0E8DFB02C1}"/>
    <dataValidation allowBlank="1" errorTitle="1x1xSingleCell" error="255.2" promptTitle="FactSet Formula" prompt="=FDS(&quot;SHOP-US&quot;,&quot;FE_ESTIMATE(&quot;&amp;$B11&amp;&quot;,MEAN,QTR,&quot;&amp;DP$6&amp;&quot;/&quot;&amp;DP$7&amp;&quot;F,NOW,,,'')&quot;)" sqref="DU11" xr:uid="{B6A34357-E073-4EB0-954C-F9F8E9BA2B66}"/>
    <dataValidation allowBlank="1" errorTitle="1x1xSingleCell" error="4506.5664" promptTitle="FactSet Formula" prompt="=FDS(&quot;SHOP-US&quot;,&quot;FE_ESTIMATE(&quot;&amp;$B12&amp;&quot;,MEAN,QTR,&quot;&amp;DP$6&amp;&quot;/&quot;&amp;DP$7&amp;&quot;F,NOW,,,'')&quot;)" sqref="DU12" xr:uid="{C2C525F1-56B8-4E35-B376-1B9B093AD803}"/>
    <dataValidation allowBlank="1" errorTitle="1x1xSingleCell" error="983.6491" promptTitle="FactSet Formula" prompt="=FDS(&quot;SHOP-US&quot;,&quot;FE_ESTIMATE(&quot;&amp;$B14&amp;&quot;,MEAN,QTR,&quot;&amp;DP$6&amp;&quot;/&quot;&amp;DP$7&amp;&quot;F,NOW,,,'')&quot;)" sqref="DU14" xr:uid="{CE7C2D88-23CB-4539-80D4-5C12A0697E7F}"/>
    <dataValidation allowBlank="1" errorTitle="1x1xSingleCell" error="3493.7424" promptTitle="FactSet Formula" prompt="=FDS(&quot;SHOP-US&quot;,&quot;FE_ESTIMATE(&quot;&amp;$B16&amp;&quot;,MEAN,QTR,&quot;&amp;DP$6&amp;&quot;/&quot;&amp;DP$7&amp;&quot;F,NOW,,,'')&quot;)" sqref="DU16" xr:uid="{4CB25C40-4686-4EDF-8867-1E6FACDD364B}"/>
    <dataValidation allowBlank="1" errorTitle="1x1xSingleCell" error="837.26154" promptTitle="FactSet Formula" prompt="=FDS(&quot;SHOP-US&quot;,&quot;FE_ESTIMATE(&quot;&amp;$B18&amp;&quot;,MEAN,QTR,&quot;&amp;DP$6&amp;&quot;/&quot;&amp;DP$7&amp;&quot;F,NOW,,,'')&quot;)" sqref="DU18" xr:uid="{DB8C6903-47FC-4391-B1AD-4CDBF110E6CB}"/>
    <dataValidation allowBlank="1" errorTitle="1x1xSingleCell" error="728.92664" promptTitle="FactSet Formula" prompt="=FDS(&quot;SHOP-US&quot;,&quot;FE_ESTIMATE(&quot;&amp;$B20&amp;&quot;,MEAN,QTR,&quot;&amp;DP$6&amp;&quot;/&quot;&amp;DP$7&amp;&quot;F,NOW,,,'')&quot;)" sqref="DU20" xr:uid="{2732F94B-CEAC-4269-896F-698FF8371981}"/>
    <dataValidation allowBlank="1" errorTitle="1x1xSingleCell" error="0.5878864" promptTitle="FactSet Formula" prompt="=FDS(&quot;SHOP-US&quot;,&quot;FE_ESTIMATE(&quot;&amp;$B21&amp;&quot;,MEAN,QTR,&quot;&amp;DP$6&amp;&quot;/&quot;&amp;DP$7&amp;&quot;F,NOW,,,'')&quot;)" sqref="DU21" xr:uid="{CF9B86D5-25E8-48E9-B1E8-17653B497D01}"/>
    <dataValidation allowBlank="1" errorTitle="1x1xSingleCell" error="667.4531" promptTitle="FactSet Formula" prompt="=FDS(&quot;SHOP-US&quot;,&quot;FE_ESTIMATE(&quot;&amp;$B22&amp;&quot;,MEAN,QTR,&quot;&amp;DP$6&amp;&quot;/&quot;&amp;DP$7&amp;&quot;F,NOW,,,'')&quot;)" sqref="DU22" xr:uid="{92BF7AD6-313A-41D6-BFE8-F04C45BD380A}"/>
    <dataValidation allowBlank="1" errorTitle="1x1xSingleCell" error="0.45314854" promptTitle="FactSet Formula" prompt="=FDS(&quot;SHOP-US&quot;,&quot;FE_ESTIMATE(&quot;&amp;$B23&amp;&quot;,MEAN,QTR,&quot;&amp;DP$6&amp;&quot;/&quot;&amp;DP$7&amp;&quot;F,NOW,,,'')&quot;)" sqref="DU23" xr:uid="{5DBC4E64-1571-4CD0-BBC5-2CF3CF70D8BD}"/>
    <dataValidation allowBlank="1" errorTitle="1x1xSingleCell" error="188729.4" promptTitle="FactSet Formula" prompt="=FDS(&quot;SHOP-US&quot;,&quot;FE_ESTIMATE(&quot;&amp;$B10&amp;&quot;,MEAN,QTR,&quot;&amp;DW$6&amp;&quot;/&quot;&amp;DW$7&amp;&quot;F,NOW,,,'')&quot;)" sqref="EB10" xr:uid="{1FFACCDE-B538-44CF-A882-EF45602F0B83}"/>
    <dataValidation allowBlank="1" errorTitle="1x1xSingleCell" error="263.13333" promptTitle="FactSet Formula" prompt="=FDS(&quot;SHOP-US&quot;,&quot;FE_ESTIMATE(&quot;&amp;$B11&amp;&quot;,MEAN,QTR,&quot;&amp;DW$6&amp;&quot;/&quot;&amp;DW$7&amp;&quot;F,NOW,,,'')&quot;)" sqref="EB11" xr:uid="{DB1F3AE3-2283-4079-A737-11F5D9AE3C38}"/>
    <dataValidation allowBlank="1" errorTitle="1x1xSingleCell" error="5729.265" promptTitle="FactSet Formula" prompt="=FDS(&quot;SHOP-US&quot;,&quot;FE_ESTIMATE(&quot;&amp;$B12&amp;&quot;,MEAN,QTR,&quot;&amp;DW$6&amp;&quot;/&quot;&amp;DW$7&amp;&quot;F,NOW,,,'')&quot;)" sqref="EB12" xr:uid="{4D55638F-8C55-4552-8BC4-C044216C009B}"/>
    <dataValidation allowBlank="1" errorTitle="1x1xSingleCell" error="1067.024" promptTitle="FactSet Formula" prompt="=FDS(&quot;SHOP-US&quot;,&quot;FE_ESTIMATE(&quot;&amp;$B14&amp;&quot;,MEAN,QTR,&quot;&amp;DW$6&amp;&quot;/&quot;&amp;DW$7&amp;&quot;F,NOW,,,'')&quot;)" sqref="EB14" xr:uid="{724E1346-A4FC-436F-AFF6-21951A4B585B}"/>
    <dataValidation allowBlank="1" errorTitle="1x1xSingleCell" error="4581.354" promptTitle="FactSet Formula" prompt="=FDS(&quot;SHOP-US&quot;,&quot;FE_ESTIMATE(&quot;&amp;$B16&amp;&quot;,MEAN,QTR,&quot;&amp;DW$6&amp;&quot;/&quot;&amp;DW$7&amp;&quot;F,NOW,,,'')&quot;)" sqref="EB16" xr:uid="{8DDF9046-9D92-452F-8EDB-C53BF8C65C49}"/>
    <dataValidation allowBlank="1" errorTitle="1x1xSingleCell" error="1191.6364" promptTitle="FactSet Formula" prompt="=FDS(&quot;SHOP-US&quot;,&quot;FE_ESTIMATE(&quot;&amp;$B18&amp;&quot;,MEAN,QTR,&quot;&amp;DW$6&amp;&quot;/&quot;&amp;DW$7&amp;&quot;F,NOW,,,'')&quot;)" sqref="EB18" xr:uid="{359C8240-6313-4E4E-A053-829651F14BE3}"/>
    <dataValidation allowBlank="1" errorTitle="1x1xSingleCell" error="1036.7362" promptTitle="FactSet Formula" prompt="=FDS(&quot;SHOP-US&quot;,&quot;FE_ESTIMATE(&quot;&amp;$B20&amp;&quot;,MEAN,QTR,&quot;&amp;DW$6&amp;&quot;/&quot;&amp;DW$7&amp;&quot;F,NOW,,,'')&quot;)" sqref="EB20" xr:uid="{ABF25963-9677-4AED-9A36-1953FA7A4D96}"/>
    <dataValidation allowBlank="1" errorTitle="1x1xSingleCell" error="0.82372373" promptTitle="FactSet Formula" prompt="=FDS(&quot;SHOP-US&quot;,&quot;FE_ESTIMATE(&quot;&amp;$B21&amp;&quot;,MEAN,QTR,&quot;&amp;DW$6&amp;&quot;/&quot;&amp;DW$7&amp;&quot;F,NOW,,,'')&quot;)" sqref="EB21" xr:uid="{7E154A54-ACBF-4EE9-AE89-2785D770F4F2}"/>
    <dataValidation allowBlank="1" errorTitle="1x1xSingleCell" error="973.4072" promptTitle="FactSet Formula" prompt="=FDS(&quot;SHOP-US&quot;,&quot;FE_ESTIMATE(&quot;&amp;$B22&amp;&quot;,MEAN,QTR,&quot;&amp;DW$6&amp;&quot;/&quot;&amp;DW$7&amp;&quot;F,NOW,,,'')&quot;)" sqref="EB22" xr:uid="{70709C1B-D806-4937-ABC2-965DA2CA18EF}"/>
    <dataValidation allowBlank="1" errorTitle="1x1xSingleCell" error="0.6872509" promptTitle="FactSet Formula" prompt="=FDS(&quot;SHOP-US&quot;,&quot;FE_ESTIMATE(&quot;&amp;$B23&amp;&quot;,MEAN,QTR,&quot;&amp;DW$6&amp;&quot;/&quot;&amp;DW$7&amp;&quot;F,NOW,,,'')&quot;)" sqref="EB23" xr:uid="{FFFB36D3-4F17-4C6F-88EA-B6855E163C31}"/>
    <dataValidation allowBlank="1" errorTitle="1x1xSingleCell" error="604181.8" promptTitle="FactSet Formula" prompt="=FDS(&quot;SHOP-US&quot;,&quot;FE_ESTIMATE(&quot;&amp;$B10&amp;&quot;,MEAN,ANNUAL_ROLL,&quot;&amp;EE$6&amp;&quot;,NOW,,,'')&quot;)" sqref="EJ10" xr:uid="{98267A4A-5ED4-43A3-AC05-EB2EBE025051}"/>
    <dataValidation allowBlank="1" errorTitle="1x1xSingleCell" error="275.13837" promptTitle="FactSet Formula" prompt="=FDS(&quot;SHOP-US&quot;,&quot;FE_ESTIMATE(&quot;&amp;$B11&amp;&quot;,MEAN,ANNUAL_ROLL,&quot;&amp;EE$6&amp;&quot;,NOW,,,'')&quot;)" sqref="EJ11" xr:uid="{AF635442-B70B-423A-88FD-ADE666D77F93}"/>
    <dataValidation allowBlank="1" errorTitle="1x1xSingleCell" error="18667.963" promptTitle="FactSet Formula" prompt="=FDS(&quot;SHOP-US&quot;,&quot;FE_ESTIMATE(&quot;&amp;$B12&amp;&quot;,MEAN,ANNUAL_ROLL,&quot;&amp;EE$6&amp;&quot;,NOW,,,'')&quot;)" sqref="EJ12" xr:uid="{FE4AB002-F77B-4C1A-91DB-B75CD79FC32E}"/>
    <dataValidation allowBlank="1" errorTitle="1x1xSingleCell" error="3848.8228" promptTitle="FactSet Formula" prompt="=FDS(&quot;SHOP-US&quot;,&quot;FE_ESTIMATE(&quot;&amp;$B14&amp;&quot;,MEAN,ANNUAL_ROLL,&quot;&amp;EE$6&amp;&quot;,NOW,,,'')&quot;)" sqref="EJ14" xr:uid="{04C189A8-6869-49CD-BED0-8007F9B299B6}"/>
    <dataValidation allowBlank="1" errorTitle="1x1xSingleCell" error="14477.754" promptTitle="FactSet Formula" prompt="=FDS(&quot;SHOP-US&quot;,&quot;FE_ESTIMATE(&quot;&amp;$B16&amp;&quot;,MEAN,ANNUAL_ROLL,&quot;&amp;EE$6&amp;&quot;,NOW,,,'')&quot;)" sqref="EJ16" xr:uid="{11578FE4-0FED-4366-9884-13AF4646660B}"/>
    <dataValidation allowBlank="1" errorTitle="1x1xSingleCell" error="3575.3567" promptTitle="FactSet Formula" prompt="=FDS(&quot;SHOP-US&quot;,&quot;FE_ESTIMATE(&quot;&amp;$B18&amp;&quot;,MEAN,ANNUAL_ROLL,&quot;&amp;EE$6&amp;&quot;,NOW,,,'')&quot;)" sqref="EJ18" xr:uid="{7EA358F7-D85B-43D7-B3B5-19C6B55622EC}"/>
    <dataValidation allowBlank="1" errorTitle="1x1xSingleCell" error="3062.2805" promptTitle="FactSet Formula" prompt="=FDS(&quot;SHOP-US&quot;,&quot;FE_ESTIMATE(&quot;&amp;$B20&amp;&quot;,MEAN,ANNUAL_ROLL,&quot;&amp;EE$6&amp;&quot;,NOW,,,'')&quot;)" sqref="EJ20" xr:uid="{F55751A4-655E-4863-A7C8-750BB81D9B38}"/>
    <dataValidation allowBlank="1" errorTitle="1x1xSingleCell" error="2.400098" promptTitle="FactSet Formula" prompt="=FDS(&quot;SHOP-US&quot;,&quot;FE_ESTIMATE(&quot;&amp;$B21&amp;&quot;,MEAN,ANNUAL_ROLL,&quot;&amp;EE$6&amp;&quot;,NOW,,,'')&quot;)" sqref="EJ21" xr:uid="{7138B24B-5C03-4C38-876B-EF9982928C7A}"/>
    <dataValidation allowBlank="1" errorTitle="1x1xSingleCell" error="2727.6523" promptTitle="FactSet Formula" prompt="=FDS(&quot;SHOP-US&quot;,&quot;FE_ESTIMATE(&quot;&amp;$B22&amp;&quot;,MEAN,ANNUAL_ROLL,&quot;&amp;EE$6&amp;&quot;,NOW,,,'')&quot;)" sqref="EJ22" xr:uid="{57EA4A8C-6061-48BC-B656-8387C8FFE2B8}"/>
    <dataValidation allowBlank="1" errorTitle="1x1xSingleCell" error="2.0756657" promptTitle="FactSet Formula" prompt="=FDS(&quot;SHOP-US&quot;,&quot;FE_ESTIMATE(&quot;&amp;$B23&amp;&quot;,MEAN,ANNUAL_ROLL,&quot;&amp;EE$6&amp;&quot;,NOW,,,'')&quot;)" sqref="EJ23" xr:uid="{B224C95A-E91E-4BBA-BD5C-7DC9F9AE81AA}"/>
  </dataValidations>
  <pageMargins left="0.75" right="0.75" top="1" bottom="1" header="0.5" footer="0.5"/>
  <pageSetup scale="58" orientation="landscape" horizontalDpi="1200" verticalDpi="1200" r:id="rId1"/>
  <headerFooter alignWithMargins="0">
    <oddFooter>&amp;R&amp;"Book Antiqua,Regular"&amp;8Daniel Salmon
BMO Capital Markets
 (212) 885-4029</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79998168889431442"/>
    <pageSetUpPr fitToPage="1"/>
  </sheetPr>
  <dimension ref="A1:BC17925"/>
  <sheetViews>
    <sheetView showGridLines="0" tabSelected="1" zoomScaleNormal="100" workbookViewId="0">
      <pane xSplit="4" ySplit="5" topLeftCell="G6" activePane="bottomRight" state="frozen"/>
      <selection activeCell="B2" sqref="B2"/>
      <selection pane="topRight" activeCell="B2" sqref="B2"/>
      <selection pane="bottomLeft" activeCell="B2" sqref="B2"/>
      <selection pane="bottomRight" activeCell="M52" sqref="M52"/>
    </sheetView>
  </sheetViews>
  <sheetFormatPr defaultColWidth="8.6640625" defaultRowHeight="10.199999999999999" outlineLevelCol="1"/>
  <cols>
    <col min="1" max="1" width="1.6640625" style="17" customWidth="1"/>
    <col min="2" max="2" width="25.6640625" style="17" customWidth="1"/>
    <col min="3" max="6" width="12.6640625" style="93" hidden="1" customWidth="1" outlineLevel="1"/>
    <col min="7" max="7" width="12.6640625" style="93" customWidth="1" collapsed="1"/>
    <col min="8" max="8" width="12.6640625" style="93" customWidth="1"/>
    <col min="9" max="14" width="12.6640625" style="94" customWidth="1"/>
    <col min="15" max="15" width="11.44140625" style="93" bestFit="1" customWidth="1"/>
    <col min="16" max="16" width="8.6640625" style="95"/>
    <col min="17" max="17" width="8.6640625" style="96"/>
    <col min="18" max="18" width="9.33203125" style="94" customWidth="1"/>
    <col min="19" max="16384" width="8.6640625" style="94"/>
  </cols>
  <sheetData>
    <row r="1" spans="1:55" ht="12.75" customHeight="1">
      <c r="B1" s="92" t="s">
        <v>336</v>
      </c>
      <c r="P1" s="594"/>
    </row>
    <row r="2" spans="1:55" ht="12.75" customHeight="1">
      <c r="B2" s="18" t="s">
        <v>237</v>
      </c>
      <c r="J2" s="594"/>
      <c r="K2" s="594"/>
      <c r="L2" s="594"/>
      <c r="M2" s="594"/>
      <c r="N2" s="594"/>
      <c r="P2" s="94"/>
    </row>
    <row r="3" spans="1:55">
      <c r="B3" s="19" t="s">
        <v>156</v>
      </c>
      <c r="J3" s="594"/>
      <c r="K3" s="97"/>
      <c r="L3" s="97"/>
      <c r="M3" s="97"/>
      <c r="N3" s="97"/>
      <c r="O3" s="98"/>
      <c r="P3" s="594"/>
    </row>
    <row r="4" spans="1:55" ht="12" customHeight="1">
      <c r="B4" s="99" t="s">
        <v>65</v>
      </c>
      <c r="I4"/>
      <c r="J4"/>
      <c r="K4"/>
      <c r="L4"/>
      <c r="M4"/>
      <c r="N4"/>
      <c r="O4" s="101"/>
      <c r="P4" s="102"/>
      <c r="S4" s="102"/>
      <c r="AG4" s="102"/>
      <c r="AH4" s="102"/>
      <c r="AI4" s="103"/>
      <c r="AJ4" s="102"/>
      <c r="AK4" s="102"/>
      <c r="AL4" s="102"/>
      <c r="AM4" s="102"/>
      <c r="AN4" s="103"/>
      <c r="AO4" s="102"/>
      <c r="AP4" s="102"/>
      <c r="AQ4" s="102"/>
      <c r="AR4" s="102"/>
      <c r="AS4" s="103"/>
      <c r="AT4" s="102"/>
      <c r="AU4" s="102"/>
      <c r="AV4" s="102"/>
      <c r="AW4" s="102"/>
      <c r="AX4" s="103"/>
      <c r="AY4" s="102"/>
      <c r="AZ4" s="102"/>
      <c r="BA4" s="102"/>
      <c r="BB4" s="102"/>
      <c r="BC4" s="103"/>
    </row>
    <row r="5" spans="1:55" ht="12" customHeight="1">
      <c r="B5" s="1608" t="s">
        <v>127</v>
      </c>
      <c r="C5" s="1609" t="str">
        <f>C11</f>
        <v>2019A</v>
      </c>
      <c r="D5" s="1609" t="str">
        <f t="shared" ref="D5:I5" si="0">D11</f>
        <v>2020A</v>
      </c>
      <c r="E5" s="1609" t="str">
        <f t="shared" si="0"/>
        <v>2021A</v>
      </c>
      <c r="F5" s="1609" t="str">
        <f t="shared" si="0"/>
        <v>2022A</v>
      </c>
      <c r="G5" s="1609" t="str">
        <f t="shared" si="0"/>
        <v>2023A</v>
      </c>
      <c r="H5" s="1609" t="str">
        <f t="shared" si="0"/>
        <v>2024A</v>
      </c>
      <c r="I5" s="1609" t="str">
        <f t="shared" si="0"/>
        <v>2025A</v>
      </c>
      <c r="J5" s="1610" t="s">
        <v>356</v>
      </c>
      <c r="K5" s="1610" t="s">
        <v>357</v>
      </c>
      <c r="L5" s="1610" t="s">
        <v>799</v>
      </c>
      <c r="M5" s="1610" t="s">
        <v>800</v>
      </c>
      <c r="N5" s="1610" t="s">
        <v>801</v>
      </c>
      <c r="P5" s="594"/>
      <c r="S5" s="105"/>
      <c r="AG5" s="105"/>
      <c r="AH5" s="105"/>
      <c r="AI5" s="105"/>
      <c r="AJ5" s="105"/>
      <c r="AK5" s="105"/>
      <c r="AL5" s="105"/>
      <c r="AM5" s="105"/>
      <c r="AN5" s="105"/>
      <c r="AO5" s="105"/>
      <c r="AP5" s="105"/>
      <c r="AQ5" s="105"/>
      <c r="AR5" s="105"/>
      <c r="AS5" s="105"/>
      <c r="AT5" s="105"/>
      <c r="AU5" s="105"/>
      <c r="AV5" s="105"/>
      <c r="AW5" s="105"/>
      <c r="AX5" s="105"/>
      <c r="AY5" s="105"/>
      <c r="AZ5" s="105"/>
      <c r="BA5" s="105"/>
      <c r="BB5" s="105"/>
      <c r="BC5" s="105"/>
    </row>
    <row r="6" spans="1:55" ht="12" customHeight="1">
      <c r="B6" s="94" t="s">
        <v>385</v>
      </c>
      <c r="C6" s="106">
        <v>147.375</v>
      </c>
      <c r="D6" s="106">
        <v>147.375</v>
      </c>
      <c r="E6" s="995"/>
      <c r="F6" s="995">
        <v>147.375</v>
      </c>
      <c r="G6" s="995">
        <v>147.375</v>
      </c>
      <c r="H6" s="995">
        <v>147.375</v>
      </c>
      <c r="I6" s="995">
        <v>147.375</v>
      </c>
      <c r="J6" s="995">
        <v>147.375</v>
      </c>
      <c r="K6" s="995">
        <v>147.375</v>
      </c>
      <c r="L6" s="995">
        <v>147.375</v>
      </c>
      <c r="M6" s="995">
        <v>147.375</v>
      </c>
      <c r="N6" s="995">
        <v>147.375</v>
      </c>
      <c r="O6" s="107"/>
      <c r="P6" s="96"/>
      <c r="Q6" s="108"/>
      <c r="T6" s="102"/>
      <c r="U6" s="102"/>
      <c r="V6" s="102"/>
      <c r="W6" s="102"/>
      <c r="X6" s="102"/>
      <c r="AG6" s="102"/>
      <c r="AH6" s="102"/>
      <c r="AI6" s="103"/>
      <c r="AJ6" s="102"/>
      <c r="AK6" s="102"/>
      <c r="AL6" s="102"/>
      <c r="AM6" s="102"/>
      <c r="AN6" s="103"/>
      <c r="AO6" s="102"/>
      <c r="AP6" s="102"/>
      <c r="AQ6" s="102"/>
      <c r="AR6" s="102"/>
      <c r="AS6" s="103"/>
      <c r="AT6" s="102"/>
      <c r="AU6" s="102"/>
      <c r="AV6" s="102"/>
      <c r="AW6" s="102"/>
      <c r="AX6" s="103"/>
      <c r="AY6" s="102"/>
      <c r="AZ6" s="102"/>
      <c r="BA6" s="102"/>
      <c r="BB6" s="102"/>
      <c r="BC6" s="103"/>
    </row>
    <row r="7" spans="1:55" ht="12" customHeight="1">
      <c r="B7" s="94" t="s">
        <v>204</v>
      </c>
      <c r="C7" s="109">
        <f>Income!CO70</f>
        <v>102.01900000000001</v>
      </c>
      <c r="D7" s="109">
        <f>Income!CT70</f>
        <v>123.01950650000001</v>
      </c>
      <c r="E7" s="109"/>
      <c r="F7" s="109">
        <f>Income!DD70</f>
        <v>1266.268155</v>
      </c>
      <c r="G7" s="109">
        <f>Income!DI70</f>
        <v>1295.511385</v>
      </c>
      <c r="H7" s="109">
        <f>Income!DN70</f>
        <v>1298.530094</v>
      </c>
      <c r="I7" s="109">
        <f>Income!DS70</f>
        <v>1306.4131762500001</v>
      </c>
      <c r="J7" s="109">
        <f>Income!DX70</f>
        <v>1301.1701869999999</v>
      </c>
      <c r="K7" s="109">
        <f>Income!EC70</f>
        <v>1309.1909579999999</v>
      </c>
      <c r="L7" s="109">
        <f>Income!$EH$70</f>
        <v>1319.1909579999999</v>
      </c>
      <c r="M7" s="109">
        <f>Income!$EM$70</f>
        <v>1329.1909579999999</v>
      </c>
      <c r="N7" s="109">
        <f>Income!$ER$70</f>
        <v>1339.1909579999999</v>
      </c>
      <c r="O7" s="109"/>
      <c r="P7" s="109"/>
      <c r="Q7" s="111"/>
      <c r="S7" s="102"/>
      <c r="T7" s="102"/>
      <c r="U7" s="102"/>
      <c r="V7" s="102"/>
      <c r="W7" s="102"/>
      <c r="X7" s="102"/>
      <c r="AG7" s="102"/>
      <c r="AH7" s="102"/>
      <c r="AI7" s="103"/>
      <c r="AJ7" s="102"/>
      <c r="AK7" s="102"/>
      <c r="AL7" s="102"/>
      <c r="AM7" s="102"/>
      <c r="AN7" s="103"/>
      <c r="AO7" s="102"/>
      <c r="AP7" s="102"/>
      <c r="AQ7" s="102"/>
      <c r="AR7" s="102"/>
      <c r="AS7" s="103"/>
      <c r="AT7" s="102"/>
      <c r="AU7" s="102"/>
      <c r="AV7" s="102"/>
      <c r="AW7" s="102"/>
      <c r="AX7" s="103"/>
      <c r="AY7" s="102"/>
      <c r="AZ7" s="102"/>
      <c r="BA7" s="102"/>
      <c r="BB7" s="102"/>
      <c r="BC7" s="103"/>
    </row>
    <row r="8" spans="1:55" ht="12" customHeight="1">
      <c r="B8" s="18" t="s">
        <v>23</v>
      </c>
      <c r="C8" s="112">
        <f t="shared" ref="C8:K8" si="1">C$6*C7</f>
        <v>15035.050125000002</v>
      </c>
      <c r="D8" s="112">
        <f t="shared" si="1"/>
        <v>18129.999770437502</v>
      </c>
      <c r="E8" s="112"/>
      <c r="F8" s="112">
        <f t="shared" si="1"/>
        <v>186616.26934312499</v>
      </c>
      <c r="G8" s="112">
        <f t="shared" si="1"/>
        <v>190925.990364375</v>
      </c>
      <c r="H8" s="112">
        <f t="shared" si="1"/>
        <v>191370.87260325</v>
      </c>
      <c r="I8" s="112">
        <f>I$6*I7</f>
        <v>192532.64184984376</v>
      </c>
      <c r="J8" s="112">
        <f t="shared" si="1"/>
        <v>191759.956309125</v>
      </c>
      <c r="K8" s="112">
        <f t="shared" si="1"/>
        <v>192942.01743524999</v>
      </c>
      <c r="L8" s="112">
        <f t="shared" ref="L8:N8" si="2">L$6*L7</f>
        <v>194415.76743524999</v>
      </c>
      <c r="M8" s="112">
        <f t="shared" si="2"/>
        <v>195889.51743524999</v>
      </c>
      <c r="N8" s="112">
        <f t="shared" si="2"/>
        <v>197363.26743524999</v>
      </c>
      <c r="O8" s="107"/>
      <c r="P8" s="110"/>
      <c r="Q8" s="108"/>
      <c r="S8" s="102"/>
      <c r="T8" s="102"/>
      <c r="U8" s="102"/>
      <c r="V8" s="102"/>
      <c r="W8" s="102"/>
      <c r="X8" s="102"/>
      <c r="AG8" s="102"/>
      <c r="AH8" s="102"/>
      <c r="AI8" s="103"/>
      <c r="AJ8" s="102"/>
      <c r="AK8" s="102"/>
      <c r="AL8" s="102"/>
      <c r="AM8" s="102"/>
      <c r="AN8" s="103"/>
      <c r="AO8" s="102"/>
      <c r="AP8" s="102"/>
      <c r="AQ8" s="102"/>
      <c r="AR8" s="102"/>
      <c r="AS8" s="103"/>
      <c r="AT8" s="102"/>
      <c r="AU8" s="102"/>
      <c r="AV8" s="102"/>
      <c r="AW8" s="102"/>
      <c r="AX8" s="103"/>
      <c r="AY8" s="102"/>
      <c r="AZ8" s="102"/>
      <c r="BA8" s="102"/>
      <c r="BB8" s="102"/>
      <c r="BC8" s="103"/>
    </row>
    <row r="9" spans="1:55" s="116" customFormat="1" ht="12" customHeight="1">
      <c r="A9" s="113"/>
      <c r="B9" s="94" t="s">
        <v>19</v>
      </c>
      <c r="C9" s="109">
        <f>'Balance Sheet'!CO53</f>
        <v>649.91600000000017</v>
      </c>
      <c r="D9" s="109">
        <f>'Balance Sheet'!CT53</f>
        <v>1945.5890000000002</v>
      </c>
      <c r="E9" s="109"/>
      <c r="F9" s="109">
        <f>'Balance Sheet'!DD53</f>
        <v>736.01600000000178</v>
      </c>
      <c r="G9" s="109">
        <f>'Balance Sheet'!DI53</f>
        <v>497.00000000000182</v>
      </c>
      <c r="H9" s="109">
        <f>'Balance Sheet'!DN53</f>
        <v>1498.0000000000018</v>
      </c>
      <c r="I9" s="109">
        <f>'Balance Sheet'!DS53</f>
        <v>1544.6720000000018</v>
      </c>
      <c r="J9" s="109">
        <f>'Balance Sheet'!DX53</f>
        <v>3332.7043701727989</v>
      </c>
      <c r="K9" s="109">
        <f>'Balance Sheet'!EC53</f>
        <v>6735.7605411722161</v>
      </c>
      <c r="L9" s="109">
        <f>'Balance Sheet'!$EH$53</f>
        <v>10767.166740377632</v>
      </c>
      <c r="M9" s="109">
        <f>'Balance Sheet'!$EM$53</f>
        <v>15540.612023527461</v>
      </c>
      <c r="N9" s="109">
        <f>'Balance Sheet'!$ER$53</f>
        <v>21211.549585228455</v>
      </c>
      <c r="O9" s="107"/>
      <c r="P9" s="110"/>
      <c r="Q9" s="114"/>
      <c r="R9" s="105"/>
      <c r="S9" s="115"/>
      <c r="T9" s="115"/>
      <c r="U9" s="115"/>
      <c r="V9" s="115"/>
      <c r="W9" s="115"/>
      <c r="X9" s="115"/>
      <c r="AG9" s="115"/>
      <c r="AH9" s="115"/>
      <c r="AI9" s="105"/>
      <c r="AJ9" s="115"/>
      <c r="AK9" s="115"/>
      <c r="AL9" s="115"/>
      <c r="AM9" s="115"/>
      <c r="AN9" s="105"/>
      <c r="AO9" s="115"/>
      <c r="AP9" s="115"/>
      <c r="AQ9" s="115"/>
      <c r="AR9" s="115"/>
      <c r="AS9" s="105"/>
      <c r="AT9" s="115"/>
      <c r="AU9" s="115"/>
      <c r="AV9" s="115"/>
      <c r="AW9" s="115"/>
      <c r="AX9" s="105"/>
      <c r="AY9" s="115"/>
      <c r="AZ9" s="115"/>
      <c r="BA9" s="115"/>
      <c r="BB9" s="115"/>
      <c r="BC9" s="105"/>
    </row>
    <row r="10" spans="1:55" ht="12" customHeight="1">
      <c r="B10" s="117" t="s">
        <v>20</v>
      </c>
      <c r="C10" s="112">
        <f t="shared" ref="C10:K10" si="3">C8-C9</f>
        <v>14385.134125</v>
      </c>
      <c r="D10" s="112">
        <f t="shared" si="3"/>
        <v>16184.410770437502</v>
      </c>
      <c r="E10" s="112"/>
      <c r="F10" s="112">
        <f t="shared" si="3"/>
        <v>185880.25334312499</v>
      </c>
      <c r="G10" s="112">
        <f t="shared" si="3"/>
        <v>190428.990364375</v>
      </c>
      <c r="H10" s="112">
        <f t="shared" si="3"/>
        <v>189872.87260325</v>
      </c>
      <c r="I10" s="112">
        <f t="shared" si="3"/>
        <v>190987.96984984376</v>
      </c>
      <c r="J10" s="112">
        <f t="shared" si="3"/>
        <v>188427.25193895219</v>
      </c>
      <c r="K10" s="112">
        <f t="shared" si="3"/>
        <v>186206.25689407779</v>
      </c>
      <c r="L10" s="112">
        <f t="shared" ref="L10:N10" si="4">L8-L9</f>
        <v>183648.60069487235</v>
      </c>
      <c r="M10" s="112">
        <f t="shared" si="4"/>
        <v>180348.90541172252</v>
      </c>
      <c r="N10" s="112">
        <f t="shared" si="4"/>
        <v>176151.71785002152</v>
      </c>
      <c r="O10" s="107"/>
      <c r="P10" s="110"/>
      <c r="Q10" s="108"/>
      <c r="R10" s="103"/>
      <c r="S10" s="102"/>
      <c r="T10" s="102"/>
      <c r="U10" s="102"/>
      <c r="V10" s="102"/>
      <c r="W10" s="102"/>
      <c r="X10" s="102"/>
      <c r="AG10" s="102"/>
      <c r="AH10" s="102"/>
      <c r="AI10" s="103"/>
      <c r="AJ10" s="102"/>
      <c r="AK10" s="102"/>
      <c r="AL10" s="102"/>
      <c r="AM10" s="102"/>
      <c r="AN10" s="103"/>
      <c r="AO10" s="102"/>
      <c r="AP10" s="102"/>
      <c r="AQ10" s="102"/>
      <c r="AR10" s="102"/>
      <c r="AS10" s="103"/>
      <c r="AT10" s="102"/>
      <c r="AU10" s="102"/>
      <c r="AV10" s="102"/>
      <c r="AW10" s="102"/>
      <c r="AX10" s="103"/>
      <c r="AY10" s="102"/>
      <c r="AZ10" s="102"/>
      <c r="BA10" s="102"/>
      <c r="BB10" s="102"/>
      <c r="BC10" s="103"/>
    </row>
    <row r="11" spans="1:55" ht="12" customHeight="1">
      <c r="B11" s="1611" t="s">
        <v>0</v>
      </c>
      <c r="C11" s="1612" t="str">
        <f>Income!CO4</f>
        <v>2019A</v>
      </c>
      <c r="D11" s="1612" t="str">
        <f>Income!CT4</f>
        <v>2020A</v>
      </c>
      <c r="E11" s="1612" t="str">
        <f>Income!CY4</f>
        <v>2021A</v>
      </c>
      <c r="F11" s="1612" t="str">
        <f>Income!DD4</f>
        <v>2022A</v>
      </c>
      <c r="G11" s="1612" t="str">
        <f>Income!DI4</f>
        <v>2023A</v>
      </c>
      <c r="H11" s="1612" t="str">
        <f>Income!DN4</f>
        <v>2024A</v>
      </c>
      <c r="I11" s="1612" t="str">
        <f>Income!DS4</f>
        <v>2025A</v>
      </c>
      <c r="J11" s="1612" t="s">
        <v>356</v>
      </c>
      <c r="K11" s="1613" t="s">
        <v>357</v>
      </c>
      <c r="L11" s="1613" t="str">
        <f>+L5</f>
        <v>2028E</v>
      </c>
      <c r="M11" s="1613" t="str">
        <f t="shared" ref="M11:N11" si="5">+M5</f>
        <v>2029E</v>
      </c>
      <c r="N11" s="1613" t="str">
        <f t="shared" si="5"/>
        <v>2030E</v>
      </c>
      <c r="O11" s="1614" t="s">
        <v>386</v>
      </c>
      <c r="P11" s="105"/>
      <c r="Q11" s="114"/>
      <c r="R11" s="105"/>
      <c r="S11" s="105"/>
      <c r="T11" s="105"/>
      <c r="U11" s="105"/>
      <c r="V11" s="105"/>
      <c r="W11" s="105"/>
      <c r="X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row>
    <row r="12" spans="1:55" ht="12" customHeight="1">
      <c r="B12" s="118" t="s">
        <v>337</v>
      </c>
      <c r="C12" s="119">
        <f>'Revenue Build'!$CO$63</f>
        <v>61138.457000000002</v>
      </c>
      <c r="D12" s="119">
        <f>'Revenue Build'!CT63</f>
        <v>119577.147</v>
      </c>
      <c r="E12" s="951">
        <f>'Revenue Build'!CY63</f>
        <v>175361.81400000001</v>
      </c>
      <c r="F12" s="951">
        <f>'Revenue Build'!DD63</f>
        <v>197250.171</v>
      </c>
      <c r="G12" s="951">
        <f>'Revenue Build'!DI63</f>
        <v>235925</v>
      </c>
      <c r="H12" s="951">
        <f>'Revenue Build'!DN63</f>
        <v>292275</v>
      </c>
      <c r="I12" s="951">
        <f>'Revenue Build'!DS63</f>
        <v>378441</v>
      </c>
      <c r="J12" s="951">
        <f>'Revenue Build'!DX63</f>
        <v>495681.79000000004</v>
      </c>
      <c r="K12" s="951">
        <f>'Revenue Build'!EC63</f>
        <v>623338.3186</v>
      </c>
      <c r="L12" s="951">
        <f>'Revenue Build'!$EH$63</f>
        <v>748005.98231999995</v>
      </c>
      <c r="M12" s="951">
        <f>'Revenue Build'!$EM$63</f>
        <v>878907.02922599996</v>
      </c>
      <c r="N12" s="951">
        <f>'Revenue Build'!$ER$63</f>
        <v>1019532.15390216</v>
      </c>
      <c r="O12" s="758">
        <f>+(K12/H12)^(0.333333333333333)-1</f>
        <v>0.28719413420930895</v>
      </c>
      <c r="P12" s="105"/>
      <c r="Q12" s="114"/>
      <c r="R12" s="105"/>
      <c r="S12" s="105"/>
      <c r="T12" s="105"/>
      <c r="U12" s="105"/>
      <c r="V12" s="105"/>
      <c r="W12" s="105"/>
      <c r="X12" s="105"/>
      <c r="AG12" s="105"/>
      <c r="AH12" s="105"/>
      <c r="AI12" s="105"/>
      <c r="AJ12" s="105"/>
      <c r="AK12" s="105"/>
      <c r="AL12" s="105"/>
      <c r="AM12" s="105"/>
      <c r="AN12" s="105"/>
      <c r="AO12" s="105"/>
      <c r="AP12" s="105"/>
      <c r="AQ12" s="105"/>
      <c r="AR12" s="105"/>
      <c r="AS12" s="105"/>
      <c r="AT12" s="105"/>
      <c r="AU12" s="105"/>
      <c r="AV12" s="105"/>
      <c r="AW12" s="105"/>
      <c r="AX12" s="105"/>
      <c r="AY12" s="105"/>
      <c r="AZ12" s="105"/>
      <c r="BA12" s="105"/>
      <c r="BB12" s="105"/>
      <c r="BC12" s="105"/>
    </row>
    <row r="13" spans="1:55" ht="12" customHeight="1">
      <c r="B13" s="121" t="s">
        <v>123</v>
      </c>
      <c r="C13" s="122"/>
      <c r="D13" s="122"/>
      <c r="E13" s="952"/>
      <c r="F13" s="952"/>
      <c r="G13" s="952"/>
      <c r="H13" s="952"/>
      <c r="I13" s="952"/>
      <c r="J13" s="952">
        <v>487453.25</v>
      </c>
      <c r="K13" s="952">
        <v>604181.80000000005</v>
      </c>
      <c r="L13" s="952">
        <v>752986.7</v>
      </c>
      <c r="M13" s="952">
        <v>897686.9</v>
      </c>
      <c r="N13" s="952">
        <v>1057535.1000000001</v>
      </c>
      <c r="O13" s="758">
        <f>+(K13/H12)^(0.333333333333333)-1</f>
        <v>0.27387062536357987</v>
      </c>
      <c r="P13" s="105"/>
      <c r="Q13" s="114"/>
      <c r="R13" s="105"/>
      <c r="S13" s="105"/>
      <c r="T13" s="105"/>
      <c r="U13" s="105"/>
      <c r="V13" s="105"/>
      <c r="W13" s="105"/>
      <c r="X13" s="105"/>
      <c r="AG13" s="105"/>
      <c r="AH13" s="105"/>
      <c r="AI13" s="105"/>
      <c r="AJ13" s="105"/>
      <c r="AK13" s="105"/>
      <c r="AL13" s="105"/>
      <c r="AM13" s="105"/>
      <c r="AN13" s="105"/>
      <c r="AO13" s="105"/>
      <c r="AP13" s="105"/>
      <c r="AQ13" s="105"/>
      <c r="AR13" s="105"/>
      <c r="AS13" s="105"/>
      <c r="AT13" s="105"/>
      <c r="AU13" s="105"/>
      <c r="AV13" s="105"/>
      <c r="AW13" s="105"/>
      <c r="AX13" s="105"/>
      <c r="AY13" s="105"/>
      <c r="AZ13" s="105"/>
      <c r="BA13" s="105"/>
      <c r="BB13" s="105"/>
      <c r="BC13" s="105"/>
    </row>
    <row r="14" spans="1:55" ht="12" customHeight="1">
      <c r="B14" s="118" t="s">
        <v>3</v>
      </c>
      <c r="C14" s="119">
        <f>Income!CO10</f>
        <v>1578.173</v>
      </c>
      <c r="D14" s="119">
        <f>Income!CT10</f>
        <v>2929.491</v>
      </c>
      <c r="E14" s="951">
        <f>Income!CY10</f>
        <v>4611.8559999999998</v>
      </c>
      <c r="F14" s="951">
        <f>Income!DD10</f>
        <v>5599.8640000000005</v>
      </c>
      <c r="G14" s="951">
        <f>Income!DI10</f>
        <v>7060</v>
      </c>
      <c r="H14" s="951">
        <f>Income!DN10</f>
        <v>8880</v>
      </c>
      <c r="I14" s="951">
        <f>Income!DS10</f>
        <v>11556</v>
      </c>
      <c r="J14" s="951">
        <f>Income!DX10</f>
        <v>15211.685523769687</v>
      </c>
      <c r="K14" s="951">
        <f>Income!$EC$10</f>
        <v>19134.27960159217</v>
      </c>
      <c r="L14" s="951">
        <f>Income!$EH$10</f>
        <v>23097.312228932591</v>
      </c>
      <c r="M14" s="951">
        <f>Income!$EM$10</f>
        <v>27379.487596355673</v>
      </c>
      <c r="N14" s="951">
        <f>Income!$ER$10</f>
        <v>32121.812861222668</v>
      </c>
      <c r="O14" s="758">
        <f>+(K14/H14)^(0.333333333333333)-1</f>
        <v>0.29161491085620916</v>
      </c>
      <c r="P14" s="595"/>
      <c r="Q14" s="596"/>
    </row>
    <row r="15" spans="1:55" ht="12" customHeight="1">
      <c r="B15" s="121" t="s">
        <v>123</v>
      </c>
      <c r="C15" s="122"/>
      <c r="D15" s="123"/>
      <c r="E15" s="952"/>
      <c r="F15" s="952"/>
      <c r="G15" s="952"/>
      <c r="H15" s="952"/>
      <c r="I15" s="952"/>
      <c r="J15" s="952">
        <v>14977.527</v>
      </c>
      <c r="K15" s="952">
        <v>18667.963</v>
      </c>
      <c r="L15" s="952">
        <v>23471.11</v>
      </c>
      <c r="M15" s="952">
        <v>28231.14</v>
      </c>
      <c r="N15" s="952">
        <v>33373.300000000003</v>
      </c>
      <c r="O15" s="758">
        <f>+(K15/H14)^(0.333333333333333)-1</f>
        <v>0.28103596258845798</v>
      </c>
      <c r="P15" s="595"/>
      <c r="Q15" s="596"/>
    </row>
    <row r="16" spans="1:55" ht="12" customHeight="1">
      <c r="B16" s="118" t="s">
        <v>2</v>
      </c>
      <c r="C16" s="119">
        <f>Income!CO77</f>
        <v>-105.49599999999995</v>
      </c>
      <c r="D16" s="119">
        <f>Income!CT77</f>
        <v>160.21300000000002</v>
      </c>
      <c r="E16" s="951">
        <f>Income!CY77</f>
        <v>334.95100000000002</v>
      </c>
      <c r="F16" s="951">
        <f>Income!DD77</f>
        <v>-731.77899999999977</v>
      </c>
      <c r="G16" s="951">
        <f>Income!DI77</f>
        <v>-1349</v>
      </c>
      <c r="H16" s="951">
        <f>Income!DN77</f>
        <v>1111</v>
      </c>
      <c r="I16" s="951">
        <f>Income!$DS$77</f>
        <v>1499</v>
      </c>
      <c r="J16" s="951">
        <f>Income!$DX$77</f>
        <v>2287.1474097614996</v>
      </c>
      <c r="K16" s="951">
        <f>Income!$EC$77</f>
        <v>3159.8296683462172</v>
      </c>
      <c r="L16" s="951">
        <f>Income!$EH$77</f>
        <v>3903.8870734426373</v>
      </c>
      <c r="M16" s="951">
        <f>Income!$EM$77</f>
        <v>4763.8007337776971</v>
      </c>
      <c r="N16" s="951">
        <f>Income!$ER$77</f>
        <v>5777.8788987956686</v>
      </c>
      <c r="O16" s="758">
        <f>+(K16/H16)^(0.333333333333333)-1</f>
        <v>0.41682606492375274</v>
      </c>
      <c r="P16" s="597"/>
      <c r="Q16" s="596"/>
    </row>
    <row r="17" spans="1:23" ht="12" customHeight="1">
      <c r="B17" s="118" t="s">
        <v>88</v>
      </c>
      <c r="C17" s="119">
        <f>Income!CO115</f>
        <v>71.267000000000039</v>
      </c>
      <c r="D17" s="119">
        <f>Income!CT115</f>
        <v>486.14200000000005</v>
      </c>
      <c r="E17" s="951">
        <f>Income!CY115</f>
        <v>762.15030000000002</v>
      </c>
      <c r="F17" s="951">
        <f>Income!DD115</f>
        <v>42.877000000000223</v>
      </c>
      <c r="G17" s="951">
        <f>Income!DI115</f>
        <v>988</v>
      </c>
      <c r="H17" s="951">
        <f ca="1">Income!DN115</f>
        <v>1508</v>
      </c>
      <c r="I17" s="951">
        <f ca="1">Income!$DS$115</f>
        <v>1996</v>
      </c>
      <c r="J17" s="951">
        <f>Income!$DX$115</f>
        <v>2912.1713812152248</v>
      </c>
      <c r="K17" s="951">
        <f>Income!$EC$115</f>
        <v>3866.5000240983682</v>
      </c>
      <c r="L17" s="951">
        <f>Income!$EH$115</f>
        <v>4558.9722918100033</v>
      </c>
      <c r="M17" s="951">
        <f>Income!$EM$115</f>
        <v>5534.7497292804292</v>
      </c>
      <c r="N17" s="951">
        <f>Income!$ER$115</f>
        <v>6677.1562220772894</v>
      </c>
      <c r="O17" s="758">
        <f ca="1">+(K17/H17)^(0.333333333333333)-1</f>
        <v>0.36869146344861847</v>
      </c>
      <c r="P17" s="597"/>
      <c r="Q17" s="596"/>
    </row>
    <row r="18" spans="1:23" ht="12" customHeight="1">
      <c r="B18" s="121" t="s">
        <v>123</v>
      </c>
      <c r="C18" s="122"/>
      <c r="D18" s="122"/>
      <c r="E18" s="952"/>
      <c r="F18" s="952"/>
      <c r="G18" s="952"/>
      <c r="H18" s="952"/>
      <c r="I18" s="952"/>
      <c r="J18" s="952">
        <v>2760.9684999999999</v>
      </c>
      <c r="K18" s="952">
        <v>3575.3566999999998</v>
      </c>
      <c r="L18" s="952">
        <v>5274.8657000000003</v>
      </c>
      <c r="M18" s="952">
        <v>5374</v>
      </c>
      <c r="N18" s="952">
        <v>6657.5</v>
      </c>
      <c r="O18" s="758">
        <f ca="1">+(K18/H17)^(0.333333333333333)-1</f>
        <v>0.33343754205044984</v>
      </c>
      <c r="P18" s="597"/>
      <c r="Q18" s="596"/>
    </row>
    <row r="19" spans="1:23" ht="12" customHeight="1">
      <c r="B19" s="118" t="s">
        <v>126</v>
      </c>
      <c r="C19" s="119">
        <f>Income!CO44</f>
        <v>-141.14699999999996</v>
      </c>
      <c r="D19" s="119">
        <f>Income!CT44</f>
        <v>90.15300000000002</v>
      </c>
      <c r="E19" s="951">
        <f>Income!$CY$44</f>
        <v>268.64300000000003</v>
      </c>
      <c r="F19" s="951">
        <f>Income!$DD$44</f>
        <v>-822.29899999999975</v>
      </c>
      <c r="G19" s="951">
        <f>Income!$DI$44</f>
        <v>-1418</v>
      </c>
      <c r="H19" s="951">
        <f>Income!$DN$44</f>
        <v>1075</v>
      </c>
      <c r="I19" s="951">
        <f>Income!$DS$44</f>
        <v>1468</v>
      </c>
      <c r="J19" s="1571">
        <f>Income!$DX$44</f>
        <v>2258.9180669996149</v>
      </c>
      <c r="K19" s="1571">
        <f>Income!$EC$44</f>
        <v>3134.2625285454214</v>
      </c>
      <c r="L19" s="1571">
        <f>Income!$EH$44</f>
        <v>3876.3384173281711</v>
      </c>
      <c r="M19" s="1571">
        <f>Income!$EM$44</f>
        <v>4734.1109899795192</v>
      </c>
      <c r="N19" s="1571">
        <f>Income!$ER$44</f>
        <v>5745.8179923650569</v>
      </c>
      <c r="O19" s="758">
        <f>+(K19/H19)^(0.333333333333333)-1</f>
        <v>0.42859448347779661</v>
      </c>
      <c r="P19" s="597"/>
      <c r="Q19" s="596"/>
    </row>
    <row r="20" spans="1:23" ht="12" customHeight="1">
      <c r="B20" s="126" t="s">
        <v>566</v>
      </c>
      <c r="C20" s="124">
        <f>Income!CO71</f>
        <v>-1.2237132298885496</v>
      </c>
      <c r="D20" s="124">
        <f>Income!CT71</f>
        <v>2.5972222543422414</v>
      </c>
      <c r="E20" s="124">
        <f>Income!CY71</f>
        <v>22.972528140373388</v>
      </c>
      <c r="F20" s="124">
        <f>Income!DD71</f>
        <v>-2.732768715959693</v>
      </c>
      <c r="G20" s="124">
        <f>Income!DI71</f>
        <v>0.10189026629048112</v>
      </c>
      <c r="H20" s="124">
        <f>Income!DN71</f>
        <v>1.5548349701936135</v>
      </c>
      <c r="I20" s="124">
        <f>Income!DS71</f>
        <v>0.94227463591076888</v>
      </c>
      <c r="J20" s="124">
        <f>Income!DX71</f>
        <v>1.6635140074363071</v>
      </c>
      <c r="K20" s="124">
        <f>Income!EC71</f>
        <v>2.146817870393372</v>
      </c>
      <c r="L20" s="124">
        <f>Income!$EH$71</f>
        <v>2.6418767270928183</v>
      </c>
      <c r="M20" s="124">
        <f>Income!$EM$71</f>
        <v>3.2024278874921919</v>
      </c>
      <c r="N20" s="124">
        <f>Income!$ER$71</f>
        <v>3.8524335046603899</v>
      </c>
      <c r="O20" s="758">
        <f>+(K20/H20)^(0.333333333333333)-1</f>
        <v>0.11353438943228733</v>
      </c>
      <c r="P20" s="597"/>
    </row>
    <row r="21" spans="1:23" ht="12" customHeight="1">
      <c r="B21" s="126" t="s">
        <v>71</v>
      </c>
      <c r="C21" s="124">
        <f>+Income!CO132</f>
        <v>0.33604524647369632</v>
      </c>
      <c r="D21" s="124">
        <f>+Income!CT132</f>
        <v>3.9936024292212546</v>
      </c>
      <c r="E21" s="124">
        <f>+Income!CY132</f>
        <v>6.4188126395071947</v>
      </c>
      <c r="F21" s="124">
        <f>+Income!DD132</f>
        <v>3.7579717859998113E-2</v>
      </c>
      <c r="G21" s="124">
        <f>+Income!DI132</f>
        <v>0.8629796796421052</v>
      </c>
      <c r="H21" s="124">
        <f ca="1">+Income!DN132</f>
        <v>1.2583458847431226</v>
      </c>
      <c r="I21" s="124">
        <f ca="1">+Income!DS132</f>
        <v>1.4268074096975412</v>
      </c>
      <c r="J21" s="124">
        <f>+Income!DX132</f>
        <v>1.9921613225660191</v>
      </c>
      <c r="K21" s="124">
        <f>+Income!EC132</f>
        <v>2.6318918697485025</v>
      </c>
      <c r="L21" s="124">
        <f>Income!$EH$132</f>
        <v>3.0416795199197564</v>
      </c>
      <c r="M21" s="124">
        <f>Income!$EM$132</f>
        <v>3.660873169226686</v>
      </c>
      <c r="N21" s="124">
        <f>Income!$ER$132</f>
        <v>4.372583594266084</v>
      </c>
      <c r="O21" s="758">
        <f ca="1">+(K21/H21)^(0.333333333333333)-1</f>
        <v>0.27885901647821787</v>
      </c>
      <c r="P21" s="94"/>
    </row>
    <row r="22" spans="1:23" ht="12" customHeight="1">
      <c r="B22" s="121" t="s">
        <v>124</v>
      </c>
      <c r="C22" s="125"/>
      <c r="D22" s="125"/>
      <c r="E22" s="125"/>
      <c r="F22" s="125"/>
      <c r="G22" s="125"/>
      <c r="H22" s="125"/>
      <c r="I22" s="125"/>
      <c r="J22" s="125">
        <v>1.8687165999999999</v>
      </c>
      <c r="K22" s="125">
        <v>2.4000979999999998</v>
      </c>
      <c r="L22" s="125">
        <v>3.2661427999999999</v>
      </c>
      <c r="M22" s="125">
        <v>3.78</v>
      </c>
      <c r="N22" s="125">
        <v>4.4866666999999998</v>
      </c>
      <c r="O22" s="758">
        <f ca="1">+(K22/H21)^(0.333333333333333)-1</f>
        <v>0.24015598626460077</v>
      </c>
      <c r="P22" s="597"/>
    </row>
    <row r="23" spans="1:23" ht="12" customHeight="1">
      <c r="B23" s="118" t="s">
        <v>21</v>
      </c>
      <c r="C23" s="124">
        <f>+'Cash Flow'!CO59</f>
        <v>0.13581783785373322</v>
      </c>
      <c r="D23" s="124">
        <f>+'Cash Flow'!CT59</f>
        <v>3.1151563756273073</v>
      </c>
      <c r="E23" s="124">
        <f>+'Cash Flow'!CY59</f>
        <v>3.5754637731545884</v>
      </c>
      <c r="F23" s="124">
        <f>+'Cash Flow'!DD59</f>
        <v>-0.14725632897243635</v>
      </c>
      <c r="G23" s="124">
        <f>+'Cash Flow'!DI59</f>
        <v>0.69856584085519247</v>
      </c>
      <c r="H23" s="124">
        <f>+'Cash Flow'!DN59</f>
        <v>1.2298521284790493</v>
      </c>
      <c r="I23" s="124">
        <f>+'Cash Flow'!DS59</f>
        <v>1.5362674202054534</v>
      </c>
      <c r="J23" s="124">
        <f>+'Cash Flow'!DX59</f>
        <v>2.2614988412524992</v>
      </c>
      <c r="K23" s="124">
        <f>+'Cash Flow'!EC59</f>
        <v>2.8653740488172681</v>
      </c>
      <c r="L23" s="124">
        <f>'Cash Flow'!$EH$59</f>
        <v>3.3882420155698294</v>
      </c>
      <c r="M23" s="124">
        <f>'Cash Flow'!$EM$59</f>
        <v>4.0057151232985833</v>
      </c>
      <c r="N23" s="124">
        <f>'Cash Flow'!$ER$59</f>
        <v>4.7510635600700653</v>
      </c>
      <c r="O23" s="758">
        <f>+(K23/H23)^(0.333333333333333)-1</f>
        <v>0.32569252873805654</v>
      </c>
      <c r="P23" s="594"/>
    </row>
    <row r="24" spans="1:23" ht="12" customHeight="1">
      <c r="B24" s="1611" t="s">
        <v>25</v>
      </c>
      <c r="C24" s="1612" t="str">
        <f t="shared" ref="C24:K24" si="6">C11</f>
        <v>2019A</v>
      </c>
      <c r="D24" s="1612" t="str">
        <f t="shared" si="6"/>
        <v>2020A</v>
      </c>
      <c r="E24" s="1612" t="str">
        <f t="shared" si="6"/>
        <v>2021A</v>
      </c>
      <c r="F24" s="1612" t="str">
        <f t="shared" si="6"/>
        <v>2022A</v>
      </c>
      <c r="G24" s="1612" t="str">
        <f t="shared" si="6"/>
        <v>2023A</v>
      </c>
      <c r="H24" s="1612" t="str">
        <f t="shared" si="6"/>
        <v>2024A</v>
      </c>
      <c r="I24" s="1612" t="str">
        <f t="shared" si="6"/>
        <v>2025A</v>
      </c>
      <c r="J24" s="1612" t="str">
        <f t="shared" si="6"/>
        <v>2026E</v>
      </c>
      <c r="K24" s="1613" t="str">
        <f t="shared" si="6"/>
        <v>2027E</v>
      </c>
      <c r="L24" s="1613" t="str">
        <f t="shared" ref="L24:N24" si="7">L11</f>
        <v>2028E</v>
      </c>
      <c r="M24" s="1613" t="str">
        <f t="shared" si="7"/>
        <v>2029E</v>
      </c>
      <c r="N24" s="1613" t="str">
        <f t="shared" si="7"/>
        <v>2030E</v>
      </c>
      <c r="O24"/>
      <c r="P24" s="94"/>
    </row>
    <row r="25" spans="1:23" s="99" customFormat="1" ht="12" customHeight="1">
      <c r="A25" s="127"/>
      <c r="B25" s="126" t="s">
        <v>125</v>
      </c>
      <c r="C25" s="128">
        <f>Income!CO25</f>
        <v>0.54850957404543099</v>
      </c>
      <c r="D25" s="128">
        <f>Income!CT25</f>
        <v>0.52620745378634048</v>
      </c>
      <c r="E25" s="128">
        <f>Income!$CY$25</f>
        <v>0.53799251320943231</v>
      </c>
      <c r="F25" s="128">
        <f>Income!$DD$25</f>
        <v>0.4918189084592054</v>
      </c>
      <c r="G25" s="128">
        <f>Income!$DI$25</f>
        <v>0.49787535410764872</v>
      </c>
      <c r="H25" s="128">
        <f>Income!$DN$25</f>
        <v>0.50360360360360357</v>
      </c>
      <c r="I25" s="128">
        <f>Income!$DS$25</f>
        <v>0.48070266528210454</v>
      </c>
      <c r="J25" s="128">
        <f>Income!$DX$25</f>
        <v>0.47434642697487006</v>
      </c>
      <c r="K25" s="128">
        <f>Income!$EC$25</f>
        <v>0.47049327896757775</v>
      </c>
      <c r="L25" s="128">
        <f>Income!$EH$25</f>
        <v>0.46853695716102062</v>
      </c>
      <c r="M25" s="128">
        <f>Income!$EM$25</f>
        <v>0.46760955185666098</v>
      </c>
      <c r="N25" s="128">
        <f>Income!$ER$25</f>
        <v>0.46757599135802885</v>
      </c>
      <c r="O25"/>
      <c r="Q25" s="110"/>
    </row>
    <row r="26" spans="1:23" s="99" customFormat="1" ht="12" customHeight="1">
      <c r="A26" s="127"/>
      <c r="B26" s="126" t="s">
        <v>161</v>
      </c>
      <c r="C26" s="128">
        <f>Income!CO118</f>
        <v>4.5157913612766179E-2</v>
      </c>
      <c r="D26" s="128">
        <f>Income!CT118</f>
        <v>0.16594759977074516</v>
      </c>
      <c r="E26" s="128">
        <f>Income!$CY$118</f>
        <v>0.16525891094604864</v>
      </c>
      <c r="F26" s="128">
        <f>Income!$DD$118</f>
        <v>7.656793093546597E-3</v>
      </c>
      <c r="G26" s="128">
        <f>Income!$DI$118</f>
        <v>0.13994334277620396</v>
      </c>
      <c r="H26" s="128">
        <f ca="1">Income!$DN$118</f>
        <v>0.16981981981981981</v>
      </c>
      <c r="I26" s="128">
        <f ca="1">Income!$DS$118</f>
        <v>0.17272412599515402</v>
      </c>
      <c r="J26" s="128">
        <f>Income!$DX$118</f>
        <v>0.19144304401143999</v>
      </c>
      <c r="K26" s="128">
        <f>Income!$EC$118</f>
        <v>0.20207188901831638</v>
      </c>
      <c r="L26" s="128">
        <f>Income!$EH$118</f>
        <v>0.19738107389392509</v>
      </c>
      <c r="M26" s="128">
        <f>Income!$EM$118</f>
        <v>0.20214950005189752</v>
      </c>
      <c r="N26" s="128">
        <f>Income!$ER$118</f>
        <v>0.20786984380131071</v>
      </c>
      <c r="O26"/>
      <c r="Q26" s="110"/>
      <c r="W26" s="340"/>
    </row>
    <row r="27" spans="1:23" s="99" customFormat="1" ht="12" customHeight="1">
      <c r="A27" s="127"/>
      <c r="B27" s="126" t="s">
        <v>126</v>
      </c>
      <c r="C27" s="128">
        <f>Income!CO46</f>
        <v>-8.9436962867822448E-2</v>
      </c>
      <c r="D27" s="128">
        <f>Income!CT46</f>
        <v>3.0774288093050984E-2</v>
      </c>
      <c r="E27" s="128">
        <f>Income!$CY$46</f>
        <v>5.825051779587221E-2</v>
      </c>
      <c r="F27" s="128">
        <f>Income!$DD$46</f>
        <v>-0.14684267332206632</v>
      </c>
      <c r="G27" s="128">
        <f>Income!$DI$46</f>
        <v>-0.2008498583569405</v>
      </c>
      <c r="H27" s="128">
        <f>Income!$DN$46</f>
        <v>0.12105855855855856</v>
      </c>
      <c r="I27" s="128">
        <f>Income!$DS$46</f>
        <v>0.12703357563170647</v>
      </c>
      <c r="J27" s="128">
        <f>Income!$DX$46</f>
        <v>0.14849886710252083</v>
      </c>
      <c r="K27" s="128">
        <f>Income!$EC$46</f>
        <v>0.16380352925775257</v>
      </c>
      <c r="L27" s="128">
        <f>Income!$EH$46</f>
        <v>0.16782638511820086</v>
      </c>
      <c r="M27" s="128">
        <f>Income!$EM$46</f>
        <v>0.17290721651816632</v>
      </c>
      <c r="N27" s="128">
        <f>Income!$ER$46</f>
        <v>0.17887589399729636</v>
      </c>
      <c r="O27"/>
      <c r="Q27" s="110"/>
    </row>
    <row r="28" spans="1:23" s="99" customFormat="1" ht="12" customHeight="1">
      <c r="A28" s="127"/>
      <c r="B28" s="126" t="s">
        <v>794</v>
      </c>
      <c r="C28" s="128"/>
      <c r="D28" s="128"/>
      <c r="E28" s="128">
        <f>'Cash Flow'!$CY$57</f>
        <v>9.8363869123407138E-2</v>
      </c>
      <c r="F28" s="128">
        <f>'Cash Flow'!$DD$57</f>
        <v>-3.3298308673210632E-2</v>
      </c>
      <c r="G28" s="128">
        <f>'Cash Flow'!$DI$57</f>
        <v>0.1281869688385269</v>
      </c>
      <c r="H28" s="128">
        <f>'Cash Flow'!$DN$57</f>
        <v>0.17984234234234234</v>
      </c>
      <c r="I28" s="128">
        <f>'Cash Flow'!$DS$57</f>
        <v>0.17367601246105918</v>
      </c>
      <c r="J28" s="128">
        <f>'Cash Flow'!$DX$57</f>
        <v>0.19344305176271998</v>
      </c>
      <c r="K28" s="128">
        <f>'Cash Flow'!$EC$57</f>
        <v>0.19605241870131701</v>
      </c>
      <c r="L28" s="128">
        <f>'Cash Flow'!$EH$57</f>
        <v>0.19351767799443115</v>
      </c>
      <c r="M28" s="128">
        <f>'Cash Flow'!$EM$57</f>
        <v>0.19446530193359157</v>
      </c>
      <c r="N28" s="128">
        <f>'Cash Flow'!$ER$57</f>
        <v>0.19807665862501816</v>
      </c>
      <c r="O28"/>
      <c r="Q28" s="110"/>
    </row>
    <row r="29" spans="1:23" s="99" customFormat="1" ht="12" customHeight="1">
      <c r="A29" s="127"/>
      <c r="B29" s="126" t="s">
        <v>481</v>
      </c>
      <c r="C29" s="128">
        <f>Income!CO64</f>
        <v>-7.9105395923007152E-2</v>
      </c>
      <c r="D29" s="128">
        <f>Income!CT64</f>
        <v>0.10906638730072904</v>
      </c>
      <c r="E29" s="128">
        <f>Income!$CY$64</f>
        <v>0.63199262943162171</v>
      </c>
      <c r="F29" s="128">
        <f>Income!$DD$64</f>
        <v>-0.61794679299354405</v>
      </c>
      <c r="G29" s="128">
        <f>Income!$DI$64</f>
        <v>1.8696883852691217E-2</v>
      </c>
      <c r="H29" s="128">
        <f>Income!$DN$64</f>
        <v>0.22736486486486487</v>
      </c>
      <c r="I29" s="128">
        <f>Income!$DS$64</f>
        <v>0.10652474904811353</v>
      </c>
      <c r="J29" s="128">
        <f>Income!$DX$64</f>
        <v>0.1422928990183738</v>
      </c>
      <c r="K29" s="128">
        <f>Income!$EC$64</f>
        <v>0.14688792068021977</v>
      </c>
      <c r="L29" s="128">
        <f>Income!$EH$64</f>
        <v>0.1508894132783925</v>
      </c>
      <c r="M29" s="128">
        <f>Income!$EM$64</f>
        <v>0.15546814660871297</v>
      </c>
      <c r="N29" s="128">
        <f>Income!$ER$64</f>
        <v>0.1606118601719875</v>
      </c>
      <c r="O29"/>
      <c r="P29"/>
      <c r="Q29"/>
      <c r="R29"/>
      <c r="S29"/>
      <c r="T29"/>
      <c r="U29"/>
      <c r="W29"/>
    </row>
    <row r="30" spans="1:23" s="99" customFormat="1" ht="12" customHeight="1">
      <c r="A30" s="127"/>
      <c r="B30" s="1611" t="s">
        <v>138</v>
      </c>
      <c r="C30" s="1612" t="str">
        <f>C5</f>
        <v>2019A</v>
      </c>
      <c r="D30" s="1612" t="str">
        <f>D5</f>
        <v>2020A</v>
      </c>
      <c r="E30" s="1612" t="str">
        <f>E5</f>
        <v>2021A</v>
      </c>
      <c r="F30" s="1612" t="str">
        <f t="shared" ref="F30:N30" si="8">F$5</f>
        <v>2022A</v>
      </c>
      <c r="G30" s="1612" t="str">
        <f t="shared" si="8"/>
        <v>2023A</v>
      </c>
      <c r="H30" s="1612" t="str">
        <f t="shared" si="8"/>
        <v>2024A</v>
      </c>
      <c r="I30" s="1612" t="str">
        <f t="shared" si="8"/>
        <v>2025A</v>
      </c>
      <c r="J30" s="1612" t="str">
        <f t="shared" si="8"/>
        <v>2026E</v>
      </c>
      <c r="K30" s="1613" t="str">
        <f t="shared" si="8"/>
        <v>2027E</v>
      </c>
      <c r="L30" s="1613" t="str">
        <f t="shared" si="8"/>
        <v>2028E</v>
      </c>
      <c r="M30" s="1613" t="str">
        <f t="shared" si="8"/>
        <v>2029E</v>
      </c>
      <c r="N30" s="1613" t="str">
        <f t="shared" si="8"/>
        <v>2030E</v>
      </c>
      <c r="O30"/>
      <c r="Q30" s="110"/>
    </row>
    <row r="31" spans="1:23" s="99" customFormat="1" ht="12" customHeight="1">
      <c r="A31" s="127"/>
      <c r="B31" s="118" t="s">
        <v>337</v>
      </c>
      <c r="C31" s="119"/>
      <c r="D31" s="91">
        <f>D12/C12-1</f>
        <v>0.9558417543969091</v>
      </c>
      <c r="E31" s="91">
        <f t="shared" ref="E31:K31" si="9">ABS(E12/D12)-1</f>
        <v>0.4665161228507988</v>
      </c>
      <c r="F31" s="91">
        <f t="shared" si="9"/>
        <v>0.12481826288589826</v>
      </c>
      <c r="G31" s="91">
        <f t="shared" si="9"/>
        <v>0.19606993902175129</v>
      </c>
      <c r="H31" s="91">
        <f t="shared" si="9"/>
        <v>0.23884709123662184</v>
      </c>
      <c r="I31" s="91">
        <f t="shared" si="9"/>
        <v>0.29481139337952267</v>
      </c>
      <c r="J31" s="91">
        <f t="shared" si="9"/>
        <v>0.30979938748708524</v>
      </c>
      <c r="K31" s="91">
        <f t="shared" si="9"/>
        <v>0.25753725711812003</v>
      </c>
      <c r="L31" s="91">
        <f t="shared" ref="L31" si="10">ABS(L12/K12)-1</f>
        <v>0.19999999999999996</v>
      </c>
      <c r="M31" s="91">
        <f t="shared" ref="M31" si="11">ABS(M12/L12)-1</f>
        <v>0.17500000000000004</v>
      </c>
      <c r="N31" s="91">
        <f t="shared" ref="N31" si="12">ABS(N12/M12)-1</f>
        <v>0.16000000000000014</v>
      </c>
      <c r="O31"/>
      <c r="Q31" s="110"/>
    </row>
    <row r="32" spans="1:23" s="99" customFormat="1" ht="12" customHeight="1">
      <c r="A32" s="127"/>
      <c r="B32" s="126" t="s">
        <v>26</v>
      </c>
      <c r="C32" s="130"/>
      <c r="D32" s="130">
        <f>D14/C14-1</f>
        <v>0.856254669164914</v>
      </c>
      <c r="E32" s="130">
        <f t="shared" ref="E32:K32" si="13">ABS(E14/D14)-1</f>
        <v>0.57428577182862139</v>
      </c>
      <c r="F32" s="130">
        <f t="shared" si="13"/>
        <v>0.21423218764853047</v>
      </c>
      <c r="G32" s="130">
        <f t="shared" si="13"/>
        <v>0.26074490380480664</v>
      </c>
      <c r="H32" s="130">
        <f t="shared" si="13"/>
        <v>0.25779036827195467</v>
      </c>
      <c r="I32" s="130">
        <f t="shared" si="13"/>
        <v>0.30135135135135127</v>
      </c>
      <c r="J32" s="130">
        <f t="shared" si="13"/>
        <v>0.31634523397107017</v>
      </c>
      <c r="K32" s="130">
        <f t="shared" si="13"/>
        <v>0.25786715559515483</v>
      </c>
      <c r="L32" s="130">
        <f t="shared" ref="L32" si="14">ABS(L14/K14)-1</f>
        <v>0.20711689751887263</v>
      </c>
      <c r="M32" s="130">
        <f t="shared" ref="M32" si="15">ABS(M14/L14)-1</f>
        <v>0.18539712867798808</v>
      </c>
      <c r="N32" s="130">
        <f t="shared" ref="N32" si="16">ABS(N14/M14)-1</f>
        <v>0.1732072321725342</v>
      </c>
      <c r="O32"/>
      <c r="Q32" s="110"/>
    </row>
    <row r="33" spans="1:55" s="99" customFormat="1" ht="12" customHeight="1">
      <c r="A33" s="127"/>
      <c r="B33" s="126" t="s">
        <v>2</v>
      </c>
      <c r="C33" s="130"/>
      <c r="D33" s="130">
        <f>D16/C16-1</f>
        <v>-2.5186642147569582</v>
      </c>
      <c r="E33" s="130">
        <f t="shared" ref="E33:K34" si="17">ABS(E16/D16)-1</f>
        <v>1.0906605581319866</v>
      </c>
      <c r="F33" s="130">
        <f t="shared" si="17"/>
        <v>1.1847344835513245</v>
      </c>
      <c r="G33" s="130">
        <f t="shared" si="17"/>
        <v>0.84345273641358998</v>
      </c>
      <c r="H33" s="928" t="s">
        <v>572</v>
      </c>
      <c r="I33" s="130">
        <f t="shared" si="17"/>
        <v>0.3492349234923493</v>
      </c>
      <c r="J33" s="130">
        <f t="shared" si="17"/>
        <v>0.52578212792628398</v>
      </c>
      <c r="K33" s="130">
        <f t="shared" si="17"/>
        <v>0.38155925361877729</v>
      </c>
      <c r="L33" s="130">
        <f t="shared" ref="L33:L34" si="18">ABS(L16/K16)-1</f>
        <v>0.23547389675780939</v>
      </c>
      <c r="M33" s="130">
        <f t="shared" ref="M33:M34" si="19">ABS(M16/L16)-1</f>
        <v>0.2202711410852225</v>
      </c>
      <c r="N33" s="130">
        <f t="shared" ref="N33:N34" si="20">ABS(N16/M16)-1</f>
        <v>0.21287165893141946</v>
      </c>
      <c r="O33"/>
      <c r="Q33" s="110"/>
    </row>
    <row r="34" spans="1:55" s="99" customFormat="1" ht="12" customHeight="1">
      <c r="A34" s="127"/>
      <c r="B34" s="126" t="s">
        <v>88</v>
      </c>
      <c r="C34" s="130"/>
      <c r="D34" s="130">
        <f>D17/C17-1</f>
        <v>5.8214180476237223</v>
      </c>
      <c r="E34" s="130">
        <f t="shared" si="17"/>
        <v>0.56775242624582933</v>
      </c>
      <c r="F34" s="130">
        <f t="shared" si="17"/>
        <v>-0.9437420676735282</v>
      </c>
      <c r="G34" s="130">
        <f t="shared" si="17"/>
        <v>22.042656902301815</v>
      </c>
      <c r="H34" s="130">
        <f t="shared" ca="1" si="17"/>
        <v>0.52631578947368429</v>
      </c>
      <c r="I34" s="130">
        <f t="shared" ca="1" si="17"/>
        <v>0.323607427055703</v>
      </c>
      <c r="J34" s="130">
        <f t="shared" ca="1" si="17"/>
        <v>0.45900369800361962</v>
      </c>
      <c r="K34" s="130">
        <f t="shared" si="17"/>
        <v>0.32770346176704401</v>
      </c>
      <c r="L34" s="130">
        <f t="shared" si="18"/>
        <v>0.17909537395466923</v>
      </c>
      <c r="M34" s="130">
        <f t="shared" si="19"/>
        <v>0.21403451809158125</v>
      </c>
      <c r="N34" s="130">
        <f t="shared" si="20"/>
        <v>0.20640616986766336</v>
      </c>
      <c r="O34"/>
      <c r="Q34" s="110"/>
    </row>
    <row r="35" spans="1:55" s="99" customFormat="1" ht="12" customHeight="1">
      <c r="A35" s="127"/>
      <c r="B35" s="126" t="s">
        <v>126</v>
      </c>
      <c r="C35" s="130"/>
      <c r="D35" s="130">
        <f>D19/C19-1</f>
        <v>-1.6387170821909076</v>
      </c>
      <c r="E35" s="130">
        <f>ABS(E19/D19)-1</f>
        <v>1.9798564662296316</v>
      </c>
      <c r="F35" s="130">
        <f>ABS(F19/E19)-1</f>
        <v>2.0609358888934373</v>
      </c>
      <c r="G35" s="130">
        <f>ABS(G19/F19)-1</f>
        <v>0.72443356978422746</v>
      </c>
      <c r="H35" s="928" t="s">
        <v>572</v>
      </c>
      <c r="I35" s="130">
        <f>ABS(I19/H19)-1</f>
        <v>0.36558139534883716</v>
      </c>
      <c r="J35" s="130">
        <f>ABS(J19/I19)-1</f>
        <v>0.53877252520409735</v>
      </c>
      <c r="K35" s="130">
        <f>ABS(K19/J19)-1</f>
        <v>0.38750606953552502</v>
      </c>
      <c r="L35" s="130">
        <f t="shared" ref="L35:N35" si="21">ABS(L19/K19)-1</f>
        <v>0.23676251814398563</v>
      </c>
      <c r="M35" s="130">
        <f t="shared" si="21"/>
        <v>0.22128423277412956</v>
      </c>
      <c r="N35" s="130">
        <f t="shared" si="21"/>
        <v>0.21370580548850082</v>
      </c>
      <c r="O35"/>
      <c r="Q35" s="110"/>
    </row>
    <row r="36" spans="1:55" s="99" customFormat="1" ht="12" customHeight="1">
      <c r="A36" s="127"/>
      <c r="B36" s="126" t="s">
        <v>165</v>
      </c>
      <c r="C36" s="130" t="str">
        <f>IFERROR(#REF!/#REF!-1,"")</f>
        <v/>
      </c>
      <c r="D36" s="130">
        <f>+D21/C21-1</f>
        <v>10.884121174539068</v>
      </c>
      <c r="E36" s="130">
        <f t="shared" ref="E36:K36" si="22">ABS(+E21/D21)-1</f>
        <v>0.60727382188588352</v>
      </c>
      <c r="F36" s="130">
        <f t="shared" si="22"/>
        <v>-0.99414537859717256</v>
      </c>
      <c r="G36" s="130">
        <f t="shared" si="22"/>
        <v>21.963974419848093</v>
      </c>
      <c r="H36" s="130">
        <f t="shared" ca="1" si="22"/>
        <v>0.45814080496655918</v>
      </c>
      <c r="I36" s="130">
        <f t="shared" ca="1" si="22"/>
        <v>0.13387537321569432</v>
      </c>
      <c r="J36" s="130">
        <f t="shared" ca="1" si="22"/>
        <v>0.39623701771237885</v>
      </c>
      <c r="K36" s="130">
        <f t="shared" si="22"/>
        <v>0.32112386679532223</v>
      </c>
      <c r="L36" s="130">
        <f t="shared" ref="L36" si="23">ABS(+L21/K21)-1</f>
        <v>0.15570079260528757</v>
      </c>
      <c r="M36" s="130">
        <f t="shared" ref="M36" si="24">ABS(+M21/L21)-1</f>
        <v>0.20356965461083965</v>
      </c>
      <c r="N36" s="130">
        <f t="shared" ref="N36" si="25">ABS(+N21/M21)-1</f>
        <v>0.19441001972481287</v>
      </c>
      <c r="O36"/>
      <c r="Q36" s="110"/>
      <c r="R36" s="340"/>
    </row>
    <row r="37" spans="1:55" s="99" customFormat="1" ht="12" customHeight="1">
      <c r="A37" s="127"/>
      <c r="B37" s="126" t="s">
        <v>566</v>
      </c>
      <c r="C37" s="130"/>
      <c r="D37" s="130"/>
      <c r="E37" s="130">
        <f t="shared" ref="E37:K37" si="26">ABS(+E20/D20)-1</f>
        <v>7.8450374633769204</v>
      </c>
      <c r="F37" s="130">
        <f t="shared" si="26"/>
        <v>-0.88104188188338961</v>
      </c>
      <c r="G37" s="130">
        <f t="shared" si="26"/>
        <v>-0.96271537152213804</v>
      </c>
      <c r="H37" s="130">
        <f t="shared" si="26"/>
        <v>14.259897012742135</v>
      </c>
      <c r="I37" s="130">
        <f t="shared" si="26"/>
        <v>-0.39397128700196815</v>
      </c>
      <c r="J37" s="130">
        <f t="shared" si="26"/>
        <v>0.76542373533000174</v>
      </c>
      <c r="K37" s="130">
        <f t="shared" si="26"/>
        <v>0.29053188659463069</v>
      </c>
      <c r="L37" s="130">
        <f t="shared" ref="L37" si="27">ABS(+L20/K20)-1</f>
        <v>0.23060123708059788</v>
      </c>
      <c r="M37" s="130">
        <f t="shared" ref="M37" si="28">ABS(+M20/L20)-1</f>
        <v>0.2121791507721924</v>
      </c>
      <c r="N37" s="130">
        <f t="shared" ref="N37" si="29">ABS(+N20/M20)-1</f>
        <v>0.20297275692200367</v>
      </c>
      <c r="O37"/>
      <c r="Q37" s="110"/>
      <c r="R37" s="340"/>
    </row>
    <row r="38" spans="1:55" s="99" customFormat="1" ht="12" customHeight="1">
      <c r="A38" s="127"/>
      <c r="B38" s="118" t="s">
        <v>21</v>
      </c>
      <c r="C38" s="130" t="str">
        <f>IFERROR(C23/#REF!-1,"")</f>
        <v/>
      </c>
      <c r="D38" s="130" t="str">
        <f>IFERROR(#REF!/C23-1,"")</f>
        <v/>
      </c>
      <c r="E38" s="130">
        <f t="shared" ref="E38:K38" si="30">ABS(E23/D23)-1</f>
        <v>0.14776381729298826</v>
      </c>
      <c r="F38" s="130">
        <f t="shared" si="30"/>
        <v>-0.95881476129668242</v>
      </c>
      <c r="G38" s="130">
        <f t="shared" si="30"/>
        <v>3.7438765160711771</v>
      </c>
      <c r="H38" s="130">
        <f t="shared" si="30"/>
        <v>0.76053860144871965</v>
      </c>
      <c r="I38" s="130">
        <f t="shared" si="30"/>
        <v>0.24914807612305867</v>
      </c>
      <c r="J38" s="130">
        <f t="shared" si="30"/>
        <v>0.47207368424831708</v>
      </c>
      <c r="K38" s="130">
        <f t="shared" si="30"/>
        <v>0.26702432764914485</v>
      </c>
      <c r="L38" s="130">
        <f t="shared" ref="L38" si="31">ABS(L23/K23)-1</f>
        <v>0.18247808413298916</v>
      </c>
      <c r="M38" s="130">
        <f t="shared" ref="M38" si="32">ABS(M23/L23)-1</f>
        <v>0.18223996541312837</v>
      </c>
      <c r="N38" s="130">
        <f t="shared" ref="N38" si="33">ABS(N23/M23)-1</f>
        <v>0.18607125415291903</v>
      </c>
      <c r="O38"/>
      <c r="Q38" s="110"/>
    </row>
    <row r="39" spans="1:55" ht="12" customHeight="1">
      <c r="B39" s="1611" t="s">
        <v>93</v>
      </c>
      <c r="C39" s="1612" t="str">
        <f>C11</f>
        <v>2019A</v>
      </c>
      <c r="D39" s="1612" t="str">
        <f>D11</f>
        <v>2020A</v>
      </c>
      <c r="E39" s="1612" t="str">
        <f>E11</f>
        <v>2021A</v>
      </c>
      <c r="F39" s="1612" t="str">
        <f t="shared" ref="F39:N39" si="34">F$5</f>
        <v>2022A</v>
      </c>
      <c r="G39" s="1612" t="str">
        <f t="shared" si="34"/>
        <v>2023A</v>
      </c>
      <c r="H39" s="1612" t="str">
        <f t="shared" si="34"/>
        <v>2024A</v>
      </c>
      <c r="I39" s="1612" t="str">
        <f t="shared" si="34"/>
        <v>2025A</v>
      </c>
      <c r="J39" s="1612" t="str">
        <f t="shared" si="34"/>
        <v>2026E</v>
      </c>
      <c r="K39" s="1613" t="str">
        <f t="shared" si="34"/>
        <v>2027E</v>
      </c>
      <c r="L39" s="1613" t="str">
        <f t="shared" si="34"/>
        <v>2028E</v>
      </c>
      <c r="M39" s="1613" t="str">
        <f t="shared" si="34"/>
        <v>2029E</v>
      </c>
      <c r="N39" s="1613" t="str">
        <f t="shared" si="34"/>
        <v>2030E</v>
      </c>
      <c r="O39"/>
      <c r="P39" s="94"/>
      <c r="Q39" s="131"/>
      <c r="R39" s="103"/>
      <c r="S39" s="102"/>
      <c r="T39" s="102"/>
      <c r="U39" s="102"/>
      <c r="V39" s="102"/>
      <c r="W39" s="102"/>
      <c r="X39" s="102"/>
      <c r="AG39" s="102"/>
      <c r="AH39" s="102"/>
      <c r="AI39" s="103"/>
      <c r="AJ39" s="102"/>
      <c r="AK39" s="102"/>
      <c r="AL39" s="102"/>
      <c r="AM39" s="102"/>
      <c r="AN39" s="103"/>
      <c r="AO39" s="102"/>
      <c r="AP39" s="102"/>
      <c r="AQ39" s="102"/>
      <c r="AR39" s="102"/>
      <c r="AS39" s="103"/>
      <c r="AT39" s="102"/>
      <c r="AU39" s="102"/>
      <c r="AV39" s="102"/>
      <c r="AW39" s="102"/>
      <c r="AX39" s="103"/>
      <c r="AY39" s="102"/>
      <c r="AZ39" s="102"/>
      <c r="BA39" s="102"/>
      <c r="BB39" s="102"/>
      <c r="BC39" s="103"/>
    </row>
    <row r="40" spans="1:55" ht="12" customHeight="1">
      <c r="B40" s="118" t="s">
        <v>571</v>
      </c>
      <c r="C40" s="697" t="str">
        <f>IFERROR(IF(OR((C9/C13)&gt;999,(C9/C13)&lt;0),"nm",(C9/C13)),"nm")</f>
        <v>nm</v>
      </c>
      <c r="D40" s="697" t="str">
        <f>IFERROR(IF(OR((D9/D13)&gt;999,(D9/D13)&lt;0),"nm",(D9/D13)),"nm")</f>
        <v>nm</v>
      </c>
      <c r="E40" s="697"/>
      <c r="F40" s="697">
        <f t="shared" ref="F40:K40" si="35">IFERROR(IF(OR((F10/F12)&gt;999,(F10/F12)&lt;0),"nm",(F10/F12)),"nm")</f>
        <v>0.94235788187542302</v>
      </c>
      <c r="G40" s="697">
        <f t="shared" si="35"/>
        <v>0.80715901394246048</v>
      </c>
      <c r="H40" s="697">
        <f t="shared" si="35"/>
        <v>0.64963774733812329</v>
      </c>
      <c r="I40" s="697">
        <f t="shared" si="35"/>
        <v>0.50467039736668007</v>
      </c>
      <c r="J40" s="697">
        <f t="shared" si="35"/>
        <v>0.38013753125559074</v>
      </c>
      <c r="K40" s="697">
        <f t="shared" si="35"/>
        <v>0.29872422621521438</v>
      </c>
      <c r="L40" s="697">
        <f t="shared" ref="L40:N40" si="36">IFERROR(IF(OR((L10/L12)&gt;999,(L10/L12)&lt;0),"nm",(L10/L12)),"nm")</f>
        <v>0.24551755605653264</v>
      </c>
      <c r="M40" s="697">
        <f t="shared" si="36"/>
        <v>0.20519679489939321</v>
      </c>
      <c r="N40" s="697">
        <f t="shared" si="36"/>
        <v>0.17277701068653695</v>
      </c>
      <c r="O40"/>
      <c r="P40" s="94"/>
      <c r="Q40" s="131"/>
      <c r="R40" s="103"/>
      <c r="S40" s="102"/>
      <c r="T40" s="102"/>
      <c r="U40" s="102"/>
      <c r="V40" s="102"/>
      <c r="W40" s="102"/>
      <c r="X40" s="102"/>
      <c r="AG40" s="102"/>
      <c r="AH40" s="102"/>
      <c r="AI40" s="103"/>
      <c r="AJ40" s="102"/>
      <c r="AK40" s="102"/>
      <c r="AL40" s="102"/>
      <c r="AM40" s="102"/>
      <c r="AN40" s="103"/>
      <c r="AO40" s="102"/>
      <c r="AP40" s="102"/>
      <c r="AQ40" s="102"/>
      <c r="AR40" s="102"/>
      <c r="AS40" s="103"/>
      <c r="AT40" s="102"/>
      <c r="AU40" s="102"/>
      <c r="AV40" s="102"/>
      <c r="AW40" s="102"/>
      <c r="AX40" s="103"/>
      <c r="AY40" s="102"/>
      <c r="AZ40" s="102"/>
      <c r="BA40" s="102"/>
      <c r="BB40" s="102"/>
      <c r="BC40" s="103"/>
    </row>
    <row r="41" spans="1:55" ht="12" customHeight="1">
      <c r="B41" s="94" t="s">
        <v>24</v>
      </c>
      <c r="C41" s="697">
        <f>IFERROR(IF(OR((C10/C14)&gt;999,(C10/C14)&lt;0),"nm",(C10/C14)),"nm")</f>
        <v>9.1150552727742777</v>
      </c>
      <c r="D41" s="697">
        <f>IFERROR(IF(OR((D10/D14)&gt;999,(D10/D14)&lt;0),"nm",(D10/D14)),"nm")</f>
        <v>5.5246494255956078</v>
      </c>
      <c r="E41" s="697"/>
      <c r="F41" s="697">
        <f t="shared" ref="F41:K41" si="37">IFERROR(IF(OR((F10/F14)&gt;999,(F10/F14)&lt;0),"nm",(F10/F14)),"nm")</f>
        <v>33.193708515621985</v>
      </c>
      <c r="G41" s="697">
        <f t="shared" si="37"/>
        <v>26.972944810817989</v>
      </c>
      <c r="H41" s="697">
        <f t="shared" si="37"/>
        <v>21.382080248113738</v>
      </c>
      <c r="I41" s="697">
        <f t="shared" si="37"/>
        <v>16.52716942279714</v>
      </c>
      <c r="J41" s="697">
        <f t="shared" si="37"/>
        <v>12.387006794514448</v>
      </c>
      <c r="K41" s="697">
        <f t="shared" si="37"/>
        <v>9.7315530436057536</v>
      </c>
      <c r="L41" s="697">
        <f t="shared" ref="L41:N41" si="38">IFERROR(IF(OR((L10/L14)&gt;999,(L10/L14)&lt;0),"nm",(L10/L14)),"nm")</f>
        <v>7.9510810121372897</v>
      </c>
      <c r="M41" s="697">
        <f t="shared" si="38"/>
        <v>6.5870080576572851</v>
      </c>
      <c r="N41" s="697">
        <f t="shared" si="38"/>
        <v>5.4838660137601138</v>
      </c>
      <c r="O41"/>
      <c r="P41" s="102"/>
      <c r="Q41" s="108"/>
      <c r="R41" s="103"/>
      <c r="S41" s="102"/>
      <c r="T41" s="102"/>
      <c r="U41" s="102"/>
      <c r="V41" s="102"/>
      <c r="W41" s="102"/>
      <c r="X41" s="102"/>
      <c r="AG41" s="102"/>
      <c r="AH41" s="102"/>
      <c r="AI41" s="103"/>
      <c r="AJ41" s="102"/>
      <c r="AK41" s="102"/>
      <c r="AL41" s="102"/>
      <c r="AM41" s="102"/>
      <c r="AN41" s="103"/>
      <c r="AO41" s="102"/>
      <c r="AP41" s="102"/>
      <c r="AQ41" s="102"/>
      <c r="AR41" s="102"/>
      <c r="AS41" s="103"/>
      <c r="AT41" s="102"/>
      <c r="AU41" s="102"/>
      <c r="AV41" s="102"/>
      <c r="AW41" s="102"/>
      <c r="AX41" s="103"/>
      <c r="AY41" s="102"/>
      <c r="AZ41" s="102"/>
      <c r="BA41" s="102"/>
      <c r="BB41" s="102"/>
      <c r="BC41" s="103"/>
    </row>
    <row r="42" spans="1:55" ht="12" customHeight="1">
      <c r="B42" s="94" t="s">
        <v>177</v>
      </c>
      <c r="C42" s="697">
        <f>IFERROR(IF(OR((C10/C17)&gt;999,(C10/C17)&lt;0),"nm",(C10/C17)),"nm")</f>
        <v>201.84845896417687</v>
      </c>
      <c r="D42" s="697">
        <f>IFERROR(IF(OR((D10/D17)&gt;999,(D10/D17)&lt;0),"nm",(D10/D17)),"nm")</f>
        <v>33.291529574563604</v>
      </c>
      <c r="E42" s="697"/>
      <c r="F42" s="697" t="str">
        <f t="shared" ref="F42:K42" si="39">IFERROR(IF(OR((F10/F17)&gt;999,(F10/F17)&lt;0),"nm",(F10/F17)),"nm")</f>
        <v>nm</v>
      </c>
      <c r="G42" s="697">
        <f t="shared" si="39"/>
        <v>192.74189308135121</v>
      </c>
      <c r="H42" s="697">
        <f t="shared" ca="1" si="39"/>
        <v>125.91039297297745</v>
      </c>
      <c r="I42" s="697">
        <f t="shared" ca="1" si="39"/>
        <v>95.685355636194274</v>
      </c>
      <c r="J42" s="697">
        <f t="shared" si="39"/>
        <v>64.703352678482503</v>
      </c>
      <c r="K42" s="697">
        <f t="shared" si="39"/>
        <v>48.158866089105835</v>
      </c>
      <c r="L42" s="697">
        <f t="shared" ref="L42:N42" si="40">IFERROR(IF(OR((L10/L17)&gt;999,(L10/L17)&lt;0),"nm",(L10/L17)),"nm")</f>
        <v>40.282894683257702</v>
      </c>
      <c r="M42" s="697">
        <f t="shared" si="40"/>
        <v>32.584834768160263</v>
      </c>
      <c r="N42" s="697">
        <f t="shared" si="40"/>
        <v>26.381248542245434</v>
      </c>
      <c r="O42"/>
      <c r="P42" s="102"/>
      <c r="Q42" s="108"/>
      <c r="R42" s="103"/>
      <c r="S42" s="102"/>
      <c r="T42" s="102"/>
      <c r="U42" s="102"/>
      <c r="V42" s="102"/>
      <c r="W42" s="102"/>
      <c r="X42" s="102"/>
      <c r="AG42" s="102"/>
      <c r="AH42" s="102"/>
      <c r="AI42" s="103"/>
      <c r="AJ42" s="102"/>
      <c r="AK42" s="102"/>
      <c r="AL42" s="102"/>
      <c r="AM42" s="102"/>
      <c r="AN42" s="103"/>
      <c r="AO42" s="102"/>
      <c r="AP42" s="102"/>
      <c r="AQ42" s="102"/>
      <c r="AR42" s="102"/>
      <c r="AS42" s="103"/>
      <c r="AT42" s="102"/>
      <c r="AU42" s="102"/>
      <c r="AV42" s="102"/>
      <c r="AW42" s="102"/>
      <c r="AX42" s="103"/>
      <c r="AY42" s="102"/>
      <c r="AZ42" s="102"/>
      <c r="BA42" s="102"/>
      <c r="BB42" s="102"/>
      <c r="BC42" s="103"/>
    </row>
    <row r="43" spans="1:55" ht="12" customHeight="1">
      <c r="B43" s="94" t="s">
        <v>792</v>
      </c>
      <c r="C43" s="697" t="str">
        <f>IFERROR(IF(OR((C10/C19)&gt;999,(C10/C19)&lt;0),"nm",(C10/C19)),"nm")</f>
        <v>nm</v>
      </c>
      <c r="D43" s="697">
        <f>IFERROR(IF(OR((D10/D19)&gt;999,(D10/D19)&lt;0),"nm",(D10/D19)),"nm")</f>
        <v>179.5215996188424</v>
      </c>
      <c r="E43" s="697"/>
      <c r="F43" s="697" t="str">
        <f t="shared" ref="F43:K43" si="41">IFERROR(IF(OR((F6/F21)&gt;999,(F6/F21)&lt;0),"nm",(F6/F21)),"nm")</f>
        <v>nm</v>
      </c>
      <c r="G43" s="697">
        <f t="shared" si="41"/>
        <v>170.77458887690071</v>
      </c>
      <c r="H43" s="697">
        <f t="shared" ca="1" si="41"/>
        <v>117.11803708889228</v>
      </c>
      <c r="I43" s="697">
        <f t="shared" ca="1" si="41"/>
        <v>103.29004391086039</v>
      </c>
      <c r="J43" s="697">
        <f t="shared" si="41"/>
        <v>73.977442655182401</v>
      </c>
      <c r="K43" s="697">
        <f t="shared" si="41"/>
        <v>55.99584150624046</v>
      </c>
      <c r="L43" s="697">
        <f t="shared" ref="L43:N43" si="42">IFERROR(IF(OR((L6/L21)&gt;999,(L6/L21)&lt;0),"nm",(L6/L21)),"nm")</f>
        <v>48.451850050227499</v>
      </c>
      <c r="M43" s="697">
        <f t="shared" si="42"/>
        <v>40.256789347097524</v>
      </c>
      <c r="N43" s="697">
        <f t="shared" si="42"/>
        <v>33.704329905380838</v>
      </c>
      <c r="O43"/>
      <c r="P43" s="102"/>
      <c r="Q43" s="108"/>
      <c r="R43" s="103"/>
      <c r="S43" s="102"/>
      <c r="T43" s="102"/>
      <c r="U43" s="102"/>
      <c r="V43" s="102"/>
      <c r="W43" s="102"/>
      <c r="X43" s="102"/>
      <c r="AG43" s="102"/>
      <c r="AH43" s="102"/>
      <c r="AI43" s="103"/>
      <c r="AJ43" s="102"/>
      <c r="AK43" s="102"/>
      <c r="AL43" s="102"/>
      <c r="AM43" s="102"/>
      <c r="AN43" s="103"/>
      <c r="AO43" s="102"/>
      <c r="AP43" s="102"/>
      <c r="AQ43" s="102"/>
      <c r="AR43" s="102"/>
      <c r="AS43" s="103"/>
      <c r="AT43" s="102"/>
      <c r="AU43" s="102"/>
      <c r="AV43" s="102"/>
      <c r="AW43" s="102"/>
      <c r="AX43" s="103"/>
      <c r="AY43" s="102"/>
      <c r="AZ43" s="102"/>
      <c r="BA43" s="102"/>
      <c r="BB43" s="102"/>
      <c r="BC43" s="103"/>
    </row>
    <row r="44" spans="1:55" ht="12" customHeight="1">
      <c r="B44" s="94" t="s">
        <v>791</v>
      </c>
      <c r="C44" s="697" t="str">
        <f>IFERROR(IF(OR((C6/#REF!)&gt;999,(C6/#REF!)&lt;0),"nm",(C6/#REF!)),"nm")</f>
        <v>nm</v>
      </c>
      <c r="D44" s="697" t="str">
        <f>IFERROR(IF(OR((D6/#REF!)&gt;999,(D6/#REF!)&lt;0),"nm",(D6/#REF!)),"nm")</f>
        <v>nm</v>
      </c>
      <c r="E44" s="697"/>
      <c r="F44" s="697" t="str">
        <f t="shared" ref="F44:K44" si="43">IFERROR(IF(OR((F6/F20)&gt;999,(F6/F20)&lt;0),"nm",(F6/F20)),"nm")</f>
        <v>nm</v>
      </c>
      <c r="G44" s="697" t="str">
        <f t="shared" si="43"/>
        <v>nm</v>
      </c>
      <c r="H44" s="697">
        <f t="shared" si="43"/>
        <v>94.784979001114408</v>
      </c>
      <c r="I44" s="697">
        <f t="shared" si="43"/>
        <v>156.40344585689991</v>
      </c>
      <c r="J44" s="697">
        <f t="shared" si="43"/>
        <v>88.59258133156581</v>
      </c>
      <c r="K44" s="697">
        <f t="shared" si="43"/>
        <v>68.648114976328088</v>
      </c>
      <c r="L44" s="697">
        <f t="shared" ref="L44:N44" si="44">IFERROR(IF(OR((L6/L20)&gt;999,(L6/L20)&lt;0),"nm",(L6/L20)),"nm")</f>
        <v>55.784207676553791</v>
      </c>
      <c r="M44" s="697">
        <f t="shared" si="44"/>
        <v>46.019771616281034</v>
      </c>
      <c r="N44" s="697">
        <f t="shared" si="44"/>
        <v>38.255040566363206</v>
      </c>
      <c r="O44"/>
      <c r="P44" s="102"/>
      <c r="Q44" s="108"/>
      <c r="R44" s="103"/>
      <c r="S44" s="102"/>
      <c r="T44" s="102"/>
      <c r="U44" s="102"/>
      <c r="V44" s="102"/>
      <c r="W44" s="102"/>
      <c r="X44" s="102"/>
      <c r="AG44" s="102"/>
      <c r="AH44" s="102"/>
      <c r="AI44" s="103"/>
      <c r="AJ44" s="102"/>
      <c r="AK44" s="102"/>
      <c r="AL44" s="102"/>
      <c r="AM44" s="102"/>
      <c r="AN44" s="103"/>
      <c r="AO44" s="102"/>
      <c r="AP44" s="102"/>
      <c r="AQ44" s="102"/>
      <c r="AR44" s="102"/>
      <c r="AS44" s="103"/>
      <c r="AT44" s="102"/>
      <c r="AU44" s="102"/>
      <c r="AV44" s="102"/>
      <c r="AW44" s="102"/>
      <c r="AX44" s="103"/>
      <c r="AY44" s="102"/>
      <c r="AZ44" s="102"/>
      <c r="BA44" s="102"/>
      <c r="BB44" s="102"/>
      <c r="BC44" s="103"/>
    </row>
    <row r="45" spans="1:55" ht="12" customHeight="1" thickBot="1">
      <c r="B45" s="94" t="s">
        <v>633</v>
      </c>
      <c r="C45" s="697" t="str">
        <f>IFERROR(IF(OR((C6/C23)&gt;999,(C6/C23)&lt;0),"nm",(C6/C23)),"nm")</f>
        <v>nm</v>
      </c>
      <c r="D45" s="697" t="str">
        <f>IFERROR(IF(OR((D6/#REF!)&gt;999,(D6/#REF!)&lt;0),"nm",(D6/#REF!)),"nm")</f>
        <v>nm</v>
      </c>
      <c r="E45" s="697"/>
      <c r="F45" s="697" t="str">
        <f t="shared" ref="F45:K45" si="45">IFERROR(IF(OR((F23/F6)&gt;999,(F23/F6)&lt;0),"nm",(F23/F6)),"nm")</f>
        <v>nm</v>
      </c>
      <c r="G45" s="1096">
        <f t="shared" si="45"/>
        <v>4.7400565961336211E-3</v>
      </c>
      <c r="H45" s="1096">
        <f t="shared" si="45"/>
        <v>8.3450526105448633E-3</v>
      </c>
      <c r="I45" s="1096">
        <f t="shared" si="45"/>
        <v>1.0424206413607827E-2</v>
      </c>
      <c r="J45" s="1096">
        <f t="shared" si="45"/>
        <v>1.5345199940644609E-2</v>
      </c>
      <c r="K45" s="1096">
        <f t="shared" si="45"/>
        <v>1.9442741637436933E-2</v>
      </c>
      <c r="L45" s="1096">
        <f t="shared" ref="L45:N45" si="46">IFERROR(IF(OR((L23/L6)&gt;999,(L23/L6)&lt;0),"nm",(L23/L6)),"nm")</f>
        <v>2.2990615881729123E-2</v>
      </c>
      <c r="M45" s="1096">
        <f t="shared" si="46"/>
        <v>2.7180424924841955E-2</v>
      </c>
      <c r="N45" s="1096">
        <f t="shared" si="46"/>
        <v>3.2237920679016561E-2</v>
      </c>
      <c r="O45"/>
      <c r="P45" s="102"/>
      <c r="Q45" s="108"/>
      <c r="R45" s="103"/>
      <c r="S45" s="102"/>
      <c r="T45" s="102"/>
      <c r="U45" s="102"/>
      <c r="V45" s="102"/>
      <c r="W45" s="102"/>
      <c r="X45" s="102"/>
      <c r="AG45" s="102"/>
      <c r="AH45" s="102"/>
      <c r="AI45" s="103"/>
      <c r="AJ45" s="102"/>
      <c r="AK45" s="102"/>
      <c r="AL45" s="102"/>
      <c r="AM45" s="102"/>
      <c r="AN45" s="103"/>
      <c r="AO45" s="102"/>
      <c r="AP45" s="102"/>
      <c r="AQ45" s="102"/>
      <c r="AR45" s="102"/>
      <c r="AS45" s="103"/>
      <c r="AT45" s="102"/>
      <c r="AU45" s="102"/>
      <c r="AV45" s="102"/>
      <c r="AW45" s="102"/>
      <c r="AX45" s="103"/>
      <c r="AY45" s="102"/>
      <c r="AZ45" s="102"/>
      <c r="BA45" s="102"/>
      <c r="BB45" s="102"/>
      <c r="BC45" s="103"/>
    </row>
    <row r="46" spans="1:55" ht="12" customHeight="1">
      <c r="B46" s="1615" t="s">
        <v>834</v>
      </c>
      <c r="C46" s="1616"/>
      <c r="D46" s="1616"/>
      <c r="E46" s="1616"/>
      <c r="F46" s="1616"/>
      <c r="G46" s="1617" t="s">
        <v>24</v>
      </c>
      <c r="H46" s="1618" t="s">
        <v>177</v>
      </c>
      <c r="I46" s="1619"/>
      <c r="J46" s="1618" t="s">
        <v>86</v>
      </c>
      <c r="K46" s="1619"/>
      <c r="L46" s="1620" t="s">
        <v>87</v>
      </c>
      <c r="M46" s="1619"/>
      <c r="N46"/>
      <c r="O46"/>
      <c r="P46" s="102"/>
      <c r="Q46" s="108"/>
      <c r="R46" s="103"/>
      <c r="S46" s="102"/>
      <c r="T46" s="102"/>
      <c r="U46" s="102"/>
      <c r="V46" s="102"/>
    </row>
    <row r="47" spans="1:55" ht="12" customHeight="1">
      <c r="B47" s="134" t="s">
        <v>3</v>
      </c>
      <c r="G47" s="135">
        <f>K14</f>
        <v>19134.27960159217</v>
      </c>
      <c r="H47" s="136" t="s">
        <v>161</v>
      </c>
      <c r="I47" s="135">
        <f>K17</f>
        <v>3866.5000240983682</v>
      </c>
      <c r="J47" s="895"/>
      <c r="K47" s="896"/>
      <c r="L47" s="137" t="s">
        <v>89</v>
      </c>
      <c r="M47" s="138"/>
      <c r="N47"/>
      <c r="O47"/>
      <c r="P47" s="102"/>
      <c r="Q47" s="108"/>
      <c r="R47" s="103"/>
      <c r="S47" s="102"/>
      <c r="T47" s="102"/>
      <c r="U47" s="102"/>
      <c r="V47" s="102"/>
    </row>
    <row r="48" spans="1:55" ht="12" customHeight="1">
      <c r="B48" s="139" t="s">
        <v>90</v>
      </c>
      <c r="G48" s="953">
        <v>9.5</v>
      </c>
      <c r="H48" s="140" t="s">
        <v>90</v>
      </c>
      <c r="I48" s="699">
        <v>50</v>
      </c>
      <c r="J48" s="136" t="s">
        <v>91</v>
      </c>
      <c r="K48" s="698">
        <f>DCF!N12</f>
        <v>20.04</v>
      </c>
      <c r="L48" s="142" t="s">
        <v>24</v>
      </c>
      <c r="M48" s="700">
        <f>((M52*K7)-K9)/K14</f>
        <v>9.5417905052217158</v>
      </c>
      <c r="N48"/>
      <c r="O48"/>
      <c r="P48" s="102"/>
      <c r="Q48" s="108"/>
      <c r="R48" s="103"/>
      <c r="S48" s="102"/>
      <c r="T48" s="102"/>
      <c r="U48" s="102"/>
      <c r="V48" s="102"/>
    </row>
    <row r="49" spans="2:22" ht="12" customHeight="1">
      <c r="B49" s="134" t="s">
        <v>92</v>
      </c>
      <c r="G49" s="135">
        <f>G47*$G48</f>
        <v>181775.65621512561</v>
      </c>
      <c r="H49" s="136" t="s">
        <v>92</v>
      </c>
      <c r="I49" s="135">
        <f>I47*$I48</f>
        <v>193325.0012049184</v>
      </c>
      <c r="J49" s="141" t="s">
        <v>62</v>
      </c>
      <c r="K49" s="598">
        <f>DCF!J17</f>
        <v>9.8689618340667237E-2</v>
      </c>
      <c r="L49" s="142" t="s">
        <v>177</v>
      </c>
      <c r="M49" s="700">
        <f>((M52*K7)-K9)/K17</f>
        <v>47.219781789424552</v>
      </c>
      <c r="N49"/>
      <c r="O49"/>
      <c r="P49" s="102"/>
      <c r="Q49" s="108"/>
      <c r="R49" s="103"/>
      <c r="S49" s="102"/>
      <c r="T49" s="102"/>
      <c r="U49" s="102"/>
      <c r="V49" s="102"/>
    </row>
    <row r="50" spans="2:22" ht="12" customHeight="1">
      <c r="B50" s="139" t="s">
        <v>19</v>
      </c>
      <c r="G50" s="144">
        <f>K9</f>
        <v>6735.7605411722161</v>
      </c>
      <c r="H50" s="140" t="s">
        <v>12</v>
      </c>
      <c r="I50" s="144">
        <f>K9</f>
        <v>6735.7605411722161</v>
      </c>
      <c r="J50" s="143" t="s">
        <v>565</v>
      </c>
      <c r="K50" s="897">
        <f>DCF!D21</f>
        <v>178262.10872114252</v>
      </c>
      <c r="L50" s="142" t="s">
        <v>128</v>
      </c>
      <c r="M50" s="599">
        <f>K23/M52</f>
        <v>1.9815651734363976E-2</v>
      </c>
      <c r="N50"/>
      <c r="O50"/>
      <c r="P50" s="102"/>
      <c r="Q50" s="108"/>
      <c r="R50" s="103"/>
      <c r="S50" s="102"/>
      <c r="T50" s="102"/>
      <c r="U50" s="102"/>
      <c r="V50" s="102"/>
    </row>
    <row r="51" spans="2:22" ht="12" customHeight="1" thickBot="1">
      <c r="B51" s="134" t="s">
        <v>56</v>
      </c>
      <c r="G51" s="135">
        <f>G49+G50</f>
        <v>188511.41675629781</v>
      </c>
      <c r="H51" s="136" t="s">
        <v>56</v>
      </c>
      <c r="I51" s="135">
        <f>I49+I50</f>
        <v>200060.7617460906</v>
      </c>
      <c r="J51" s="145"/>
      <c r="K51" s="135"/>
      <c r="L51" s="120" t="s">
        <v>793</v>
      </c>
      <c r="M51" s="700">
        <f>K43/K36/100</f>
        <v>1.7437458655768823</v>
      </c>
      <c r="N51"/>
      <c r="O51"/>
      <c r="P51" s="102"/>
      <c r="Q51" s="108"/>
      <c r="R51" s="103"/>
      <c r="S51" s="102"/>
      <c r="T51" s="102"/>
      <c r="U51" s="102"/>
      <c r="V51" s="102"/>
    </row>
    <row r="52" spans="2:22" ht="12" customHeight="1">
      <c r="B52" s="146" t="s">
        <v>57</v>
      </c>
      <c r="G52" s="1093">
        <f>G51/K7</f>
        <v>143.99077201409898</v>
      </c>
      <c r="H52" s="147"/>
      <c r="I52" s="1093">
        <f>I51/K7</f>
        <v>152.81251411307915</v>
      </c>
      <c r="J52" s="147"/>
      <c r="K52" s="1095">
        <f>DCF!N17</f>
        <v>137.00137806888017</v>
      </c>
      <c r="L52" s="148"/>
      <c r="M52" s="1091">
        <f>AVERAGE(K52,I52,G52)</f>
        <v>144.60155473201942</v>
      </c>
      <c r="N52"/>
      <c r="O52"/>
      <c r="P52" s="102"/>
      <c r="Q52" s="108"/>
      <c r="R52" s="103"/>
      <c r="S52" s="102"/>
      <c r="T52" s="102"/>
      <c r="U52" s="102"/>
      <c r="V52" s="102"/>
    </row>
    <row r="53" spans="2:22" ht="12" customHeight="1" thickBot="1">
      <c r="B53" s="892" t="s">
        <v>14</v>
      </c>
      <c r="G53" s="1094">
        <f>(G52/K6)-1</f>
        <v>-2.2963379039192655E-2</v>
      </c>
      <c r="H53" s="893"/>
      <c r="I53" s="1094">
        <f>(I52/K6)-1</f>
        <v>3.6895770063302136E-2</v>
      </c>
      <c r="J53" s="893"/>
      <c r="K53" s="1094">
        <f>(K52/K6)-1</f>
        <v>-7.0389292153484884E-2</v>
      </c>
      <c r="L53" s="894"/>
      <c r="M53" s="1092">
        <f>(M52/K6)-1</f>
        <v>-1.8818967043125245E-2</v>
      </c>
      <c r="N53"/>
      <c r="O53"/>
      <c r="P53" s="102"/>
      <c r="Q53" s="108"/>
      <c r="R53" s="103"/>
      <c r="S53" s="102"/>
      <c r="T53" s="102"/>
      <c r="U53" s="102"/>
      <c r="V53" s="102"/>
    </row>
    <row r="54" spans="2:22" ht="13.2">
      <c r="B54" s="94"/>
      <c r="G54" s="697"/>
      <c r="H54" s="697"/>
      <c r="I54" s="697"/>
      <c r="J54" s="697"/>
      <c r="K54" s="697"/>
      <c r="L54" s="697"/>
      <c r="M54" s="697"/>
      <c r="N54"/>
      <c r="O54"/>
      <c r="P54" s="102"/>
      <c r="Q54" s="108"/>
      <c r="R54" s="103"/>
      <c r="S54" s="102"/>
      <c r="T54" s="102"/>
      <c r="U54" s="102"/>
      <c r="V54" s="102"/>
    </row>
    <row r="55" spans="2:22" ht="12" customHeight="1">
      <c r="B55" s="1608" t="s">
        <v>371</v>
      </c>
      <c r="C55" s="1616"/>
      <c r="D55" s="1616"/>
      <c r="E55" s="1616"/>
      <c r="F55" s="1616"/>
      <c r="G55" s="1621">
        <f>H55-0.03</f>
        <v>0.26770346176704396</v>
      </c>
      <c r="H55" s="1621">
        <f>I55-0.03</f>
        <v>0.29770346176704399</v>
      </c>
      <c r="I55" s="1621">
        <f>K34</f>
        <v>0.32770346176704401</v>
      </c>
      <c r="J55" s="1621">
        <f>I55+0.03</f>
        <v>0.35770346176704404</v>
      </c>
      <c r="K55" s="1621">
        <f>J55+0.03</f>
        <v>0.38770346176704407</v>
      </c>
      <c r="L55" s="1622" t="s">
        <v>828</v>
      </c>
      <c r="M55" s="1622"/>
      <c r="N55"/>
      <c r="O55" s="149"/>
      <c r="P55" s="594"/>
    </row>
    <row r="56" spans="2:22" ht="12" customHeight="1">
      <c r="B56" s="701">
        <f>B57+5</f>
        <v>57.219781789424552</v>
      </c>
      <c r="G56" s="150">
        <f t="shared" ref="G56:K60" si="47">($B56*($J$17*(1+G$55))+$K$9)/$K$7</f>
        <v>166.49826231911163</v>
      </c>
      <c r="H56" s="150">
        <f t="shared" si="47"/>
        <v>170.31666199446005</v>
      </c>
      <c r="I56" s="150">
        <f t="shared" si="47"/>
        <v>174.13506166980844</v>
      </c>
      <c r="J56" s="150">
        <f t="shared" si="47"/>
        <v>177.95346134515685</v>
      </c>
      <c r="K56" s="150">
        <f t="shared" si="47"/>
        <v>181.77186102050527</v>
      </c>
      <c r="L56" s="151" t="s">
        <v>363</v>
      </c>
      <c r="N56"/>
      <c r="O56" s="152"/>
      <c r="P56" s="94"/>
    </row>
    <row r="57" spans="2:22" ht="12" customHeight="1" thickBot="1">
      <c r="B57" s="701">
        <f>B58+5</f>
        <v>52.219781789424552</v>
      </c>
      <c r="G57" s="150">
        <f t="shared" si="47"/>
        <v>152.39883045752427</v>
      </c>
      <c r="H57" s="150">
        <f t="shared" si="47"/>
        <v>155.88356932921909</v>
      </c>
      <c r="I57" s="150">
        <f t="shared" si="47"/>
        <v>159.3683082009139</v>
      </c>
      <c r="J57" s="150">
        <f t="shared" si="47"/>
        <v>162.85304707260875</v>
      </c>
      <c r="K57" s="150">
        <f t="shared" si="47"/>
        <v>166.33778594430359</v>
      </c>
      <c r="L57" s="153" t="s">
        <v>85</v>
      </c>
      <c r="M57" s="702">
        <f ca="1">+AVERAGE(OFFSET($G$87,0,0,COUNTA(G$87:G$1048576),1))</f>
        <v>20.683649287740622</v>
      </c>
      <c r="N57"/>
      <c r="O57" s="132"/>
      <c r="P57" s="94"/>
      <c r="R57" s="96"/>
    </row>
    <row r="58" spans="2:22" ht="12" customHeight="1" thickBot="1">
      <c r="B58" s="701">
        <f>M49</f>
        <v>47.219781789424552</v>
      </c>
      <c r="G58" s="150">
        <f t="shared" si="47"/>
        <v>138.29939859593691</v>
      </c>
      <c r="H58" s="150">
        <f t="shared" si="47"/>
        <v>141.45047666397815</v>
      </c>
      <c r="I58" s="154">
        <f>($B58*($J$17*(1+I$55))+$K$9)/$K$7</f>
        <v>144.60155473201939</v>
      </c>
      <c r="J58" s="150">
        <f t="shared" si="47"/>
        <v>147.75263280006067</v>
      </c>
      <c r="K58" s="150">
        <f t="shared" si="47"/>
        <v>150.90371086810188</v>
      </c>
      <c r="L58" s="155" t="s">
        <v>70</v>
      </c>
      <c r="M58" s="703">
        <f ca="1">+MAX(OFFSET($G$87,0,0,COUNTA(G$87:G$1048576),1))</f>
        <v>41.642878571173355</v>
      </c>
      <c r="N58"/>
      <c r="O58" s="132"/>
      <c r="P58" s="594"/>
    </row>
    <row r="59" spans="2:22" ht="12" customHeight="1">
      <c r="B59" s="701">
        <f>B58-5</f>
        <v>42.219781789424552</v>
      </c>
      <c r="G59" s="150">
        <f t="shared" si="47"/>
        <v>124.19996673434957</v>
      </c>
      <c r="H59" s="150">
        <f t="shared" si="47"/>
        <v>127.01738399873723</v>
      </c>
      <c r="I59" s="150">
        <f t="shared" si="47"/>
        <v>129.83480126312489</v>
      </c>
      <c r="J59" s="150">
        <f t="shared" si="47"/>
        <v>132.65221852751256</v>
      </c>
      <c r="K59" s="150">
        <f t="shared" si="47"/>
        <v>135.4696357919002</v>
      </c>
      <c r="L59" s="156" t="s">
        <v>69</v>
      </c>
      <c r="M59" s="704">
        <f ca="1">+MIN(OFFSET($G$87,0,0,COUNTA(G$87:G$1048576),1))</f>
        <v>9.8987233414895215</v>
      </c>
      <c r="N59"/>
      <c r="O59" s="132"/>
      <c r="P59" s="594"/>
    </row>
    <row r="60" spans="2:22" ht="12" customHeight="1">
      <c r="B60" s="701">
        <f>B59-5</f>
        <v>37.219781789424552</v>
      </c>
      <c r="G60" s="150">
        <f t="shared" si="47"/>
        <v>110.1005348727622</v>
      </c>
      <c r="H60" s="150">
        <f t="shared" si="47"/>
        <v>112.5842913334963</v>
      </c>
      <c r="I60" s="150">
        <f t="shared" si="47"/>
        <v>115.06804779423035</v>
      </c>
      <c r="J60" s="150">
        <f t="shared" si="47"/>
        <v>117.55180425496444</v>
      </c>
      <c r="K60" s="150">
        <f t="shared" si="47"/>
        <v>120.03556071569854</v>
      </c>
      <c r="L60" s="150"/>
      <c r="M60" s="150"/>
      <c r="N60"/>
      <c r="O60" s="152"/>
      <c r="P60" s="992"/>
    </row>
    <row r="61" spans="2:22" ht="4.2" customHeight="1">
      <c r="B61" s="157"/>
      <c r="C61" s="158"/>
      <c r="D61" s="158"/>
      <c r="E61" s="158"/>
      <c r="F61" s="158"/>
      <c r="G61" s="158"/>
      <c r="H61" s="158"/>
      <c r="I61" s="159"/>
      <c r="J61" s="159"/>
      <c r="L61"/>
      <c r="M61"/>
      <c r="N61"/>
      <c r="P61" s="94"/>
      <c r="Q61" s="992"/>
    </row>
    <row r="62" spans="2:22" ht="12" customHeight="1">
      <c r="B62" s="1608" t="s">
        <v>618</v>
      </c>
      <c r="C62" s="1621"/>
      <c r="D62" s="1621"/>
      <c r="E62" s="1621"/>
      <c r="F62" s="1621"/>
      <c r="G62" s="1610"/>
      <c r="H62" s="1610"/>
      <c r="I62" s="1610"/>
      <c r="J62" s="1610"/>
      <c r="K62" s="1610"/>
      <c r="L62" s="1610"/>
      <c r="M62" s="1610"/>
      <c r="N62" s="1610"/>
      <c r="O62" s="132"/>
      <c r="P62" s="992"/>
      <c r="Q62" s="993"/>
      <c r="R62" s="96"/>
      <c r="S62" s="96"/>
    </row>
    <row r="63" spans="2:22" ht="13.2">
      <c r="B63" s="94"/>
      <c r="C63" s="160"/>
      <c r="D63" s="160"/>
      <c r="E63" s="160"/>
      <c r="F63" s="160"/>
      <c r="G63" s="160"/>
      <c r="H63" s="160"/>
      <c r="I63" s="161"/>
      <c r="J63" s="161"/>
      <c r="K63" s="161"/>
      <c r="L63"/>
      <c r="M63"/>
      <c r="N63"/>
      <c r="P63" s="132"/>
      <c r="Q63" s="108"/>
      <c r="R63" s="994"/>
      <c r="S63" s="18"/>
      <c r="T63" s="994"/>
      <c r="U63" s="994"/>
    </row>
    <row r="64" spans="2:22" ht="12" customHeight="1">
      <c r="B64" s="161"/>
      <c r="C64" s="158"/>
      <c r="D64" s="158"/>
      <c r="E64" s="158"/>
      <c r="F64" s="158"/>
      <c r="G64" s="158"/>
      <c r="H64" s="158"/>
      <c r="I64" s="157"/>
      <c r="J64" s="157"/>
      <c r="K64" s="16"/>
      <c r="L64"/>
      <c r="M64"/>
      <c r="N64"/>
      <c r="O64" s="98"/>
      <c r="P64" s="132"/>
      <c r="Q64" s="705"/>
      <c r="R64" s="994"/>
      <c r="S64" s="697"/>
      <c r="T64" s="994"/>
      <c r="U64" s="697"/>
      <c r="V64" s="108"/>
    </row>
    <row r="65" spans="2:21" ht="12" customHeight="1">
      <c r="B65" s="161"/>
      <c r="C65" s="158"/>
      <c r="D65" s="158"/>
      <c r="E65" s="158"/>
      <c r="F65" s="158"/>
      <c r="G65" s="158"/>
      <c r="H65" s="158"/>
      <c r="I65" s="157"/>
      <c r="J65" s="157"/>
      <c r="K65" s="16"/>
      <c r="L65"/>
      <c r="M65"/>
      <c r="N65"/>
      <c r="O65" s="98"/>
      <c r="P65" s="132"/>
      <c r="Q65" s="705"/>
      <c r="R65" s="994"/>
      <c r="S65" s="697"/>
      <c r="T65" s="994"/>
      <c r="U65" s="697"/>
    </row>
    <row r="66" spans="2:21" ht="12" customHeight="1">
      <c r="B66" s="161"/>
      <c r="C66" s="158"/>
      <c r="D66" s="158"/>
      <c r="E66" s="158"/>
      <c r="F66" s="158"/>
      <c r="G66" s="158"/>
      <c r="H66" s="158"/>
      <c r="I66" s="157"/>
      <c r="J66" s="157"/>
      <c r="K66" s="16"/>
      <c r="L66"/>
      <c r="M66"/>
      <c r="N66"/>
      <c r="O66" s="98"/>
      <c r="P66" s="132"/>
      <c r="Q66" s="705"/>
      <c r="R66" s="994"/>
      <c r="S66" s="697"/>
      <c r="T66" s="994"/>
      <c r="U66" s="697"/>
    </row>
    <row r="67" spans="2:21" ht="12" customHeight="1">
      <c r="B67" s="161"/>
      <c r="C67" s="158"/>
      <c r="D67" s="158"/>
      <c r="E67" s="158"/>
      <c r="F67" s="158"/>
      <c r="G67" s="158"/>
      <c r="H67" s="158"/>
      <c r="I67" s="157"/>
      <c r="J67" s="157"/>
      <c r="K67" s="16"/>
      <c r="L67" s="16"/>
      <c r="M67" s="16"/>
      <c r="N67" s="16"/>
      <c r="O67" s="98"/>
      <c r="P67" s="132"/>
      <c r="Q67" s="705"/>
      <c r="R67" s="994"/>
      <c r="S67" s="697"/>
      <c r="T67" s="994"/>
      <c r="U67" s="697"/>
    </row>
    <row r="68" spans="2:21" ht="12" customHeight="1">
      <c r="B68" s="161"/>
      <c r="C68" s="158"/>
      <c r="D68" s="158"/>
      <c r="E68" s="158"/>
      <c r="F68" s="158"/>
      <c r="G68" s="158"/>
      <c r="H68" s="158"/>
      <c r="I68" s="157"/>
      <c r="J68" s="157"/>
      <c r="K68" s="16"/>
      <c r="L68" s="16"/>
      <c r="M68" s="16"/>
      <c r="N68" s="16"/>
      <c r="O68" s="98"/>
      <c r="P68" s="132"/>
      <c r="Q68" s="705"/>
      <c r="R68" s="994"/>
      <c r="S68" s="697"/>
      <c r="T68" s="994"/>
      <c r="U68" s="697"/>
    </row>
    <row r="69" spans="2:21" ht="12" customHeight="1">
      <c r="B69" s="161"/>
      <c r="C69" s="158"/>
      <c r="D69" s="158"/>
      <c r="E69" s="158"/>
      <c r="F69" s="158"/>
      <c r="G69" s="158"/>
      <c r="H69" s="158"/>
      <c r="I69" s="157"/>
      <c r="J69" s="157"/>
      <c r="K69" s="16"/>
      <c r="L69" s="16"/>
      <c r="M69" s="16"/>
      <c r="N69" s="16"/>
      <c r="O69" s="98"/>
      <c r="P69" s="132"/>
      <c r="Q69" s="705"/>
      <c r="R69" s="994"/>
      <c r="S69" s="697"/>
      <c r="T69" s="994"/>
      <c r="U69" s="697"/>
    </row>
    <row r="70" spans="2:21" ht="12" customHeight="1">
      <c r="B70" s="948"/>
      <c r="C70" s="949"/>
      <c r="D70" s="949"/>
      <c r="E70" s="949"/>
      <c r="F70" s="949"/>
      <c r="G70" s="949"/>
      <c r="H70" s="949"/>
      <c r="I70" s="949"/>
      <c r="J70" s="949"/>
      <c r="K70" s="950"/>
      <c r="L70" s="950"/>
      <c r="M70" s="950"/>
      <c r="N70" s="950"/>
      <c r="O70" s="98"/>
      <c r="P70" s="132"/>
      <c r="Q70" s="705"/>
      <c r="R70" s="994"/>
      <c r="S70" s="697"/>
      <c r="T70" s="994"/>
      <c r="U70" s="697"/>
    </row>
    <row r="71" spans="2:21" ht="12" customHeight="1">
      <c r="B71" s="161"/>
      <c r="C71" s="158"/>
      <c r="D71" s="158"/>
      <c r="E71" s="158"/>
      <c r="F71" s="158"/>
      <c r="G71" s="158"/>
      <c r="H71" s="158"/>
      <c r="I71" s="157"/>
      <c r="J71" s="157"/>
      <c r="K71" s="16"/>
      <c r="L71" s="16"/>
      <c r="M71" s="16"/>
      <c r="N71" s="16"/>
      <c r="O71" s="98"/>
      <c r="P71" s="132"/>
      <c r="Q71" s="705"/>
      <c r="R71" s="994"/>
      <c r="S71" s="697"/>
      <c r="T71" s="994"/>
      <c r="U71" s="697"/>
    </row>
    <row r="72" spans="2:21" ht="12" customHeight="1">
      <c r="B72" s="161"/>
      <c r="C72" s="158"/>
      <c r="D72" s="158"/>
      <c r="E72" s="158"/>
      <c r="F72" s="158"/>
      <c r="G72" s="158"/>
      <c r="H72" s="158"/>
      <c r="I72" s="157"/>
      <c r="J72" s="157"/>
      <c r="K72" s="16"/>
      <c r="L72" s="16"/>
      <c r="M72" s="16"/>
      <c r="N72" s="16"/>
      <c r="O72" s="98"/>
      <c r="P72" s="132"/>
      <c r="Q72" s="705"/>
      <c r="R72" s="994"/>
      <c r="S72" s="697"/>
      <c r="T72" s="994"/>
      <c r="U72" s="697"/>
    </row>
    <row r="73" spans="2:21" ht="12" customHeight="1">
      <c r="B73" s="161"/>
      <c r="C73" s="158"/>
      <c r="D73" s="158"/>
      <c r="E73" s="158"/>
      <c r="F73" s="158"/>
      <c r="G73" s="158"/>
      <c r="H73" s="158"/>
      <c r="I73" s="157"/>
      <c r="J73" s="157"/>
      <c r="K73" s="16"/>
      <c r="L73" s="16"/>
      <c r="M73" s="16"/>
      <c r="N73" s="16"/>
      <c r="O73" s="98"/>
      <c r="P73" s="132"/>
      <c r="Q73" s="705"/>
      <c r="R73" s="994"/>
      <c r="S73" s="697"/>
      <c r="T73" s="994"/>
      <c r="U73" s="697"/>
    </row>
    <row r="74" spans="2:21" ht="12" customHeight="1">
      <c r="B74" s="161"/>
      <c r="C74" s="158"/>
      <c r="D74" s="158"/>
      <c r="E74" s="158"/>
      <c r="F74" s="158"/>
      <c r="G74" s="158"/>
      <c r="H74" s="158"/>
      <c r="I74" s="157"/>
      <c r="J74" s="157"/>
      <c r="K74" s="16"/>
      <c r="L74" s="16"/>
      <c r="M74" s="16"/>
      <c r="N74" s="16"/>
      <c r="O74" s="98"/>
      <c r="P74" s="132"/>
      <c r="Q74" s="705"/>
      <c r="R74" s="994"/>
      <c r="S74" s="697"/>
      <c r="T74" s="994"/>
      <c r="U74" s="697"/>
    </row>
    <row r="75" spans="2:21" ht="12" customHeight="1">
      <c r="B75" s="161"/>
      <c r="C75" s="158"/>
      <c r="D75" s="158"/>
      <c r="E75" s="158"/>
      <c r="F75" s="158"/>
      <c r="G75" s="158"/>
      <c r="H75" s="158"/>
      <c r="I75" s="157"/>
      <c r="J75" s="157"/>
      <c r="K75" s="16"/>
      <c r="L75" s="16"/>
      <c r="M75" s="16"/>
      <c r="N75" s="16"/>
      <c r="O75" s="98"/>
      <c r="P75" s="132"/>
      <c r="Q75" s="705"/>
      <c r="R75" s="994"/>
      <c r="S75" s="697"/>
      <c r="T75" s="994"/>
      <c r="U75" s="697"/>
    </row>
    <row r="76" spans="2:21" ht="12" customHeight="1">
      <c r="B76" s="161"/>
      <c r="C76" s="158"/>
      <c r="D76" s="158"/>
      <c r="E76" s="158"/>
      <c r="F76" s="158"/>
      <c r="G76" s="158"/>
      <c r="H76" s="158"/>
      <c r="I76" s="157"/>
      <c r="J76" s="157"/>
      <c r="K76" s="16"/>
      <c r="L76" s="16"/>
      <c r="M76" s="16"/>
      <c r="N76" s="16"/>
      <c r="O76" s="98"/>
      <c r="P76" s="594"/>
      <c r="Q76" s="705"/>
      <c r="S76" s="697"/>
      <c r="U76" s="697"/>
    </row>
    <row r="77" spans="2:21" ht="12" customHeight="1">
      <c r="B77" s="161"/>
      <c r="C77" s="158"/>
      <c r="D77" s="158"/>
      <c r="E77" s="158"/>
      <c r="F77" s="158"/>
      <c r="G77" s="158"/>
      <c r="H77" s="158"/>
      <c r="I77" s="157"/>
      <c r="J77" s="157"/>
      <c r="K77" s="16"/>
      <c r="L77" s="16"/>
      <c r="M77" s="16"/>
      <c r="N77" s="16"/>
      <c r="O77" s="98"/>
      <c r="P77" s="594"/>
      <c r="Q77" s="705"/>
      <c r="S77" s="697"/>
      <c r="U77" s="697"/>
    </row>
    <row r="78" spans="2:21" ht="12" customHeight="1">
      <c r="B78" s="161"/>
      <c r="C78" s="158"/>
      <c r="D78" s="158"/>
      <c r="E78" s="158"/>
      <c r="F78" s="158"/>
      <c r="G78" s="158"/>
      <c r="H78" s="158"/>
      <c r="I78" s="157"/>
      <c r="J78" s="157"/>
      <c r="K78" s="16"/>
      <c r="L78" s="16"/>
      <c r="M78" s="16"/>
      <c r="N78" s="16"/>
      <c r="O78" s="98"/>
      <c r="P78" s="594"/>
      <c r="Q78" s="705"/>
      <c r="S78" s="697"/>
      <c r="U78" s="697"/>
    </row>
    <row r="79" spans="2:21" ht="12" customHeight="1">
      <c r="B79" s="161"/>
      <c r="C79" s="158"/>
      <c r="D79" s="158"/>
      <c r="E79" s="158"/>
      <c r="F79" s="158"/>
      <c r="G79" s="158"/>
      <c r="H79" s="158"/>
      <c r="I79" s="157"/>
      <c r="J79" s="157"/>
      <c r="K79" s="16"/>
      <c r="L79" s="16"/>
      <c r="M79" s="16"/>
      <c r="N79" s="16"/>
      <c r="O79" s="98"/>
      <c r="P79" s="594"/>
      <c r="Q79" s="705"/>
      <c r="S79" s="697"/>
      <c r="U79" s="697"/>
    </row>
    <row r="80" spans="2:21" ht="12" customHeight="1">
      <c r="B80" s="161"/>
      <c r="C80" s="158"/>
      <c r="D80" s="158"/>
      <c r="E80" s="158"/>
      <c r="F80" s="158"/>
      <c r="G80" s="158"/>
      <c r="H80" s="158"/>
      <c r="I80" s="157"/>
      <c r="J80" s="157"/>
      <c r="K80" s="16"/>
      <c r="L80" s="16"/>
      <c r="M80" s="16"/>
      <c r="N80" s="16"/>
      <c r="O80" s="98"/>
      <c r="P80" s="594"/>
      <c r="Q80" s="705"/>
      <c r="S80" s="697"/>
      <c r="U80" s="697"/>
    </row>
    <row r="81" spans="1:26" ht="12" customHeight="1">
      <c r="B81" s="161"/>
      <c r="C81" s="158"/>
      <c r="D81" s="158"/>
      <c r="E81" s="158"/>
      <c r="F81" s="158"/>
      <c r="G81" s="158"/>
      <c r="H81" s="158"/>
      <c r="I81" s="157"/>
      <c r="J81" s="157"/>
      <c r="K81" s="16"/>
      <c r="L81" s="16"/>
      <c r="M81" s="16"/>
      <c r="N81" s="16"/>
      <c r="O81" s="98"/>
      <c r="P81" s="594"/>
      <c r="Q81" s="705"/>
      <c r="S81" s="697"/>
      <c r="U81" s="697"/>
    </row>
    <row r="82" spans="1:26" ht="12" customHeight="1">
      <c r="B82" s="161"/>
      <c r="C82" s="158"/>
      <c r="D82" s="158"/>
      <c r="E82" s="158"/>
      <c r="F82" s="158"/>
      <c r="G82" s="158"/>
      <c r="H82" s="158"/>
      <c r="I82" s="157"/>
      <c r="J82" s="157"/>
      <c r="K82" s="16"/>
      <c r="L82" s="16"/>
      <c r="M82" s="16"/>
      <c r="N82" s="16"/>
      <c r="O82" s="98"/>
      <c r="P82" s="594"/>
      <c r="Q82" s="705"/>
      <c r="S82" s="697"/>
      <c r="U82" s="697"/>
    </row>
    <row r="83" spans="1:26" ht="12" customHeight="1">
      <c r="O83" s="98"/>
      <c r="P83" s="594"/>
      <c r="Q83" s="705"/>
      <c r="S83" s="697"/>
      <c r="U83" s="697"/>
    </row>
    <row r="84" spans="1:26" ht="12" customHeight="1">
      <c r="B84" s="161"/>
      <c r="C84" s="158"/>
      <c r="D84" s="158"/>
      <c r="E84" s="158"/>
      <c r="F84" s="158"/>
      <c r="G84" s="158"/>
      <c r="H84" s="158"/>
      <c r="I84" s="157"/>
      <c r="J84" s="157"/>
      <c r="K84" s="16"/>
      <c r="L84" s="16"/>
      <c r="M84" s="16"/>
      <c r="N84" s="16"/>
      <c r="O84" s="98"/>
      <c r="P84" s="697"/>
      <c r="Q84" s="705"/>
      <c r="R84" s="705"/>
      <c r="S84" s="697"/>
      <c r="T84" s="697"/>
      <c r="U84" s="697"/>
    </row>
    <row r="85" spans="1:26" ht="12" customHeight="1">
      <c r="A85" s="163"/>
      <c r="B85" s="1709" t="s">
        <v>364</v>
      </c>
      <c r="C85" s="1710"/>
      <c r="D85" s="1710"/>
      <c r="E85" s="1710"/>
      <c r="F85" s="1710"/>
      <c r="G85" s="1711"/>
      <c r="H85" s="1711"/>
      <c r="I85" s="1711"/>
      <c r="J85" s="1711"/>
      <c r="K85" s="1711"/>
      <c r="L85" s="1711"/>
      <c r="M85" s="1711"/>
      <c r="N85" s="1711"/>
      <c r="O85" s="1711"/>
      <c r="P85" s="1711"/>
      <c r="Q85" s="1711"/>
      <c r="R85" s="1711"/>
      <c r="S85" s="1711"/>
      <c r="T85" s="1711"/>
      <c r="U85" s="1711"/>
      <c r="V85" s="1711"/>
      <c r="W85" s="1711"/>
      <c r="X85" s="1711"/>
      <c r="Y85" s="1711"/>
      <c r="Z85" s="1711"/>
    </row>
    <row r="86" spans="1:26" ht="30" customHeight="1">
      <c r="B86" s="94"/>
      <c r="C86"/>
      <c r="G86" s="165" t="s">
        <v>365</v>
      </c>
      <c r="H86" s="164" t="s">
        <v>369</v>
      </c>
      <c r="I86" s="165" t="s">
        <v>368</v>
      </c>
      <c r="J86" s="165" t="s">
        <v>366</v>
      </c>
      <c r="K86" s="164" t="s">
        <v>370</v>
      </c>
      <c r="L86" s="165" t="s">
        <v>368</v>
      </c>
      <c r="M86" s="165" t="s">
        <v>694</v>
      </c>
      <c r="N86" s="165" t="s">
        <v>692</v>
      </c>
      <c r="O86" s="165"/>
      <c r="P86" s="165"/>
      <c r="Q86" s="165"/>
      <c r="R86" s="165" t="s">
        <v>367</v>
      </c>
      <c r="S86" s="165" t="s">
        <v>619</v>
      </c>
      <c r="T86" s="164" t="s">
        <v>622</v>
      </c>
      <c r="U86" s="165" t="s">
        <v>368</v>
      </c>
      <c r="V86" s="165" t="s">
        <v>706</v>
      </c>
      <c r="W86" s="165" t="s">
        <v>365</v>
      </c>
      <c r="X86" s="165" t="s">
        <v>619</v>
      </c>
      <c r="Y86" s="165" t="s">
        <v>695</v>
      </c>
      <c r="Z86" s="165" t="s">
        <v>693</v>
      </c>
    </row>
    <row r="87" spans="1:26" ht="12" customHeight="1">
      <c r="B87" s="166">
        <v>42741</v>
      </c>
      <c r="C87"/>
      <c r="G87" s="706">
        <v>16.883540603650246</v>
      </c>
      <c r="H87" s="706" t="s">
        <v>572</v>
      </c>
      <c r="I87" s="697">
        <f ca="1">AVERAGE(OFFSET(H$87,0,0,COUNTA(H$87:H$1048519),))</f>
        <v>342.53985194422665</v>
      </c>
      <c r="J87" s="706">
        <v>32.113492753473146</v>
      </c>
      <c r="K87" s="706">
        <v>6.2716608862213787</v>
      </c>
      <c r="L87" s="697">
        <f ca="1">AVERAGE(OFFSET(K$87,0,0,COUNTA(H$87:H$1048519),))</f>
        <v>15.420000037248862</v>
      </c>
      <c r="M87" s="1185">
        <v>5.5495051448143347</v>
      </c>
      <c r="N87" s="697">
        <f ca="1">AVERAGE(OFFSET(M$87,0,0,COUNTA(S$87:S$1048519),))</f>
        <v>8.1842553963144997</v>
      </c>
      <c r="O87" s="697"/>
      <c r="P87" s="697"/>
      <c r="Q87" s="697"/>
      <c r="R87" s="706">
        <v>4.8660453449736876</v>
      </c>
      <c r="S87" s="697">
        <f ca="1">AVERAGE(OFFSET(R$87,0,0,COUNTA(J$87:J$1048519),))</f>
        <v>6.2754980846405033</v>
      </c>
      <c r="T87" s="1152">
        <v>260.937979129761</v>
      </c>
      <c r="U87" s="697">
        <f ca="1">AVERAGE(OFFSET(T$429,0,0,COUNTA(T$429:T$1048519),))</f>
        <v>65.1084081344151</v>
      </c>
      <c r="V87" s="697">
        <f ca="1">MIN(OFFSET(T$429,0,0,COUNTA(T$429:T$1048519),))</f>
        <v>41.021279401540347</v>
      </c>
      <c r="W87" s="697">
        <v>16.883540603650246</v>
      </c>
      <c r="X87" s="697">
        <f ca="1">AVERAGE(OFFSET(W$87,0,0,COUNTA(W$87:W$1048519),))</f>
        <v>20.684677803177475</v>
      </c>
      <c r="Y87" s="697">
        <v>17.180468047059414</v>
      </c>
      <c r="Z87" s="697">
        <f ca="1">AVERAGE(OFFSET(Y$452,0,0,COUNTA(Y$452:Y$1048519),))</f>
        <v>15.366110393028141</v>
      </c>
    </row>
    <row r="88" spans="1:26" ht="12" customHeight="1">
      <c r="B88" s="166">
        <f>B87+7</f>
        <v>42748</v>
      </c>
      <c r="C88"/>
      <c r="G88" s="706">
        <v>17.271245150530639</v>
      </c>
      <c r="H88" s="706" t="s">
        <v>572</v>
      </c>
      <c r="I88" s="697">
        <f t="shared" ref="I88:I151" ca="1" si="48">+I$87</f>
        <v>342.53985194422665</v>
      </c>
      <c r="J88" s="706">
        <v>32.871350861840355</v>
      </c>
      <c r="K88" s="706">
        <v>6.4099472059093081</v>
      </c>
      <c r="L88" s="697">
        <f t="shared" ref="L88:L151" ca="1" si="49">+L$87</f>
        <v>15.420000037248862</v>
      </c>
      <c r="M88" s="1185">
        <v>5.6111657887830813</v>
      </c>
      <c r="N88" s="697">
        <f t="shared" ref="N88:N151" ca="1" si="50">+N$87</f>
        <v>8.1842553963144997</v>
      </c>
      <c r="O88" s="697"/>
      <c r="P88" s="697"/>
      <c r="Q88" s="697"/>
      <c r="R88" s="706">
        <v>4.9573668089740153</v>
      </c>
      <c r="S88" s="697">
        <f t="shared" ref="S88:S151" ca="1" si="51">+S$87</f>
        <v>6.2754980846405033</v>
      </c>
      <c r="T88" s="1152">
        <v>257.92435277405582</v>
      </c>
      <c r="U88" s="697">
        <f t="shared" ref="U88:U151" ca="1" si="52">+U$87</f>
        <v>65.1084081344151</v>
      </c>
      <c r="V88" s="697">
        <f ca="1">+V87</f>
        <v>41.021279401540347</v>
      </c>
      <c r="W88" s="697">
        <v>17.271245150530639</v>
      </c>
      <c r="X88" s="697">
        <f t="shared" ref="X88:X151" ca="1" si="53">+X$87</f>
        <v>20.684677803177475</v>
      </c>
      <c r="Y88" s="697">
        <v>17.544508922038705</v>
      </c>
      <c r="Z88" s="697">
        <f t="shared" ref="Z88:Z151" ca="1" si="54">+Z$87</f>
        <v>15.366110393028141</v>
      </c>
    </row>
    <row r="89" spans="1:26" ht="12" customHeight="1">
      <c r="B89" s="166">
        <f t="shared" ref="B89:B152" si="55">B88+7</f>
        <v>42755</v>
      </c>
      <c r="C89"/>
      <c r="G89" s="706">
        <v>16.970075269114226</v>
      </c>
      <c r="H89" s="706" t="s">
        <v>572</v>
      </c>
      <c r="I89" s="697">
        <f t="shared" ca="1" si="48"/>
        <v>342.53985194422665</v>
      </c>
      <c r="J89" s="706">
        <v>32.645044558033035</v>
      </c>
      <c r="K89" s="706">
        <v>6.6624179790675297</v>
      </c>
      <c r="L89" s="697">
        <f t="shared" ca="1" si="49"/>
        <v>15.420000037248862</v>
      </c>
      <c r="M89" s="1185">
        <v>5.6831725820061276</v>
      </c>
      <c r="N89" s="697">
        <f t="shared" ca="1" si="50"/>
        <v>8.1842553963144997</v>
      </c>
      <c r="O89" s="697"/>
      <c r="P89" s="697"/>
      <c r="Q89" s="697"/>
      <c r="R89" s="706">
        <v>4.9545266101461198</v>
      </c>
      <c r="S89" s="697">
        <f t="shared" ca="1" si="51"/>
        <v>6.2754980846405033</v>
      </c>
      <c r="T89" s="1152">
        <v>259.55514374357949</v>
      </c>
      <c r="U89" s="697">
        <f t="shared" ca="1" si="52"/>
        <v>65.1084081344151</v>
      </c>
      <c r="V89" s="697">
        <f t="shared" ref="V89:V152" ca="1" si="56">+V88</f>
        <v>41.021279401540347</v>
      </c>
      <c r="W89" s="697">
        <v>16.970075269114226</v>
      </c>
      <c r="X89" s="697">
        <f t="shared" ca="1" si="53"/>
        <v>20.684677803177475</v>
      </c>
      <c r="Y89" s="697">
        <v>17.835690785531426</v>
      </c>
      <c r="Z89" s="697">
        <f t="shared" ca="1" si="54"/>
        <v>15.366110393028141</v>
      </c>
    </row>
    <row r="90" spans="1:26" ht="12" customHeight="1">
      <c r="B90" s="166">
        <f t="shared" si="55"/>
        <v>42762</v>
      </c>
      <c r="C90"/>
      <c r="G90" s="706">
        <v>17.39696021165258</v>
      </c>
      <c r="H90" s="706" t="s">
        <v>572</v>
      </c>
      <c r="I90" s="697">
        <f t="shared" ca="1" si="48"/>
        <v>342.53985194422665</v>
      </c>
      <c r="J90" s="706">
        <v>33.691810755725569</v>
      </c>
      <c r="K90" s="706">
        <v>6.8330981047791912</v>
      </c>
      <c r="L90" s="697">
        <f t="shared" ca="1" si="49"/>
        <v>15.420000037248862</v>
      </c>
      <c r="M90" s="1185">
        <v>5.7954294452848458</v>
      </c>
      <c r="N90" s="697">
        <f t="shared" ca="1" si="50"/>
        <v>8.1842553963144997</v>
      </c>
      <c r="O90" s="697"/>
      <c r="P90" s="697"/>
      <c r="Q90" s="697"/>
      <c r="R90" s="706">
        <v>5.0694265020108942</v>
      </c>
      <c r="S90" s="697">
        <f t="shared" ca="1" si="51"/>
        <v>6.2754980846405033</v>
      </c>
      <c r="T90" s="1152">
        <v>258.97335935424837</v>
      </c>
      <c r="U90" s="697">
        <f t="shared" ca="1" si="52"/>
        <v>65.1084081344151</v>
      </c>
      <c r="V90" s="697">
        <f t="shared" ca="1" si="56"/>
        <v>41.021279401540347</v>
      </c>
      <c r="W90" s="697">
        <v>17.39696021165258</v>
      </c>
      <c r="X90" s="697">
        <f t="shared" ca="1" si="53"/>
        <v>20.684677803177475</v>
      </c>
      <c r="Y90" s="697">
        <v>18.179318180581497</v>
      </c>
      <c r="Z90" s="697">
        <f t="shared" ca="1" si="54"/>
        <v>15.366110393028141</v>
      </c>
    </row>
    <row r="91" spans="1:26" ht="12" customHeight="1">
      <c r="B91" s="166">
        <f t="shared" si="55"/>
        <v>42769</v>
      </c>
      <c r="C91"/>
      <c r="G91" s="706">
        <v>16.960054862404064</v>
      </c>
      <c r="H91" s="706" t="s">
        <v>572</v>
      </c>
      <c r="I91" s="697">
        <f t="shared" ca="1" si="48"/>
        <v>342.53985194422665</v>
      </c>
      <c r="J91" s="706">
        <v>34.706845133310189</v>
      </c>
      <c r="K91" s="706">
        <v>6.8756048191515529</v>
      </c>
      <c r="L91" s="697">
        <f t="shared" ca="1" si="49"/>
        <v>15.420000037248862</v>
      </c>
      <c r="M91" s="1185">
        <v>5.7839406396328332</v>
      </c>
      <c r="N91" s="697">
        <f t="shared" ca="1" si="50"/>
        <v>8.1842553963144997</v>
      </c>
      <c r="O91" s="697"/>
      <c r="P91" s="697"/>
      <c r="Q91" s="697"/>
      <c r="R91" s="706">
        <v>4.957456600940529</v>
      </c>
      <c r="S91" s="697">
        <f t="shared" ca="1" si="51"/>
        <v>6.2754980846405033</v>
      </c>
      <c r="T91" s="1152">
        <v>253.66640221288742</v>
      </c>
      <c r="U91" s="697">
        <f t="shared" ca="1" si="52"/>
        <v>65.1084081344151</v>
      </c>
      <c r="V91" s="697">
        <f t="shared" ca="1" si="56"/>
        <v>41.021279401540347</v>
      </c>
      <c r="W91" s="697">
        <v>16.960054862404064</v>
      </c>
      <c r="X91" s="697">
        <f t="shared" ca="1" si="53"/>
        <v>20.684677803177475</v>
      </c>
      <c r="Y91" s="697">
        <v>18.006032559187265</v>
      </c>
      <c r="Z91" s="697">
        <f t="shared" ca="1" si="54"/>
        <v>15.366110393028141</v>
      </c>
    </row>
    <row r="92" spans="1:26" ht="12" customHeight="1">
      <c r="B92" s="166">
        <f t="shared" si="55"/>
        <v>42776</v>
      </c>
      <c r="C92"/>
      <c r="G92" s="706">
        <v>17.341994188209785</v>
      </c>
      <c r="H92" s="706" t="s">
        <v>572</v>
      </c>
      <c r="I92" s="697">
        <f t="shared" ca="1" si="48"/>
        <v>342.53985194422665</v>
      </c>
      <c r="J92" s="706">
        <v>35.722535147558787</v>
      </c>
      <c r="K92" s="706">
        <v>7.2553197699963308</v>
      </c>
      <c r="L92" s="697">
        <f t="shared" ca="1" si="49"/>
        <v>15.420000037248862</v>
      </c>
      <c r="M92" s="1185">
        <v>5.873151452777817</v>
      </c>
      <c r="N92" s="697">
        <f t="shared" ca="1" si="50"/>
        <v>8.1842553963144997</v>
      </c>
      <c r="O92" s="697"/>
      <c r="P92" s="697"/>
      <c r="Q92" s="697"/>
      <c r="R92" s="706">
        <v>5.0557867458033785</v>
      </c>
      <c r="S92" s="697">
        <f t="shared" ca="1" si="51"/>
        <v>6.2754980846405033</v>
      </c>
      <c r="T92" s="1152">
        <v>269.62134082910057</v>
      </c>
      <c r="U92" s="697">
        <f t="shared" ca="1" si="52"/>
        <v>65.1084081344151</v>
      </c>
      <c r="V92" s="697">
        <f t="shared" ca="1" si="56"/>
        <v>41.021279401540347</v>
      </c>
      <c r="W92" s="697">
        <v>17.341994188209785</v>
      </c>
      <c r="X92" s="697">
        <f t="shared" ca="1" si="53"/>
        <v>20.684677803177475</v>
      </c>
      <c r="Y92" s="697">
        <v>18.204003218213028</v>
      </c>
      <c r="Z92" s="697">
        <f t="shared" ca="1" si="54"/>
        <v>15.366110393028141</v>
      </c>
    </row>
    <row r="93" spans="1:26" ht="12" customHeight="1">
      <c r="B93" s="166">
        <f t="shared" si="55"/>
        <v>42783</v>
      </c>
      <c r="C93"/>
      <c r="G93" s="706">
        <v>17.259151542958953</v>
      </c>
      <c r="H93" s="706" t="s">
        <v>572</v>
      </c>
      <c r="I93" s="697">
        <f t="shared" ca="1" si="48"/>
        <v>342.53985194422665</v>
      </c>
      <c r="J93" s="706">
        <v>36.283529268692853</v>
      </c>
      <c r="K93" s="706">
        <v>7.6130230244236898</v>
      </c>
      <c r="L93" s="697">
        <f t="shared" ca="1" si="49"/>
        <v>15.420000037248862</v>
      </c>
      <c r="M93" s="1185">
        <v>6.0301649067214438</v>
      </c>
      <c r="N93" s="697">
        <f t="shared" ca="1" si="50"/>
        <v>8.1842553963144997</v>
      </c>
      <c r="O93" s="697"/>
      <c r="P93" s="697"/>
      <c r="Q93" s="697"/>
      <c r="R93" s="706">
        <v>5.100238213309491</v>
      </c>
      <c r="S93" s="697">
        <f t="shared" ca="1" si="51"/>
        <v>6.2754980846405033</v>
      </c>
      <c r="T93" s="1152">
        <v>630.04614955177021</v>
      </c>
      <c r="U93" s="697">
        <f t="shared" ca="1" si="52"/>
        <v>65.1084081344151</v>
      </c>
      <c r="V93" s="697">
        <f t="shared" ca="1" si="56"/>
        <v>41.021279401540347</v>
      </c>
      <c r="W93" s="697">
        <v>17.259151542958953</v>
      </c>
      <c r="X93" s="697">
        <f t="shared" ca="1" si="53"/>
        <v>20.684677803177475</v>
      </c>
      <c r="Y93" s="697">
        <v>19.064496594980824</v>
      </c>
      <c r="Z93" s="697">
        <f t="shared" ca="1" si="54"/>
        <v>15.366110393028141</v>
      </c>
    </row>
    <row r="94" spans="1:26" ht="12" customHeight="1">
      <c r="B94" s="166">
        <f t="shared" si="55"/>
        <v>42790</v>
      </c>
      <c r="C94"/>
      <c r="G94" s="706">
        <v>17.402122554035198</v>
      </c>
      <c r="H94" s="706" t="s">
        <v>572</v>
      </c>
      <c r="I94" s="697">
        <f t="shared" ca="1" si="48"/>
        <v>342.53985194422665</v>
      </c>
      <c r="J94" s="706">
        <v>36.950413860578131</v>
      </c>
      <c r="K94" s="706">
        <v>7.5919971358587954</v>
      </c>
      <c r="L94" s="697">
        <f t="shared" ca="1" si="49"/>
        <v>15.420000037248862</v>
      </c>
      <c r="M94" s="1185">
        <v>6.0317462933415866</v>
      </c>
      <c r="N94" s="697">
        <f t="shared" ca="1" si="50"/>
        <v>8.1842553963144997</v>
      </c>
      <c r="O94" s="697"/>
      <c r="P94" s="697"/>
      <c r="Q94" s="697"/>
      <c r="R94" s="706">
        <v>5.1305183818606519</v>
      </c>
      <c r="S94" s="697">
        <f t="shared" ca="1" si="51"/>
        <v>6.2754980846405033</v>
      </c>
      <c r="T94" s="1152">
        <v>586.2301765283853</v>
      </c>
      <c r="U94" s="697">
        <f t="shared" ca="1" si="52"/>
        <v>65.1084081344151</v>
      </c>
      <c r="V94" s="697">
        <f t="shared" ca="1" si="56"/>
        <v>41.021279401540347</v>
      </c>
      <c r="W94" s="697">
        <v>17.402122554035198</v>
      </c>
      <c r="X94" s="697">
        <f t="shared" ca="1" si="53"/>
        <v>20.684677803177475</v>
      </c>
      <c r="Y94" s="697">
        <v>19.093890393775212</v>
      </c>
      <c r="Z94" s="697">
        <f t="shared" ca="1" si="54"/>
        <v>15.366110393028141</v>
      </c>
    </row>
    <row r="95" spans="1:26" ht="12" customHeight="1">
      <c r="B95" s="166">
        <f t="shared" si="55"/>
        <v>42797</v>
      </c>
      <c r="C95"/>
      <c r="G95" s="706">
        <v>17.452315542430689</v>
      </c>
      <c r="H95" s="706" t="s">
        <v>572</v>
      </c>
      <c r="I95" s="697">
        <f t="shared" ca="1" si="48"/>
        <v>342.53985194422665</v>
      </c>
      <c r="J95" s="706">
        <v>37.756065994219647</v>
      </c>
      <c r="K95" s="706">
        <v>7.3427156940333491</v>
      </c>
      <c r="L95" s="697">
        <f t="shared" ca="1" si="49"/>
        <v>15.420000037248862</v>
      </c>
      <c r="M95" s="1185">
        <v>5.9540027439423806</v>
      </c>
      <c r="N95" s="697">
        <f t="shared" ca="1" si="50"/>
        <v>8.1842553963144997</v>
      </c>
      <c r="O95" s="697"/>
      <c r="P95" s="697"/>
      <c r="Q95" s="697"/>
      <c r="R95" s="706">
        <v>7.0047704758256648</v>
      </c>
      <c r="S95" s="697">
        <f t="shared" ca="1" si="51"/>
        <v>6.2754980846405033</v>
      </c>
      <c r="T95" s="1152">
        <v>578.86600873959276</v>
      </c>
      <c r="U95" s="697">
        <f t="shared" ca="1" si="52"/>
        <v>65.1084081344151</v>
      </c>
      <c r="V95" s="697">
        <f t="shared" ca="1" si="56"/>
        <v>41.021279401540347</v>
      </c>
      <c r="W95" s="697">
        <v>17.452315542430689</v>
      </c>
      <c r="X95" s="697">
        <f t="shared" ca="1" si="53"/>
        <v>20.684677803177475</v>
      </c>
      <c r="Y95" s="697">
        <v>18.667202256627618</v>
      </c>
      <c r="Z95" s="697">
        <f t="shared" ca="1" si="54"/>
        <v>15.366110393028141</v>
      </c>
    </row>
    <row r="96" spans="1:26" ht="12" customHeight="1">
      <c r="B96" s="166">
        <f t="shared" si="55"/>
        <v>42804</v>
      </c>
      <c r="C96"/>
      <c r="G96" s="706">
        <v>17.513233057275702</v>
      </c>
      <c r="H96" s="706" t="s">
        <v>572</v>
      </c>
      <c r="I96" s="697">
        <f t="shared" ca="1" si="48"/>
        <v>342.53985194422665</v>
      </c>
      <c r="J96" s="706">
        <v>37.937878358428051</v>
      </c>
      <c r="K96" s="706">
        <v>7.7994450072161952</v>
      </c>
      <c r="L96" s="697">
        <f t="shared" ca="1" si="49"/>
        <v>15.420000037248862</v>
      </c>
      <c r="M96" s="1185">
        <v>6.088968162535715</v>
      </c>
      <c r="N96" s="697">
        <f t="shared" ca="1" si="50"/>
        <v>8.1842553963144997</v>
      </c>
      <c r="O96" s="697"/>
      <c r="P96" s="697"/>
      <c r="Q96" s="697"/>
      <c r="R96" s="706">
        <v>6.6075678560916717</v>
      </c>
      <c r="S96" s="697">
        <f t="shared" ca="1" si="51"/>
        <v>6.2754980846405033</v>
      </c>
      <c r="T96" s="1152">
        <v>575.55305989554756</v>
      </c>
      <c r="U96" s="697">
        <f t="shared" ca="1" si="52"/>
        <v>65.1084081344151</v>
      </c>
      <c r="V96" s="697">
        <f t="shared" ca="1" si="56"/>
        <v>41.021279401540347</v>
      </c>
      <c r="W96" s="697">
        <v>17.513233057275702</v>
      </c>
      <c r="X96" s="697">
        <f t="shared" ca="1" si="53"/>
        <v>20.684677803177475</v>
      </c>
      <c r="Y96" s="697">
        <v>19.18035944575065</v>
      </c>
      <c r="Z96" s="697">
        <f t="shared" ca="1" si="54"/>
        <v>15.366110393028141</v>
      </c>
    </row>
    <row r="97" spans="2:26" ht="12" customHeight="1">
      <c r="B97" s="166">
        <f t="shared" si="55"/>
        <v>42811</v>
      </c>
      <c r="C97"/>
      <c r="G97" s="706">
        <v>17.467583860687714</v>
      </c>
      <c r="H97" s="706" t="s">
        <v>572</v>
      </c>
      <c r="I97" s="697">
        <f t="shared" ca="1" si="48"/>
        <v>342.53985194422665</v>
      </c>
      <c r="J97" s="706">
        <v>37.016261213374506</v>
      </c>
      <c r="K97" s="706">
        <v>8.1009519394447906</v>
      </c>
      <c r="L97" s="697">
        <f t="shared" ca="1" si="49"/>
        <v>15.420000037248862</v>
      </c>
      <c r="M97" s="1185">
        <v>6.1991029289129305</v>
      </c>
      <c r="N97" s="697">
        <f t="shared" ca="1" si="50"/>
        <v>8.1842553963144997</v>
      </c>
      <c r="O97" s="697"/>
      <c r="P97" s="697"/>
      <c r="Q97" s="697"/>
      <c r="R97" s="706">
        <v>6.3950224093417312</v>
      </c>
      <c r="S97" s="697">
        <f t="shared" ca="1" si="51"/>
        <v>6.2754980846405033</v>
      </c>
      <c r="T97" s="1152">
        <v>625.36267251265031</v>
      </c>
      <c r="U97" s="697">
        <f t="shared" ca="1" si="52"/>
        <v>65.1084081344151</v>
      </c>
      <c r="V97" s="697">
        <f t="shared" ca="1" si="56"/>
        <v>41.021279401540347</v>
      </c>
      <c r="W97" s="697">
        <v>17.467583860687714</v>
      </c>
      <c r="X97" s="697">
        <f t="shared" ca="1" si="53"/>
        <v>20.684677803177475</v>
      </c>
      <c r="Y97" s="697">
        <v>19.509420040497407</v>
      </c>
      <c r="Z97" s="697">
        <f t="shared" ca="1" si="54"/>
        <v>15.366110393028141</v>
      </c>
    </row>
    <row r="98" spans="2:26" ht="12" customHeight="1">
      <c r="B98" s="166">
        <f t="shared" si="55"/>
        <v>42818</v>
      </c>
      <c r="C98"/>
      <c r="G98" s="706">
        <v>16.981872118743517</v>
      </c>
      <c r="H98" s="706" t="s">
        <v>572</v>
      </c>
      <c r="I98" s="697">
        <f t="shared" ca="1" si="48"/>
        <v>342.53985194422665</v>
      </c>
      <c r="J98" s="706">
        <v>35.784195123967116</v>
      </c>
      <c r="K98" s="706">
        <v>8.3046108543937507</v>
      </c>
      <c r="L98" s="697">
        <f t="shared" ca="1" si="49"/>
        <v>15.420000037248862</v>
      </c>
      <c r="M98" s="1185">
        <v>6.1484573063413199</v>
      </c>
      <c r="N98" s="697">
        <f t="shared" ca="1" si="50"/>
        <v>8.1842553963144997</v>
      </c>
      <c r="O98" s="697"/>
      <c r="P98" s="697"/>
      <c r="Q98" s="697"/>
      <c r="R98" s="706">
        <v>6.5219656113656335</v>
      </c>
      <c r="S98" s="697">
        <f t="shared" ca="1" si="51"/>
        <v>6.2754980846405033</v>
      </c>
      <c r="T98" s="1152">
        <v>601.77716680682533</v>
      </c>
      <c r="U98" s="697">
        <f t="shared" ca="1" si="52"/>
        <v>65.1084081344151</v>
      </c>
      <c r="V98" s="697">
        <f t="shared" ca="1" si="56"/>
        <v>41.021279401540347</v>
      </c>
      <c r="W98" s="697">
        <v>16.981872118743517</v>
      </c>
      <c r="X98" s="697">
        <f t="shared" ca="1" si="53"/>
        <v>20.684677803177475</v>
      </c>
      <c r="Y98" s="697">
        <v>19.123335050979403</v>
      </c>
      <c r="Z98" s="697">
        <f t="shared" ca="1" si="54"/>
        <v>15.366110393028141</v>
      </c>
    </row>
    <row r="99" spans="2:26" ht="12" customHeight="1">
      <c r="B99" s="166">
        <f t="shared" si="55"/>
        <v>42825</v>
      </c>
      <c r="C99"/>
      <c r="G99" s="706">
        <v>19.04002702256156</v>
      </c>
      <c r="H99" s="706" t="s">
        <v>572</v>
      </c>
      <c r="I99" s="697">
        <f t="shared" ca="1" si="48"/>
        <v>342.53985194422665</v>
      </c>
      <c r="J99" s="706">
        <v>36.488592642337849</v>
      </c>
      <c r="K99" s="706">
        <v>8.7816155704016694</v>
      </c>
      <c r="L99" s="697">
        <f t="shared" ca="1" si="49"/>
        <v>15.420000037248862</v>
      </c>
      <c r="M99" s="1185">
        <v>6.2854428115777266</v>
      </c>
      <c r="N99" s="697">
        <f t="shared" ca="1" si="50"/>
        <v>8.1842553963144997</v>
      </c>
      <c r="O99" s="697"/>
      <c r="P99" s="697"/>
      <c r="Q99" s="697"/>
      <c r="R99" s="706">
        <v>6.3944821693721758</v>
      </c>
      <c r="S99" s="697">
        <f t="shared" ca="1" si="51"/>
        <v>6.2754980846405033</v>
      </c>
      <c r="T99" s="1152">
        <v>596.07713547413152</v>
      </c>
      <c r="U99" s="697">
        <f t="shared" ca="1" si="52"/>
        <v>65.1084081344151</v>
      </c>
      <c r="V99" s="697">
        <f t="shared" ca="1" si="56"/>
        <v>41.021279401540347</v>
      </c>
      <c r="W99" s="697">
        <v>19.04002702256156</v>
      </c>
      <c r="X99" s="697">
        <f t="shared" ca="1" si="53"/>
        <v>20.684677803177475</v>
      </c>
      <c r="Y99" s="697">
        <v>19.888997285524916</v>
      </c>
      <c r="Z99" s="697">
        <f t="shared" ca="1" si="54"/>
        <v>15.366110393028141</v>
      </c>
    </row>
    <row r="100" spans="2:26" ht="12" customHeight="1">
      <c r="B100" s="166">
        <f t="shared" si="55"/>
        <v>42832</v>
      </c>
      <c r="C100"/>
      <c r="G100" s="706">
        <v>18.667810723961338</v>
      </c>
      <c r="H100" s="706" t="s">
        <v>572</v>
      </c>
      <c r="I100" s="697">
        <f t="shared" ca="1" si="48"/>
        <v>342.53985194422665</v>
      </c>
      <c r="J100" s="706">
        <v>36.302908162435081</v>
      </c>
      <c r="K100" s="706">
        <v>8.8094699326113144</v>
      </c>
      <c r="L100" s="697">
        <f t="shared" ca="1" si="49"/>
        <v>15.420000037248862</v>
      </c>
      <c r="M100" s="1185">
        <v>6.4576384730831764</v>
      </c>
      <c r="N100" s="697">
        <f t="shared" ca="1" si="50"/>
        <v>8.1842553963144997</v>
      </c>
      <c r="O100" s="697"/>
      <c r="P100" s="697"/>
      <c r="Q100" s="697"/>
      <c r="R100" s="706">
        <v>6.220116818564227</v>
      </c>
      <c r="S100" s="697">
        <f t="shared" ca="1" si="51"/>
        <v>6.2754980846405033</v>
      </c>
      <c r="T100" s="1152">
        <v>566.48593949817121</v>
      </c>
      <c r="U100" s="697">
        <f t="shared" ca="1" si="52"/>
        <v>65.1084081344151</v>
      </c>
      <c r="V100" s="697">
        <f t="shared" ca="1" si="56"/>
        <v>41.021279401540347</v>
      </c>
      <c r="W100" s="697">
        <v>18.667810723961338</v>
      </c>
      <c r="X100" s="697">
        <f t="shared" ca="1" si="53"/>
        <v>20.684677803177475</v>
      </c>
      <c r="Y100" s="697">
        <v>20.720239280340497</v>
      </c>
      <c r="Z100" s="697">
        <f t="shared" ca="1" si="54"/>
        <v>15.366110393028141</v>
      </c>
    </row>
    <row r="101" spans="2:26" ht="13.2">
      <c r="B101" s="166">
        <f t="shared" si="55"/>
        <v>42839</v>
      </c>
      <c r="C101"/>
      <c r="G101" s="706">
        <v>18.456431749833008</v>
      </c>
      <c r="H101" s="706" t="s">
        <v>572</v>
      </c>
      <c r="I101" s="697">
        <f t="shared" ca="1" si="48"/>
        <v>342.53985194422665</v>
      </c>
      <c r="J101" s="706">
        <v>35.863112182606486</v>
      </c>
      <c r="K101" s="706">
        <v>9.0256043188564252</v>
      </c>
      <c r="L101" s="697">
        <f t="shared" ca="1" si="49"/>
        <v>15.420000037248862</v>
      </c>
      <c r="M101" s="1185">
        <v>6.3787282536739962</v>
      </c>
      <c r="N101" s="697">
        <f t="shared" ca="1" si="50"/>
        <v>8.1842553963144997</v>
      </c>
      <c r="O101" s="697"/>
      <c r="P101" s="697"/>
      <c r="Q101" s="697"/>
      <c r="R101" s="706">
        <v>6.1571215241987867</v>
      </c>
      <c r="S101" s="697">
        <f t="shared" ca="1" si="51"/>
        <v>6.2754980846405033</v>
      </c>
      <c r="T101" s="1152">
        <v>450.51423953394334</v>
      </c>
      <c r="U101" s="697">
        <f t="shared" ca="1" si="52"/>
        <v>65.1084081344151</v>
      </c>
      <c r="V101" s="697">
        <f t="shared" ca="1" si="56"/>
        <v>41.021279401540347</v>
      </c>
      <c r="W101" s="697">
        <v>18.456431749833008</v>
      </c>
      <c r="X101" s="697">
        <f t="shared" ca="1" si="53"/>
        <v>20.684677803177475</v>
      </c>
      <c r="Y101" s="697">
        <v>20.388494822887935</v>
      </c>
      <c r="Z101" s="697">
        <f t="shared" ca="1" si="54"/>
        <v>15.366110393028141</v>
      </c>
    </row>
    <row r="102" spans="2:26" ht="13.2">
      <c r="B102" s="166">
        <f t="shared" si="55"/>
        <v>42846</v>
      </c>
      <c r="C102"/>
      <c r="G102" s="706">
        <v>18.672817405395151</v>
      </c>
      <c r="H102" s="706" t="s">
        <v>572</v>
      </c>
      <c r="I102" s="697">
        <f t="shared" ca="1" si="48"/>
        <v>342.53985194422665</v>
      </c>
      <c r="J102" s="706">
        <v>35.834868636606267</v>
      </c>
      <c r="K102" s="706">
        <v>9.7316181890105806</v>
      </c>
      <c r="L102" s="697">
        <f t="shared" ca="1" si="49"/>
        <v>15.420000037248862</v>
      </c>
      <c r="M102" s="1185">
        <v>6.3408527758454643</v>
      </c>
      <c r="N102" s="697">
        <f t="shared" ca="1" si="50"/>
        <v>8.1842553963144997</v>
      </c>
      <c r="O102" s="697"/>
      <c r="P102" s="697"/>
      <c r="Q102" s="697"/>
      <c r="R102" s="706">
        <v>6.2823945832220316</v>
      </c>
      <c r="S102" s="697">
        <f t="shared" ca="1" si="51"/>
        <v>6.2754980846405033</v>
      </c>
      <c r="T102" s="1152">
        <v>507.4972962684073</v>
      </c>
      <c r="U102" s="697">
        <f t="shared" ca="1" si="52"/>
        <v>65.1084081344151</v>
      </c>
      <c r="V102" s="697">
        <f t="shared" ca="1" si="56"/>
        <v>41.021279401540347</v>
      </c>
      <c r="W102" s="697">
        <v>18.672817405395151</v>
      </c>
      <c r="X102" s="697">
        <f t="shared" ca="1" si="53"/>
        <v>20.684677803177475</v>
      </c>
      <c r="Y102" s="697">
        <v>20.012713275353747</v>
      </c>
      <c r="Z102" s="697">
        <f t="shared" ca="1" si="54"/>
        <v>15.366110393028141</v>
      </c>
    </row>
    <row r="103" spans="2:26" ht="13.2">
      <c r="B103" s="166">
        <f t="shared" si="55"/>
        <v>42853</v>
      </c>
      <c r="C103"/>
      <c r="G103" s="706">
        <v>19.454318952989258</v>
      </c>
      <c r="H103" s="706" t="s">
        <v>572</v>
      </c>
      <c r="I103" s="697">
        <f t="shared" ca="1" si="48"/>
        <v>342.53985194422665</v>
      </c>
      <c r="J103" s="706">
        <v>37.509264270822037</v>
      </c>
      <c r="K103" s="706">
        <v>9.5669284548041382</v>
      </c>
      <c r="L103" s="697">
        <f t="shared" ca="1" si="49"/>
        <v>15.420000037248862</v>
      </c>
      <c r="M103" s="1185">
        <v>6.6348193089163416</v>
      </c>
      <c r="N103" s="697">
        <f t="shared" ca="1" si="50"/>
        <v>8.1842553963144997</v>
      </c>
      <c r="O103" s="697"/>
      <c r="P103" s="697"/>
      <c r="Q103" s="697"/>
      <c r="R103" s="706">
        <v>6.5639204586742599</v>
      </c>
      <c r="S103" s="697">
        <f t="shared" ca="1" si="51"/>
        <v>6.2754980846405033</v>
      </c>
      <c r="T103" s="1152">
        <v>476.55418080376859</v>
      </c>
      <c r="U103" s="697">
        <f t="shared" ca="1" si="52"/>
        <v>65.1084081344151</v>
      </c>
      <c r="V103" s="697">
        <f t="shared" ca="1" si="56"/>
        <v>41.021279401540347</v>
      </c>
      <c r="W103" s="697">
        <v>19.454318952989258</v>
      </c>
      <c r="X103" s="697">
        <f t="shared" ca="1" si="53"/>
        <v>20.684677803177475</v>
      </c>
      <c r="Y103" s="697">
        <v>21.366946037970113</v>
      </c>
      <c r="Z103" s="697">
        <f t="shared" ca="1" si="54"/>
        <v>15.366110393028141</v>
      </c>
    </row>
    <row r="104" spans="2:26" ht="13.2">
      <c r="B104" s="166">
        <f t="shared" si="55"/>
        <v>42860</v>
      </c>
      <c r="C104"/>
      <c r="G104" s="706">
        <v>19.906584236126481</v>
      </c>
      <c r="H104" s="706" t="s">
        <v>572</v>
      </c>
      <c r="I104" s="697">
        <f t="shared" ca="1" si="48"/>
        <v>342.53985194422665</v>
      </c>
      <c r="J104" s="706">
        <v>38.89440951340724</v>
      </c>
      <c r="K104" s="706">
        <v>10.23506011254565</v>
      </c>
      <c r="L104" s="697">
        <f t="shared" ca="1" si="49"/>
        <v>15.420000037248862</v>
      </c>
      <c r="M104" s="1185">
        <v>6.4750091907475138</v>
      </c>
      <c r="N104" s="697">
        <f t="shared" ca="1" si="50"/>
        <v>8.1842553963144997</v>
      </c>
      <c r="O104" s="697"/>
      <c r="P104" s="697"/>
      <c r="Q104" s="697"/>
      <c r="R104" s="706">
        <v>6.7723181239908197</v>
      </c>
      <c r="S104" s="697">
        <f t="shared" ca="1" si="51"/>
        <v>6.2754980846405033</v>
      </c>
      <c r="T104" s="1152">
        <v>386.26896263243674</v>
      </c>
      <c r="U104" s="697">
        <f t="shared" ca="1" si="52"/>
        <v>65.1084081344151</v>
      </c>
      <c r="V104" s="697">
        <f t="shared" ca="1" si="56"/>
        <v>41.021279401540347</v>
      </c>
      <c r="W104" s="697">
        <v>19.906584236126481</v>
      </c>
      <c r="X104" s="697">
        <f t="shared" ca="1" si="53"/>
        <v>20.684677803177475</v>
      </c>
      <c r="Y104" s="697">
        <v>20.433103831533689</v>
      </c>
      <c r="Z104" s="697">
        <f t="shared" ca="1" si="54"/>
        <v>15.366110393028141</v>
      </c>
    </row>
    <row r="105" spans="2:26" ht="13.2">
      <c r="B105" s="166">
        <f t="shared" si="55"/>
        <v>42867</v>
      </c>
      <c r="C105"/>
      <c r="G105" s="706">
        <v>20.55067025968183</v>
      </c>
      <c r="H105" s="706" t="s">
        <v>572</v>
      </c>
      <c r="I105" s="697">
        <f t="shared" ca="1" si="48"/>
        <v>342.53985194422665</v>
      </c>
      <c r="J105" s="706">
        <v>39.677976858955603</v>
      </c>
      <c r="K105" s="706">
        <v>11.174965458530428</v>
      </c>
      <c r="L105" s="697">
        <f t="shared" ca="1" si="49"/>
        <v>15.420000037248862</v>
      </c>
      <c r="M105" s="1185">
        <v>6.5611077365165018</v>
      </c>
      <c r="N105" s="697">
        <f t="shared" ca="1" si="50"/>
        <v>8.1842553963144997</v>
      </c>
      <c r="O105" s="697"/>
      <c r="P105" s="697"/>
      <c r="Q105" s="697"/>
      <c r="R105" s="706">
        <v>6.7031109633614419</v>
      </c>
      <c r="S105" s="697">
        <f t="shared" ca="1" si="51"/>
        <v>6.2754980846405033</v>
      </c>
      <c r="T105" s="1152">
        <v>408.5718333368165</v>
      </c>
      <c r="U105" s="697">
        <f t="shared" ca="1" si="52"/>
        <v>65.1084081344151</v>
      </c>
      <c r="V105" s="697">
        <f t="shared" ca="1" si="56"/>
        <v>41.021279401540347</v>
      </c>
      <c r="W105" s="697">
        <v>20.55067025968183</v>
      </c>
      <c r="X105" s="697">
        <f t="shared" ca="1" si="53"/>
        <v>20.684677803177475</v>
      </c>
      <c r="Y105" s="697">
        <v>20.726288762509824</v>
      </c>
      <c r="Z105" s="697">
        <f t="shared" ca="1" si="54"/>
        <v>15.366110393028141</v>
      </c>
    </row>
    <row r="106" spans="2:26" ht="13.2">
      <c r="B106" s="166">
        <f t="shared" si="55"/>
        <v>42874</v>
      </c>
      <c r="C106"/>
      <c r="G106" s="706">
        <v>20.090419187780725</v>
      </c>
      <c r="H106" s="706" t="s">
        <v>572</v>
      </c>
      <c r="I106" s="697">
        <f t="shared" ca="1" si="48"/>
        <v>342.53985194422665</v>
      </c>
      <c r="J106" s="706">
        <v>39.332190806841467</v>
      </c>
      <c r="K106" s="706">
        <v>10.508015250882078</v>
      </c>
      <c r="L106" s="697">
        <f t="shared" ca="1" si="49"/>
        <v>15.420000037248862</v>
      </c>
      <c r="M106" s="1185">
        <v>6.4348606483520827</v>
      </c>
      <c r="N106" s="697">
        <f t="shared" ca="1" si="50"/>
        <v>8.1842553963144997</v>
      </c>
      <c r="O106" s="697"/>
      <c r="P106" s="697"/>
      <c r="Q106" s="697"/>
      <c r="R106" s="706">
        <v>6.5968018192337947</v>
      </c>
      <c r="S106" s="697">
        <f t="shared" ca="1" si="51"/>
        <v>6.2754980846405033</v>
      </c>
      <c r="T106" s="1152">
        <v>373.51057009603619</v>
      </c>
      <c r="U106" s="697">
        <f t="shared" ca="1" si="52"/>
        <v>65.1084081344151</v>
      </c>
      <c r="V106" s="697">
        <f t="shared" ca="1" si="56"/>
        <v>41.021279401540347</v>
      </c>
      <c r="W106" s="697">
        <v>20.090419187780725</v>
      </c>
      <c r="X106" s="697">
        <f t="shared" ca="1" si="53"/>
        <v>20.684677803177475</v>
      </c>
      <c r="Y106" s="697">
        <v>20.059035039976997</v>
      </c>
      <c r="Z106" s="697">
        <f t="shared" ca="1" si="54"/>
        <v>15.366110393028141</v>
      </c>
    </row>
    <row r="107" spans="2:26" ht="13.2">
      <c r="B107" s="166">
        <f t="shared" si="55"/>
        <v>42881</v>
      </c>
      <c r="C107"/>
      <c r="G107" s="706">
        <v>20.673885473615609</v>
      </c>
      <c r="H107" s="706" t="s">
        <v>572</v>
      </c>
      <c r="I107" s="697">
        <f t="shared" ca="1" si="48"/>
        <v>342.53985194422665</v>
      </c>
      <c r="J107" s="706">
        <v>40.447892518134232</v>
      </c>
      <c r="K107" s="706">
        <v>10.673563810011037</v>
      </c>
      <c r="L107" s="697">
        <f t="shared" ca="1" si="49"/>
        <v>15.420000037248862</v>
      </c>
      <c r="M107" s="1185">
        <v>6.6294139103024063</v>
      </c>
      <c r="N107" s="697">
        <f t="shared" ca="1" si="50"/>
        <v>8.1842553963144997</v>
      </c>
      <c r="O107" s="697"/>
      <c r="P107" s="697"/>
      <c r="Q107" s="697"/>
      <c r="R107" s="706">
        <v>6.8299667720481807</v>
      </c>
      <c r="S107" s="697">
        <f t="shared" ca="1" si="51"/>
        <v>6.2754980846405033</v>
      </c>
      <c r="T107" s="1152">
        <v>371.8577895988733</v>
      </c>
      <c r="U107" s="697">
        <f t="shared" ca="1" si="52"/>
        <v>65.1084081344151</v>
      </c>
      <c r="V107" s="697">
        <f t="shared" ca="1" si="56"/>
        <v>41.021279401540347</v>
      </c>
      <c r="W107" s="697">
        <v>20.673885473615609</v>
      </c>
      <c r="X107" s="697">
        <f t="shared" ca="1" si="53"/>
        <v>20.684677803177475</v>
      </c>
      <c r="Y107" s="697">
        <v>20.534741765279676</v>
      </c>
      <c r="Z107" s="697">
        <f t="shared" ca="1" si="54"/>
        <v>15.366110393028141</v>
      </c>
    </row>
    <row r="108" spans="2:26" ht="13.2">
      <c r="B108" s="166">
        <f t="shared" si="55"/>
        <v>42888</v>
      </c>
      <c r="C108"/>
      <c r="G108" s="706">
        <v>21.073908034023813</v>
      </c>
      <c r="H108" s="706" t="s">
        <v>572</v>
      </c>
      <c r="I108" s="697">
        <f t="shared" ca="1" si="48"/>
        <v>342.53985194422665</v>
      </c>
      <c r="J108" s="706">
        <v>41.139816973460938</v>
      </c>
      <c r="K108" s="706">
        <v>11.437009007776723</v>
      </c>
      <c r="L108" s="697">
        <f t="shared" ca="1" si="49"/>
        <v>15.420000037248862</v>
      </c>
      <c r="M108" s="1185">
        <v>6.6601418791706237</v>
      </c>
      <c r="N108" s="697">
        <f t="shared" ca="1" si="50"/>
        <v>8.1842553963144997</v>
      </c>
      <c r="O108" s="697"/>
      <c r="P108" s="697"/>
      <c r="Q108" s="697"/>
      <c r="R108" s="706">
        <v>6.9906903306839459</v>
      </c>
      <c r="S108" s="697">
        <f t="shared" ca="1" si="51"/>
        <v>6.2754980846405033</v>
      </c>
      <c r="T108" s="1152">
        <v>386.98399543801236</v>
      </c>
      <c r="U108" s="697">
        <f t="shared" ca="1" si="52"/>
        <v>65.1084081344151</v>
      </c>
      <c r="V108" s="697">
        <f t="shared" ca="1" si="56"/>
        <v>41.021279401540347</v>
      </c>
      <c r="W108" s="697">
        <v>21.073908034023813</v>
      </c>
      <c r="X108" s="697">
        <f t="shared" ca="1" si="53"/>
        <v>20.684677803177475</v>
      </c>
      <c r="Y108" s="697">
        <v>20.392690514246478</v>
      </c>
      <c r="Z108" s="697">
        <f t="shared" ca="1" si="54"/>
        <v>15.366110393028141</v>
      </c>
    </row>
    <row r="109" spans="2:26" ht="13.2">
      <c r="B109" s="166">
        <f t="shared" si="55"/>
        <v>42895</v>
      </c>
      <c r="C109"/>
      <c r="G109" s="706">
        <v>20.037548903396782</v>
      </c>
      <c r="H109" s="706" t="s">
        <v>572</v>
      </c>
      <c r="I109" s="697">
        <f t="shared" ca="1" si="48"/>
        <v>342.53985194422665</v>
      </c>
      <c r="J109" s="706">
        <v>39.369231778460701</v>
      </c>
      <c r="K109" s="706">
        <v>10.627751198331509</v>
      </c>
      <c r="L109" s="697">
        <f t="shared" ca="1" si="49"/>
        <v>15.420000037248862</v>
      </c>
      <c r="M109" s="1185">
        <v>6.4714580634054526</v>
      </c>
      <c r="N109" s="697">
        <f t="shared" ca="1" si="50"/>
        <v>8.1842553963144997</v>
      </c>
      <c r="O109" s="697"/>
      <c r="P109" s="697"/>
      <c r="Q109" s="697"/>
      <c r="R109" s="706">
        <v>6.5274923719124054</v>
      </c>
      <c r="S109" s="697">
        <f t="shared" ca="1" si="51"/>
        <v>6.2754980846405033</v>
      </c>
      <c r="T109" s="1152">
        <v>331.08188574469079</v>
      </c>
      <c r="U109" s="697">
        <f t="shared" ca="1" si="52"/>
        <v>65.1084081344151</v>
      </c>
      <c r="V109" s="697">
        <f t="shared" ca="1" si="56"/>
        <v>41.021279401540347</v>
      </c>
      <c r="W109" s="697">
        <v>20.037548903396782</v>
      </c>
      <c r="X109" s="697">
        <f t="shared" ca="1" si="53"/>
        <v>20.684677803177475</v>
      </c>
      <c r="Y109" s="697">
        <v>19.670748475042608</v>
      </c>
      <c r="Z109" s="697">
        <f t="shared" ca="1" si="54"/>
        <v>15.366110393028141</v>
      </c>
    </row>
    <row r="110" spans="2:26" ht="13.2">
      <c r="B110" s="166">
        <f t="shared" si="55"/>
        <v>42902</v>
      </c>
      <c r="C110"/>
      <c r="G110" s="706">
        <v>19.519931409233589</v>
      </c>
      <c r="H110" s="706" t="s">
        <v>572</v>
      </c>
      <c r="I110" s="697">
        <f t="shared" ca="1" si="48"/>
        <v>342.53985194422665</v>
      </c>
      <c r="J110" s="706">
        <v>38.931353011878045</v>
      </c>
      <c r="K110" s="706">
        <v>10.001901713614444</v>
      </c>
      <c r="L110" s="697">
        <f t="shared" ca="1" si="49"/>
        <v>15.420000037248862</v>
      </c>
      <c r="M110" s="1185">
        <v>6.3506796055142019</v>
      </c>
      <c r="N110" s="697">
        <f t="shared" ca="1" si="50"/>
        <v>8.1842553963144997</v>
      </c>
      <c r="O110" s="697"/>
      <c r="P110" s="697"/>
      <c r="Q110" s="697"/>
      <c r="R110" s="706">
        <v>6.3718736066794284</v>
      </c>
      <c r="S110" s="697">
        <f t="shared" ca="1" si="51"/>
        <v>6.2754980846405033</v>
      </c>
      <c r="T110" s="1152">
        <v>303.52662862021543</v>
      </c>
      <c r="U110" s="697">
        <f t="shared" ca="1" si="52"/>
        <v>65.1084081344151</v>
      </c>
      <c r="V110" s="697">
        <f t="shared" ca="1" si="56"/>
        <v>41.021279401540347</v>
      </c>
      <c r="W110" s="697">
        <v>19.519931409233589</v>
      </c>
      <c r="X110" s="697">
        <f t="shared" ca="1" si="53"/>
        <v>20.684677803177475</v>
      </c>
      <c r="Y110" s="697">
        <v>19.084131029478648</v>
      </c>
      <c r="Z110" s="697">
        <f t="shared" ca="1" si="54"/>
        <v>15.366110393028141</v>
      </c>
    </row>
    <row r="111" spans="2:26" ht="13.2">
      <c r="B111" s="166">
        <f t="shared" si="55"/>
        <v>42909</v>
      </c>
      <c r="C111"/>
      <c r="G111" s="706">
        <v>20.209746935019304</v>
      </c>
      <c r="H111" s="706" t="s">
        <v>572</v>
      </c>
      <c r="I111" s="697">
        <f t="shared" ca="1" si="48"/>
        <v>342.53985194422665</v>
      </c>
      <c r="J111" s="706">
        <v>40.077803303564451</v>
      </c>
      <c r="K111" s="706">
        <v>10.830688274888516</v>
      </c>
      <c r="L111" s="697">
        <f t="shared" ca="1" si="49"/>
        <v>15.420000037248862</v>
      </c>
      <c r="M111" s="1185">
        <v>6.6334624739036672</v>
      </c>
      <c r="N111" s="697">
        <f t="shared" ca="1" si="50"/>
        <v>8.1842553963144997</v>
      </c>
      <c r="O111" s="697"/>
      <c r="P111" s="697"/>
      <c r="Q111" s="697"/>
      <c r="R111" s="706">
        <v>6.6692923389751693</v>
      </c>
      <c r="S111" s="697">
        <f t="shared" ca="1" si="51"/>
        <v>6.2754980846405033</v>
      </c>
      <c r="T111" s="1152">
        <v>332.1706926349882</v>
      </c>
      <c r="U111" s="697">
        <f t="shared" ca="1" si="52"/>
        <v>65.1084081344151</v>
      </c>
      <c r="V111" s="697">
        <f t="shared" ca="1" si="56"/>
        <v>41.021279401540347</v>
      </c>
      <c r="W111" s="697">
        <v>20.209746935019304</v>
      </c>
      <c r="X111" s="697">
        <f t="shared" ca="1" si="53"/>
        <v>20.684677803177475</v>
      </c>
      <c r="Y111" s="697">
        <v>19.969870147775961</v>
      </c>
      <c r="Z111" s="697">
        <f t="shared" ca="1" si="54"/>
        <v>15.366110393028141</v>
      </c>
    </row>
    <row r="112" spans="2:26" ht="13.2">
      <c r="B112" s="166">
        <f t="shared" si="55"/>
        <v>42916</v>
      </c>
      <c r="C112"/>
      <c r="G112" s="706">
        <v>19.224699601633777</v>
      </c>
      <c r="H112" s="706" t="s">
        <v>572</v>
      </c>
      <c r="I112" s="697">
        <f t="shared" ca="1" si="48"/>
        <v>342.53985194422665</v>
      </c>
      <c r="J112" s="706">
        <v>38.254603146372851</v>
      </c>
      <c r="K112" s="706">
        <v>9.6101238642409896</v>
      </c>
      <c r="L112" s="697">
        <f t="shared" ca="1" si="49"/>
        <v>15.420000037248862</v>
      </c>
      <c r="M112" s="1185">
        <v>6.8222096732870856</v>
      </c>
      <c r="N112" s="697">
        <f t="shared" ca="1" si="50"/>
        <v>8.1842553963144997</v>
      </c>
      <c r="O112" s="697"/>
      <c r="P112" s="697"/>
      <c r="Q112" s="697"/>
      <c r="R112" s="706">
        <v>6.6894989920811527</v>
      </c>
      <c r="S112" s="697">
        <f t="shared" ca="1" si="51"/>
        <v>6.2754980846405033</v>
      </c>
      <c r="T112" s="1152">
        <v>286.78380482133747</v>
      </c>
      <c r="U112" s="697">
        <f t="shared" ca="1" si="52"/>
        <v>65.1084081344151</v>
      </c>
      <c r="V112" s="697">
        <f t="shared" ca="1" si="56"/>
        <v>41.021279401540347</v>
      </c>
      <c r="W112" s="697">
        <v>19.224699601633777</v>
      </c>
      <c r="X112" s="697">
        <f t="shared" ca="1" si="53"/>
        <v>20.684677803177475</v>
      </c>
      <c r="Y112" s="697">
        <v>20.826479280578958</v>
      </c>
      <c r="Z112" s="697">
        <f t="shared" ca="1" si="54"/>
        <v>15.366110393028141</v>
      </c>
    </row>
    <row r="113" spans="2:26" ht="13.2">
      <c r="B113" s="166">
        <f t="shared" si="55"/>
        <v>42923</v>
      </c>
      <c r="C113"/>
      <c r="G113" s="706">
        <v>19.211776163706848</v>
      </c>
      <c r="H113" s="706" t="s">
        <v>572</v>
      </c>
      <c r="I113" s="697">
        <f t="shared" ca="1" si="48"/>
        <v>342.53985194422665</v>
      </c>
      <c r="J113" s="706">
        <v>46.017018000011554</v>
      </c>
      <c r="K113" s="706">
        <v>9.8043235739460606</v>
      </c>
      <c r="L113" s="697">
        <f t="shared" ca="1" si="49"/>
        <v>15.420000037248862</v>
      </c>
      <c r="M113" s="1185">
        <v>6.8661008809057638</v>
      </c>
      <c r="N113" s="697">
        <f t="shared" ca="1" si="50"/>
        <v>8.1842553963144997</v>
      </c>
      <c r="O113" s="697"/>
      <c r="P113" s="697"/>
      <c r="Q113" s="697"/>
      <c r="R113" s="706">
        <v>6.6224482047333737</v>
      </c>
      <c r="S113" s="697">
        <f t="shared" ca="1" si="51"/>
        <v>6.2754980846405033</v>
      </c>
      <c r="T113" s="1152">
        <v>286.82286799993517</v>
      </c>
      <c r="U113" s="697">
        <f t="shared" ca="1" si="52"/>
        <v>65.1084081344151</v>
      </c>
      <c r="V113" s="697">
        <f t="shared" ca="1" si="56"/>
        <v>41.021279401540347</v>
      </c>
      <c r="W113" s="697">
        <v>19.211776163706848</v>
      </c>
      <c r="X113" s="697">
        <f t="shared" ca="1" si="53"/>
        <v>20.684677803177475</v>
      </c>
      <c r="Y113" s="697">
        <v>20.903803576767633</v>
      </c>
      <c r="Z113" s="697">
        <f t="shared" ca="1" si="54"/>
        <v>15.366110393028141</v>
      </c>
    </row>
    <row r="114" spans="2:26" ht="13.2">
      <c r="B114" s="166">
        <f t="shared" si="55"/>
        <v>42930</v>
      </c>
      <c r="C114"/>
      <c r="G114" s="706">
        <v>19.972286530319309</v>
      </c>
      <c r="H114" s="706" t="s">
        <v>572</v>
      </c>
      <c r="I114" s="697">
        <f t="shared" ca="1" si="48"/>
        <v>342.53985194422665</v>
      </c>
      <c r="J114" s="706">
        <v>47.656759296801603</v>
      </c>
      <c r="K114" s="706">
        <v>10.169455315373199</v>
      </c>
      <c r="L114" s="697">
        <f t="shared" ca="1" si="49"/>
        <v>15.420000037248862</v>
      </c>
      <c r="M114" s="1185">
        <v>7.0419706263946296</v>
      </c>
      <c r="N114" s="697">
        <f t="shared" ca="1" si="50"/>
        <v>8.1842553963144997</v>
      </c>
      <c r="O114" s="697"/>
      <c r="P114" s="697"/>
      <c r="Q114" s="697"/>
      <c r="R114" s="706">
        <v>6.6822468139350555</v>
      </c>
      <c r="S114" s="697">
        <f t="shared" ca="1" si="51"/>
        <v>6.2754980846405033</v>
      </c>
      <c r="T114" s="1152">
        <v>289.85433883487411</v>
      </c>
      <c r="U114" s="697">
        <f t="shared" ca="1" si="52"/>
        <v>65.1084081344151</v>
      </c>
      <c r="V114" s="697">
        <f t="shared" ca="1" si="56"/>
        <v>41.021279401540347</v>
      </c>
      <c r="W114" s="697">
        <v>19.972286530319309</v>
      </c>
      <c r="X114" s="697">
        <f t="shared" ca="1" si="53"/>
        <v>20.684677803177475</v>
      </c>
      <c r="Y114" s="697">
        <v>21.413217606092541</v>
      </c>
      <c r="Z114" s="697">
        <f t="shared" ca="1" si="54"/>
        <v>15.366110393028141</v>
      </c>
    </row>
    <row r="115" spans="2:26" ht="13.2">
      <c r="B115" s="166">
        <f t="shared" si="55"/>
        <v>42937</v>
      </c>
      <c r="C115"/>
      <c r="G115" s="706">
        <v>21.032583209782985</v>
      </c>
      <c r="H115" s="706" t="s">
        <v>572</v>
      </c>
      <c r="I115" s="697">
        <f t="shared" ca="1" si="48"/>
        <v>342.53985194422665</v>
      </c>
      <c r="J115" s="706">
        <v>49.410304435734908</v>
      </c>
      <c r="K115" s="706">
        <v>9.7385450132870197</v>
      </c>
      <c r="L115" s="697">
        <f t="shared" ca="1" si="49"/>
        <v>15.420000037248862</v>
      </c>
      <c r="M115" s="1185">
        <v>7.1007550200148586</v>
      </c>
      <c r="N115" s="697">
        <f t="shared" ca="1" si="50"/>
        <v>8.1842553963144997</v>
      </c>
      <c r="O115" s="697"/>
      <c r="P115" s="697"/>
      <c r="Q115" s="697"/>
      <c r="R115" s="706">
        <v>6.6606589188141161</v>
      </c>
      <c r="S115" s="697">
        <f t="shared" ca="1" si="51"/>
        <v>6.2754980846405033</v>
      </c>
      <c r="T115" s="1152">
        <v>272.67678309706992</v>
      </c>
      <c r="U115" s="697">
        <f t="shared" ca="1" si="52"/>
        <v>65.1084081344151</v>
      </c>
      <c r="V115" s="697">
        <f t="shared" ca="1" si="56"/>
        <v>41.021279401540347</v>
      </c>
      <c r="W115" s="697">
        <v>21.032583209782985</v>
      </c>
      <c r="X115" s="697">
        <f t="shared" ca="1" si="53"/>
        <v>20.684677803177475</v>
      </c>
      <c r="Y115" s="697">
        <v>21.438290294787883</v>
      </c>
      <c r="Z115" s="697">
        <f t="shared" ca="1" si="54"/>
        <v>15.366110393028141</v>
      </c>
    </row>
    <row r="116" spans="2:26" ht="13.2">
      <c r="B116" s="166">
        <f t="shared" si="55"/>
        <v>42944</v>
      </c>
      <c r="C116"/>
      <c r="G116" s="706">
        <v>20.849037974107766</v>
      </c>
      <c r="H116" s="706" t="s">
        <v>572</v>
      </c>
      <c r="I116" s="697">
        <f t="shared" ca="1" si="48"/>
        <v>342.53985194422665</v>
      </c>
      <c r="J116" s="706">
        <v>54.140848465790363</v>
      </c>
      <c r="K116" s="706">
        <v>10.108649418714261</v>
      </c>
      <c r="L116" s="697">
        <f t="shared" ca="1" si="49"/>
        <v>15.420000037248862</v>
      </c>
      <c r="M116" s="1185">
        <v>6.9597910223730839</v>
      </c>
      <c r="N116" s="697">
        <f t="shared" ca="1" si="50"/>
        <v>8.1842553963144997</v>
      </c>
      <c r="O116" s="697"/>
      <c r="P116" s="697"/>
      <c r="Q116" s="697"/>
      <c r="R116" s="706">
        <v>6.6347835590358892</v>
      </c>
      <c r="S116" s="697">
        <f t="shared" ca="1" si="51"/>
        <v>6.2754980846405033</v>
      </c>
      <c r="T116" s="1152">
        <v>309.08562111246385</v>
      </c>
      <c r="U116" s="697">
        <f t="shared" ca="1" si="52"/>
        <v>65.1084081344151</v>
      </c>
      <c r="V116" s="697">
        <f t="shared" ca="1" si="56"/>
        <v>41.021279401540347</v>
      </c>
      <c r="W116" s="697">
        <v>20.849037974107766</v>
      </c>
      <c r="X116" s="697">
        <f t="shared" ca="1" si="53"/>
        <v>20.684677803177475</v>
      </c>
      <c r="Y116" s="697">
        <v>20.825227271177589</v>
      </c>
      <c r="Z116" s="697">
        <f t="shared" ca="1" si="54"/>
        <v>15.366110393028141</v>
      </c>
    </row>
    <row r="117" spans="2:26" ht="13.2">
      <c r="B117" s="166">
        <f t="shared" si="55"/>
        <v>42951</v>
      </c>
      <c r="C117"/>
      <c r="G117" s="706">
        <v>20.420225042723715</v>
      </c>
      <c r="H117" s="706">
        <v>835.81794135124187</v>
      </c>
      <c r="I117" s="697">
        <f t="shared" ca="1" si="48"/>
        <v>342.53985194422665</v>
      </c>
      <c r="J117" s="706">
        <v>53.378965421063327</v>
      </c>
      <c r="K117" s="706">
        <v>10.002136504891373</v>
      </c>
      <c r="L117" s="697">
        <f t="shared" ca="1" si="49"/>
        <v>15.420000037248862</v>
      </c>
      <c r="M117" s="1185">
        <v>6.8151490917935673</v>
      </c>
      <c r="N117" s="697">
        <f t="shared" ca="1" si="50"/>
        <v>8.1842553963144997</v>
      </c>
      <c r="O117" s="697"/>
      <c r="P117" s="697"/>
      <c r="Q117" s="697"/>
      <c r="R117" s="706">
        <v>6.5179225532920837</v>
      </c>
      <c r="S117" s="697">
        <f t="shared" ca="1" si="51"/>
        <v>6.2754980846405033</v>
      </c>
      <c r="T117" s="1152">
        <v>264.72376249666968</v>
      </c>
      <c r="U117" s="697">
        <f t="shared" ca="1" si="52"/>
        <v>65.1084081344151</v>
      </c>
      <c r="V117" s="697">
        <f t="shared" ca="1" si="56"/>
        <v>41.021279401540347</v>
      </c>
      <c r="W117" s="697">
        <v>20.420225042723715</v>
      </c>
      <c r="X117" s="697">
        <f t="shared" ca="1" si="53"/>
        <v>20.684677803177475</v>
      </c>
      <c r="Y117" s="697">
        <v>20.377138087523861</v>
      </c>
      <c r="Z117" s="697">
        <f t="shared" ca="1" si="54"/>
        <v>15.366110393028141</v>
      </c>
    </row>
    <row r="118" spans="2:26" ht="13.2">
      <c r="B118" s="166">
        <f t="shared" si="55"/>
        <v>42958</v>
      </c>
      <c r="C118"/>
      <c r="G118" s="706">
        <v>19.455542562805288</v>
      </c>
      <c r="H118" s="706">
        <v>732.75196567036062</v>
      </c>
      <c r="I118" s="697">
        <f t="shared" ca="1" si="48"/>
        <v>342.53985194422665</v>
      </c>
      <c r="J118" s="706">
        <v>50.590764870535175</v>
      </c>
      <c r="K118" s="706">
        <v>9.4112212555650743</v>
      </c>
      <c r="L118" s="697">
        <f t="shared" ca="1" si="49"/>
        <v>15.420000037248862</v>
      </c>
      <c r="M118" s="1185">
        <v>6.6628456999753478</v>
      </c>
      <c r="N118" s="697">
        <f t="shared" ca="1" si="50"/>
        <v>8.1842553963144997</v>
      </c>
      <c r="O118" s="697"/>
      <c r="P118" s="697"/>
      <c r="Q118" s="697"/>
      <c r="R118" s="706">
        <v>6.1990236371440659</v>
      </c>
      <c r="S118" s="697">
        <f t="shared" ca="1" si="51"/>
        <v>6.2754980846405033</v>
      </c>
      <c r="T118" s="1152">
        <v>245.57281012985092</v>
      </c>
      <c r="U118" s="697">
        <f t="shared" ca="1" si="52"/>
        <v>65.1084081344151</v>
      </c>
      <c r="V118" s="697">
        <f t="shared" ca="1" si="56"/>
        <v>41.021279401540347</v>
      </c>
      <c r="W118" s="697">
        <v>19.455542562805288</v>
      </c>
      <c r="X118" s="697">
        <f t="shared" ca="1" si="53"/>
        <v>20.684677803177475</v>
      </c>
      <c r="Y118" s="697">
        <v>19.948126229481751</v>
      </c>
      <c r="Z118" s="697">
        <f t="shared" ca="1" si="54"/>
        <v>15.366110393028141</v>
      </c>
    </row>
    <row r="119" spans="2:26" ht="13.2">
      <c r="B119" s="166">
        <f t="shared" si="55"/>
        <v>42965</v>
      </c>
      <c r="C119"/>
      <c r="G119" s="706">
        <v>18.643368223760444</v>
      </c>
      <c r="H119" s="706">
        <v>724.83132804074148</v>
      </c>
      <c r="I119" s="697">
        <f t="shared" ca="1" si="48"/>
        <v>342.53985194422665</v>
      </c>
      <c r="J119" s="706">
        <v>49.065160703429925</v>
      </c>
      <c r="K119" s="706">
        <v>9.6781767339192548</v>
      </c>
      <c r="L119" s="697">
        <f t="shared" ca="1" si="49"/>
        <v>15.420000037248862</v>
      </c>
      <c r="M119" s="1185">
        <v>6.7453293911032031</v>
      </c>
      <c r="N119" s="697">
        <f t="shared" ca="1" si="50"/>
        <v>8.1842553963144997</v>
      </c>
      <c r="O119" s="697"/>
      <c r="P119" s="697"/>
      <c r="Q119" s="697"/>
      <c r="R119" s="706">
        <v>6.2379210783557815</v>
      </c>
      <c r="S119" s="697">
        <f t="shared" ca="1" si="51"/>
        <v>6.2754980846405033</v>
      </c>
      <c r="T119" s="1152">
        <v>248.67368581032639</v>
      </c>
      <c r="U119" s="697">
        <f t="shared" ca="1" si="52"/>
        <v>65.1084081344151</v>
      </c>
      <c r="V119" s="697">
        <f t="shared" ca="1" si="56"/>
        <v>41.021279401540347</v>
      </c>
      <c r="W119" s="697">
        <v>18.643368223760444</v>
      </c>
      <c r="X119" s="697">
        <f t="shared" ca="1" si="53"/>
        <v>20.684677803177475</v>
      </c>
      <c r="Y119" s="697">
        <v>20.116721518395256</v>
      </c>
      <c r="Z119" s="697">
        <f t="shared" ca="1" si="54"/>
        <v>15.366110393028141</v>
      </c>
    </row>
    <row r="120" spans="2:26" ht="13.2">
      <c r="B120" s="166">
        <f t="shared" si="55"/>
        <v>42972</v>
      </c>
      <c r="C120"/>
      <c r="G120" s="706">
        <v>18.512047903017606</v>
      </c>
      <c r="H120" s="706">
        <v>771.25701883661827</v>
      </c>
      <c r="I120" s="697">
        <f t="shared" ca="1" si="48"/>
        <v>342.53985194422665</v>
      </c>
      <c r="J120" s="706">
        <v>48.619793944862202</v>
      </c>
      <c r="K120" s="706">
        <v>10.662316505494006</v>
      </c>
      <c r="L120" s="697">
        <f t="shared" ca="1" si="49"/>
        <v>15.420000037248862</v>
      </c>
      <c r="M120" s="1185">
        <v>6.8745982815490789</v>
      </c>
      <c r="N120" s="697">
        <f t="shared" ca="1" si="50"/>
        <v>8.1842553963144997</v>
      </c>
      <c r="O120" s="697"/>
      <c r="P120" s="697"/>
      <c r="Q120" s="697"/>
      <c r="R120" s="706">
        <v>6.3647264287475531</v>
      </c>
      <c r="S120" s="697">
        <f t="shared" ca="1" si="51"/>
        <v>6.2754980846405033</v>
      </c>
      <c r="T120" s="1152">
        <v>272.31199852016692</v>
      </c>
      <c r="U120" s="697">
        <f t="shared" ca="1" si="52"/>
        <v>65.1084081344151</v>
      </c>
      <c r="V120" s="697">
        <f t="shared" ca="1" si="56"/>
        <v>41.021279401540347</v>
      </c>
      <c r="W120" s="697">
        <v>18.512047903017606</v>
      </c>
      <c r="X120" s="697">
        <f t="shared" ca="1" si="53"/>
        <v>20.684677803177475</v>
      </c>
      <c r="Y120" s="697">
        <v>20.372977056451553</v>
      </c>
      <c r="Z120" s="697">
        <f t="shared" ca="1" si="54"/>
        <v>15.366110393028141</v>
      </c>
    </row>
    <row r="121" spans="2:26" ht="13.2">
      <c r="B121" s="166">
        <f t="shared" si="55"/>
        <v>42979</v>
      </c>
      <c r="C121"/>
      <c r="G121" s="706">
        <v>19.185285297076586</v>
      </c>
      <c r="H121" s="706">
        <v>792.97688285694289</v>
      </c>
      <c r="I121" s="697">
        <f t="shared" ca="1" si="48"/>
        <v>342.53985194422665</v>
      </c>
      <c r="J121" s="706">
        <v>50.287466136838731</v>
      </c>
      <c r="K121" s="706">
        <v>11.397963753289925</v>
      </c>
      <c r="L121" s="697">
        <f t="shared" ca="1" si="49"/>
        <v>15.420000037248862</v>
      </c>
      <c r="M121" s="1185">
        <v>7.0767739480187348</v>
      </c>
      <c r="N121" s="697">
        <f t="shared" ca="1" si="50"/>
        <v>8.1842553963144997</v>
      </c>
      <c r="O121" s="697"/>
      <c r="P121" s="697"/>
      <c r="Q121" s="697"/>
      <c r="R121" s="706">
        <v>6.5440005887849217</v>
      </c>
      <c r="S121" s="697">
        <f t="shared" ca="1" si="51"/>
        <v>6.2754980846405033</v>
      </c>
      <c r="T121" s="1152">
        <v>287.81401714704776</v>
      </c>
      <c r="U121" s="697">
        <f t="shared" ca="1" si="52"/>
        <v>65.1084081344151</v>
      </c>
      <c r="V121" s="697">
        <f t="shared" ca="1" si="56"/>
        <v>41.021279401540347</v>
      </c>
      <c r="W121" s="697">
        <v>19.185285297076586</v>
      </c>
      <c r="X121" s="697">
        <f t="shared" ca="1" si="53"/>
        <v>20.684677803177475</v>
      </c>
      <c r="Y121" s="697">
        <v>21.025700559720967</v>
      </c>
      <c r="Z121" s="697">
        <f t="shared" ca="1" si="54"/>
        <v>15.366110393028141</v>
      </c>
    </row>
    <row r="122" spans="2:26" ht="13.2">
      <c r="B122" s="166">
        <f t="shared" si="55"/>
        <v>42986</v>
      </c>
      <c r="C122"/>
      <c r="G122" s="706">
        <v>19.229295238018551</v>
      </c>
      <c r="H122" s="706">
        <v>770.36365388885326</v>
      </c>
      <c r="I122" s="697">
        <f t="shared" ca="1" si="48"/>
        <v>342.53985194422665</v>
      </c>
      <c r="J122" s="706">
        <v>49.734594196623021</v>
      </c>
      <c r="K122" s="706">
        <v>11.620702608533435</v>
      </c>
      <c r="L122" s="697">
        <f t="shared" ca="1" si="49"/>
        <v>15.420000037248862</v>
      </c>
      <c r="M122" s="1185">
        <v>7.0477023050137593</v>
      </c>
      <c r="N122" s="697">
        <f t="shared" ca="1" si="50"/>
        <v>8.1842553963144997</v>
      </c>
      <c r="O122" s="697"/>
      <c r="P122" s="697"/>
      <c r="Q122" s="697"/>
      <c r="R122" s="706">
        <v>6.6226107031353454</v>
      </c>
      <c r="S122" s="697">
        <f t="shared" ca="1" si="51"/>
        <v>6.2754980846405033</v>
      </c>
      <c r="T122" s="1152">
        <v>271.04335297783723</v>
      </c>
      <c r="U122" s="697">
        <f t="shared" ca="1" si="52"/>
        <v>65.1084081344151</v>
      </c>
      <c r="V122" s="697">
        <f t="shared" ca="1" si="56"/>
        <v>41.021279401540347</v>
      </c>
      <c r="W122" s="697">
        <v>19.229295238018551</v>
      </c>
      <c r="X122" s="697">
        <f t="shared" ca="1" si="53"/>
        <v>20.684677803177475</v>
      </c>
      <c r="Y122" s="697">
        <v>20.933598163818775</v>
      </c>
      <c r="Z122" s="697">
        <f t="shared" ca="1" si="54"/>
        <v>15.366110393028141</v>
      </c>
    </row>
    <row r="123" spans="2:26" ht="13.2">
      <c r="B123" s="166">
        <f t="shared" si="55"/>
        <v>42993</v>
      </c>
      <c r="C123"/>
      <c r="G123" s="706">
        <v>19.598501077486628</v>
      </c>
      <c r="H123" s="706">
        <v>786.97951360006743</v>
      </c>
      <c r="I123" s="697">
        <f t="shared" ca="1" si="48"/>
        <v>342.53985194422665</v>
      </c>
      <c r="J123" s="706">
        <v>50.483216840528399</v>
      </c>
      <c r="K123" s="706">
        <v>12.287546249522258</v>
      </c>
      <c r="L123" s="697">
        <f t="shared" ca="1" si="49"/>
        <v>15.420000037248862</v>
      </c>
      <c r="M123" s="1185">
        <v>7.0961645228997607</v>
      </c>
      <c r="N123" s="697">
        <f t="shared" ca="1" si="50"/>
        <v>8.1842553963144997</v>
      </c>
      <c r="O123" s="697"/>
      <c r="P123" s="697"/>
      <c r="Q123" s="697"/>
      <c r="R123" s="706">
        <v>6.7593669065750568</v>
      </c>
      <c r="S123" s="697">
        <f t="shared" ca="1" si="51"/>
        <v>6.2754980846405033</v>
      </c>
      <c r="T123" s="1152">
        <v>282.5772430875947</v>
      </c>
      <c r="U123" s="697">
        <f t="shared" ca="1" si="52"/>
        <v>65.1084081344151</v>
      </c>
      <c r="V123" s="697">
        <f t="shared" ca="1" si="56"/>
        <v>41.021279401540347</v>
      </c>
      <c r="W123" s="697">
        <v>19.598501077486628</v>
      </c>
      <c r="X123" s="697">
        <f t="shared" ca="1" si="53"/>
        <v>20.684677803177475</v>
      </c>
      <c r="Y123" s="697">
        <v>21.070371853218596</v>
      </c>
      <c r="Z123" s="697">
        <f t="shared" ca="1" si="54"/>
        <v>15.366110393028141</v>
      </c>
    </row>
    <row r="124" spans="2:26" ht="13.2">
      <c r="B124" s="166">
        <f t="shared" si="55"/>
        <v>43000</v>
      </c>
      <c r="C124"/>
      <c r="G124" s="706">
        <v>19.578346036783714</v>
      </c>
      <c r="H124" s="706">
        <v>761.6256044022432</v>
      </c>
      <c r="I124" s="697">
        <f t="shared" ca="1" si="48"/>
        <v>342.53985194422665</v>
      </c>
      <c r="J124" s="706">
        <v>49.882718719072571</v>
      </c>
      <c r="K124" s="706">
        <v>12.211427952685918</v>
      </c>
      <c r="L124" s="697">
        <f t="shared" ca="1" si="49"/>
        <v>15.420000037248862</v>
      </c>
      <c r="M124" s="1185">
        <v>7.0071197421868137</v>
      </c>
      <c r="N124" s="697">
        <f t="shared" ca="1" si="50"/>
        <v>8.1842553963144997</v>
      </c>
      <c r="O124" s="697"/>
      <c r="P124" s="697"/>
      <c r="Q124" s="697"/>
      <c r="R124" s="706">
        <v>6.6072752542590569</v>
      </c>
      <c r="S124" s="697">
        <f t="shared" ca="1" si="51"/>
        <v>6.2754980846405033</v>
      </c>
      <c r="T124" s="1152">
        <v>278.75214214344993</v>
      </c>
      <c r="U124" s="697">
        <f t="shared" ca="1" si="52"/>
        <v>65.1084081344151</v>
      </c>
      <c r="V124" s="697">
        <f t="shared" ca="1" si="56"/>
        <v>41.021279401540347</v>
      </c>
      <c r="W124" s="697">
        <v>19.578346036783714</v>
      </c>
      <c r="X124" s="697">
        <f t="shared" ca="1" si="53"/>
        <v>20.684677803177475</v>
      </c>
      <c r="Y124" s="697">
        <v>20.787682030309188</v>
      </c>
      <c r="Z124" s="697">
        <f t="shared" ca="1" si="54"/>
        <v>15.366110393028141</v>
      </c>
    </row>
    <row r="125" spans="2:26" ht="13.2">
      <c r="B125" s="166">
        <f t="shared" si="55"/>
        <v>43007</v>
      </c>
      <c r="C125"/>
      <c r="G125" s="706">
        <v>19.558688918260813</v>
      </c>
      <c r="H125" s="706">
        <v>713.6049091411079</v>
      </c>
      <c r="I125" s="697">
        <f t="shared" ca="1" si="48"/>
        <v>342.53985194422665</v>
      </c>
      <c r="J125" s="706">
        <v>49.193949827225971</v>
      </c>
      <c r="K125" s="706">
        <v>12.33591912245234</v>
      </c>
      <c r="L125" s="697">
        <f t="shared" ca="1" si="49"/>
        <v>15.420000037248862</v>
      </c>
      <c r="M125" s="1185">
        <v>7.0039170307586689</v>
      </c>
      <c r="N125" s="697">
        <f t="shared" ca="1" si="50"/>
        <v>8.1842553963144997</v>
      </c>
      <c r="O125" s="697"/>
      <c r="P125" s="697"/>
      <c r="Q125" s="697"/>
      <c r="R125" s="706">
        <v>6.767176738041484</v>
      </c>
      <c r="S125" s="697">
        <f t="shared" ca="1" si="51"/>
        <v>6.2754980846405033</v>
      </c>
      <c r="T125" s="1152">
        <v>275.98743664761616</v>
      </c>
      <c r="U125" s="697">
        <f t="shared" ca="1" si="52"/>
        <v>65.1084081344151</v>
      </c>
      <c r="V125" s="697">
        <f t="shared" ca="1" si="56"/>
        <v>41.021279401540347</v>
      </c>
      <c r="W125" s="697">
        <v>19.558688918260813</v>
      </c>
      <c r="X125" s="697">
        <f t="shared" ca="1" si="53"/>
        <v>20.684677803177475</v>
      </c>
      <c r="Y125" s="697">
        <v>20.648549198867958</v>
      </c>
      <c r="Z125" s="697">
        <f t="shared" ca="1" si="54"/>
        <v>15.366110393028141</v>
      </c>
    </row>
    <row r="126" spans="2:26" ht="13.2">
      <c r="B126" s="166">
        <f t="shared" si="55"/>
        <v>43014</v>
      </c>
      <c r="C126"/>
      <c r="G126" s="706">
        <v>20.284293996470737</v>
      </c>
      <c r="H126" s="706">
        <v>580.88293613069902</v>
      </c>
      <c r="I126" s="697">
        <f t="shared" ca="1" si="48"/>
        <v>342.53985194422665</v>
      </c>
      <c r="J126" s="706">
        <v>50.706121422744523</v>
      </c>
      <c r="K126" s="706">
        <v>10.133826780207929</v>
      </c>
      <c r="L126" s="697">
        <f t="shared" ca="1" si="49"/>
        <v>15.420000037248862</v>
      </c>
      <c r="M126" s="1185">
        <v>7.0736906834610549</v>
      </c>
      <c r="N126" s="697">
        <f t="shared" ca="1" si="50"/>
        <v>8.1842553963144997</v>
      </c>
      <c r="O126" s="697"/>
      <c r="P126" s="697"/>
      <c r="Q126" s="697"/>
      <c r="R126" s="706">
        <v>6.7250125954978719</v>
      </c>
      <c r="S126" s="697">
        <f t="shared" ca="1" si="51"/>
        <v>6.2754980846405033</v>
      </c>
      <c r="T126" s="1152">
        <v>225.26741223603125</v>
      </c>
      <c r="U126" s="697">
        <f t="shared" ca="1" si="52"/>
        <v>65.1084081344151</v>
      </c>
      <c r="V126" s="697">
        <f t="shared" ca="1" si="56"/>
        <v>41.021279401540347</v>
      </c>
      <c r="W126" s="697">
        <v>20.284293996470737</v>
      </c>
      <c r="X126" s="697">
        <f t="shared" ca="1" si="53"/>
        <v>20.684677803177475</v>
      </c>
      <c r="Y126" s="697">
        <v>20.687895904864433</v>
      </c>
      <c r="Z126" s="697">
        <f t="shared" ca="1" si="54"/>
        <v>15.366110393028141</v>
      </c>
    </row>
    <row r="127" spans="2:26" ht="13.2">
      <c r="B127" s="166">
        <f t="shared" si="55"/>
        <v>43021</v>
      </c>
      <c r="C127"/>
      <c r="G127" s="706">
        <v>20.174220709624755</v>
      </c>
      <c r="H127" s="706">
        <v>541.80454495922515</v>
      </c>
      <c r="I127" s="697">
        <f t="shared" ca="1" si="48"/>
        <v>342.53985194422665</v>
      </c>
      <c r="J127" s="706">
        <v>50.47058484196387</v>
      </c>
      <c r="K127" s="706">
        <v>9.650442363570777</v>
      </c>
      <c r="L127" s="697">
        <f t="shared" ca="1" si="49"/>
        <v>15.420000037248862</v>
      </c>
      <c r="M127" s="1185">
        <v>7.0599789323963149</v>
      </c>
      <c r="N127" s="697">
        <f t="shared" ca="1" si="50"/>
        <v>8.1842553963144997</v>
      </c>
      <c r="O127" s="697"/>
      <c r="P127" s="697"/>
      <c r="Q127" s="697"/>
      <c r="R127" s="706">
        <v>6.8198148926842217</v>
      </c>
      <c r="S127" s="697">
        <f t="shared" ca="1" si="51"/>
        <v>6.2754980846405033</v>
      </c>
      <c r="T127" s="1152">
        <v>212.11210324899326</v>
      </c>
      <c r="U127" s="697">
        <f t="shared" ca="1" si="52"/>
        <v>65.1084081344151</v>
      </c>
      <c r="V127" s="697">
        <f t="shared" ca="1" si="56"/>
        <v>41.021279401540347</v>
      </c>
      <c r="W127" s="697">
        <v>20.174220709624755</v>
      </c>
      <c r="X127" s="697">
        <f t="shared" ca="1" si="53"/>
        <v>20.684677803177475</v>
      </c>
      <c r="Y127" s="697">
        <v>20.658338346616301</v>
      </c>
      <c r="Z127" s="697">
        <f t="shared" ca="1" si="54"/>
        <v>15.366110393028141</v>
      </c>
    </row>
    <row r="128" spans="2:26" ht="13.2">
      <c r="B128" s="166">
        <f t="shared" si="55"/>
        <v>43028</v>
      </c>
      <c r="C128"/>
      <c r="G128" s="706">
        <v>19.508830354337583</v>
      </c>
      <c r="H128" s="706">
        <v>554.50116456106491</v>
      </c>
      <c r="I128" s="697">
        <f t="shared" ca="1" si="48"/>
        <v>342.53985194422665</v>
      </c>
      <c r="J128" s="706">
        <v>48.754122449118803</v>
      </c>
      <c r="K128" s="706">
        <v>10.454743685806301</v>
      </c>
      <c r="L128" s="697">
        <f t="shared" ca="1" si="49"/>
        <v>15.420000037248862</v>
      </c>
      <c r="M128" s="1185">
        <v>7.3426161490879256</v>
      </c>
      <c r="N128" s="697">
        <f t="shared" ca="1" si="50"/>
        <v>8.1842553963144997</v>
      </c>
      <c r="O128" s="697"/>
      <c r="P128" s="697"/>
      <c r="Q128" s="697"/>
      <c r="R128" s="706">
        <v>6.719992001097836</v>
      </c>
      <c r="S128" s="697">
        <f t="shared" ca="1" si="51"/>
        <v>6.2754980846405033</v>
      </c>
      <c r="T128" s="1152">
        <v>234.50926287134635</v>
      </c>
      <c r="U128" s="697">
        <f t="shared" ca="1" si="52"/>
        <v>65.1084081344151</v>
      </c>
      <c r="V128" s="697">
        <f t="shared" ca="1" si="56"/>
        <v>41.021279401540347</v>
      </c>
      <c r="W128" s="697">
        <v>19.508830354337583</v>
      </c>
      <c r="X128" s="697">
        <f t="shared" ca="1" si="53"/>
        <v>20.684677803177475</v>
      </c>
      <c r="Y128" s="697">
        <v>21.142965797135542</v>
      </c>
      <c r="Z128" s="697">
        <f t="shared" ca="1" si="54"/>
        <v>15.366110393028141</v>
      </c>
    </row>
    <row r="129" spans="2:26" ht="13.2">
      <c r="B129" s="166">
        <f t="shared" si="55"/>
        <v>43035</v>
      </c>
      <c r="C129"/>
      <c r="G129" s="706">
        <v>19.640708816684459</v>
      </c>
      <c r="H129" s="706">
        <v>566.01674907248605</v>
      </c>
      <c r="I129" s="697">
        <f t="shared" ca="1" si="48"/>
        <v>342.53985194422665</v>
      </c>
      <c r="J129" s="706">
        <v>50.220503776319831</v>
      </c>
      <c r="K129" s="706">
        <v>10.970182118600466</v>
      </c>
      <c r="L129" s="697">
        <f t="shared" ca="1" si="49"/>
        <v>15.420000037248862</v>
      </c>
      <c r="M129" s="1185">
        <v>7.3637944366665362</v>
      </c>
      <c r="N129" s="697">
        <f t="shared" ca="1" si="50"/>
        <v>8.1842553963144997</v>
      </c>
      <c r="O129" s="697"/>
      <c r="P129" s="697"/>
      <c r="Q129" s="697"/>
      <c r="R129" s="706">
        <v>6.7240283657335063</v>
      </c>
      <c r="S129" s="697">
        <f t="shared" ca="1" si="51"/>
        <v>6.2754980846405033</v>
      </c>
      <c r="T129" s="1152">
        <v>241.46561615778398</v>
      </c>
      <c r="U129" s="697">
        <f t="shared" ca="1" si="52"/>
        <v>65.1084081344151</v>
      </c>
      <c r="V129" s="697">
        <f t="shared" ca="1" si="56"/>
        <v>41.021279401540347</v>
      </c>
      <c r="W129" s="697">
        <v>19.640708816684459</v>
      </c>
      <c r="X129" s="697">
        <f t="shared" ca="1" si="53"/>
        <v>20.684677803177475</v>
      </c>
      <c r="Y129" s="697">
        <v>21.172192423265564</v>
      </c>
      <c r="Z129" s="697">
        <f t="shared" ca="1" si="54"/>
        <v>15.366110393028141</v>
      </c>
    </row>
    <row r="130" spans="2:26" ht="13.2">
      <c r="B130" s="166">
        <f t="shared" si="55"/>
        <v>43042</v>
      </c>
      <c r="C130"/>
      <c r="G130" s="706">
        <v>19.68316409550118</v>
      </c>
      <c r="H130" s="706">
        <v>410.39073929661168</v>
      </c>
      <c r="I130" s="697">
        <f t="shared" ca="1" si="48"/>
        <v>342.53985194422665</v>
      </c>
      <c r="J130" s="706">
        <v>50.098287092655752</v>
      </c>
      <c r="K130" s="706">
        <v>9.7373801003370666</v>
      </c>
      <c r="L130" s="697">
        <f t="shared" ca="1" si="49"/>
        <v>15.420000037248862</v>
      </c>
      <c r="M130" s="1185">
        <v>7.4571736663565655</v>
      </c>
      <c r="N130" s="697">
        <f t="shared" ca="1" si="50"/>
        <v>8.1842553963144997</v>
      </c>
      <c r="O130" s="697"/>
      <c r="P130" s="697"/>
      <c r="Q130" s="697"/>
      <c r="R130" s="706">
        <v>6.5788521335504955</v>
      </c>
      <c r="S130" s="697">
        <f t="shared" ca="1" si="51"/>
        <v>6.2754980846405033</v>
      </c>
      <c r="T130" s="1152">
        <v>207.04612258315242</v>
      </c>
      <c r="U130" s="697">
        <f t="shared" ca="1" si="52"/>
        <v>65.1084081344151</v>
      </c>
      <c r="V130" s="697">
        <f t="shared" ca="1" si="56"/>
        <v>41.021279401540347</v>
      </c>
      <c r="W130" s="697">
        <v>19.68316409550118</v>
      </c>
      <c r="X130" s="697">
        <f t="shared" ca="1" si="53"/>
        <v>20.684677803177475</v>
      </c>
      <c r="Y130" s="697">
        <v>21.507264134387096</v>
      </c>
      <c r="Z130" s="697">
        <f t="shared" ca="1" si="54"/>
        <v>15.366110393028141</v>
      </c>
    </row>
    <row r="131" spans="2:26" ht="13.2">
      <c r="B131" s="166">
        <f t="shared" si="55"/>
        <v>43049</v>
      </c>
      <c r="C131"/>
      <c r="G131" s="706">
        <v>18.505231541954274</v>
      </c>
      <c r="H131" s="706">
        <v>408.34313497041052</v>
      </c>
      <c r="I131" s="697">
        <f t="shared" ca="1" si="48"/>
        <v>342.53985194422665</v>
      </c>
      <c r="J131" s="706">
        <v>48.455473135795998</v>
      </c>
      <c r="K131" s="706">
        <v>9.8183032255085632</v>
      </c>
      <c r="L131" s="697">
        <f t="shared" ca="1" si="49"/>
        <v>15.420000037248862</v>
      </c>
      <c r="M131" s="1185">
        <v>7.2672568033396558</v>
      </c>
      <c r="N131" s="697">
        <f t="shared" ca="1" si="50"/>
        <v>8.1842553963144997</v>
      </c>
      <c r="O131" s="697"/>
      <c r="P131" s="697"/>
      <c r="Q131" s="697"/>
      <c r="R131" s="706">
        <v>6.2438150541806241</v>
      </c>
      <c r="S131" s="697">
        <f t="shared" ca="1" si="51"/>
        <v>6.2754980846405033</v>
      </c>
      <c r="T131" s="1152">
        <v>207.70437263356419</v>
      </c>
      <c r="U131" s="697">
        <f t="shared" ca="1" si="52"/>
        <v>65.1084081344151</v>
      </c>
      <c r="V131" s="697">
        <f t="shared" ca="1" si="56"/>
        <v>41.021279401540347</v>
      </c>
      <c r="W131" s="697">
        <v>18.505231541954274</v>
      </c>
      <c r="X131" s="697">
        <f t="shared" ca="1" si="53"/>
        <v>20.684677803177475</v>
      </c>
      <c r="Y131" s="697">
        <v>21.464072347795501</v>
      </c>
      <c r="Z131" s="697">
        <f t="shared" ca="1" si="54"/>
        <v>15.366110393028141</v>
      </c>
    </row>
    <row r="132" spans="2:26" ht="13.2">
      <c r="B132" s="166">
        <f t="shared" si="55"/>
        <v>43056</v>
      </c>
      <c r="C132"/>
      <c r="G132" s="706">
        <v>18.440485408638409</v>
      </c>
      <c r="H132" s="706">
        <v>420.72750198891919</v>
      </c>
      <c r="I132" s="697">
        <f t="shared" ca="1" si="48"/>
        <v>342.53985194422665</v>
      </c>
      <c r="J132" s="706">
        <v>48.325433674560287</v>
      </c>
      <c r="K132" s="706">
        <v>10.283701251637863</v>
      </c>
      <c r="L132" s="697">
        <f t="shared" ca="1" si="49"/>
        <v>15.420000037248862</v>
      </c>
      <c r="M132" s="1185">
        <v>7.3936474955745881</v>
      </c>
      <c r="N132" s="697">
        <f t="shared" ca="1" si="50"/>
        <v>8.1842553963144997</v>
      </c>
      <c r="O132" s="697"/>
      <c r="P132" s="697"/>
      <c r="Q132" s="697"/>
      <c r="R132" s="706">
        <v>6.3167262708136427</v>
      </c>
      <c r="S132" s="697">
        <f t="shared" ca="1" si="51"/>
        <v>6.2754980846405033</v>
      </c>
      <c r="T132" s="1152">
        <v>214.65418595861874</v>
      </c>
      <c r="U132" s="697">
        <f t="shared" ca="1" si="52"/>
        <v>65.1084081344151</v>
      </c>
      <c r="V132" s="697">
        <f t="shared" ca="1" si="56"/>
        <v>41.021279401540347</v>
      </c>
      <c r="W132" s="697">
        <v>18.440485408638409</v>
      </c>
      <c r="X132" s="697">
        <f t="shared" ca="1" si="53"/>
        <v>20.684677803177475</v>
      </c>
      <c r="Y132" s="697">
        <v>21.758985252188975</v>
      </c>
      <c r="Z132" s="697">
        <f t="shared" ca="1" si="54"/>
        <v>15.366110393028141</v>
      </c>
    </row>
    <row r="133" spans="2:26" ht="13.2">
      <c r="B133" s="166">
        <f t="shared" si="55"/>
        <v>43063</v>
      </c>
      <c r="C133"/>
      <c r="G133" s="706">
        <v>18.720935908046105</v>
      </c>
      <c r="H133" s="706">
        <v>440.72440097193504</v>
      </c>
      <c r="I133" s="697">
        <f t="shared" ca="1" si="48"/>
        <v>342.53985194422665</v>
      </c>
      <c r="J133" s="706">
        <v>49.420168066200958</v>
      </c>
      <c r="K133" s="706">
        <v>10.961758056900088</v>
      </c>
      <c r="L133" s="697">
        <f t="shared" ca="1" si="49"/>
        <v>15.420000037248862</v>
      </c>
      <c r="M133" s="1185">
        <v>7.4616686530066403</v>
      </c>
      <c r="N133" s="697">
        <f t="shared" ca="1" si="50"/>
        <v>8.1842553963144997</v>
      </c>
      <c r="O133" s="697"/>
      <c r="P133" s="697"/>
      <c r="Q133" s="697"/>
      <c r="R133" s="706">
        <v>6.4416912249935399</v>
      </c>
      <c r="S133" s="697">
        <f t="shared" ca="1" si="51"/>
        <v>6.2754980846405033</v>
      </c>
      <c r="T133" s="1152">
        <v>228.71493440536059</v>
      </c>
      <c r="U133" s="697">
        <f t="shared" ca="1" si="52"/>
        <v>65.1084081344151</v>
      </c>
      <c r="V133" s="697">
        <f t="shared" ca="1" si="56"/>
        <v>41.021279401540347</v>
      </c>
      <c r="W133" s="697">
        <v>18.720935908046105</v>
      </c>
      <c r="X133" s="697">
        <f t="shared" ca="1" si="53"/>
        <v>20.684677803177475</v>
      </c>
      <c r="Y133" s="697">
        <v>21.839942523275063</v>
      </c>
      <c r="Z133" s="697">
        <f t="shared" ca="1" si="54"/>
        <v>15.366110393028141</v>
      </c>
    </row>
    <row r="134" spans="2:26" ht="13.2">
      <c r="B134" s="166">
        <f t="shared" si="55"/>
        <v>43070</v>
      </c>
      <c r="C134"/>
      <c r="G134" s="706">
        <v>17.92415202128343</v>
      </c>
      <c r="H134" s="706">
        <v>398.62501198055952</v>
      </c>
      <c r="I134" s="697">
        <f t="shared" ca="1" si="48"/>
        <v>342.53985194422665</v>
      </c>
      <c r="J134" s="706">
        <v>47.52334226984884</v>
      </c>
      <c r="K134" s="706">
        <v>9.9778473462083728</v>
      </c>
      <c r="L134" s="697">
        <f t="shared" ca="1" si="49"/>
        <v>15.420000037248862</v>
      </c>
      <c r="M134" s="1185">
        <v>7.2295070569376874</v>
      </c>
      <c r="N134" s="697">
        <f t="shared" ca="1" si="50"/>
        <v>8.1842553963144997</v>
      </c>
      <c r="O134" s="697"/>
      <c r="P134" s="697"/>
      <c r="Q134" s="697"/>
      <c r="R134" s="706">
        <v>6.2437714075432496</v>
      </c>
      <c r="S134" s="697">
        <f t="shared" ca="1" si="51"/>
        <v>6.2754980846405033</v>
      </c>
      <c r="T134" s="1152">
        <v>203.88348330080979</v>
      </c>
      <c r="U134" s="697">
        <f t="shared" ca="1" si="52"/>
        <v>65.1084081344151</v>
      </c>
      <c r="V134" s="697">
        <f t="shared" ca="1" si="56"/>
        <v>41.021279401540347</v>
      </c>
      <c r="W134" s="697">
        <v>17.92415202128343</v>
      </c>
      <c r="X134" s="697">
        <f t="shared" ca="1" si="53"/>
        <v>20.684677803177475</v>
      </c>
      <c r="Y134" s="697">
        <v>21.077588931845803</v>
      </c>
      <c r="Z134" s="697">
        <f t="shared" ca="1" si="54"/>
        <v>15.366110393028141</v>
      </c>
    </row>
    <row r="135" spans="2:26" ht="13.2">
      <c r="B135" s="166">
        <f t="shared" si="55"/>
        <v>43077</v>
      </c>
      <c r="C135"/>
      <c r="G135" s="706">
        <v>17.872474335742407</v>
      </c>
      <c r="H135" s="706">
        <v>382.47533466781556</v>
      </c>
      <c r="I135" s="697">
        <f t="shared" ca="1" si="48"/>
        <v>342.53985194422665</v>
      </c>
      <c r="J135" s="706">
        <v>47.114392288738749</v>
      </c>
      <c r="K135" s="706">
        <v>9.6537450845000485</v>
      </c>
      <c r="L135" s="697">
        <f t="shared" ca="1" si="49"/>
        <v>15.420000037248862</v>
      </c>
      <c r="M135" s="1185">
        <v>7.1101520219328709</v>
      </c>
      <c r="N135" s="697">
        <f t="shared" ca="1" si="50"/>
        <v>8.1842553963144997</v>
      </c>
      <c r="O135" s="697"/>
      <c r="P135" s="697"/>
      <c r="Q135" s="697"/>
      <c r="R135" s="706">
        <v>6.3169838099382787</v>
      </c>
      <c r="S135" s="697">
        <f t="shared" ca="1" si="51"/>
        <v>6.2754980846405033</v>
      </c>
      <c r="T135" s="1152">
        <v>196.86930155550596</v>
      </c>
      <c r="U135" s="697">
        <f t="shared" ca="1" si="52"/>
        <v>65.1084081344151</v>
      </c>
      <c r="V135" s="697">
        <f t="shared" ca="1" si="56"/>
        <v>41.021279401540347</v>
      </c>
      <c r="W135" s="697">
        <v>17.872474335742407</v>
      </c>
      <c r="X135" s="697">
        <f t="shared" ca="1" si="53"/>
        <v>20.684677803177475</v>
      </c>
      <c r="Y135" s="697">
        <v>20.77284508683838</v>
      </c>
      <c r="Z135" s="697">
        <f t="shared" ca="1" si="54"/>
        <v>15.366110393028141</v>
      </c>
    </row>
    <row r="136" spans="2:26" ht="13.2">
      <c r="B136" s="166">
        <f t="shared" si="55"/>
        <v>43084</v>
      </c>
      <c r="C136"/>
      <c r="G136" s="706">
        <v>18.180708964044452</v>
      </c>
      <c r="H136" s="706">
        <v>392.80189225834579</v>
      </c>
      <c r="I136" s="697">
        <f t="shared" ca="1" si="48"/>
        <v>342.53985194422665</v>
      </c>
      <c r="J136" s="706">
        <v>47.691287487056698</v>
      </c>
      <c r="K136" s="706">
        <v>10.063284220723295</v>
      </c>
      <c r="L136" s="697">
        <f t="shared" ca="1" si="49"/>
        <v>15.420000037248862</v>
      </c>
      <c r="M136" s="1185">
        <v>7.2774677398680065</v>
      </c>
      <c r="N136" s="697">
        <f t="shared" ca="1" si="50"/>
        <v>8.1842553963144997</v>
      </c>
      <c r="O136" s="697"/>
      <c r="P136" s="697"/>
      <c r="Q136" s="697"/>
      <c r="R136" s="706">
        <v>6.4965580903338642</v>
      </c>
      <c r="S136" s="697">
        <f t="shared" ca="1" si="51"/>
        <v>6.2754980846405033</v>
      </c>
      <c r="T136" s="1152">
        <v>204.50755199447934</v>
      </c>
      <c r="U136" s="697">
        <f t="shared" ca="1" si="52"/>
        <v>65.1084081344151</v>
      </c>
      <c r="V136" s="697">
        <f t="shared" ca="1" si="56"/>
        <v>41.021279401540347</v>
      </c>
      <c r="W136" s="697">
        <v>18.180708964044452</v>
      </c>
      <c r="X136" s="697">
        <f t="shared" ca="1" si="53"/>
        <v>20.684677803177475</v>
      </c>
      <c r="Y136" s="697">
        <v>21.389116031854481</v>
      </c>
      <c r="Z136" s="697">
        <f t="shared" ca="1" si="54"/>
        <v>15.366110393028141</v>
      </c>
    </row>
    <row r="137" spans="2:26" ht="13.2">
      <c r="B137" s="166">
        <f t="shared" si="55"/>
        <v>43091</v>
      </c>
      <c r="C137"/>
      <c r="G137" s="706">
        <v>17.881590289074261</v>
      </c>
      <c r="H137" s="706">
        <v>381.45563839566222</v>
      </c>
      <c r="I137" s="697">
        <f t="shared" ca="1" si="48"/>
        <v>342.53985194422665</v>
      </c>
      <c r="J137" s="706">
        <v>46.898996615701009</v>
      </c>
      <c r="K137" s="706">
        <v>9.8615127521809658</v>
      </c>
      <c r="L137" s="697">
        <f t="shared" ca="1" si="49"/>
        <v>15.420000037248862</v>
      </c>
      <c r="M137" s="1185">
        <v>7.2061561716672431</v>
      </c>
      <c r="N137" s="697">
        <f t="shared" ca="1" si="50"/>
        <v>8.1842553963144997</v>
      </c>
      <c r="O137" s="697"/>
      <c r="P137" s="697"/>
      <c r="Q137" s="697"/>
      <c r="R137" s="706">
        <v>6.3627329756260842</v>
      </c>
      <c r="S137" s="697">
        <f t="shared" ca="1" si="51"/>
        <v>6.2754980846405033</v>
      </c>
      <c r="T137" s="1152">
        <v>197.9308892623196</v>
      </c>
      <c r="U137" s="697">
        <f t="shared" ca="1" si="52"/>
        <v>65.1084081344151</v>
      </c>
      <c r="V137" s="697">
        <f t="shared" ca="1" si="56"/>
        <v>41.021279401540347</v>
      </c>
      <c r="W137" s="697">
        <v>17.881590289074261</v>
      </c>
      <c r="X137" s="697">
        <f t="shared" ca="1" si="53"/>
        <v>20.684677803177475</v>
      </c>
      <c r="Y137" s="697">
        <v>21.19191331891107</v>
      </c>
      <c r="Z137" s="697">
        <f t="shared" ca="1" si="54"/>
        <v>15.366110393028141</v>
      </c>
    </row>
    <row r="138" spans="2:26" ht="13.2">
      <c r="B138" s="166">
        <f t="shared" si="55"/>
        <v>43098</v>
      </c>
      <c r="C138"/>
      <c r="G138" s="706">
        <v>17.682844928537296</v>
      </c>
      <c r="H138" s="706">
        <v>365.04890245698147</v>
      </c>
      <c r="I138" s="697">
        <f t="shared" ca="1" si="48"/>
        <v>342.53985194422665</v>
      </c>
      <c r="J138" s="706">
        <v>46.554462668330686</v>
      </c>
      <c r="K138" s="706">
        <v>9.1710860503359566</v>
      </c>
      <c r="L138" s="697">
        <f t="shared" ca="1" si="49"/>
        <v>15.420000037248862</v>
      </c>
      <c r="M138" s="1185">
        <v>7.1522982594578313</v>
      </c>
      <c r="N138" s="697">
        <f t="shared" ca="1" si="50"/>
        <v>8.1842553963144997</v>
      </c>
      <c r="O138" s="697"/>
      <c r="P138" s="697"/>
      <c r="Q138" s="697"/>
      <c r="R138" s="706">
        <v>6.0837273323920584</v>
      </c>
      <c r="S138" s="697">
        <f t="shared" ca="1" si="51"/>
        <v>6.2754980846405033</v>
      </c>
      <c r="T138" s="1152">
        <v>184.60356781201352</v>
      </c>
      <c r="U138" s="697">
        <f t="shared" ca="1" si="52"/>
        <v>65.1084081344151</v>
      </c>
      <c r="V138" s="697">
        <f t="shared" ca="1" si="56"/>
        <v>41.021279401540347</v>
      </c>
      <c r="W138" s="697">
        <v>17.682844928537296</v>
      </c>
      <c r="X138" s="697">
        <f t="shared" ca="1" si="53"/>
        <v>20.684677803177475</v>
      </c>
      <c r="Y138" s="697">
        <v>20.892574969344807</v>
      </c>
      <c r="Z138" s="697">
        <f t="shared" ca="1" si="54"/>
        <v>15.366110393028141</v>
      </c>
    </row>
    <row r="139" spans="2:26" ht="13.2">
      <c r="B139" s="166">
        <f t="shared" si="55"/>
        <v>43105</v>
      </c>
      <c r="C139"/>
      <c r="G139" s="706">
        <v>18.747171766644762</v>
      </c>
      <c r="H139" s="706">
        <v>388.49288943545366</v>
      </c>
      <c r="I139" s="697">
        <f t="shared" ca="1" si="48"/>
        <v>342.53985194422665</v>
      </c>
      <c r="J139" s="706">
        <v>48.953053906931096</v>
      </c>
      <c r="K139" s="706">
        <v>10.071035166938133</v>
      </c>
      <c r="L139" s="697">
        <f t="shared" ca="1" si="49"/>
        <v>15.420000037248862</v>
      </c>
      <c r="M139" s="1185">
        <v>7.3498833315214416</v>
      </c>
      <c r="N139" s="697">
        <f t="shared" ca="1" si="50"/>
        <v>8.1842553963144997</v>
      </c>
      <c r="O139" s="697"/>
      <c r="P139" s="697"/>
      <c r="Q139" s="697"/>
      <c r="R139" s="706">
        <v>6.3896713817577782</v>
      </c>
      <c r="S139" s="697">
        <f t="shared" ca="1" si="51"/>
        <v>6.2754980846405033</v>
      </c>
      <c r="T139" s="1152">
        <v>199.04540269712373</v>
      </c>
      <c r="U139" s="697">
        <f t="shared" ca="1" si="52"/>
        <v>65.1084081344151</v>
      </c>
      <c r="V139" s="697">
        <f t="shared" ca="1" si="56"/>
        <v>41.021279401540347</v>
      </c>
      <c r="W139" s="697">
        <v>18.747171766644762</v>
      </c>
      <c r="X139" s="697">
        <f t="shared" ca="1" si="53"/>
        <v>20.684677803177475</v>
      </c>
      <c r="Y139" s="697">
        <v>21.594477958334561</v>
      </c>
      <c r="Z139" s="697">
        <f t="shared" ca="1" si="54"/>
        <v>15.366110393028141</v>
      </c>
    </row>
    <row r="140" spans="2:26" ht="13.2">
      <c r="B140" s="166">
        <f t="shared" si="55"/>
        <v>43112</v>
      </c>
      <c r="C140"/>
      <c r="G140" s="706">
        <v>19.226473575776616</v>
      </c>
      <c r="H140" s="706">
        <v>383.63966742661097</v>
      </c>
      <c r="I140" s="697">
        <f t="shared" ca="1" si="48"/>
        <v>342.53985194422665</v>
      </c>
      <c r="J140" s="706">
        <v>50.377311389855258</v>
      </c>
      <c r="K140" s="706">
        <v>10.226787948208644</v>
      </c>
      <c r="L140" s="697">
        <f t="shared" ca="1" si="49"/>
        <v>15.420000037248862</v>
      </c>
      <c r="M140" s="1185">
        <v>7.5032259977130931</v>
      </c>
      <c r="N140" s="697">
        <f t="shared" ca="1" si="50"/>
        <v>8.1842553963144997</v>
      </c>
      <c r="O140" s="697"/>
      <c r="P140" s="697"/>
      <c r="Q140" s="697"/>
      <c r="R140" s="706">
        <v>6.4208745006806138</v>
      </c>
      <c r="S140" s="697">
        <f t="shared" ca="1" si="51"/>
        <v>6.2754980846405033</v>
      </c>
      <c r="T140" s="1152">
        <v>197.70303592666795</v>
      </c>
      <c r="U140" s="697">
        <f t="shared" ca="1" si="52"/>
        <v>65.1084081344151</v>
      </c>
      <c r="V140" s="697">
        <f t="shared" ca="1" si="56"/>
        <v>41.021279401540347</v>
      </c>
      <c r="W140" s="697">
        <v>19.226473575776616</v>
      </c>
      <c r="X140" s="697">
        <f t="shared" ca="1" si="53"/>
        <v>20.684677803177475</v>
      </c>
      <c r="Y140" s="697">
        <v>22.006972562295793</v>
      </c>
      <c r="Z140" s="697">
        <f t="shared" ca="1" si="54"/>
        <v>15.366110393028141</v>
      </c>
    </row>
    <row r="141" spans="2:26" ht="13.2">
      <c r="B141" s="166">
        <f t="shared" si="55"/>
        <v>43119</v>
      </c>
      <c r="C141"/>
      <c r="G141" s="706">
        <v>19.024756511651685</v>
      </c>
      <c r="H141" s="706">
        <v>380.60280919677183</v>
      </c>
      <c r="I141" s="697">
        <f t="shared" ca="1" si="48"/>
        <v>342.53985194422665</v>
      </c>
      <c r="J141" s="706">
        <v>49.345542944743144</v>
      </c>
      <c r="K141" s="706">
        <v>10.425948608180692</v>
      </c>
      <c r="L141" s="697">
        <f t="shared" ca="1" si="49"/>
        <v>15.420000037248862</v>
      </c>
      <c r="M141" s="1185">
        <v>7.4714897166562348</v>
      </c>
      <c r="N141" s="697">
        <f t="shared" ca="1" si="50"/>
        <v>8.1842553963144997</v>
      </c>
      <c r="O141" s="697"/>
      <c r="P141" s="697"/>
      <c r="Q141" s="697"/>
      <c r="R141" s="706">
        <v>6.3693052790583105</v>
      </c>
      <c r="S141" s="697">
        <f t="shared" ca="1" si="51"/>
        <v>6.2754980846405033</v>
      </c>
      <c r="T141" s="1152">
        <v>199.61358351995838</v>
      </c>
      <c r="U141" s="697">
        <f t="shared" ca="1" si="52"/>
        <v>65.1084081344151</v>
      </c>
      <c r="V141" s="697">
        <f t="shared" ca="1" si="56"/>
        <v>41.021279401540347</v>
      </c>
      <c r="W141" s="697">
        <v>19.024756511651685</v>
      </c>
      <c r="X141" s="697">
        <f t="shared" ca="1" si="53"/>
        <v>20.684677803177475</v>
      </c>
      <c r="Y141" s="697">
        <v>21.746555986171309</v>
      </c>
      <c r="Z141" s="697">
        <f t="shared" ca="1" si="54"/>
        <v>15.366110393028141</v>
      </c>
    </row>
    <row r="142" spans="2:26" ht="13.2">
      <c r="B142" s="166">
        <f t="shared" si="55"/>
        <v>43126</v>
      </c>
      <c r="C142"/>
      <c r="G142" s="706">
        <v>21.136154313435618</v>
      </c>
      <c r="H142" s="706">
        <v>412.62672198193798</v>
      </c>
      <c r="I142" s="697">
        <f t="shared" ca="1" si="48"/>
        <v>342.53985194422665</v>
      </c>
      <c r="J142" s="706">
        <v>51.947838006347936</v>
      </c>
      <c r="K142" s="706">
        <v>11.692502042160845</v>
      </c>
      <c r="L142" s="697">
        <f t="shared" ca="1" si="49"/>
        <v>15.420000037248862</v>
      </c>
      <c r="M142" s="1185">
        <v>7.6711003830291418</v>
      </c>
      <c r="N142" s="697">
        <f t="shared" ca="1" si="50"/>
        <v>8.1842553963144997</v>
      </c>
      <c r="O142" s="697"/>
      <c r="P142" s="697"/>
      <c r="Q142" s="697"/>
      <c r="R142" s="706">
        <v>6.7467215332214918</v>
      </c>
      <c r="S142" s="697">
        <f t="shared" ca="1" si="51"/>
        <v>6.2754980846405033</v>
      </c>
      <c r="T142" s="1152">
        <v>218.96999146429695</v>
      </c>
      <c r="U142" s="697">
        <f t="shared" ca="1" si="52"/>
        <v>65.1084081344151</v>
      </c>
      <c r="V142" s="697">
        <f t="shared" ca="1" si="56"/>
        <v>41.021279401540347</v>
      </c>
      <c r="W142" s="697">
        <v>21.136154313435618</v>
      </c>
      <c r="X142" s="697">
        <f t="shared" ca="1" si="53"/>
        <v>20.684677803177475</v>
      </c>
      <c r="Y142" s="697">
        <v>22.465084838390304</v>
      </c>
      <c r="Z142" s="697">
        <f t="shared" ca="1" si="54"/>
        <v>15.366110393028141</v>
      </c>
    </row>
    <row r="143" spans="2:26" ht="13.2">
      <c r="B143" s="166">
        <f t="shared" si="55"/>
        <v>43133</v>
      </c>
      <c r="C143"/>
      <c r="G143" s="706">
        <v>20.411889172895069</v>
      </c>
      <c r="H143" s="706">
        <v>384.67275822050487</v>
      </c>
      <c r="I143" s="697">
        <f t="shared" ca="1" si="48"/>
        <v>342.53985194422665</v>
      </c>
      <c r="J143" s="706">
        <v>49.779990334230803</v>
      </c>
      <c r="K143" s="706">
        <v>11.192187447872476</v>
      </c>
      <c r="L143" s="697">
        <f t="shared" ca="1" si="49"/>
        <v>15.420000037248862</v>
      </c>
      <c r="M143" s="1185">
        <v>7.44794421587945</v>
      </c>
      <c r="N143" s="697">
        <f t="shared" ca="1" si="50"/>
        <v>8.1842553963144997</v>
      </c>
      <c r="O143" s="697"/>
      <c r="P143" s="697"/>
      <c r="Q143" s="697"/>
      <c r="R143" s="706">
        <v>6.499242281788721</v>
      </c>
      <c r="S143" s="697">
        <f t="shared" ca="1" si="51"/>
        <v>6.2754980846405033</v>
      </c>
      <c r="T143" s="1152">
        <v>207.58935816816498</v>
      </c>
      <c r="U143" s="697">
        <f t="shared" ca="1" si="52"/>
        <v>65.1084081344151</v>
      </c>
      <c r="V143" s="697">
        <f t="shared" ca="1" si="56"/>
        <v>41.021279401540347</v>
      </c>
      <c r="W143" s="697">
        <v>20.411889172895069</v>
      </c>
      <c r="X143" s="697">
        <f t="shared" ca="1" si="53"/>
        <v>20.684677803177475</v>
      </c>
      <c r="Y143" s="697">
        <v>21.759987683715593</v>
      </c>
      <c r="Z143" s="697">
        <f t="shared" ca="1" si="54"/>
        <v>15.366110393028141</v>
      </c>
    </row>
    <row r="144" spans="2:26" ht="13.2">
      <c r="B144" s="166">
        <f t="shared" si="55"/>
        <v>43140</v>
      </c>
      <c r="C144"/>
      <c r="G144" s="706">
        <v>18.899242308146501</v>
      </c>
      <c r="H144" s="706">
        <v>359.89147564523824</v>
      </c>
      <c r="I144" s="697">
        <f t="shared" ca="1" si="48"/>
        <v>342.53985194422665</v>
      </c>
      <c r="J144" s="706">
        <v>45.816851643359556</v>
      </c>
      <c r="K144" s="706">
        <v>10.58266898231372</v>
      </c>
      <c r="L144" s="697">
        <f t="shared" ca="1" si="49"/>
        <v>15.420000037248862</v>
      </c>
      <c r="M144" s="1185">
        <v>7.1594783991844411</v>
      </c>
      <c r="N144" s="697">
        <f t="shared" ca="1" si="50"/>
        <v>8.1842553963144997</v>
      </c>
      <c r="O144" s="697"/>
      <c r="P144" s="697"/>
      <c r="Q144" s="697"/>
      <c r="R144" s="706">
        <v>6.4843288055585511</v>
      </c>
      <c r="S144" s="697">
        <f t="shared" ca="1" si="51"/>
        <v>6.2754980846405033</v>
      </c>
      <c r="T144" s="1152">
        <v>192.07492248024661</v>
      </c>
      <c r="U144" s="697">
        <f t="shared" ca="1" si="52"/>
        <v>65.1084081344151</v>
      </c>
      <c r="V144" s="697">
        <f t="shared" ca="1" si="56"/>
        <v>41.021279401540347</v>
      </c>
      <c r="W144" s="697">
        <v>18.899242308146501</v>
      </c>
      <c r="X144" s="697">
        <f t="shared" ca="1" si="53"/>
        <v>20.684677803177475</v>
      </c>
      <c r="Y144" s="697">
        <v>20.866548590405039</v>
      </c>
      <c r="Z144" s="697">
        <f t="shared" ca="1" si="54"/>
        <v>15.366110393028141</v>
      </c>
    </row>
    <row r="145" spans="2:26" ht="13.2">
      <c r="B145" s="166">
        <f t="shared" si="55"/>
        <v>43147</v>
      </c>
      <c r="C145"/>
      <c r="G145" s="706">
        <v>20.323747419679197</v>
      </c>
      <c r="H145" s="706">
        <v>866.04735433332871</v>
      </c>
      <c r="I145" s="697">
        <f t="shared" ca="1" si="48"/>
        <v>342.53985194422665</v>
      </c>
      <c r="J145" s="706">
        <v>48.822217255213125</v>
      </c>
      <c r="K145" s="706">
        <v>11.693606594888056</v>
      </c>
      <c r="L145" s="697">
        <f t="shared" ca="1" si="49"/>
        <v>15.420000037248862</v>
      </c>
      <c r="M145" s="1185">
        <v>7.8313542921233363</v>
      </c>
      <c r="N145" s="697">
        <f t="shared" ca="1" si="50"/>
        <v>8.1842553963144997</v>
      </c>
      <c r="O145" s="697"/>
      <c r="P145" s="697"/>
      <c r="Q145" s="697"/>
      <c r="R145" s="706">
        <v>6.938525353810177</v>
      </c>
      <c r="S145" s="697">
        <f t="shared" ca="1" si="51"/>
        <v>6.2754980846405033</v>
      </c>
      <c r="T145" s="1152">
        <v>320.62661075045719</v>
      </c>
      <c r="U145" s="697">
        <f t="shared" ca="1" si="52"/>
        <v>65.1084081344151</v>
      </c>
      <c r="V145" s="697">
        <f t="shared" ca="1" si="56"/>
        <v>41.021279401540347</v>
      </c>
      <c r="W145" s="697">
        <v>20.323747419679197</v>
      </c>
      <c r="X145" s="697">
        <f t="shared" ca="1" si="53"/>
        <v>20.684677803177475</v>
      </c>
      <c r="Y145" s="697">
        <v>23.197711197082072</v>
      </c>
      <c r="Z145" s="697">
        <f t="shared" ca="1" si="54"/>
        <v>15.366110393028141</v>
      </c>
    </row>
    <row r="146" spans="2:26" ht="13.2">
      <c r="B146" s="166">
        <f t="shared" si="55"/>
        <v>43154</v>
      </c>
      <c r="C146"/>
      <c r="G146" s="706">
        <v>21.164553313915512</v>
      </c>
      <c r="H146" s="706">
        <v>819.10933040861482</v>
      </c>
      <c r="I146" s="697">
        <f t="shared" ca="1" si="48"/>
        <v>342.53985194422665</v>
      </c>
      <c r="J146" s="706">
        <v>50.439582208278736</v>
      </c>
      <c r="K146" s="706">
        <v>11.566161710998358</v>
      </c>
      <c r="L146" s="697">
        <f t="shared" ca="1" si="49"/>
        <v>15.420000037248862</v>
      </c>
      <c r="M146" s="1185">
        <v>7.9290621072987246</v>
      </c>
      <c r="N146" s="697">
        <f t="shared" ca="1" si="50"/>
        <v>8.1842553963144997</v>
      </c>
      <c r="O146" s="697"/>
      <c r="P146" s="697"/>
      <c r="Q146" s="697"/>
      <c r="R146" s="706">
        <v>6.8554742932032902</v>
      </c>
      <c r="S146" s="697">
        <f t="shared" ca="1" si="51"/>
        <v>6.2754980846405033</v>
      </c>
      <c r="T146" s="1152">
        <v>309.55419529278743</v>
      </c>
      <c r="U146" s="697">
        <f t="shared" ca="1" si="52"/>
        <v>65.1084081344151</v>
      </c>
      <c r="V146" s="697">
        <f t="shared" ca="1" si="56"/>
        <v>41.021279401540347</v>
      </c>
      <c r="W146" s="697">
        <v>21.164553313915512</v>
      </c>
      <c r="X146" s="697">
        <f t="shared" ca="1" si="53"/>
        <v>20.684677803177475</v>
      </c>
      <c r="Y146" s="697">
        <v>23.470292997951812</v>
      </c>
      <c r="Z146" s="697">
        <f t="shared" ca="1" si="54"/>
        <v>15.366110393028141</v>
      </c>
    </row>
    <row r="147" spans="2:26" ht="13.2">
      <c r="B147" s="166">
        <f t="shared" si="55"/>
        <v>43161</v>
      </c>
      <c r="C147"/>
      <c r="G147" s="706">
        <v>21.169634170780004</v>
      </c>
      <c r="H147" s="706">
        <v>780.77936454094663</v>
      </c>
      <c r="I147" s="697">
        <f t="shared" ca="1" si="48"/>
        <v>342.53985194422665</v>
      </c>
      <c r="J147" s="706">
        <v>50.154880825304716</v>
      </c>
      <c r="K147" s="706">
        <v>11.465729301895298</v>
      </c>
      <c r="L147" s="697">
        <f t="shared" ca="1" si="49"/>
        <v>15.420000037248862</v>
      </c>
      <c r="M147" s="1185">
        <v>7.9229009589079897</v>
      </c>
      <c r="N147" s="697">
        <f t="shared" ca="1" si="50"/>
        <v>8.1842553963144997</v>
      </c>
      <c r="O147" s="697"/>
      <c r="P147" s="697"/>
      <c r="Q147" s="697"/>
      <c r="R147" s="706">
        <v>6.8644880106941537</v>
      </c>
      <c r="S147" s="697">
        <f t="shared" ca="1" si="51"/>
        <v>6.2754980846405033</v>
      </c>
      <c r="T147" s="1152">
        <v>301.64004351639193</v>
      </c>
      <c r="U147" s="697">
        <f t="shared" ca="1" si="52"/>
        <v>65.1084081344151</v>
      </c>
      <c r="V147" s="697">
        <f t="shared" ca="1" si="56"/>
        <v>41.021279401540347</v>
      </c>
      <c r="W147" s="697">
        <v>21.169634170780004</v>
      </c>
      <c r="X147" s="697">
        <f t="shared" ca="1" si="53"/>
        <v>20.684677803177475</v>
      </c>
      <c r="Y147" s="697">
        <v>23.562671818575041</v>
      </c>
      <c r="Z147" s="697">
        <f t="shared" ca="1" si="54"/>
        <v>15.366110393028141</v>
      </c>
    </row>
    <row r="148" spans="2:26" ht="13.2">
      <c r="B148" s="166">
        <f t="shared" si="55"/>
        <v>43168</v>
      </c>
      <c r="C148"/>
      <c r="G148" s="706">
        <v>22.524764729338166</v>
      </c>
      <c r="H148" s="706">
        <v>814.41445888148837</v>
      </c>
      <c r="I148" s="697">
        <f t="shared" ca="1" si="48"/>
        <v>342.53985194422665</v>
      </c>
      <c r="J148" s="706">
        <v>52.898363297570604</v>
      </c>
      <c r="K148" s="706">
        <v>12.502775088416435</v>
      </c>
      <c r="L148" s="697">
        <f t="shared" ca="1" si="49"/>
        <v>15.420000037248862</v>
      </c>
      <c r="M148" s="1185">
        <v>8.3095522635173307</v>
      </c>
      <c r="N148" s="697">
        <f t="shared" ca="1" si="50"/>
        <v>8.1842553963144997</v>
      </c>
      <c r="O148" s="697"/>
      <c r="P148" s="697"/>
      <c r="Q148" s="697"/>
      <c r="R148" s="706">
        <v>7.2453965411789021</v>
      </c>
      <c r="S148" s="697">
        <f t="shared" ca="1" si="51"/>
        <v>6.2754980846405033</v>
      </c>
      <c r="T148" s="1152">
        <v>321.94337900607871</v>
      </c>
      <c r="U148" s="697">
        <f t="shared" ca="1" si="52"/>
        <v>65.1084081344151</v>
      </c>
      <c r="V148" s="697">
        <f t="shared" ca="1" si="56"/>
        <v>41.021279401540347</v>
      </c>
      <c r="W148" s="697">
        <v>22.524764729338166</v>
      </c>
      <c r="X148" s="697">
        <f t="shared" ca="1" si="53"/>
        <v>20.684677803177475</v>
      </c>
      <c r="Y148" s="697">
        <v>24.741942101781827</v>
      </c>
      <c r="Z148" s="697">
        <f t="shared" ca="1" si="54"/>
        <v>15.366110393028141</v>
      </c>
    </row>
    <row r="149" spans="2:26" ht="13.2">
      <c r="B149" s="166">
        <f t="shared" si="55"/>
        <v>43175</v>
      </c>
      <c r="C149"/>
      <c r="G149" s="706">
        <v>21.889355428489154</v>
      </c>
      <c r="H149" s="706">
        <v>793.11211061505833</v>
      </c>
      <c r="I149" s="697">
        <f t="shared" ca="1" si="48"/>
        <v>342.53985194422665</v>
      </c>
      <c r="J149" s="706">
        <v>51.579882004639636</v>
      </c>
      <c r="K149" s="706">
        <v>12.246799399361834</v>
      </c>
      <c r="L149" s="697">
        <f t="shared" ca="1" si="49"/>
        <v>15.420000037248862</v>
      </c>
      <c r="M149" s="1185">
        <v>8.4101749381644204</v>
      </c>
      <c r="N149" s="697">
        <f t="shared" ca="1" si="50"/>
        <v>8.1842553963144997</v>
      </c>
      <c r="O149" s="697"/>
      <c r="P149" s="697"/>
      <c r="Q149" s="697"/>
      <c r="R149" s="706">
        <v>7.1045291248521831</v>
      </c>
      <c r="S149" s="697">
        <f t="shared" ca="1" si="51"/>
        <v>6.2754980846405033</v>
      </c>
      <c r="T149" s="1152">
        <v>308.99473170943111</v>
      </c>
      <c r="U149" s="697">
        <f t="shared" ca="1" si="52"/>
        <v>65.1084081344151</v>
      </c>
      <c r="V149" s="697">
        <f t="shared" ca="1" si="56"/>
        <v>41.021279401540347</v>
      </c>
      <c r="W149" s="697">
        <v>21.889355428489154</v>
      </c>
      <c r="X149" s="697">
        <f t="shared" ca="1" si="53"/>
        <v>20.684677803177475</v>
      </c>
      <c r="Y149" s="697">
        <v>24.809977764220555</v>
      </c>
      <c r="Z149" s="697">
        <f t="shared" ca="1" si="54"/>
        <v>15.366110393028141</v>
      </c>
    </row>
    <row r="150" spans="2:26" ht="13.2">
      <c r="B150" s="166">
        <f t="shared" si="55"/>
        <v>43182</v>
      </c>
      <c r="C150"/>
      <c r="G150" s="706">
        <v>20.307644758333044</v>
      </c>
      <c r="H150" s="706">
        <v>726.61699723653703</v>
      </c>
      <c r="I150" s="697">
        <f t="shared" ca="1" si="48"/>
        <v>342.53985194422665</v>
      </c>
      <c r="J150" s="706">
        <v>47.953764499468562</v>
      </c>
      <c r="K150" s="706">
        <v>11.662787279389649</v>
      </c>
      <c r="L150" s="697">
        <f t="shared" ca="1" si="49"/>
        <v>15.420000037248862</v>
      </c>
      <c r="M150" s="1185">
        <v>7.914291305268077</v>
      </c>
      <c r="N150" s="697">
        <f t="shared" ca="1" si="50"/>
        <v>8.1842553963144997</v>
      </c>
      <c r="O150" s="697"/>
      <c r="P150" s="697"/>
      <c r="Q150" s="697"/>
      <c r="R150" s="706">
        <v>6.5863082102705697</v>
      </c>
      <c r="S150" s="697">
        <f t="shared" ca="1" si="51"/>
        <v>6.2754980846405033</v>
      </c>
      <c r="T150" s="1152">
        <v>290.12028470136914</v>
      </c>
      <c r="U150" s="697">
        <f t="shared" ca="1" si="52"/>
        <v>65.1084081344151</v>
      </c>
      <c r="V150" s="697">
        <f t="shared" ca="1" si="56"/>
        <v>41.021279401540347</v>
      </c>
      <c r="W150" s="697">
        <v>20.307644758333044</v>
      </c>
      <c r="X150" s="697">
        <f t="shared" ca="1" si="53"/>
        <v>20.684677803177475</v>
      </c>
      <c r="Y150" s="697">
        <v>23.216850550592021</v>
      </c>
      <c r="Z150" s="697">
        <f t="shared" ca="1" si="54"/>
        <v>15.366110393028141</v>
      </c>
    </row>
    <row r="151" spans="2:26" ht="13.2">
      <c r="B151" s="166">
        <f t="shared" si="55"/>
        <v>43189</v>
      </c>
      <c r="C151"/>
      <c r="G151" s="706">
        <v>19.887173003828487</v>
      </c>
      <c r="H151" s="706">
        <v>644.75480144124094</v>
      </c>
      <c r="I151" s="697">
        <f t="shared" ca="1" si="48"/>
        <v>342.53985194422665</v>
      </c>
      <c r="J151" s="706">
        <v>46.645484034959928</v>
      </c>
      <c r="K151" s="706">
        <v>10.26152277854718</v>
      </c>
      <c r="L151" s="697">
        <f t="shared" ca="1" si="49"/>
        <v>15.420000037248862</v>
      </c>
      <c r="M151" s="1185">
        <v>7.9417694303196926</v>
      </c>
      <c r="N151" s="697">
        <f t="shared" ca="1" si="50"/>
        <v>8.1842553963144997</v>
      </c>
      <c r="O151" s="697"/>
      <c r="P151" s="697"/>
      <c r="Q151" s="697"/>
      <c r="R151" s="706">
        <v>6.4640839979721383</v>
      </c>
      <c r="S151" s="697">
        <f t="shared" ca="1" si="51"/>
        <v>6.2754980846405033</v>
      </c>
      <c r="T151" s="1152">
        <v>250.018258951322</v>
      </c>
      <c r="U151" s="697">
        <f t="shared" ca="1" si="52"/>
        <v>65.1084081344151</v>
      </c>
      <c r="V151" s="697">
        <f t="shared" ca="1" si="56"/>
        <v>41.021279401540347</v>
      </c>
      <c r="W151" s="697">
        <v>19.887173003828487</v>
      </c>
      <c r="X151" s="697">
        <f t="shared" ca="1" si="53"/>
        <v>20.684677803177475</v>
      </c>
      <c r="Y151" s="697">
        <v>23.301635896393101</v>
      </c>
      <c r="Z151" s="697">
        <f t="shared" ca="1" si="54"/>
        <v>15.366110393028141</v>
      </c>
    </row>
    <row r="152" spans="2:26" ht="13.2">
      <c r="B152" s="166">
        <f t="shared" si="55"/>
        <v>43196</v>
      </c>
      <c r="C152"/>
      <c r="G152" s="706">
        <v>19.255455814946995</v>
      </c>
      <c r="H152" s="706">
        <v>580.4303904691966</v>
      </c>
      <c r="I152" s="697">
        <f t="shared" ref="I152:I215" ca="1" si="57">+I$87</f>
        <v>342.53985194422665</v>
      </c>
      <c r="J152" s="706">
        <v>44.945344317753793</v>
      </c>
      <c r="K152" s="706">
        <v>9.5158551512894309</v>
      </c>
      <c r="L152" s="697">
        <f t="shared" ref="L152:L215" ca="1" si="58">+L$87</f>
        <v>15.420000037248862</v>
      </c>
      <c r="M152" s="1185">
        <v>7.9369441100952045</v>
      </c>
      <c r="N152" s="697">
        <f t="shared" ref="N152:N215" ca="1" si="59">+N$87</f>
        <v>8.1842553963144997</v>
      </c>
      <c r="O152" s="697"/>
      <c r="P152" s="697"/>
      <c r="Q152" s="697"/>
      <c r="R152" s="706">
        <v>5.9144625993869147</v>
      </c>
      <c r="S152" s="697">
        <f t="shared" ref="S152:S215" ca="1" si="60">+S$87</f>
        <v>6.2754980846405033</v>
      </c>
      <c r="T152" s="1152">
        <v>227.37788796522727</v>
      </c>
      <c r="U152" s="697">
        <f t="shared" ref="U152:U215" ca="1" si="61">+U$87</f>
        <v>65.1084081344151</v>
      </c>
      <c r="V152" s="697">
        <f t="shared" ca="1" si="56"/>
        <v>41.021279401540347</v>
      </c>
      <c r="W152" s="697">
        <v>19.255455814946995</v>
      </c>
      <c r="X152" s="697">
        <f t="shared" ref="X152:X215" ca="1" si="62">+X$87</f>
        <v>20.684677803177475</v>
      </c>
      <c r="Y152" s="697">
        <v>23.236098744987281</v>
      </c>
      <c r="Z152" s="697">
        <f t="shared" ref="Z152:Z215" ca="1" si="63">+Z$87</f>
        <v>15.366110393028141</v>
      </c>
    </row>
    <row r="153" spans="2:26" ht="13.2">
      <c r="B153" s="166">
        <f t="shared" ref="B153:B216" si="64">B152+7</f>
        <v>43203</v>
      </c>
      <c r="C153"/>
      <c r="G153" s="706">
        <v>20.158130592399466</v>
      </c>
      <c r="H153" s="706">
        <v>558.96622785130216</v>
      </c>
      <c r="I153" s="697">
        <f t="shared" ca="1" si="57"/>
        <v>342.53985194422665</v>
      </c>
      <c r="J153" s="706">
        <v>46.190682641943781</v>
      </c>
      <c r="K153" s="706">
        <v>9.4624874502650549</v>
      </c>
      <c r="L153" s="697">
        <f t="shared" ca="1" si="58"/>
        <v>15.420000037248862</v>
      </c>
      <c r="M153" s="1185">
        <v>8.1548884198389153</v>
      </c>
      <c r="N153" s="697">
        <f t="shared" ca="1" si="59"/>
        <v>8.1842553963144997</v>
      </c>
      <c r="O153" s="697"/>
      <c r="P153" s="697"/>
      <c r="Q153" s="697"/>
      <c r="R153" s="706">
        <v>6.0170069129485428</v>
      </c>
      <c r="S153" s="697">
        <f t="shared" ca="1" si="60"/>
        <v>6.2754980846405033</v>
      </c>
      <c r="T153" s="1152">
        <v>222.42827589902419</v>
      </c>
      <c r="U153" s="697">
        <f t="shared" ca="1" si="61"/>
        <v>65.1084081344151</v>
      </c>
      <c r="V153" s="697">
        <f t="shared" ref="V153:V216" ca="1" si="65">+V152</f>
        <v>41.021279401540347</v>
      </c>
      <c r="W153" s="697">
        <v>20.158130592399466</v>
      </c>
      <c r="X153" s="697">
        <f t="shared" ca="1" si="62"/>
        <v>20.684677803177475</v>
      </c>
      <c r="Y153" s="697">
        <v>23.811601832171174</v>
      </c>
      <c r="Z153" s="697">
        <f t="shared" ca="1" si="63"/>
        <v>15.366110393028141</v>
      </c>
    </row>
    <row r="154" spans="2:26" ht="13.2">
      <c r="B154" s="166">
        <f t="shared" si="64"/>
        <v>43210</v>
      </c>
      <c r="C154"/>
      <c r="G154" s="706">
        <v>20.32059901918019</v>
      </c>
      <c r="H154" s="706">
        <v>581.18811554417618</v>
      </c>
      <c r="I154" s="697">
        <f t="shared" ca="1" si="57"/>
        <v>342.53985194422665</v>
      </c>
      <c r="J154" s="706">
        <v>47.395176610687066</v>
      </c>
      <c r="K154" s="706">
        <v>10.256420161706972</v>
      </c>
      <c r="L154" s="697">
        <f t="shared" ca="1" si="58"/>
        <v>15.420000037248862</v>
      </c>
      <c r="M154" s="1185">
        <v>8.2791885838816022</v>
      </c>
      <c r="N154" s="697">
        <f t="shared" ca="1" si="59"/>
        <v>8.1842553963144997</v>
      </c>
      <c r="O154" s="697"/>
      <c r="P154" s="697"/>
      <c r="Q154" s="697"/>
      <c r="R154" s="706">
        <v>6.1800770634633997</v>
      </c>
      <c r="S154" s="697">
        <f t="shared" ca="1" si="60"/>
        <v>6.2754980846405033</v>
      </c>
      <c r="T154" s="1152">
        <v>238.31926931400474</v>
      </c>
      <c r="U154" s="697">
        <f t="shared" ca="1" si="61"/>
        <v>65.1084081344151</v>
      </c>
      <c r="V154" s="697">
        <f t="shared" ca="1" si="65"/>
        <v>41.021279401540347</v>
      </c>
      <c r="W154" s="697">
        <v>20.32059901918019</v>
      </c>
      <c r="X154" s="697">
        <f t="shared" ca="1" si="62"/>
        <v>20.684677803177475</v>
      </c>
      <c r="Y154" s="697">
        <v>24.140786578823047</v>
      </c>
      <c r="Z154" s="697">
        <f t="shared" ca="1" si="63"/>
        <v>15.366110393028141</v>
      </c>
    </row>
    <row r="155" spans="2:26" ht="13.2">
      <c r="B155" s="166">
        <f t="shared" si="64"/>
        <v>43217</v>
      </c>
      <c r="C155"/>
      <c r="G155" s="706">
        <v>19.430687478451581</v>
      </c>
      <c r="H155" s="706">
        <v>560.05305774702992</v>
      </c>
      <c r="I155" s="697">
        <f t="shared" ca="1" si="57"/>
        <v>342.53985194422665</v>
      </c>
      <c r="J155" s="706">
        <v>41.375788253663629</v>
      </c>
      <c r="K155" s="706">
        <v>10.175197584461259</v>
      </c>
      <c r="L155" s="697">
        <f t="shared" ca="1" si="58"/>
        <v>15.420000037248862</v>
      </c>
      <c r="M155" s="1185">
        <v>8.0140254226521037</v>
      </c>
      <c r="N155" s="697">
        <f t="shared" ca="1" si="59"/>
        <v>8.1842553963144997</v>
      </c>
      <c r="O155" s="697"/>
      <c r="P155" s="697"/>
      <c r="Q155" s="697"/>
      <c r="R155" s="706">
        <v>5.8962924623525756</v>
      </c>
      <c r="S155" s="697">
        <f t="shared" ca="1" si="60"/>
        <v>6.2754980846405033</v>
      </c>
      <c r="T155" s="1152">
        <v>228.48714674290031</v>
      </c>
      <c r="U155" s="697">
        <f t="shared" ca="1" si="61"/>
        <v>65.1084081344151</v>
      </c>
      <c r="V155" s="697">
        <f t="shared" ca="1" si="65"/>
        <v>41.021279401540347</v>
      </c>
      <c r="W155" s="697">
        <v>19.430687478451581</v>
      </c>
      <c r="X155" s="697">
        <f t="shared" ca="1" si="62"/>
        <v>20.684677803177475</v>
      </c>
      <c r="Y155" s="697">
        <v>23.41989280160271</v>
      </c>
      <c r="Z155" s="697">
        <f t="shared" ca="1" si="63"/>
        <v>15.366110393028141</v>
      </c>
    </row>
    <row r="156" spans="2:26" ht="13.2">
      <c r="B156" s="166">
        <f t="shared" si="64"/>
        <v>43224</v>
      </c>
      <c r="C156"/>
      <c r="G156" s="706">
        <v>19.50617312629678</v>
      </c>
      <c r="H156" s="706">
        <v>442.30466936323143</v>
      </c>
      <c r="I156" s="697">
        <f t="shared" ca="1" si="57"/>
        <v>342.53985194422665</v>
      </c>
      <c r="J156" s="706">
        <v>41.276549749186543</v>
      </c>
      <c r="K156" s="706">
        <v>10.782395615561182</v>
      </c>
      <c r="L156" s="697">
        <f t="shared" ca="1" si="58"/>
        <v>15.420000037248862</v>
      </c>
      <c r="M156" s="1185">
        <v>8.2738897286940034</v>
      </c>
      <c r="N156" s="697">
        <f t="shared" ca="1" si="59"/>
        <v>8.1842553963144997</v>
      </c>
      <c r="O156" s="697"/>
      <c r="P156" s="697"/>
      <c r="Q156" s="697"/>
      <c r="R156" s="706">
        <v>5.8414572054972034</v>
      </c>
      <c r="S156" s="697">
        <f t="shared" ca="1" si="60"/>
        <v>6.2754980846405033</v>
      </c>
      <c r="T156" s="1152">
        <v>217.88042876008765</v>
      </c>
      <c r="U156" s="697">
        <f t="shared" ca="1" si="61"/>
        <v>65.1084081344151</v>
      </c>
      <c r="V156" s="697">
        <f t="shared" ca="1" si="65"/>
        <v>41.021279401540347</v>
      </c>
      <c r="W156" s="697">
        <v>19.50617312629678</v>
      </c>
      <c r="X156" s="697">
        <f t="shared" ca="1" si="62"/>
        <v>20.684677803177475</v>
      </c>
      <c r="Y156" s="697">
        <v>24.161029736121591</v>
      </c>
      <c r="Z156" s="697">
        <f t="shared" ca="1" si="63"/>
        <v>15.366110393028141</v>
      </c>
    </row>
    <row r="157" spans="2:26" ht="13.2">
      <c r="B157" s="166">
        <f t="shared" si="64"/>
        <v>43231</v>
      </c>
      <c r="C157"/>
      <c r="G157" s="706">
        <v>20.482371724793992</v>
      </c>
      <c r="H157" s="706">
        <v>464.04553061566537</v>
      </c>
      <c r="I157" s="697">
        <f t="shared" ca="1" si="57"/>
        <v>342.53985194422665</v>
      </c>
      <c r="J157" s="706">
        <v>42.705292410207058</v>
      </c>
      <c r="K157" s="706">
        <v>11.453352360027207</v>
      </c>
      <c r="L157" s="697">
        <f t="shared" ca="1" si="58"/>
        <v>15.420000037248862</v>
      </c>
      <c r="M157" s="1185">
        <v>8.6011304808407125</v>
      </c>
      <c r="N157" s="697">
        <f t="shared" ca="1" si="59"/>
        <v>8.1842553963144997</v>
      </c>
      <c r="O157" s="697"/>
      <c r="P157" s="697"/>
      <c r="Q157" s="697"/>
      <c r="R157" s="706">
        <v>6.1256705550708936</v>
      </c>
      <c r="S157" s="697">
        <f t="shared" ca="1" si="60"/>
        <v>6.2754980846405033</v>
      </c>
      <c r="T157" s="1152">
        <v>229.94417044820335</v>
      </c>
      <c r="U157" s="697">
        <f t="shared" ca="1" si="61"/>
        <v>65.1084081344151</v>
      </c>
      <c r="V157" s="697">
        <f t="shared" ca="1" si="65"/>
        <v>41.021279401540347</v>
      </c>
      <c r="W157" s="697">
        <v>20.482371724793992</v>
      </c>
      <c r="X157" s="697">
        <f t="shared" ca="1" si="62"/>
        <v>20.684677803177475</v>
      </c>
      <c r="Y157" s="697">
        <v>25.240043246173421</v>
      </c>
      <c r="Z157" s="697">
        <f t="shared" ca="1" si="63"/>
        <v>15.366110393028141</v>
      </c>
    </row>
    <row r="158" spans="2:26" ht="13.2">
      <c r="B158" s="166">
        <f t="shared" si="64"/>
        <v>43238</v>
      </c>
      <c r="C158"/>
      <c r="G158" s="706">
        <v>20.53962193914154</v>
      </c>
      <c r="H158" s="706">
        <v>460.76170432953393</v>
      </c>
      <c r="I158" s="697">
        <f t="shared" ca="1" si="57"/>
        <v>342.53985194422665</v>
      </c>
      <c r="J158" s="706">
        <v>42.525944410638367</v>
      </c>
      <c r="K158" s="706">
        <v>11.610615044849569</v>
      </c>
      <c r="L158" s="697">
        <f t="shared" ca="1" si="58"/>
        <v>15.420000037248862</v>
      </c>
      <c r="M158" s="1185">
        <v>8.5822192697082151</v>
      </c>
      <c r="N158" s="697">
        <f t="shared" ca="1" si="59"/>
        <v>8.1842553963144997</v>
      </c>
      <c r="O158" s="697"/>
      <c r="P158" s="697"/>
      <c r="Q158" s="697"/>
      <c r="R158" s="706">
        <v>6.0802093483417368</v>
      </c>
      <c r="S158" s="697">
        <f t="shared" ca="1" si="60"/>
        <v>6.2754980846405033</v>
      </c>
      <c r="T158" s="1152">
        <v>230.27908094587292</v>
      </c>
      <c r="U158" s="697">
        <f t="shared" ca="1" si="61"/>
        <v>65.1084081344151</v>
      </c>
      <c r="V158" s="697">
        <f t="shared" ca="1" si="65"/>
        <v>41.021279401540347</v>
      </c>
      <c r="W158" s="697">
        <v>20.53962193914154</v>
      </c>
      <c r="X158" s="697">
        <f t="shared" ca="1" si="62"/>
        <v>20.684677803177475</v>
      </c>
      <c r="Y158" s="697">
        <v>25.027325491169542</v>
      </c>
      <c r="Z158" s="697">
        <f t="shared" ca="1" si="63"/>
        <v>15.366110393028141</v>
      </c>
    </row>
    <row r="159" spans="2:26" ht="13.2">
      <c r="B159" s="166">
        <f t="shared" si="64"/>
        <v>43245</v>
      </c>
      <c r="C159"/>
      <c r="G159" s="706">
        <v>21.019868240209327</v>
      </c>
      <c r="H159" s="706">
        <v>439.25651767194046</v>
      </c>
      <c r="I159" s="697">
        <f t="shared" ca="1" si="57"/>
        <v>342.53985194422665</v>
      </c>
      <c r="J159" s="706">
        <v>43.379971145445694</v>
      </c>
      <c r="K159" s="706">
        <v>11.238999429017721</v>
      </c>
      <c r="L159" s="697">
        <f t="shared" ca="1" si="58"/>
        <v>15.420000037248862</v>
      </c>
      <c r="M159" s="1185">
        <v>8.5965843731291276</v>
      </c>
      <c r="N159" s="697">
        <f t="shared" ca="1" si="59"/>
        <v>8.1842553963144997</v>
      </c>
      <c r="O159" s="697"/>
      <c r="P159" s="697"/>
      <c r="Q159" s="697"/>
      <c r="R159" s="706">
        <v>6.1597973043498948</v>
      </c>
      <c r="S159" s="697">
        <f t="shared" ca="1" si="60"/>
        <v>6.2754980846405033</v>
      </c>
      <c r="T159" s="1152">
        <v>219.5026712013746</v>
      </c>
      <c r="U159" s="697">
        <f t="shared" ca="1" si="61"/>
        <v>65.1084081344151</v>
      </c>
      <c r="V159" s="697">
        <f t="shared" ca="1" si="65"/>
        <v>41.021279401540347</v>
      </c>
      <c r="W159" s="697">
        <v>21.019868240209327</v>
      </c>
      <c r="X159" s="697">
        <f t="shared" ca="1" si="62"/>
        <v>20.684677803177475</v>
      </c>
      <c r="Y159" s="697">
        <v>24.822173487201734</v>
      </c>
      <c r="Z159" s="697">
        <f t="shared" ca="1" si="63"/>
        <v>15.366110393028141</v>
      </c>
    </row>
    <row r="160" spans="2:26" ht="13.2">
      <c r="B160" s="166">
        <f t="shared" si="64"/>
        <v>43252</v>
      </c>
      <c r="C160"/>
      <c r="G160" s="706">
        <v>21.510429234708354</v>
      </c>
      <c r="H160" s="706">
        <v>450.35496808990376</v>
      </c>
      <c r="I160" s="697">
        <f t="shared" ca="1" si="57"/>
        <v>342.53985194422665</v>
      </c>
      <c r="J160" s="706">
        <v>44.237810996459494</v>
      </c>
      <c r="K160" s="706">
        <v>11.793864598309487</v>
      </c>
      <c r="L160" s="697">
        <f t="shared" ca="1" si="58"/>
        <v>15.420000037248862</v>
      </c>
      <c r="M160" s="1185">
        <v>8.8074960365502726</v>
      </c>
      <c r="N160" s="697">
        <f t="shared" ca="1" si="59"/>
        <v>8.1842553963144997</v>
      </c>
      <c r="O160" s="697"/>
      <c r="P160" s="697"/>
      <c r="Q160" s="697"/>
      <c r="R160" s="706">
        <v>6.4057249585811364</v>
      </c>
      <c r="S160" s="697">
        <f t="shared" ca="1" si="60"/>
        <v>6.2754980846405033</v>
      </c>
      <c r="T160" s="1152">
        <v>228.1704602087184</v>
      </c>
      <c r="U160" s="697">
        <f t="shared" ca="1" si="61"/>
        <v>65.1084081344151</v>
      </c>
      <c r="V160" s="697">
        <f t="shared" ca="1" si="65"/>
        <v>41.021279401540347</v>
      </c>
      <c r="W160" s="697">
        <v>21.510429234708354</v>
      </c>
      <c r="X160" s="697">
        <f t="shared" ca="1" si="62"/>
        <v>20.684677803177475</v>
      </c>
      <c r="Y160" s="697">
        <v>25.474878015087359</v>
      </c>
      <c r="Z160" s="697">
        <f t="shared" ca="1" si="63"/>
        <v>15.366110393028141</v>
      </c>
    </row>
    <row r="161" spans="2:26" ht="13.2">
      <c r="B161" s="166">
        <f t="shared" si="64"/>
        <v>43259</v>
      </c>
      <c r="C161"/>
      <c r="G161" s="706">
        <v>21.536290663365158</v>
      </c>
      <c r="H161" s="706">
        <v>475.09832297091197</v>
      </c>
      <c r="I161" s="697">
        <f t="shared" ca="1" si="57"/>
        <v>342.53985194422665</v>
      </c>
      <c r="J161" s="706">
        <v>44.547561140283932</v>
      </c>
      <c r="K161" s="706">
        <v>12.761987770068659</v>
      </c>
      <c r="L161" s="697">
        <f t="shared" ca="1" si="58"/>
        <v>15.420000037248862</v>
      </c>
      <c r="M161" s="1185">
        <v>9.0247262836030586</v>
      </c>
      <c r="N161" s="697">
        <f t="shared" ca="1" si="59"/>
        <v>8.1842553963144997</v>
      </c>
      <c r="O161" s="697"/>
      <c r="P161" s="697"/>
      <c r="Q161" s="697"/>
      <c r="R161" s="706">
        <v>6.6451992151581472</v>
      </c>
      <c r="S161" s="697">
        <f t="shared" ca="1" si="60"/>
        <v>6.2754980846405033</v>
      </c>
      <c r="T161" s="1152">
        <v>243.27316836352261</v>
      </c>
      <c r="U161" s="697">
        <f t="shared" ca="1" si="61"/>
        <v>65.1084081344151</v>
      </c>
      <c r="V161" s="697">
        <f t="shared" ca="1" si="65"/>
        <v>41.021279401540347</v>
      </c>
      <c r="W161" s="697">
        <v>21.536290663365158</v>
      </c>
      <c r="X161" s="697">
        <f t="shared" ca="1" si="62"/>
        <v>20.684677803177475</v>
      </c>
      <c r="Y161" s="697">
        <v>26.163110804869426</v>
      </c>
      <c r="Z161" s="697">
        <f t="shared" ca="1" si="63"/>
        <v>15.366110393028141</v>
      </c>
    </row>
    <row r="162" spans="2:26" ht="13.2">
      <c r="B162" s="166">
        <f t="shared" si="64"/>
        <v>43266</v>
      </c>
      <c r="C162"/>
      <c r="G162" s="706">
        <v>22.293297800904963</v>
      </c>
      <c r="H162" s="706">
        <v>478.25801417925413</v>
      </c>
      <c r="I162" s="697">
        <f t="shared" ca="1" si="57"/>
        <v>342.53985194422665</v>
      </c>
      <c r="J162" s="706">
        <v>45.847520913343125</v>
      </c>
      <c r="K162" s="706">
        <v>13.141778905816981</v>
      </c>
      <c r="L162" s="697">
        <f t="shared" ca="1" si="58"/>
        <v>15.420000037248862</v>
      </c>
      <c r="M162" s="1185">
        <v>9.1997158483867771</v>
      </c>
      <c r="N162" s="697">
        <f t="shared" ca="1" si="59"/>
        <v>8.1842553963144997</v>
      </c>
      <c r="O162" s="697"/>
      <c r="P162" s="697"/>
      <c r="Q162" s="697"/>
      <c r="R162" s="706">
        <v>6.87535534607657</v>
      </c>
      <c r="S162" s="697">
        <f t="shared" ca="1" si="60"/>
        <v>6.2754980846405033</v>
      </c>
      <c r="T162" s="1152">
        <v>266.51468650096848</v>
      </c>
      <c r="U162" s="697">
        <f t="shared" ca="1" si="61"/>
        <v>65.1084081344151</v>
      </c>
      <c r="V162" s="697">
        <f t="shared" ca="1" si="65"/>
        <v>41.021279401540347</v>
      </c>
      <c r="W162" s="697">
        <v>22.293297800904963</v>
      </c>
      <c r="X162" s="697">
        <f t="shared" ca="1" si="62"/>
        <v>20.684677803177475</v>
      </c>
      <c r="Y162" s="697">
        <v>26.845300064179515</v>
      </c>
      <c r="Z162" s="697">
        <f t="shared" ca="1" si="63"/>
        <v>15.366110393028141</v>
      </c>
    </row>
    <row r="163" spans="2:26" ht="13.2">
      <c r="B163" s="166">
        <f t="shared" si="64"/>
        <v>43273</v>
      </c>
      <c r="C163"/>
      <c r="G163" s="706">
        <v>22.671058414546501</v>
      </c>
      <c r="H163" s="706">
        <v>451.40973959076723</v>
      </c>
      <c r="I163" s="697">
        <f t="shared" ca="1" si="57"/>
        <v>342.53985194422665</v>
      </c>
      <c r="J163" s="706">
        <v>46.308937121217674</v>
      </c>
      <c r="K163" s="706">
        <v>12.557309874792098</v>
      </c>
      <c r="L163" s="697">
        <f t="shared" ca="1" si="58"/>
        <v>15.420000037248862</v>
      </c>
      <c r="M163" s="1185">
        <v>8.9545888770966933</v>
      </c>
      <c r="N163" s="697">
        <f t="shared" ca="1" si="59"/>
        <v>8.1842553963144997</v>
      </c>
      <c r="O163" s="697"/>
      <c r="P163" s="697"/>
      <c r="Q163" s="697"/>
      <c r="R163" s="706">
        <v>6.7839124758880232</v>
      </c>
      <c r="S163" s="697">
        <f t="shared" ca="1" si="60"/>
        <v>6.2754980846405033</v>
      </c>
      <c r="T163" s="1152">
        <v>251.68577334032437</v>
      </c>
      <c r="U163" s="697">
        <f t="shared" ca="1" si="61"/>
        <v>65.1084081344151</v>
      </c>
      <c r="V163" s="697">
        <f t="shared" ca="1" si="65"/>
        <v>41.021279401540347</v>
      </c>
      <c r="W163" s="697">
        <v>22.671058414546501</v>
      </c>
      <c r="X163" s="697">
        <f t="shared" ca="1" si="62"/>
        <v>20.684677803177475</v>
      </c>
      <c r="Y163" s="697">
        <v>26.141877582877122</v>
      </c>
      <c r="Z163" s="697">
        <f t="shared" ca="1" si="63"/>
        <v>15.366110393028141</v>
      </c>
    </row>
    <row r="164" spans="2:26" ht="13.2">
      <c r="B164" s="166">
        <f t="shared" si="64"/>
        <v>43280</v>
      </c>
      <c r="C164"/>
      <c r="G164" s="706">
        <v>21.916152679912535</v>
      </c>
      <c r="H164" s="706">
        <v>396.5427689546778</v>
      </c>
      <c r="I164" s="697">
        <f t="shared" ca="1" si="57"/>
        <v>342.53985194422665</v>
      </c>
      <c r="J164" s="706">
        <v>44.73020133031099</v>
      </c>
      <c r="K164" s="706">
        <v>11.524850517864049</v>
      </c>
      <c r="L164" s="697">
        <f t="shared" ca="1" si="58"/>
        <v>15.420000037248862</v>
      </c>
      <c r="M164" s="1185">
        <v>8.9458244221651544</v>
      </c>
      <c r="N164" s="697">
        <f t="shared" ca="1" si="59"/>
        <v>8.1842553963144997</v>
      </c>
      <c r="O164" s="697"/>
      <c r="P164" s="697"/>
      <c r="Q164" s="697"/>
      <c r="R164" s="706">
        <v>6.5510621545116505</v>
      </c>
      <c r="S164" s="697">
        <f t="shared" ca="1" si="60"/>
        <v>6.2754980846405033</v>
      </c>
      <c r="T164" s="1152">
        <v>229.23013060931024</v>
      </c>
      <c r="U164" s="697">
        <f t="shared" ca="1" si="61"/>
        <v>65.1084081344151</v>
      </c>
      <c r="V164" s="697">
        <f t="shared" ca="1" si="65"/>
        <v>41.021279401540347</v>
      </c>
      <c r="W164" s="697">
        <v>21.916152679912535</v>
      </c>
      <c r="X164" s="697">
        <f t="shared" ca="1" si="62"/>
        <v>20.684677803177475</v>
      </c>
      <c r="Y164" s="697">
        <v>25.882599854851158</v>
      </c>
      <c r="Z164" s="697">
        <f t="shared" ca="1" si="63"/>
        <v>15.366110393028141</v>
      </c>
    </row>
    <row r="165" spans="2:26" ht="13.2">
      <c r="B165" s="166">
        <f t="shared" si="64"/>
        <v>43287</v>
      </c>
      <c r="C165"/>
      <c r="G165" s="706">
        <v>22.474359724803499</v>
      </c>
      <c r="H165" s="706">
        <v>417.31443193382324</v>
      </c>
      <c r="I165" s="697">
        <f t="shared" ca="1" si="57"/>
        <v>342.53985194422665</v>
      </c>
      <c r="J165" s="706">
        <v>45.609304295433219</v>
      </c>
      <c r="K165" s="706">
        <v>12.410392726167627</v>
      </c>
      <c r="L165" s="697">
        <f t="shared" ca="1" si="58"/>
        <v>15.420000037248862</v>
      </c>
      <c r="M165" s="1185">
        <v>9.2208667315354571</v>
      </c>
      <c r="N165" s="697">
        <f t="shared" ca="1" si="59"/>
        <v>8.1842553963144997</v>
      </c>
      <c r="O165" s="697"/>
      <c r="P165" s="697"/>
      <c r="Q165" s="697"/>
      <c r="R165" s="706">
        <v>6.791086396396083</v>
      </c>
      <c r="S165" s="697">
        <f t="shared" ca="1" si="60"/>
        <v>6.2754980846405033</v>
      </c>
      <c r="T165" s="1152">
        <v>245.12710757443861</v>
      </c>
      <c r="U165" s="697">
        <f t="shared" ca="1" si="61"/>
        <v>65.1084081344151</v>
      </c>
      <c r="V165" s="697">
        <f t="shared" ca="1" si="65"/>
        <v>41.021279401540347</v>
      </c>
      <c r="W165" s="697">
        <v>22.474359724803499</v>
      </c>
      <c r="X165" s="697">
        <f t="shared" ca="1" si="62"/>
        <v>20.684677803177475</v>
      </c>
      <c r="Y165" s="697">
        <v>26.730320009956181</v>
      </c>
      <c r="Z165" s="697">
        <f t="shared" ca="1" si="63"/>
        <v>15.366110393028141</v>
      </c>
    </row>
    <row r="166" spans="2:26" ht="13.2">
      <c r="B166" s="166">
        <f t="shared" si="64"/>
        <v>43294</v>
      </c>
      <c r="C166"/>
      <c r="G166" s="706">
        <v>22.301056637450742</v>
      </c>
      <c r="H166" s="706">
        <v>433.19494278140758</v>
      </c>
      <c r="I166" s="697">
        <f t="shared" ca="1" si="57"/>
        <v>342.53985194422665</v>
      </c>
      <c r="J166" s="706">
        <v>45.81136017403513</v>
      </c>
      <c r="K166" s="706">
        <v>13.150675640562966</v>
      </c>
      <c r="L166" s="697">
        <f t="shared" ca="1" si="58"/>
        <v>15.420000037248862</v>
      </c>
      <c r="M166" s="1185">
        <v>9.5362705099054441</v>
      </c>
      <c r="N166" s="697">
        <f t="shared" ca="1" si="59"/>
        <v>8.1842553963144997</v>
      </c>
      <c r="O166" s="697"/>
      <c r="P166" s="697"/>
      <c r="Q166" s="697"/>
      <c r="R166" s="706">
        <v>6.8589035171964845</v>
      </c>
      <c r="S166" s="697">
        <f t="shared" ca="1" si="60"/>
        <v>6.2754980846405033</v>
      </c>
      <c r="T166" s="1152">
        <v>257.19811559097241</v>
      </c>
      <c r="U166" s="697">
        <f t="shared" ca="1" si="61"/>
        <v>65.1084081344151</v>
      </c>
      <c r="V166" s="697">
        <f t="shared" ca="1" si="65"/>
        <v>41.021279401540347</v>
      </c>
      <c r="W166" s="697">
        <v>22.301056637450742</v>
      </c>
      <c r="X166" s="697">
        <f t="shared" ca="1" si="62"/>
        <v>20.684677803177475</v>
      </c>
      <c r="Y166" s="697">
        <v>27.504480981551911</v>
      </c>
      <c r="Z166" s="697">
        <f t="shared" ca="1" si="63"/>
        <v>15.366110393028141</v>
      </c>
    </row>
    <row r="167" spans="2:26" ht="13.2">
      <c r="B167" s="166">
        <f t="shared" si="64"/>
        <v>43301</v>
      </c>
      <c r="C167"/>
      <c r="G167" s="706">
        <v>21.764818515894184</v>
      </c>
      <c r="H167" s="706">
        <v>431.09383924645959</v>
      </c>
      <c r="I167" s="697">
        <f t="shared" ca="1" si="57"/>
        <v>342.53985194422665</v>
      </c>
      <c r="J167" s="706">
        <v>45.037579298597805</v>
      </c>
      <c r="K167" s="706">
        <v>13.49419085685617</v>
      </c>
      <c r="L167" s="697">
        <f t="shared" ca="1" si="58"/>
        <v>15.420000037248862</v>
      </c>
      <c r="M167" s="1185">
        <v>9.5125466554616001</v>
      </c>
      <c r="N167" s="697">
        <f t="shared" ca="1" si="59"/>
        <v>8.1842553963144997</v>
      </c>
      <c r="O167" s="697"/>
      <c r="P167" s="697"/>
      <c r="Q167" s="697"/>
      <c r="R167" s="706">
        <v>6.7753324457072219</v>
      </c>
      <c r="S167" s="697">
        <f t="shared" ca="1" si="60"/>
        <v>6.2754980846405033</v>
      </c>
      <c r="T167" s="1152">
        <v>261.44259842021069</v>
      </c>
      <c r="U167" s="697">
        <f t="shared" ca="1" si="61"/>
        <v>65.1084081344151</v>
      </c>
      <c r="V167" s="697">
        <f t="shared" ca="1" si="65"/>
        <v>41.021279401540347</v>
      </c>
      <c r="W167" s="697">
        <v>21.764818515894184</v>
      </c>
      <c r="X167" s="697">
        <f t="shared" ca="1" si="62"/>
        <v>20.684677803177475</v>
      </c>
      <c r="Y167" s="697">
        <v>27.352171376297388</v>
      </c>
      <c r="Z167" s="697">
        <f t="shared" ca="1" si="63"/>
        <v>15.366110393028141</v>
      </c>
    </row>
    <row r="168" spans="2:26" ht="13.2">
      <c r="B168" s="166">
        <f t="shared" si="64"/>
        <v>43308</v>
      </c>
      <c r="C168"/>
      <c r="G168" s="706">
        <v>20.97636098628357</v>
      </c>
      <c r="H168" s="706">
        <v>394.86953155627663</v>
      </c>
      <c r="I168" s="697">
        <f t="shared" ca="1" si="57"/>
        <v>342.53985194422665</v>
      </c>
      <c r="J168" s="706">
        <v>41.40888985679053</v>
      </c>
      <c r="K168" s="706">
        <v>12.413040931653155</v>
      </c>
      <c r="L168" s="697">
        <f t="shared" ca="1" si="58"/>
        <v>15.420000037248862</v>
      </c>
      <c r="M168" s="1185">
        <v>9.3811862696504562</v>
      </c>
      <c r="N168" s="697">
        <f t="shared" ca="1" si="59"/>
        <v>8.1842553963144997</v>
      </c>
      <c r="O168" s="697"/>
      <c r="P168" s="697"/>
      <c r="Q168" s="697"/>
      <c r="R168" s="706">
        <v>6.4640093899967006</v>
      </c>
      <c r="S168" s="697">
        <f t="shared" ca="1" si="60"/>
        <v>6.2754980846405033</v>
      </c>
      <c r="T168" s="1152">
        <v>240.0485969407035</v>
      </c>
      <c r="U168" s="697">
        <f t="shared" ca="1" si="61"/>
        <v>65.1084081344151</v>
      </c>
      <c r="V168" s="697">
        <f t="shared" ca="1" si="65"/>
        <v>41.021279401540347</v>
      </c>
      <c r="W168" s="697">
        <v>20.97636098628357</v>
      </c>
      <c r="X168" s="697">
        <f t="shared" ca="1" si="62"/>
        <v>20.684677803177475</v>
      </c>
      <c r="Y168" s="697">
        <v>26.652363053079615</v>
      </c>
      <c r="Z168" s="697">
        <f t="shared" ca="1" si="63"/>
        <v>15.366110393028141</v>
      </c>
    </row>
    <row r="169" spans="2:26" ht="13.2">
      <c r="B169" s="166">
        <f t="shared" si="64"/>
        <v>43315</v>
      </c>
      <c r="C169"/>
      <c r="G169" s="706">
        <v>20.45937378707654</v>
      </c>
      <c r="H169" s="706">
        <v>333.64936776768144</v>
      </c>
      <c r="I169" s="697">
        <f t="shared" ca="1" si="57"/>
        <v>342.53985194422665</v>
      </c>
      <c r="J169" s="706">
        <v>40.39946749967276</v>
      </c>
      <c r="K169" s="706">
        <v>10.639751017455245</v>
      </c>
      <c r="L169" s="697">
        <f t="shared" ca="1" si="58"/>
        <v>15.420000037248862</v>
      </c>
      <c r="M169" s="1185">
        <v>9.3679632678063562</v>
      </c>
      <c r="N169" s="697">
        <f t="shared" ca="1" si="59"/>
        <v>8.1842553963144997</v>
      </c>
      <c r="O169" s="697"/>
      <c r="P169" s="697"/>
      <c r="Q169" s="697"/>
      <c r="R169" s="706">
        <v>6.2072758798373995</v>
      </c>
      <c r="S169" s="697">
        <f t="shared" ca="1" si="60"/>
        <v>6.2754980846405033</v>
      </c>
      <c r="T169" s="1152">
        <v>216.36013289984695</v>
      </c>
      <c r="U169" s="697">
        <f t="shared" ca="1" si="61"/>
        <v>65.1084081344151</v>
      </c>
      <c r="V169" s="697">
        <f t="shared" ca="1" si="65"/>
        <v>41.021279401540347</v>
      </c>
      <c r="W169" s="697">
        <v>20.45937378707654</v>
      </c>
      <c r="X169" s="697">
        <f t="shared" ca="1" si="62"/>
        <v>20.684677803177475</v>
      </c>
      <c r="Y169" s="697">
        <v>26.589314500006786</v>
      </c>
      <c r="Z169" s="697">
        <f t="shared" ca="1" si="63"/>
        <v>15.366110393028141</v>
      </c>
    </row>
    <row r="170" spans="2:26" ht="13.2">
      <c r="B170" s="166">
        <f t="shared" si="64"/>
        <v>43322</v>
      </c>
      <c r="C170"/>
      <c r="G170" s="706">
        <v>21.662436368785585</v>
      </c>
      <c r="H170" s="706">
        <v>345.41126961557893</v>
      </c>
      <c r="I170" s="697">
        <f t="shared" ca="1" si="57"/>
        <v>342.53985194422665</v>
      </c>
      <c r="J170" s="706">
        <v>42.159082507579981</v>
      </c>
      <c r="K170" s="706">
        <v>11.192376560545961</v>
      </c>
      <c r="L170" s="697">
        <f t="shared" ca="1" si="58"/>
        <v>15.420000037248862</v>
      </c>
      <c r="M170" s="1185">
        <v>9.5357177558446722</v>
      </c>
      <c r="N170" s="697">
        <f t="shared" ca="1" si="59"/>
        <v>8.1842553963144997</v>
      </c>
      <c r="O170" s="697"/>
      <c r="P170" s="697"/>
      <c r="Q170" s="697"/>
      <c r="R170" s="706">
        <v>6.4752238717401118</v>
      </c>
      <c r="S170" s="697">
        <f t="shared" ca="1" si="60"/>
        <v>6.2754980846405033</v>
      </c>
      <c r="T170" s="1152">
        <v>226.22810017362301</v>
      </c>
      <c r="U170" s="697">
        <f t="shared" ca="1" si="61"/>
        <v>65.1084081344151</v>
      </c>
      <c r="V170" s="697">
        <f t="shared" ca="1" si="65"/>
        <v>41.021279401540347</v>
      </c>
      <c r="W170" s="697">
        <v>21.662436368785585</v>
      </c>
      <c r="X170" s="697">
        <f t="shared" ca="1" si="62"/>
        <v>20.684677803177475</v>
      </c>
      <c r="Y170" s="697">
        <v>27.258535144617316</v>
      </c>
      <c r="Z170" s="697">
        <f t="shared" ca="1" si="63"/>
        <v>15.366110393028141</v>
      </c>
    </row>
    <row r="171" spans="2:26" ht="13.2">
      <c r="B171" s="166">
        <f t="shared" si="64"/>
        <v>43329</v>
      </c>
      <c r="C171"/>
      <c r="G171" s="706">
        <v>20.679024766814859</v>
      </c>
      <c r="H171" s="706">
        <v>312.19802114394452</v>
      </c>
      <c r="I171" s="697">
        <f t="shared" ca="1" si="57"/>
        <v>342.53985194422665</v>
      </c>
      <c r="J171" s="706">
        <v>40.496647664660422</v>
      </c>
      <c r="K171" s="706">
        <v>10.12967844042444</v>
      </c>
      <c r="L171" s="697">
        <f t="shared" ca="1" si="58"/>
        <v>15.420000037248862</v>
      </c>
      <c r="M171" s="1185">
        <v>9.2981771097798429</v>
      </c>
      <c r="N171" s="697">
        <f t="shared" ca="1" si="59"/>
        <v>8.1842553963144997</v>
      </c>
      <c r="O171" s="697"/>
      <c r="P171" s="697"/>
      <c r="Q171" s="697"/>
      <c r="R171" s="706">
        <v>6.179659297351269</v>
      </c>
      <c r="S171" s="697">
        <f t="shared" ca="1" si="60"/>
        <v>6.2754980846405033</v>
      </c>
      <c r="T171" s="1152">
        <v>201.73354268708428</v>
      </c>
      <c r="U171" s="697">
        <f t="shared" ca="1" si="61"/>
        <v>65.1084081344151</v>
      </c>
      <c r="V171" s="697">
        <f t="shared" ca="1" si="65"/>
        <v>41.021279401540347</v>
      </c>
      <c r="W171" s="697">
        <v>20.679024766814859</v>
      </c>
      <c r="X171" s="697">
        <f t="shared" ca="1" si="62"/>
        <v>20.684677803177475</v>
      </c>
      <c r="Y171" s="697">
        <v>26.4787187091408</v>
      </c>
      <c r="Z171" s="697">
        <f t="shared" ca="1" si="63"/>
        <v>15.366110393028141</v>
      </c>
    </row>
    <row r="172" spans="2:26" ht="13.2">
      <c r="B172" s="166">
        <f t="shared" si="64"/>
        <v>43336</v>
      </c>
      <c r="C172"/>
      <c r="G172" s="706">
        <v>22.058431357484512</v>
      </c>
      <c r="H172" s="706">
        <v>314.59618322216471</v>
      </c>
      <c r="I172" s="697">
        <f t="shared" ca="1" si="57"/>
        <v>342.53985194422665</v>
      </c>
      <c r="J172" s="706">
        <v>42.569742480026051</v>
      </c>
      <c r="K172" s="706">
        <v>10.3488023269806</v>
      </c>
      <c r="L172" s="697">
        <f t="shared" ca="1" si="58"/>
        <v>15.420000037248862</v>
      </c>
      <c r="M172" s="1185">
        <v>9.7378159613452038</v>
      </c>
      <c r="N172" s="697">
        <f t="shared" ca="1" si="59"/>
        <v>8.1842553963144997</v>
      </c>
      <c r="O172" s="697"/>
      <c r="P172" s="697"/>
      <c r="Q172" s="697"/>
      <c r="R172" s="706">
        <v>6.3730415112681982</v>
      </c>
      <c r="S172" s="697">
        <f t="shared" ca="1" si="60"/>
        <v>6.2754980846405033</v>
      </c>
      <c r="T172" s="1152">
        <v>204.45621838031775</v>
      </c>
      <c r="U172" s="697">
        <f t="shared" ca="1" si="61"/>
        <v>65.1084081344151</v>
      </c>
      <c r="V172" s="697">
        <f t="shared" ca="1" si="65"/>
        <v>41.021279401540347</v>
      </c>
      <c r="W172" s="697">
        <v>22.058431357484512</v>
      </c>
      <c r="X172" s="697">
        <f t="shared" ca="1" si="62"/>
        <v>20.684677803177475</v>
      </c>
      <c r="Y172" s="697">
        <v>27.686862945944188</v>
      </c>
      <c r="Z172" s="697">
        <f t="shared" ca="1" si="63"/>
        <v>15.366110393028141</v>
      </c>
    </row>
    <row r="173" spans="2:26" ht="13.2">
      <c r="B173" s="166">
        <f t="shared" si="64"/>
        <v>43343</v>
      </c>
      <c r="C173"/>
      <c r="G173" s="706">
        <v>22.491754089603049</v>
      </c>
      <c r="H173" s="706">
        <v>317.63515297260562</v>
      </c>
      <c r="I173" s="697">
        <f t="shared" ca="1" si="57"/>
        <v>342.53985194422665</v>
      </c>
      <c r="J173" s="706">
        <v>43.467195306281418</v>
      </c>
      <c r="K173" s="706">
        <v>10.686929111028938</v>
      </c>
      <c r="L173" s="697">
        <f t="shared" ca="1" si="58"/>
        <v>15.420000037248862</v>
      </c>
      <c r="M173" s="1185">
        <v>9.8899389167099176</v>
      </c>
      <c r="N173" s="697">
        <f t="shared" ca="1" si="59"/>
        <v>8.1842553963144997</v>
      </c>
      <c r="O173" s="697"/>
      <c r="P173" s="697"/>
      <c r="Q173" s="697"/>
      <c r="R173" s="706">
        <v>6.4065405515870504</v>
      </c>
      <c r="S173" s="697">
        <f t="shared" ca="1" si="60"/>
        <v>6.2754980846405033</v>
      </c>
      <c r="T173" s="1152">
        <v>204.31662791273536</v>
      </c>
      <c r="U173" s="697">
        <f t="shared" ca="1" si="61"/>
        <v>65.1084081344151</v>
      </c>
      <c r="V173" s="697">
        <f t="shared" ca="1" si="65"/>
        <v>41.021279401540347</v>
      </c>
      <c r="W173" s="697">
        <v>22.491754089603049</v>
      </c>
      <c r="X173" s="697">
        <f t="shared" ca="1" si="62"/>
        <v>20.684677803177475</v>
      </c>
      <c r="Y173" s="697">
        <v>27.878597279932471</v>
      </c>
      <c r="Z173" s="697">
        <f t="shared" ca="1" si="63"/>
        <v>15.366110393028141</v>
      </c>
    </row>
    <row r="174" spans="2:26" ht="13.2">
      <c r="B174" s="166">
        <f t="shared" si="64"/>
        <v>43350</v>
      </c>
      <c r="C174"/>
      <c r="G174" s="706">
        <v>21.617074143995598</v>
      </c>
      <c r="H174" s="706">
        <v>301.82677954238522</v>
      </c>
      <c r="I174" s="697">
        <f t="shared" ca="1" si="57"/>
        <v>342.53985194422665</v>
      </c>
      <c r="J174" s="706">
        <v>41.725327475218151</v>
      </c>
      <c r="K174" s="706">
        <v>10.215714960142845</v>
      </c>
      <c r="L174" s="697">
        <f t="shared" ca="1" si="58"/>
        <v>15.420000037248862</v>
      </c>
      <c r="M174" s="1185">
        <v>9.7447239135060677</v>
      </c>
      <c r="N174" s="697">
        <f t="shared" ca="1" si="59"/>
        <v>8.1842553963144997</v>
      </c>
      <c r="O174" s="697"/>
      <c r="P174" s="697"/>
      <c r="Q174" s="697"/>
      <c r="R174" s="706">
        <v>6.0782054222138138</v>
      </c>
      <c r="S174" s="697">
        <f t="shared" ca="1" si="60"/>
        <v>6.2754980846405033</v>
      </c>
      <c r="T174" s="1152">
        <v>194.21244700658085</v>
      </c>
      <c r="U174" s="697">
        <f t="shared" ca="1" si="61"/>
        <v>65.1084081344151</v>
      </c>
      <c r="V174" s="697">
        <f t="shared" ca="1" si="65"/>
        <v>41.021279401540347</v>
      </c>
      <c r="W174" s="697">
        <v>21.617074143995598</v>
      </c>
      <c r="X174" s="697">
        <f t="shared" ca="1" si="62"/>
        <v>20.684677803177475</v>
      </c>
      <c r="Y174" s="697">
        <v>27.364549218844303</v>
      </c>
      <c r="Z174" s="697">
        <f t="shared" ca="1" si="63"/>
        <v>15.366110393028141</v>
      </c>
    </row>
    <row r="175" spans="2:26" ht="13.2">
      <c r="B175" s="166">
        <f t="shared" si="64"/>
        <v>43357</v>
      </c>
      <c r="C175"/>
      <c r="G175" s="706">
        <v>22.019998964475942</v>
      </c>
      <c r="H175" s="706">
        <v>322.03980097328559</v>
      </c>
      <c r="I175" s="697">
        <f t="shared" ca="1" si="57"/>
        <v>342.53985194422665</v>
      </c>
      <c r="J175" s="706">
        <v>42.353452118286853</v>
      </c>
      <c r="K175" s="706">
        <v>11.292128616834725</v>
      </c>
      <c r="L175" s="697">
        <f t="shared" ca="1" si="58"/>
        <v>15.420000037248862</v>
      </c>
      <c r="M175" s="1185">
        <v>10.167449347971669</v>
      </c>
      <c r="N175" s="697">
        <f t="shared" ca="1" si="59"/>
        <v>8.1842553963144997</v>
      </c>
      <c r="O175" s="697"/>
      <c r="P175" s="697"/>
      <c r="Q175" s="697"/>
      <c r="R175" s="706">
        <v>6.1876682147403885</v>
      </c>
      <c r="S175" s="697">
        <f t="shared" ca="1" si="60"/>
        <v>6.2754980846405033</v>
      </c>
      <c r="T175" s="1152">
        <v>212.66468337049952</v>
      </c>
      <c r="U175" s="697">
        <f t="shared" ca="1" si="61"/>
        <v>65.1084081344151</v>
      </c>
      <c r="V175" s="697">
        <f t="shared" ca="1" si="65"/>
        <v>41.021279401540347</v>
      </c>
      <c r="W175" s="697">
        <v>22.019998964475942</v>
      </c>
      <c r="X175" s="697">
        <f t="shared" ca="1" si="62"/>
        <v>20.684677803177475</v>
      </c>
      <c r="Y175" s="697">
        <v>28.489945497557237</v>
      </c>
      <c r="Z175" s="697">
        <f t="shared" ca="1" si="63"/>
        <v>15.366110393028141</v>
      </c>
    </row>
    <row r="176" spans="2:26" ht="13.2">
      <c r="B176" s="166">
        <f t="shared" si="64"/>
        <v>43364</v>
      </c>
      <c r="C176"/>
      <c r="G176" s="706">
        <v>21.659278881105873</v>
      </c>
      <c r="H176" s="706">
        <v>332.11173158167293</v>
      </c>
      <c r="I176" s="697">
        <f t="shared" ca="1" si="57"/>
        <v>342.53985194422665</v>
      </c>
      <c r="J176" s="706">
        <v>41.615045486006508</v>
      </c>
      <c r="K176" s="706">
        <v>11.753337839696362</v>
      </c>
      <c r="L176" s="697">
        <f t="shared" ca="1" si="58"/>
        <v>15.420000037248862</v>
      </c>
      <c r="M176" s="1185">
        <v>9.8380181641972708</v>
      </c>
      <c r="N176" s="697">
        <f t="shared" ca="1" si="59"/>
        <v>8.1842553963144997</v>
      </c>
      <c r="O176" s="697"/>
      <c r="P176" s="697"/>
      <c r="Q176" s="697"/>
      <c r="R176" s="706">
        <v>6.1181275191534974</v>
      </c>
      <c r="S176" s="697">
        <f t="shared" ca="1" si="60"/>
        <v>6.2754980846405033</v>
      </c>
      <c r="T176" s="1152">
        <v>220.20865437895065</v>
      </c>
      <c r="U176" s="697">
        <f t="shared" ca="1" si="61"/>
        <v>65.1084081344151</v>
      </c>
      <c r="V176" s="697">
        <f t="shared" ca="1" si="65"/>
        <v>41.021279401540347</v>
      </c>
      <c r="W176" s="697">
        <v>21.659278881105873</v>
      </c>
      <c r="X176" s="697">
        <f t="shared" ca="1" si="62"/>
        <v>20.684677803177475</v>
      </c>
      <c r="Y176" s="697">
        <v>27.581999137850822</v>
      </c>
      <c r="Z176" s="697">
        <f t="shared" ca="1" si="63"/>
        <v>15.366110393028141</v>
      </c>
    </row>
    <row r="177" spans="2:26" ht="13.2">
      <c r="B177" s="166">
        <f t="shared" si="64"/>
        <v>43371</v>
      </c>
      <c r="C177"/>
      <c r="G177" s="706">
        <v>22.397807926425056</v>
      </c>
      <c r="H177" s="706">
        <v>326.68367423962519</v>
      </c>
      <c r="I177" s="697">
        <f t="shared" ca="1" si="57"/>
        <v>342.53985194422665</v>
      </c>
      <c r="J177" s="706">
        <v>42.670562421794145</v>
      </c>
      <c r="K177" s="706">
        <v>11.977594413524216</v>
      </c>
      <c r="L177" s="697">
        <f t="shared" ca="1" si="58"/>
        <v>15.420000037248862</v>
      </c>
      <c r="M177" s="1185">
        <v>10.057658989621777</v>
      </c>
      <c r="N177" s="697">
        <f t="shared" ca="1" si="59"/>
        <v>8.1842553963144997</v>
      </c>
      <c r="O177" s="697"/>
      <c r="P177" s="697"/>
      <c r="Q177" s="697"/>
      <c r="R177" s="706">
        <v>6.2551068812945525</v>
      </c>
      <c r="S177" s="697">
        <f t="shared" ca="1" si="60"/>
        <v>6.2754980846405033</v>
      </c>
      <c r="T177" s="1152">
        <v>222.51882876881461</v>
      </c>
      <c r="U177" s="697">
        <f t="shared" ca="1" si="61"/>
        <v>65.1084081344151</v>
      </c>
      <c r="V177" s="697">
        <f t="shared" ca="1" si="65"/>
        <v>41.021279401540347</v>
      </c>
      <c r="W177" s="697">
        <v>22.397807926425056</v>
      </c>
      <c r="X177" s="697">
        <f t="shared" ca="1" si="62"/>
        <v>20.684677803177475</v>
      </c>
      <c r="Y177" s="697">
        <v>28.391398799781417</v>
      </c>
      <c r="Z177" s="697">
        <f t="shared" ca="1" si="63"/>
        <v>15.366110393028141</v>
      </c>
    </row>
    <row r="178" spans="2:26" ht="13.2">
      <c r="B178" s="166">
        <f t="shared" si="64"/>
        <v>43378</v>
      </c>
      <c r="C178"/>
      <c r="G178" s="706">
        <v>20.767185098962791</v>
      </c>
      <c r="H178" s="706">
        <v>285.80800337002182</v>
      </c>
      <c r="I178" s="697">
        <f t="shared" ca="1" si="57"/>
        <v>342.53985194422665</v>
      </c>
      <c r="J178" s="706">
        <v>39.780240017367468</v>
      </c>
      <c r="K178" s="706">
        <v>10.399019291576664</v>
      </c>
      <c r="L178" s="697">
        <f t="shared" ca="1" si="58"/>
        <v>15.420000037248862</v>
      </c>
      <c r="M178" s="1185">
        <v>9.6103322399444018</v>
      </c>
      <c r="N178" s="697">
        <f t="shared" ca="1" si="59"/>
        <v>8.1842553963144997</v>
      </c>
      <c r="O178" s="697"/>
      <c r="P178" s="697"/>
      <c r="Q178" s="697"/>
      <c r="R178" s="706">
        <v>5.7364275922349028</v>
      </c>
      <c r="S178" s="697">
        <f t="shared" ca="1" si="60"/>
        <v>6.2754980846405033</v>
      </c>
      <c r="T178" s="1152">
        <v>190.33436963015075</v>
      </c>
      <c r="U178" s="697">
        <f t="shared" ca="1" si="61"/>
        <v>65.1084081344151</v>
      </c>
      <c r="V178" s="697">
        <f t="shared" ca="1" si="65"/>
        <v>41.021279401540347</v>
      </c>
      <c r="W178" s="697">
        <v>20.767185098962791</v>
      </c>
      <c r="X178" s="697">
        <f t="shared" ca="1" si="62"/>
        <v>20.684677803177475</v>
      </c>
      <c r="Y178" s="697">
        <v>26.931704121703383</v>
      </c>
      <c r="Z178" s="697">
        <f t="shared" ca="1" si="63"/>
        <v>15.366110393028141</v>
      </c>
    </row>
    <row r="179" spans="2:26" ht="13.2">
      <c r="B179" s="166">
        <f t="shared" si="64"/>
        <v>43385</v>
      </c>
      <c r="C179"/>
      <c r="G179" s="706">
        <v>19.701954888394724</v>
      </c>
      <c r="H179" s="706">
        <v>261.33914240784054</v>
      </c>
      <c r="I179" s="697">
        <f t="shared" ca="1" si="57"/>
        <v>342.53985194422665</v>
      </c>
      <c r="J179" s="706">
        <v>37.729613971457653</v>
      </c>
      <c r="K179" s="706">
        <v>9.5143046244938123</v>
      </c>
      <c r="L179" s="697">
        <f t="shared" ca="1" si="58"/>
        <v>15.420000037248862</v>
      </c>
      <c r="M179" s="1185">
        <v>8.968964343245414</v>
      </c>
      <c r="N179" s="697">
        <f t="shared" ca="1" si="59"/>
        <v>8.1842553963144997</v>
      </c>
      <c r="O179" s="697"/>
      <c r="P179" s="697"/>
      <c r="Q179" s="697"/>
      <c r="R179" s="706">
        <v>5.385947434570892</v>
      </c>
      <c r="S179" s="697">
        <f t="shared" ca="1" si="60"/>
        <v>6.2754980846405033</v>
      </c>
      <c r="T179" s="1152">
        <v>172.23650779139464</v>
      </c>
      <c r="U179" s="697">
        <f t="shared" ca="1" si="61"/>
        <v>65.1084081344151</v>
      </c>
      <c r="V179" s="697">
        <f t="shared" ca="1" si="65"/>
        <v>41.021279401540347</v>
      </c>
      <c r="W179" s="697">
        <v>19.701954888394724</v>
      </c>
      <c r="X179" s="697">
        <f t="shared" ca="1" si="62"/>
        <v>20.684677803177475</v>
      </c>
      <c r="Y179" s="697">
        <v>25.007327917056848</v>
      </c>
      <c r="Z179" s="697">
        <f t="shared" ca="1" si="63"/>
        <v>15.366110393028141</v>
      </c>
    </row>
    <row r="180" spans="2:26" ht="13.2">
      <c r="B180" s="166">
        <f t="shared" si="64"/>
        <v>43392</v>
      </c>
      <c r="C180"/>
      <c r="G180" s="706">
        <v>19.412624813374727</v>
      </c>
      <c r="H180" s="706">
        <v>239.98380642834786</v>
      </c>
      <c r="I180" s="697">
        <f t="shared" ca="1" si="57"/>
        <v>342.53985194422665</v>
      </c>
      <c r="J180" s="706">
        <v>37.428982786309746</v>
      </c>
      <c r="K180" s="706">
        <v>8.8185279831210135</v>
      </c>
      <c r="L180" s="697">
        <f t="shared" ca="1" si="58"/>
        <v>15.420000037248862</v>
      </c>
      <c r="M180" s="1185">
        <v>8.7452821636761762</v>
      </c>
      <c r="N180" s="697">
        <f t="shared" ca="1" si="59"/>
        <v>8.1842553963144997</v>
      </c>
      <c r="O180" s="697"/>
      <c r="P180" s="697"/>
      <c r="Q180" s="697"/>
      <c r="R180" s="706">
        <v>5.208714231271026</v>
      </c>
      <c r="S180" s="697">
        <f t="shared" ca="1" si="60"/>
        <v>6.2754980846405033</v>
      </c>
      <c r="T180" s="1152">
        <v>158.11641170328457</v>
      </c>
      <c r="U180" s="697">
        <f t="shared" ca="1" si="61"/>
        <v>65.1084081344151</v>
      </c>
      <c r="V180" s="697">
        <f t="shared" ca="1" si="65"/>
        <v>41.021279401540347</v>
      </c>
      <c r="W180" s="697">
        <v>19.412624813374727</v>
      </c>
      <c r="X180" s="697">
        <f t="shared" ca="1" si="62"/>
        <v>20.684677803177475</v>
      </c>
      <c r="Y180" s="697">
        <v>24.278601373214805</v>
      </c>
      <c r="Z180" s="697">
        <f t="shared" ca="1" si="63"/>
        <v>15.366110393028141</v>
      </c>
    </row>
    <row r="181" spans="2:26" ht="13.2">
      <c r="B181" s="166">
        <f t="shared" si="64"/>
        <v>43399</v>
      </c>
      <c r="C181"/>
      <c r="G181" s="706">
        <v>17.972163779485239</v>
      </c>
      <c r="H181" s="706">
        <v>212.25982070870353</v>
      </c>
      <c r="I181" s="697">
        <f t="shared" ca="1" si="57"/>
        <v>342.53985194422665</v>
      </c>
      <c r="J181" s="706">
        <v>34.360123001125451</v>
      </c>
      <c r="K181" s="706">
        <v>9.0148263876622199</v>
      </c>
      <c r="L181" s="697">
        <f t="shared" ca="1" si="58"/>
        <v>15.420000037248862</v>
      </c>
      <c r="M181" s="1185">
        <v>8.5873357033778372</v>
      </c>
      <c r="N181" s="697">
        <f t="shared" ca="1" si="59"/>
        <v>8.1842553963144997</v>
      </c>
      <c r="O181" s="697"/>
      <c r="P181" s="697"/>
      <c r="Q181" s="697"/>
      <c r="R181" s="706">
        <v>4.9575589532575055</v>
      </c>
      <c r="S181" s="697">
        <f t="shared" ca="1" si="60"/>
        <v>6.2754980846405033</v>
      </c>
      <c r="T181" s="1152">
        <v>153.93928856294301</v>
      </c>
      <c r="U181" s="697">
        <f t="shared" ca="1" si="61"/>
        <v>65.1084081344151</v>
      </c>
      <c r="V181" s="697">
        <f t="shared" ca="1" si="65"/>
        <v>41.021279401540347</v>
      </c>
      <c r="W181" s="697">
        <v>17.972163779485239</v>
      </c>
      <c r="X181" s="697">
        <f t="shared" ca="1" si="62"/>
        <v>20.684677803177475</v>
      </c>
      <c r="Y181" s="697">
        <v>23.707593573030472</v>
      </c>
      <c r="Z181" s="697">
        <f t="shared" ca="1" si="63"/>
        <v>15.366110393028141</v>
      </c>
    </row>
    <row r="182" spans="2:26" ht="13.2">
      <c r="B182" s="166">
        <f t="shared" si="64"/>
        <v>43406</v>
      </c>
      <c r="C182"/>
      <c r="G182" s="706">
        <v>18.978042114250854</v>
      </c>
      <c r="H182" s="706">
        <v>225.720590692874</v>
      </c>
      <c r="I182" s="697">
        <f t="shared" ca="1" si="57"/>
        <v>342.53985194422665</v>
      </c>
      <c r="J182" s="706">
        <v>35.905478933593564</v>
      </c>
      <c r="K182" s="706">
        <v>9.9194199517924666</v>
      </c>
      <c r="L182" s="697">
        <f t="shared" ca="1" si="58"/>
        <v>15.420000037248862</v>
      </c>
      <c r="M182" s="1185">
        <v>9.162151436646905</v>
      </c>
      <c r="N182" s="697">
        <f t="shared" ca="1" si="59"/>
        <v>8.1842553963144997</v>
      </c>
      <c r="O182" s="697"/>
      <c r="P182" s="697"/>
      <c r="Q182" s="697"/>
      <c r="R182" s="706">
        <v>5.2827192155567735</v>
      </c>
      <c r="S182" s="697">
        <f t="shared" ca="1" si="60"/>
        <v>6.2754980846405033</v>
      </c>
      <c r="T182" s="1152">
        <v>168.207716699153</v>
      </c>
      <c r="U182" s="697">
        <f t="shared" ca="1" si="61"/>
        <v>65.1084081344151</v>
      </c>
      <c r="V182" s="697">
        <f t="shared" ca="1" si="65"/>
        <v>41.021279401540347</v>
      </c>
      <c r="W182" s="697">
        <v>18.978042114250854</v>
      </c>
      <c r="X182" s="697">
        <f t="shared" ca="1" si="62"/>
        <v>20.684677803177475</v>
      </c>
      <c r="Y182" s="697">
        <v>24.724494047952881</v>
      </c>
      <c r="Z182" s="697">
        <f t="shared" ca="1" si="63"/>
        <v>15.366110393028141</v>
      </c>
    </row>
    <row r="183" spans="2:26" ht="13.2">
      <c r="B183" s="166">
        <f t="shared" si="64"/>
        <v>43413</v>
      </c>
      <c r="C183"/>
      <c r="G183" s="706">
        <v>18.690894772596373</v>
      </c>
      <c r="H183" s="706">
        <v>215.94675724272298</v>
      </c>
      <c r="I183" s="697">
        <f t="shared" ca="1" si="57"/>
        <v>342.53985194422665</v>
      </c>
      <c r="J183" s="706">
        <v>35.366266253209048</v>
      </c>
      <c r="K183" s="706">
        <v>9.5126159058982687</v>
      </c>
      <c r="L183" s="697">
        <f t="shared" ca="1" si="58"/>
        <v>15.420000037248862</v>
      </c>
      <c r="M183" s="1185">
        <v>8.9031943456822571</v>
      </c>
      <c r="N183" s="697">
        <f t="shared" ca="1" si="59"/>
        <v>8.1842553963144997</v>
      </c>
      <c r="O183" s="697"/>
      <c r="P183" s="697"/>
      <c r="Q183" s="697"/>
      <c r="R183" s="706">
        <v>5.0695935650941415</v>
      </c>
      <c r="S183" s="697">
        <f t="shared" ca="1" si="60"/>
        <v>6.2754980846405033</v>
      </c>
      <c r="T183" s="1152">
        <v>160.34937811971506</v>
      </c>
      <c r="U183" s="697">
        <f t="shared" ca="1" si="61"/>
        <v>65.1084081344151</v>
      </c>
      <c r="V183" s="697">
        <f t="shared" ca="1" si="65"/>
        <v>41.021279401540347</v>
      </c>
      <c r="W183" s="697">
        <v>18.690894772596373</v>
      </c>
      <c r="X183" s="697">
        <f t="shared" ca="1" si="62"/>
        <v>20.684677803177475</v>
      </c>
      <c r="Y183" s="697">
        <v>24.08293387662011</v>
      </c>
      <c r="Z183" s="697">
        <f t="shared" ca="1" si="63"/>
        <v>15.366110393028141</v>
      </c>
    </row>
    <row r="184" spans="2:26" ht="13.2">
      <c r="B184" s="166">
        <f t="shared" si="64"/>
        <v>43420</v>
      </c>
      <c r="C184"/>
      <c r="G184" s="706">
        <v>17.970122193918794</v>
      </c>
      <c r="H184" s="706">
        <v>228.77405615553241</v>
      </c>
      <c r="I184" s="697">
        <f t="shared" ca="1" si="57"/>
        <v>342.53985194422665</v>
      </c>
      <c r="J184" s="706">
        <v>33.78043279338074</v>
      </c>
      <c r="K184" s="706">
        <v>10.218222626794256</v>
      </c>
      <c r="L184" s="697">
        <f t="shared" ca="1" si="58"/>
        <v>15.420000037248862</v>
      </c>
      <c r="M184" s="1185">
        <v>8.6944353767219393</v>
      </c>
      <c r="N184" s="697">
        <f t="shared" ca="1" si="59"/>
        <v>8.1842553963144997</v>
      </c>
      <c r="O184" s="697"/>
      <c r="P184" s="697"/>
      <c r="Q184" s="697"/>
      <c r="R184" s="706">
        <v>4.9753261333644909</v>
      </c>
      <c r="S184" s="697">
        <f t="shared" ca="1" si="60"/>
        <v>6.2754980846405033</v>
      </c>
      <c r="T184" s="1152">
        <v>171.01915558628468</v>
      </c>
      <c r="U184" s="697">
        <f t="shared" ca="1" si="61"/>
        <v>65.1084081344151</v>
      </c>
      <c r="V184" s="697">
        <f t="shared" ca="1" si="65"/>
        <v>41.021279401540347</v>
      </c>
      <c r="W184" s="697">
        <v>17.970122193918794</v>
      </c>
      <c r="X184" s="697">
        <f t="shared" ca="1" si="62"/>
        <v>20.684677803177475</v>
      </c>
      <c r="Y184" s="697">
        <v>23.615875664674256</v>
      </c>
      <c r="Z184" s="697">
        <f t="shared" ca="1" si="63"/>
        <v>15.366110393028141</v>
      </c>
    </row>
    <row r="185" spans="2:26" ht="13.2">
      <c r="B185" s="166">
        <f t="shared" si="64"/>
        <v>43427</v>
      </c>
      <c r="C185"/>
      <c r="G185" s="706">
        <v>16.806259498055464</v>
      </c>
      <c r="H185" s="706">
        <v>201.87813604828304</v>
      </c>
      <c r="I185" s="697">
        <f t="shared" ca="1" si="57"/>
        <v>342.53985194422665</v>
      </c>
      <c r="J185" s="706">
        <v>31.665552889837695</v>
      </c>
      <c r="K185" s="706">
        <v>8.9519007501925518</v>
      </c>
      <c r="L185" s="697">
        <f t="shared" ca="1" si="58"/>
        <v>15.420000037248862</v>
      </c>
      <c r="M185" s="1185">
        <v>8.1925261691367623</v>
      </c>
      <c r="N185" s="697">
        <f t="shared" ca="1" si="59"/>
        <v>8.1842553963144997</v>
      </c>
      <c r="O185" s="697"/>
      <c r="P185" s="697"/>
      <c r="Q185" s="697"/>
      <c r="R185" s="706">
        <v>4.6573307989218753</v>
      </c>
      <c r="S185" s="697">
        <f t="shared" ca="1" si="60"/>
        <v>6.2754980846405033</v>
      </c>
      <c r="T185" s="1152">
        <v>148.4265256984815</v>
      </c>
      <c r="U185" s="697">
        <f t="shared" ca="1" si="61"/>
        <v>65.1084081344151</v>
      </c>
      <c r="V185" s="697">
        <f t="shared" ca="1" si="65"/>
        <v>41.021279401540347</v>
      </c>
      <c r="W185" s="697">
        <v>16.806259498055464</v>
      </c>
      <c r="X185" s="697">
        <f t="shared" ca="1" si="62"/>
        <v>20.684677803177475</v>
      </c>
      <c r="Y185" s="697">
        <v>22.058079759258781</v>
      </c>
      <c r="Z185" s="697">
        <f t="shared" ca="1" si="63"/>
        <v>15.366110393028141</v>
      </c>
    </row>
    <row r="186" spans="2:26" ht="13.2">
      <c r="B186" s="166">
        <f t="shared" si="64"/>
        <v>43434</v>
      </c>
      <c r="C186"/>
      <c r="G186" s="706">
        <v>18.686829828718416</v>
      </c>
      <c r="H186" s="706">
        <v>226.01872760318301</v>
      </c>
      <c r="I186" s="697">
        <f t="shared" ca="1" si="57"/>
        <v>342.53985194422665</v>
      </c>
      <c r="J186" s="706">
        <v>35.11713537940355</v>
      </c>
      <c r="K186" s="706">
        <v>10.226168608717867</v>
      </c>
      <c r="L186" s="697">
        <f t="shared" ca="1" si="58"/>
        <v>15.420000037248862</v>
      </c>
      <c r="M186" s="1185">
        <v>8.9293958412699261</v>
      </c>
      <c r="N186" s="697">
        <f t="shared" ca="1" si="59"/>
        <v>8.1842553963144997</v>
      </c>
      <c r="O186" s="697"/>
      <c r="P186" s="697"/>
      <c r="Q186" s="697"/>
      <c r="R186" s="706">
        <v>5.1921960206652429</v>
      </c>
      <c r="S186" s="697">
        <f t="shared" ca="1" si="60"/>
        <v>6.2754980846405033</v>
      </c>
      <c r="T186" s="1152">
        <v>167.96306950445816</v>
      </c>
      <c r="U186" s="697">
        <f t="shared" ca="1" si="61"/>
        <v>65.1084081344151</v>
      </c>
      <c r="V186" s="697">
        <f t="shared" ca="1" si="65"/>
        <v>41.021279401540347</v>
      </c>
      <c r="W186" s="697">
        <v>18.686829828718416</v>
      </c>
      <c r="X186" s="697">
        <f t="shared" ca="1" si="62"/>
        <v>20.684677803177475</v>
      </c>
      <c r="Y186" s="697">
        <v>24.387728058822315</v>
      </c>
      <c r="Z186" s="697">
        <f t="shared" ca="1" si="63"/>
        <v>15.366110393028141</v>
      </c>
    </row>
    <row r="187" spans="2:26" ht="13.2">
      <c r="B187" s="166">
        <f t="shared" si="64"/>
        <v>43441</v>
      </c>
      <c r="C187"/>
      <c r="G187" s="706">
        <v>17.621077808358173</v>
      </c>
      <c r="H187" s="706">
        <v>215.98218347091165</v>
      </c>
      <c r="I187" s="697">
        <f t="shared" ca="1" si="57"/>
        <v>342.53985194422665</v>
      </c>
      <c r="J187" s="706">
        <v>33.222232331944767</v>
      </c>
      <c r="K187" s="706">
        <v>9.745202440799023</v>
      </c>
      <c r="L187" s="697">
        <f t="shared" ca="1" si="58"/>
        <v>15.420000037248862</v>
      </c>
      <c r="M187" s="1185">
        <v>8.600109236094351</v>
      </c>
      <c r="N187" s="697">
        <f t="shared" ca="1" si="59"/>
        <v>8.1842553963144997</v>
      </c>
      <c r="O187" s="697"/>
      <c r="P187" s="697"/>
      <c r="Q187" s="697"/>
      <c r="R187" s="706">
        <v>4.9141364418184033</v>
      </c>
      <c r="S187" s="697">
        <f t="shared" ca="1" si="60"/>
        <v>6.2754980846405033</v>
      </c>
      <c r="T187" s="1152">
        <v>185.48152131618016</v>
      </c>
      <c r="U187" s="697">
        <f t="shared" ca="1" si="61"/>
        <v>65.1084081344151</v>
      </c>
      <c r="V187" s="697">
        <f t="shared" ca="1" si="65"/>
        <v>41.021279401540347</v>
      </c>
      <c r="W187" s="697">
        <v>17.621077808358173</v>
      </c>
      <c r="X187" s="697">
        <f t="shared" ca="1" si="62"/>
        <v>20.684677803177475</v>
      </c>
      <c r="Y187" s="697">
        <v>23.339025520412502</v>
      </c>
      <c r="Z187" s="697">
        <f t="shared" ca="1" si="63"/>
        <v>15.366110393028141</v>
      </c>
    </row>
    <row r="188" spans="2:26" ht="13.2">
      <c r="B188" s="166">
        <f t="shared" si="64"/>
        <v>43448</v>
      </c>
      <c r="C188"/>
      <c r="G188" s="706">
        <v>17.638620052984553</v>
      </c>
      <c r="H188" s="706">
        <v>203.23442431859306</v>
      </c>
      <c r="I188" s="697">
        <f t="shared" ca="1" si="57"/>
        <v>342.53985194422665</v>
      </c>
      <c r="J188" s="706">
        <v>33.161902679695814</v>
      </c>
      <c r="K188" s="706">
        <v>9.1992193334256669</v>
      </c>
      <c r="L188" s="697">
        <f t="shared" ca="1" si="58"/>
        <v>15.420000037248862</v>
      </c>
      <c r="M188" s="1185">
        <v>8.382631368443791</v>
      </c>
      <c r="N188" s="697">
        <f t="shared" ca="1" si="59"/>
        <v>8.1842553963144997</v>
      </c>
      <c r="O188" s="697"/>
      <c r="P188" s="697"/>
      <c r="Q188" s="697"/>
      <c r="R188" s="706">
        <v>4.8451768272779407</v>
      </c>
      <c r="S188" s="697">
        <f t="shared" ca="1" si="60"/>
        <v>6.2754980846405033</v>
      </c>
      <c r="T188" s="1152">
        <v>174.14660771931469</v>
      </c>
      <c r="U188" s="697">
        <f t="shared" ca="1" si="61"/>
        <v>65.1084081344151</v>
      </c>
      <c r="V188" s="697">
        <f t="shared" ca="1" si="65"/>
        <v>41.021279401540347</v>
      </c>
      <c r="W188" s="697">
        <v>17.638620052984553</v>
      </c>
      <c r="X188" s="697">
        <f t="shared" ca="1" si="62"/>
        <v>20.684677803177475</v>
      </c>
      <c r="Y188" s="697">
        <v>22.911760109460616</v>
      </c>
      <c r="Z188" s="697">
        <f t="shared" ca="1" si="63"/>
        <v>15.366110393028141</v>
      </c>
    </row>
    <row r="189" spans="2:26" ht="13.2">
      <c r="B189" s="166">
        <f t="shared" si="64"/>
        <v>43455</v>
      </c>
      <c r="C189"/>
      <c r="G189" s="706">
        <v>15.385249406452591</v>
      </c>
      <c r="H189" s="706">
        <v>175.67980665318558</v>
      </c>
      <c r="I189" s="697">
        <f t="shared" ca="1" si="57"/>
        <v>342.53985194422665</v>
      </c>
      <c r="J189" s="706">
        <v>29.053686906123012</v>
      </c>
      <c r="K189" s="706">
        <v>7.8530145611726336</v>
      </c>
      <c r="L189" s="697">
        <f t="shared" ca="1" si="58"/>
        <v>15.420000037248862</v>
      </c>
      <c r="M189" s="1185">
        <v>7.7387456188293582</v>
      </c>
      <c r="N189" s="697">
        <f t="shared" ca="1" si="59"/>
        <v>8.1842553963144997</v>
      </c>
      <c r="O189" s="697"/>
      <c r="P189" s="697"/>
      <c r="Q189" s="697"/>
      <c r="R189" s="706">
        <v>4.1535995093347919</v>
      </c>
      <c r="S189" s="697">
        <f t="shared" ca="1" si="60"/>
        <v>6.2754980846405033</v>
      </c>
      <c r="T189" s="1152">
        <v>155.81861087652902</v>
      </c>
      <c r="U189" s="697">
        <f t="shared" ca="1" si="61"/>
        <v>65.1084081344151</v>
      </c>
      <c r="V189" s="697">
        <f t="shared" ca="1" si="65"/>
        <v>41.021279401540347</v>
      </c>
      <c r="W189" s="697">
        <v>15.385249406452591</v>
      </c>
      <c r="X189" s="697">
        <f t="shared" ca="1" si="62"/>
        <v>20.684677803177475</v>
      </c>
      <c r="Y189" s="697">
        <v>21.093443813872842</v>
      </c>
      <c r="Z189" s="697">
        <f t="shared" ca="1" si="63"/>
        <v>15.366110393028141</v>
      </c>
    </row>
    <row r="190" spans="2:26" ht="13.2">
      <c r="B190" s="166">
        <f t="shared" si="64"/>
        <v>43462</v>
      </c>
      <c r="C190"/>
      <c r="G190" s="706">
        <v>16.200323184894035</v>
      </c>
      <c r="H190" s="706">
        <v>189.47556047976809</v>
      </c>
      <c r="I190" s="697">
        <f t="shared" ca="1" si="57"/>
        <v>342.53985194422665</v>
      </c>
      <c r="J190" s="706">
        <v>30.597612091723498</v>
      </c>
      <c r="K190" s="706">
        <v>8.6122401037968768</v>
      </c>
      <c r="L190" s="697">
        <f t="shared" ca="1" si="58"/>
        <v>15.420000037248862</v>
      </c>
      <c r="M190" s="1185">
        <v>8.1913514852610749</v>
      </c>
      <c r="N190" s="697">
        <f t="shared" ca="1" si="59"/>
        <v>8.1842553963144997</v>
      </c>
      <c r="O190" s="697"/>
      <c r="P190" s="697"/>
      <c r="Q190" s="697"/>
      <c r="R190" s="706">
        <v>4.4637799955436614</v>
      </c>
      <c r="S190" s="697">
        <f t="shared" ca="1" si="60"/>
        <v>6.2754980846405033</v>
      </c>
      <c r="T190" s="1152">
        <v>169.221153509012</v>
      </c>
      <c r="U190" s="697">
        <f t="shared" ca="1" si="61"/>
        <v>65.1084081344151</v>
      </c>
      <c r="V190" s="697">
        <f t="shared" ca="1" si="65"/>
        <v>41.021279401540347</v>
      </c>
      <c r="W190" s="697">
        <v>16.200323184894035</v>
      </c>
      <c r="X190" s="697">
        <f t="shared" ca="1" si="62"/>
        <v>20.684677803177475</v>
      </c>
      <c r="Y190" s="697">
        <v>22.537153421745259</v>
      </c>
      <c r="Z190" s="697">
        <f t="shared" ca="1" si="63"/>
        <v>15.366110393028141</v>
      </c>
    </row>
    <row r="191" spans="2:26" ht="13.2">
      <c r="B191" s="166">
        <f t="shared" si="64"/>
        <v>43469</v>
      </c>
      <c r="C191"/>
      <c r="G191" s="706">
        <v>17.25001799003639</v>
      </c>
      <c r="H191" s="706">
        <v>193.20293977458815</v>
      </c>
      <c r="I191" s="697">
        <f t="shared" ca="1" si="57"/>
        <v>342.53985194422665</v>
      </c>
      <c r="J191" s="706">
        <v>32.519204697917331</v>
      </c>
      <c r="K191" s="706">
        <v>8.5378889630153338</v>
      </c>
      <c r="L191" s="697">
        <f t="shared" ca="1" si="58"/>
        <v>15.420000037248862</v>
      </c>
      <c r="M191" s="1185">
        <v>8.2646164896649399</v>
      </c>
      <c r="N191" s="697">
        <f t="shared" ca="1" si="59"/>
        <v>8.1842553963144997</v>
      </c>
      <c r="O191" s="697"/>
      <c r="P191" s="697"/>
      <c r="Q191" s="697"/>
      <c r="R191" s="706">
        <v>4.60549850454544</v>
      </c>
      <c r="S191" s="697">
        <f t="shared" ca="1" si="60"/>
        <v>6.2754980846405033</v>
      </c>
      <c r="T191" s="1152">
        <v>165.61595586418986</v>
      </c>
      <c r="U191" s="697">
        <f t="shared" ca="1" si="61"/>
        <v>65.1084081344151</v>
      </c>
      <c r="V191" s="697">
        <f t="shared" ca="1" si="65"/>
        <v>41.021279401540347</v>
      </c>
      <c r="W191" s="697">
        <v>17.25001799003639</v>
      </c>
      <c r="X191" s="697">
        <f t="shared" ca="1" si="62"/>
        <v>20.684677803177475</v>
      </c>
      <c r="Y191" s="697">
        <v>22.708241708180815</v>
      </c>
      <c r="Z191" s="697">
        <f t="shared" ca="1" si="63"/>
        <v>15.366110393028141</v>
      </c>
    </row>
    <row r="192" spans="2:26" ht="13.2">
      <c r="B192" s="166">
        <f t="shared" si="64"/>
        <v>43476</v>
      </c>
      <c r="C192"/>
      <c r="G192" s="706">
        <v>18.3672942099669</v>
      </c>
      <c r="H192" s="706">
        <v>205.6053214394216</v>
      </c>
      <c r="I192" s="697">
        <f t="shared" ca="1" si="57"/>
        <v>342.53985194422665</v>
      </c>
      <c r="J192" s="706">
        <v>34.321262144528717</v>
      </c>
      <c r="K192" s="706">
        <v>9.2935017187319815</v>
      </c>
      <c r="L192" s="697">
        <f t="shared" ca="1" si="58"/>
        <v>15.420000037248862</v>
      </c>
      <c r="M192" s="1185">
        <v>8.7319181802513093</v>
      </c>
      <c r="N192" s="697">
        <f t="shared" ca="1" si="59"/>
        <v>8.1842553963144997</v>
      </c>
      <c r="O192" s="697"/>
      <c r="P192" s="697"/>
      <c r="Q192" s="697"/>
      <c r="R192" s="706">
        <v>4.8682279768969643</v>
      </c>
      <c r="S192" s="697">
        <f t="shared" ca="1" si="60"/>
        <v>6.2754980846405033</v>
      </c>
      <c r="T192" s="1152">
        <v>177.04979689285923</v>
      </c>
      <c r="U192" s="697">
        <f t="shared" ca="1" si="61"/>
        <v>65.1084081344151</v>
      </c>
      <c r="V192" s="697">
        <f t="shared" ca="1" si="65"/>
        <v>41.021279401540347</v>
      </c>
      <c r="W192" s="697">
        <v>18.3672942099669</v>
      </c>
      <c r="X192" s="697">
        <f t="shared" ca="1" si="62"/>
        <v>20.684677803177475</v>
      </c>
      <c r="Y192" s="697">
        <v>23.981215757320506</v>
      </c>
      <c r="Z192" s="697">
        <f t="shared" ca="1" si="63"/>
        <v>15.366110393028141</v>
      </c>
    </row>
    <row r="193" spans="2:26" ht="13.2">
      <c r="B193" s="166">
        <f t="shared" si="64"/>
        <v>43483</v>
      </c>
      <c r="C193"/>
      <c r="G193" s="706">
        <v>18.704060552742401</v>
      </c>
      <c r="H193" s="706">
        <v>213.79852790332089</v>
      </c>
      <c r="I193" s="697">
        <f t="shared" ca="1" si="57"/>
        <v>342.53985194422665</v>
      </c>
      <c r="J193" s="706">
        <v>35.219016896978815</v>
      </c>
      <c r="K193" s="706">
        <v>9.8699648309078327</v>
      </c>
      <c r="L193" s="697">
        <f t="shared" ca="1" si="58"/>
        <v>15.420000037248862</v>
      </c>
      <c r="M193" s="1185">
        <v>9.0352906714016061</v>
      </c>
      <c r="N193" s="697">
        <f t="shared" ca="1" si="59"/>
        <v>8.1842553963144997</v>
      </c>
      <c r="O193" s="697"/>
      <c r="P193" s="697"/>
      <c r="Q193" s="697"/>
      <c r="R193" s="706">
        <v>5.0566236745072111</v>
      </c>
      <c r="S193" s="697">
        <f t="shared" ca="1" si="60"/>
        <v>6.2754980846405033</v>
      </c>
      <c r="T193" s="1152">
        <v>186.21983181468269</v>
      </c>
      <c r="U193" s="697">
        <f t="shared" ca="1" si="61"/>
        <v>65.1084081344151</v>
      </c>
      <c r="V193" s="697">
        <f t="shared" ca="1" si="65"/>
        <v>41.021279401540347</v>
      </c>
      <c r="W193" s="697">
        <v>18.704060552742401</v>
      </c>
      <c r="X193" s="697">
        <f t="shared" ca="1" si="62"/>
        <v>20.684677803177475</v>
      </c>
      <c r="Y193" s="697">
        <v>24.784866928554937</v>
      </c>
      <c r="Z193" s="697">
        <f t="shared" ca="1" si="63"/>
        <v>15.366110393028141</v>
      </c>
    </row>
    <row r="194" spans="2:26" ht="13.2">
      <c r="B194" s="166">
        <f t="shared" si="64"/>
        <v>43490</v>
      </c>
      <c r="C194"/>
      <c r="G194" s="706">
        <v>18.615409997242967</v>
      </c>
      <c r="H194" s="706">
        <v>215.38519845280365</v>
      </c>
      <c r="I194" s="697">
        <f t="shared" ca="1" si="57"/>
        <v>342.53985194422665</v>
      </c>
      <c r="J194" s="706">
        <v>34.926444409656966</v>
      </c>
      <c r="K194" s="706">
        <v>10.118067799890198</v>
      </c>
      <c r="L194" s="697">
        <f t="shared" ca="1" si="58"/>
        <v>15.420000037248862</v>
      </c>
      <c r="M194" s="1185">
        <v>9.0309210479689117</v>
      </c>
      <c r="N194" s="697">
        <f t="shared" ca="1" si="59"/>
        <v>8.1842553963144997</v>
      </c>
      <c r="O194" s="697"/>
      <c r="P194" s="697"/>
      <c r="Q194" s="697"/>
      <c r="R194" s="706">
        <v>5.07983948495552</v>
      </c>
      <c r="S194" s="697">
        <f t="shared" ca="1" si="60"/>
        <v>6.2754980846405033</v>
      </c>
      <c r="T194" s="1152">
        <v>186.90770195971419</v>
      </c>
      <c r="U194" s="697">
        <f t="shared" ca="1" si="61"/>
        <v>65.1084081344151</v>
      </c>
      <c r="V194" s="697">
        <f t="shared" ca="1" si="65"/>
        <v>41.021279401540347</v>
      </c>
      <c r="W194" s="697">
        <v>18.615409997242967</v>
      </c>
      <c r="X194" s="697">
        <f t="shared" ca="1" si="62"/>
        <v>20.684677803177475</v>
      </c>
      <c r="Y194" s="697">
        <v>24.722715190953767</v>
      </c>
      <c r="Z194" s="697">
        <f t="shared" ca="1" si="63"/>
        <v>15.366110393028141</v>
      </c>
    </row>
    <row r="195" spans="2:26" ht="13.2">
      <c r="B195" s="166">
        <f t="shared" si="64"/>
        <v>43497</v>
      </c>
      <c r="C195"/>
      <c r="G195" s="706">
        <v>18.972374464871717</v>
      </c>
      <c r="H195" s="706">
        <v>221.73240087616728</v>
      </c>
      <c r="I195" s="697">
        <f t="shared" ca="1" si="57"/>
        <v>342.53985194422665</v>
      </c>
      <c r="J195" s="706">
        <v>35.272887222558644</v>
      </c>
      <c r="K195" s="706">
        <v>10.592780231843435</v>
      </c>
      <c r="L195" s="697">
        <f t="shared" ca="1" si="58"/>
        <v>15.420000037248862</v>
      </c>
      <c r="M195" s="1185">
        <v>9.201346920183191</v>
      </c>
      <c r="N195" s="697">
        <f t="shared" ca="1" si="59"/>
        <v>8.1842553963144997</v>
      </c>
      <c r="O195" s="697"/>
      <c r="P195" s="697"/>
      <c r="Q195" s="697"/>
      <c r="R195" s="706">
        <v>5.2880878703498633</v>
      </c>
      <c r="S195" s="697">
        <f t="shared" ca="1" si="60"/>
        <v>6.2754980846405033</v>
      </c>
      <c r="T195" s="1152">
        <v>193.07437152468094</v>
      </c>
      <c r="U195" s="697">
        <f t="shared" ca="1" si="61"/>
        <v>65.1084081344151</v>
      </c>
      <c r="V195" s="697">
        <f t="shared" ca="1" si="65"/>
        <v>41.021279401540347</v>
      </c>
      <c r="W195" s="697">
        <v>18.972374464871717</v>
      </c>
      <c r="X195" s="697">
        <f t="shared" ca="1" si="62"/>
        <v>20.684677803177475</v>
      </c>
      <c r="Y195" s="697">
        <v>25.142363642884483</v>
      </c>
      <c r="Z195" s="697">
        <f t="shared" ca="1" si="63"/>
        <v>15.366110393028141</v>
      </c>
    </row>
    <row r="196" spans="2:26" ht="13.2">
      <c r="B196" s="166">
        <f t="shared" si="64"/>
        <v>43504</v>
      </c>
      <c r="C196"/>
      <c r="G196" s="706">
        <v>19.0847057977373</v>
      </c>
      <c r="H196" s="706">
        <v>226.4657721987297</v>
      </c>
      <c r="I196" s="697">
        <f t="shared" ca="1" si="57"/>
        <v>342.53985194422665</v>
      </c>
      <c r="J196" s="706">
        <v>35.235719231643323</v>
      </c>
      <c r="K196" s="706">
        <v>10.898837872305718</v>
      </c>
      <c r="L196" s="697">
        <f t="shared" ca="1" si="58"/>
        <v>15.420000037248862</v>
      </c>
      <c r="M196" s="1185">
        <v>9.4310622567949896</v>
      </c>
      <c r="N196" s="697">
        <f t="shared" ca="1" si="59"/>
        <v>8.1842553963144997</v>
      </c>
      <c r="O196" s="697"/>
      <c r="P196" s="697"/>
      <c r="Q196" s="697"/>
      <c r="R196" s="706">
        <v>5.485590522714511</v>
      </c>
      <c r="S196" s="697">
        <f t="shared" ca="1" si="60"/>
        <v>6.2754980846405033</v>
      </c>
      <c r="T196" s="1152">
        <v>195.5359449424835</v>
      </c>
      <c r="U196" s="697">
        <f t="shared" ca="1" si="61"/>
        <v>65.1084081344151</v>
      </c>
      <c r="V196" s="697">
        <f t="shared" ca="1" si="65"/>
        <v>41.021279401540347</v>
      </c>
      <c r="W196" s="697">
        <v>19.0847057977373</v>
      </c>
      <c r="X196" s="697">
        <f t="shared" ca="1" si="62"/>
        <v>20.684677803177475</v>
      </c>
      <c r="Y196" s="697">
        <v>25.444247059768706</v>
      </c>
      <c r="Z196" s="697">
        <f t="shared" ca="1" si="63"/>
        <v>15.366110393028141</v>
      </c>
    </row>
    <row r="197" spans="2:26" ht="13.2">
      <c r="B197" s="166">
        <f t="shared" si="64"/>
        <v>43511</v>
      </c>
      <c r="C197"/>
      <c r="G197" s="706">
        <v>19.578097799312939</v>
      </c>
      <c r="H197" s="706">
        <v>374.64686710151409</v>
      </c>
      <c r="I197" s="697">
        <f t="shared" ca="1" si="57"/>
        <v>342.53985194422665</v>
      </c>
      <c r="J197" s="706">
        <v>35.904344685290511</v>
      </c>
      <c r="K197" s="706">
        <v>10.892058563767304</v>
      </c>
      <c r="L197" s="697">
        <f t="shared" ca="1" si="58"/>
        <v>15.420000037248862</v>
      </c>
      <c r="M197" s="1185">
        <v>9.7047415890062716</v>
      </c>
      <c r="N197" s="697">
        <f t="shared" ca="1" si="59"/>
        <v>8.1842553963144997</v>
      </c>
      <c r="O197" s="697"/>
      <c r="P197" s="697"/>
      <c r="Q197" s="697"/>
      <c r="R197" s="706">
        <v>5.6106620507991094</v>
      </c>
      <c r="S197" s="697">
        <f t="shared" ca="1" si="60"/>
        <v>6.2754980846405033</v>
      </c>
      <c r="T197" s="1152">
        <v>253.71906678685872</v>
      </c>
      <c r="U197" s="697">
        <f t="shared" ca="1" si="61"/>
        <v>65.1084081344151</v>
      </c>
      <c r="V197" s="697">
        <f t="shared" ca="1" si="65"/>
        <v>41.021279401540347</v>
      </c>
      <c r="W197" s="697">
        <v>19.578097799312939</v>
      </c>
      <c r="X197" s="697">
        <f t="shared" ca="1" si="62"/>
        <v>20.684677803177475</v>
      </c>
      <c r="Y197" s="697">
        <v>26.35292215188224</v>
      </c>
      <c r="Z197" s="697">
        <f t="shared" ca="1" si="63"/>
        <v>15.366110393028141</v>
      </c>
    </row>
    <row r="198" spans="2:26" ht="13.2">
      <c r="B198" s="166">
        <f t="shared" si="64"/>
        <v>43518</v>
      </c>
      <c r="C198"/>
      <c r="G198" s="706">
        <v>20.758791755982227</v>
      </c>
      <c r="H198" s="706">
        <v>379.32438944689511</v>
      </c>
      <c r="I198" s="697">
        <f t="shared" ca="1" si="57"/>
        <v>342.53985194422665</v>
      </c>
      <c r="J198" s="706">
        <v>38.03823613031625</v>
      </c>
      <c r="K198" s="706">
        <v>11.197689637298344</v>
      </c>
      <c r="L198" s="697">
        <f t="shared" ca="1" si="58"/>
        <v>15.420000037248862</v>
      </c>
      <c r="M198" s="1185">
        <v>9.6905725698721632</v>
      </c>
      <c r="N198" s="697">
        <f t="shared" ca="1" si="59"/>
        <v>8.1842553963144997</v>
      </c>
      <c r="O198" s="697"/>
      <c r="P198" s="697"/>
      <c r="Q198" s="697"/>
      <c r="R198" s="706">
        <v>5.8962297666002108</v>
      </c>
      <c r="S198" s="697">
        <f t="shared" ca="1" si="60"/>
        <v>6.2754980846405033</v>
      </c>
      <c r="T198" s="1152">
        <v>257.8729478153154</v>
      </c>
      <c r="U198" s="697">
        <f t="shared" ca="1" si="61"/>
        <v>65.1084081344151</v>
      </c>
      <c r="V198" s="697">
        <f t="shared" ca="1" si="65"/>
        <v>41.021279401540347</v>
      </c>
      <c r="W198" s="697">
        <v>20.758791755982227</v>
      </c>
      <c r="X198" s="697">
        <f t="shared" ca="1" si="62"/>
        <v>20.684677803177475</v>
      </c>
      <c r="Y198" s="697">
        <v>26.708955513826499</v>
      </c>
      <c r="Z198" s="697">
        <f t="shared" ca="1" si="63"/>
        <v>15.366110393028141</v>
      </c>
    </row>
    <row r="199" spans="2:26" ht="13.2">
      <c r="B199" s="166">
        <f t="shared" si="64"/>
        <v>43525</v>
      </c>
      <c r="C199"/>
      <c r="G199" s="706">
        <v>20.429461211869658</v>
      </c>
      <c r="H199" s="706">
        <v>386.56922237257265</v>
      </c>
      <c r="I199" s="697">
        <f t="shared" ca="1" si="57"/>
        <v>342.53985194422665</v>
      </c>
      <c r="J199" s="706">
        <v>37.461723537224316</v>
      </c>
      <c r="K199" s="706">
        <v>11.65359259573391</v>
      </c>
      <c r="L199" s="697">
        <f t="shared" ca="1" si="58"/>
        <v>15.420000037248862</v>
      </c>
      <c r="M199" s="1185">
        <v>9.7060072909100086</v>
      </c>
      <c r="N199" s="697">
        <f t="shared" ca="1" si="59"/>
        <v>8.1842553963144997</v>
      </c>
      <c r="O199" s="697"/>
      <c r="P199" s="697"/>
      <c r="Q199" s="697"/>
      <c r="R199" s="706">
        <v>5.8166484805453385</v>
      </c>
      <c r="S199" s="697">
        <f t="shared" ca="1" si="60"/>
        <v>6.2754980846405033</v>
      </c>
      <c r="T199" s="1152">
        <v>267.1617304196821</v>
      </c>
      <c r="U199" s="697">
        <f t="shared" ca="1" si="61"/>
        <v>65.1084081344151</v>
      </c>
      <c r="V199" s="697">
        <f t="shared" ca="1" si="65"/>
        <v>41.021279401540347</v>
      </c>
      <c r="W199" s="697">
        <v>20.429461211869658</v>
      </c>
      <c r="X199" s="697">
        <f t="shared" ca="1" si="62"/>
        <v>20.684677803177475</v>
      </c>
      <c r="Y199" s="697">
        <v>26.611417797360151</v>
      </c>
      <c r="Z199" s="697">
        <f t="shared" ca="1" si="63"/>
        <v>15.366110393028141</v>
      </c>
    </row>
    <row r="200" spans="2:26" ht="13.2">
      <c r="B200" s="166">
        <f t="shared" si="64"/>
        <v>43532</v>
      </c>
      <c r="C200"/>
      <c r="G200" s="706">
        <v>20.107794657515463</v>
      </c>
      <c r="H200" s="706">
        <v>376.52414796430719</v>
      </c>
      <c r="I200" s="697">
        <f t="shared" ca="1" si="57"/>
        <v>342.53985194422665</v>
      </c>
      <c r="J200" s="706">
        <v>36.857970068028642</v>
      </c>
      <c r="K200" s="706">
        <v>11.468540898227126</v>
      </c>
      <c r="L200" s="697">
        <f t="shared" ca="1" si="58"/>
        <v>15.420000037248862</v>
      </c>
      <c r="M200" s="1185">
        <v>9.3951460424247077</v>
      </c>
      <c r="N200" s="697">
        <f t="shared" ca="1" si="59"/>
        <v>8.1842553963144997</v>
      </c>
      <c r="O200" s="697"/>
      <c r="P200" s="697"/>
      <c r="Q200" s="697"/>
      <c r="R200" s="706">
        <v>5.734436026447395</v>
      </c>
      <c r="S200" s="697">
        <f t="shared" ca="1" si="60"/>
        <v>6.2754980846405033</v>
      </c>
      <c r="T200" s="1152">
        <v>258.12417920959257</v>
      </c>
      <c r="U200" s="697">
        <f t="shared" ca="1" si="61"/>
        <v>65.1084081344151</v>
      </c>
      <c r="V200" s="697">
        <f t="shared" ca="1" si="65"/>
        <v>41.021279401540347</v>
      </c>
      <c r="W200" s="697">
        <v>20.107794657515463</v>
      </c>
      <c r="X200" s="697">
        <f t="shared" ca="1" si="62"/>
        <v>20.684677803177475</v>
      </c>
      <c r="Y200" s="697">
        <v>25.712075581238064</v>
      </c>
      <c r="Z200" s="697">
        <f t="shared" ca="1" si="63"/>
        <v>15.366110393028141</v>
      </c>
    </row>
    <row r="201" spans="2:26" ht="13.2">
      <c r="B201" s="166">
        <f t="shared" si="64"/>
        <v>43539</v>
      </c>
      <c r="C201"/>
      <c r="G201" s="706">
        <v>20.741420758975266</v>
      </c>
      <c r="H201" s="706">
        <v>401.8954292209234</v>
      </c>
      <c r="I201" s="697">
        <f t="shared" ca="1" si="57"/>
        <v>342.53985194422665</v>
      </c>
      <c r="J201" s="706">
        <v>38.00680945202155</v>
      </c>
      <c r="K201" s="706">
        <v>12.483734725995397</v>
      </c>
      <c r="L201" s="697">
        <f t="shared" ca="1" si="58"/>
        <v>15.420000037248862</v>
      </c>
      <c r="M201" s="1185">
        <v>9.5716797386237502</v>
      </c>
      <c r="N201" s="697">
        <f t="shared" ca="1" si="59"/>
        <v>8.1842553963144997</v>
      </c>
      <c r="O201" s="697"/>
      <c r="P201" s="697"/>
      <c r="Q201" s="697"/>
      <c r="R201" s="706">
        <v>6.0221467564714866</v>
      </c>
      <c r="S201" s="697">
        <f t="shared" ca="1" si="60"/>
        <v>6.2754980846405033</v>
      </c>
      <c r="T201" s="1152">
        <v>277.37576872919857</v>
      </c>
      <c r="U201" s="697">
        <f t="shared" ca="1" si="61"/>
        <v>65.1084081344151</v>
      </c>
      <c r="V201" s="697">
        <f t="shared" ca="1" si="65"/>
        <v>41.021279401540347</v>
      </c>
      <c r="W201" s="697">
        <v>20.741420758975266</v>
      </c>
      <c r="X201" s="697">
        <f t="shared" ca="1" si="62"/>
        <v>20.684677803177475</v>
      </c>
      <c r="Y201" s="697">
        <v>26.184726628755953</v>
      </c>
      <c r="Z201" s="697">
        <f t="shared" ca="1" si="63"/>
        <v>15.366110393028141</v>
      </c>
    </row>
    <row r="202" spans="2:26" ht="13.2">
      <c r="B202" s="166">
        <f t="shared" si="64"/>
        <v>43546</v>
      </c>
      <c r="C202"/>
      <c r="G202" s="706">
        <v>20.579382070532851</v>
      </c>
      <c r="H202" s="706">
        <v>381.43072043598136</v>
      </c>
      <c r="I202" s="697">
        <f t="shared" ca="1" si="57"/>
        <v>342.53985194422665</v>
      </c>
      <c r="J202" s="706">
        <v>37.789034922080276</v>
      </c>
      <c r="K202" s="706">
        <v>11.933637751708508</v>
      </c>
      <c r="L202" s="697">
        <f t="shared" ca="1" si="58"/>
        <v>15.420000037248862</v>
      </c>
      <c r="M202" s="1185">
        <v>9.6962468182919075</v>
      </c>
      <c r="N202" s="697">
        <f t="shared" ca="1" si="59"/>
        <v>8.1842553963144997</v>
      </c>
      <c r="O202" s="697"/>
      <c r="P202" s="697"/>
      <c r="Q202" s="697"/>
      <c r="R202" s="706">
        <v>5.8878227845822089</v>
      </c>
      <c r="S202" s="697">
        <f t="shared" ca="1" si="60"/>
        <v>6.2754980846405033</v>
      </c>
      <c r="T202" s="1152">
        <v>264.47976476773135</v>
      </c>
      <c r="U202" s="697">
        <f t="shared" ca="1" si="61"/>
        <v>65.1084081344151</v>
      </c>
      <c r="V202" s="697">
        <f t="shared" ca="1" si="65"/>
        <v>41.021279401540347</v>
      </c>
      <c r="W202" s="697">
        <v>20.579382070532851</v>
      </c>
      <c r="X202" s="697">
        <f t="shared" ca="1" si="62"/>
        <v>20.684677803177475</v>
      </c>
      <c r="Y202" s="697">
        <v>26.775937741811447</v>
      </c>
      <c r="Z202" s="697">
        <f t="shared" ca="1" si="63"/>
        <v>15.366110393028141</v>
      </c>
    </row>
    <row r="203" spans="2:26" ht="13.2">
      <c r="B203" s="166">
        <f t="shared" si="64"/>
        <v>43553</v>
      </c>
      <c r="C203"/>
      <c r="G203" s="706">
        <v>20.29862774169478</v>
      </c>
      <c r="H203" s="706">
        <v>401.76780166103043</v>
      </c>
      <c r="I203" s="697">
        <f t="shared" ca="1" si="57"/>
        <v>342.53985194422665</v>
      </c>
      <c r="J203" s="706">
        <v>37.255988864599786</v>
      </c>
      <c r="K203" s="706">
        <v>13.032971643362911</v>
      </c>
      <c r="L203" s="697">
        <f t="shared" ca="1" si="58"/>
        <v>15.420000037248862</v>
      </c>
      <c r="M203" s="1185">
        <v>9.7011255108747001</v>
      </c>
      <c r="N203" s="697">
        <f t="shared" ca="1" si="59"/>
        <v>8.1842553963144997</v>
      </c>
      <c r="O203" s="697"/>
      <c r="P203" s="697"/>
      <c r="Q203" s="697"/>
      <c r="R203" s="706">
        <v>6.0721132804363087</v>
      </c>
      <c r="S203" s="697">
        <f t="shared" ca="1" si="60"/>
        <v>6.2754980846405033</v>
      </c>
      <c r="T203" s="1152">
        <v>294.18026182414877</v>
      </c>
      <c r="U203" s="697">
        <f t="shared" ca="1" si="61"/>
        <v>65.1084081344151</v>
      </c>
      <c r="V203" s="697">
        <f t="shared" ca="1" si="65"/>
        <v>41.021279401540347</v>
      </c>
      <c r="W203" s="697">
        <v>20.29862774169478</v>
      </c>
      <c r="X203" s="697">
        <f t="shared" ca="1" si="62"/>
        <v>20.684677803177475</v>
      </c>
      <c r="Y203" s="697">
        <v>26.938461390280036</v>
      </c>
      <c r="Z203" s="697">
        <f t="shared" ca="1" si="63"/>
        <v>15.366110393028141</v>
      </c>
    </row>
    <row r="204" spans="2:26" ht="13.2">
      <c r="B204" s="166">
        <f t="shared" si="64"/>
        <v>43560</v>
      </c>
      <c r="C204"/>
      <c r="G204" s="706">
        <v>20.556820022040998</v>
      </c>
      <c r="H204" s="706">
        <v>376.23854041249831</v>
      </c>
      <c r="I204" s="697">
        <f t="shared" ca="1" si="57"/>
        <v>342.53985194422665</v>
      </c>
      <c r="J204" s="706">
        <v>37.806568575575746</v>
      </c>
      <c r="K204" s="706">
        <v>12.271247750074361</v>
      </c>
      <c r="L204" s="697">
        <f t="shared" ca="1" si="58"/>
        <v>15.420000037248862</v>
      </c>
      <c r="M204" s="1185">
        <v>9.8218463526281958</v>
      </c>
      <c r="N204" s="697">
        <f t="shared" ca="1" si="59"/>
        <v>8.1842553963144997</v>
      </c>
      <c r="O204" s="697"/>
      <c r="P204" s="697"/>
      <c r="Q204" s="697"/>
      <c r="R204" s="706">
        <v>6.1069404307287183</v>
      </c>
      <c r="S204" s="697">
        <f t="shared" ca="1" si="60"/>
        <v>6.2754980846405033</v>
      </c>
      <c r="T204" s="1152">
        <v>281.61386160840613</v>
      </c>
      <c r="U204" s="697">
        <f t="shared" ca="1" si="61"/>
        <v>65.1084081344151</v>
      </c>
      <c r="V204" s="697">
        <f t="shared" ca="1" si="65"/>
        <v>41.021279401540347</v>
      </c>
      <c r="W204" s="697">
        <v>20.556820022040998</v>
      </c>
      <c r="X204" s="697">
        <f t="shared" ca="1" si="62"/>
        <v>20.684677803177475</v>
      </c>
      <c r="Y204" s="697">
        <v>27.177750051236721</v>
      </c>
      <c r="Z204" s="697">
        <f t="shared" ca="1" si="63"/>
        <v>15.366110393028141</v>
      </c>
    </row>
    <row r="205" spans="2:26" ht="13.2">
      <c r="B205" s="166">
        <f t="shared" si="64"/>
        <v>43567</v>
      </c>
      <c r="C205"/>
      <c r="G205" s="706">
        <v>20.399222462105708</v>
      </c>
      <c r="H205" s="706">
        <v>404.59394836083231</v>
      </c>
      <c r="I205" s="697">
        <f t="shared" ca="1" si="57"/>
        <v>342.53985194422665</v>
      </c>
      <c r="J205" s="706">
        <v>37.587023914512422</v>
      </c>
      <c r="K205" s="706">
        <v>13.444304705918434</v>
      </c>
      <c r="L205" s="697">
        <f t="shared" ca="1" si="58"/>
        <v>15.420000037248862</v>
      </c>
      <c r="M205" s="1185">
        <v>9.9769303685613551</v>
      </c>
      <c r="N205" s="697">
        <f t="shared" ca="1" si="59"/>
        <v>8.1842553963144997</v>
      </c>
      <c r="O205" s="697"/>
      <c r="P205" s="697"/>
      <c r="Q205" s="697"/>
      <c r="R205" s="706">
        <v>6.1173778488051589</v>
      </c>
      <c r="S205" s="697">
        <f t="shared" ca="1" si="60"/>
        <v>6.2754980846405033</v>
      </c>
      <c r="T205" s="1152">
        <v>305.13687813765171</v>
      </c>
      <c r="U205" s="697">
        <f t="shared" ca="1" si="61"/>
        <v>65.1084081344151</v>
      </c>
      <c r="V205" s="697">
        <f t="shared" ca="1" si="65"/>
        <v>41.021279401540347</v>
      </c>
      <c r="W205" s="697">
        <v>20.399222462105708</v>
      </c>
      <c r="X205" s="697">
        <f t="shared" ca="1" si="62"/>
        <v>20.684677803177475</v>
      </c>
      <c r="Y205" s="697">
        <v>27.760168093741349</v>
      </c>
      <c r="Z205" s="697">
        <f t="shared" ca="1" si="63"/>
        <v>15.366110393028141</v>
      </c>
    </row>
    <row r="206" spans="2:26" ht="13.2">
      <c r="B206" s="166">
        <f t="shared" si="64"/>
        <v>43574</v>
      </c>
      <c r="C206"/>
      <c r="G206" s="706">
        <v>20.444562144322113</v>
      </c>
      <c r="H206" s="706">
        <v>410.1887068760131</v>
      </c>
      <c r="I206" s="697">
        <f t="shared" ca="1" si="57"/>
        <v>342.53985194422665</v>
      </c>
      <c r="J206" s="706">
        <v>38.885631840207367</v>
      </c>
      <c r="K206" s="706">
        <v>13.780465257449919</v>
      </c>
      <c r="L206" s="697">
        <f t="shared" ca="1" si="58"/>
        <v>15.420000037248862</v>
      </c>
      <c r="M206" s="1185">
        <v>9.7990175796080674</v>
      </c>
      <c r="N206" s="697">
        <f t="shared" ca="1" si="59"/>
        <v>8.1842553963144997</v>
      </c>
      <c r="O206" s="697"/>
      <c r="P206" s="697"/>
      <c r="Q206" s="697"/>
      <c r="R206" s="706">
        <v>6.5634029139122632</v>
      </c>
      <c r="S206" s="697">
        <f t="shared" ca="1" si="60"/>
        <v>6.2754980846405033</v>
      </c>
      <c r="T206" s="1152">
        <v>310.51037151363278</v>
      </c>
      <c r="U206" s="697">
        <f t="shared" ca="1" si="61"/>
        <v>65.1084081344151</v>
      </c>
      <c r="V206" s="697">
        <f t="shared" ca="1" si="65"/>
        <v>41.021279401540347</v>
      </c>
      <c r="W206" s="697">
        <v>20.444562144322113</v>
      </c>
      <c r="X206" s="697">
        <f t="shared" ca="1" si="62"/>
        <v>20.684677803177475</v>
      </c>
      <c r="Y206" s="697">
        <v>27.272565653491363</v>
      </c>
      <c r="Z206" s="697">
        <f t="shared" ca="1" si="63"/>
        <v>15.366110393028141</v>
      </c>
    </row>
    <row r="207" spans="2:26" ht="13.2">
      <c r="B207" s="166">
        <f t="shared" si="64"/>
        <v>43581</v>
      </c>
      <c r="C207"/>
      <c r="G207" s="706">
        <v>21.353960922668669</v>
      </c>
      <c r="H207" s="706">
        <v>408.24235211362026</v>
      </c>
      <c r="I207" s="697">
        <f t="shared" ca="1" si="57"/>
        <v>342.53985194422665</v>
      </c>
      <c r="J207" s="706">
        <v>40.754563179500856</v>
      </c>
      <c r="K207" s="706">
        <v>13.781686489553296</v>
      </c>
      <c r="L207" s="697">
        <f t="shared" ca="1" si="58"/>
        <v>15.420000037248862</v>
      </c>
      <c r="M207" s="1185">
        <v>10.36161288327123</v>
      </c>
      <c r="N207" s="697">
        <f t="shared" ca="1" si="59"/>
        <v>8.1842553963144997</v>
      </c>
      <c r="O207" s="697"/>
      <c r="P207" s="697"/>
      <c r="Q207" s="697"/>
      <c r="R207" s="706">
        <v>6.8408737796594847</v>
      </c>
      <c r="S207" s="697">
        <f t="shared" ca="1" si="60"/>
        <v>6.2754980846405033</v>
      </c>
      <c r="T207" s="1152">
        <v>309.75800678239989</v>
      </c>
      <c r="U207" s="697">
        <f t="shared" ca="1" si="61"/>
        <v>65.1084081344151</v>
      </c>
      <c r="V207" s="697">
        <f t="shared" ca="1" si="65"/>
        <v>41.021279401540347</v>
      </c>
      <c r="W207" s="697">
        <v>21.353960922668669</v>
      </c>
      <c r="X207" s="697">
        <f t="shared" ca="1" si="62"/>
        <v>20.684677803177475</v>
      </c>
      <c r="Y207" s="697">
        <v>28.872998823382158</v>
      </c>
      <c r="Z207" s="697">
        <f t="shared" ca="1" si="63"/>
        <v>15.366110393028141</v>
      </c>
    </row>
    <row r="208" spans="2:26" ht="13.2">
      <c r="B208" s="166">
        <f t="shared" si="64"/>
        <v>43588</v>
      </c>
      <c r="C208"/>
      <c r="G208" s="706">
        <v>21.76408217319619</v>
      </c>
      <c r="H208" s="706">
        <v>372.48695103566405</v>
      </c>
      <c r="I208" s="697">
        <f t="shared" ca="1" si="57"/>
        <v>342.53985194422665</v>
      </c>
      <c r="J208" s="706">
        <v>41.370864976154095</v>
      </c>
      <c r="K208" s="706">
        <v>16.232476922469285</v>
      </c>
      <c r="L208" s="697">
        <f t="shared" ca="1" si="58"/>
        <v>15.420000037248862</v>
      </c>
      <c r="M208" s="1185">
        <v>10.368440984890306</v>
      </c>
      <c r="N208" s="697">
        <f t="shared" ca="1" si="59"/>
        <v>8.1842553963144997</v>
      </c>
      <c r="O208" s="697"/>
      <c r="P208" s="697"/>
      <c r="Q208" s="697"/>
      <c r="R208" s="706">
        <v>7.0943830927971163</v>
      </c>
      <c r="S208" s="697">
        <f t="shared" ca="1" si="60"/>
        <v>6.2754980846405033</v>
      </c>
      <c r="T208" s="1152">
        <v>344.85628167453575</v>
      </c>
      <c r="U208" s="697">
        <f t="shared" ca="1" si="61"/>
        <v>65.1084081344151</v>
      </c>
      <c r="V208" s="697">
        <f t="shared" ca="1" si="65"/>
        <v>41.021279401540347</v>
      </c>
      <c r="W208" s="697">
        <v>21.76408217319619</v>
      </c>
      <c r="X208" s="697">
        <f t="shared" ca="1" si="62"/>
        <v>20.684677803177475</v>
      </c>
      <c r="Y208" s="697">
        <v>29.216782166561718</v>
      </c>
      <c r="Z208" s="697">
        <f t="shared" ca="1" si="63"/>
        <v>15.366110393028141</v>
      </c>
    </row>
    <row r="209" spans="2:26" ht="13.2">
      <c r="B209" s="166">
        <f t="shared" si="64"/>
        <v>43595</v>
      </c>
      <c r="C209"/>
      <c r="G209" s="706">
        <v>19.607318570833577</v>
      </c>
      <c r="H209" s="706">
        <v>361.7276469070826</v>
      </c>
      <c r="I209" s="697">
        <f t="shared" ca="1" si="57"/>
        <v>342.53985194422665</v>
      </c>
      <c r="J209" s="706">
        <v>37.072051269170345</v>
      </c>
      <c r="K209" s="706">
        <v>15.800201286741459</v>
      </c>
      <c r="L209" s="697">
        <f t="shared" ca="1" si="58"/>
        <v>15.420000037248862</v>
      </c>
      <c r="M209" s="1185">
        <v>10.215416006803991</v>
      </c>
      <c r="N209" s="697">
        <f t="shared" ca="1" si="59"/>
        <v>8.1842553963144997</v>
      </c>
      <c r="O209" s="697"/>
      <c r="P209" s="697"/>
      <c r="Q209" s="697"/>
      <c r="R209" s="706">
        <v>6.4788370868555738</v>
      </c>
      <c r="S209" s="697">
        <f t="shared" ca="1" si="60"/>
        <v>6.2754980846405033</v>
      </c>
      <c r="T209" s="1152">
        <v>331.97919154399511</v>
      </c>
      <c r="U209" s="697">
        <f t="shared" ca="1" si="61"/>
        <v>65.1084081344151</v>
      </c>
      <c r="V209" s="697">
        <f t="shared" ca="1" si="65"/>
        <v>41.021279401540347</v>
      </c>
      <c r="W209" s="697">
        <v>19.607318570833577</v>
      </c>
      <c r="X209" s="697">
        <f t="shared" ca="1" si="62"/>
        <v>20.684677803177475</v>
      </c>
      <c r="Y209" s="697">
        <v>28.962869039730531</v>
      </c>
      <c r="Z209" s="697">
        <f t="shared" ca="1" si="63"/>
        <v>15.366110393028141</v>
      </c>
    </row>
    <row r="210" spans="2:26" ht="13.2">
      <c r="B210" s="166">
        <f t="shared" si="64"/>
        <v>43602</v>
      </c>
      <c r="C210"/>
      <c r="G210" s="706">
        <v>19.762675753345938</v>
      </c>
      <c r="H210" s="706">
        <v>376.86737093326008</v>
      </c>
      <c r="I210" s="697">
        <f t="shared" ca="1" si="57"/>
        <v>342.53985194422665</v>
      </c>
      <c r="J210" s="706">
        <v>37.001990332866036</v>
      </c>
      <c r="K210" s="706">
        <v>16.667455727073918</v>
      </c>
      <c r="L210" s="697">
        <f t="shared" ca="1" si="58"/>
        <v>15.420000037248862</v>
      </c>
      <c r="M210" s="1185">
        <v>10.06002855901453</v>
      </c>
      <c r="N210" s="697">
        <f t="shared" ca="1" si="59"/>
        <v>8.1842553963144997</v>
      </c>
      <c r="O210" s="697"/>
      <c r="P210" s="697"/>
      <c r="Q210" s="697"/>
      <c r="R210" s="706">
        <v>6.5693122957324759</v>
      </c>
      <c r="S210" s="697">
        <f t="shared" ca="1" si="60"/>
        <v>6.2754980846405033</v>
      </c>
      <c r="T210" s="1152">
        <v>347.72569689609566</v>
      </c>
      <c r="U210" s="697">
        <f t="shared" ca="1" si="61"/>
        <v>65.1084081344151</v>
      </c>
      <c r="V210" s="697">
        <f t="shared" ca="1" si="65"/>
        <v>41.021279401540347</v>
      </c>
      <c r="W210" s="697">
        <v>19.762675753345938</v>
      </c>
      <c r="X210" s="697">
        <f t="shared" ca="1" si="62"/>
        <v>20.684677803177475</v>
      </c>
      <c r="Y210" s="697">
        <v>29.301170528565137</v>
      </c>
      <c r="Z210" s="697">
        <f t="shared" ca="1" si="63"/>
        <v>15.366110393028141</v>
      </c>
    </row>
    <row r="211" spans="2:26" ht="13.2">
      <c r="B211" s="166">
        <f t="shared" si="64"/>
        <v>43609</v>
      </c>
      <c r="C211"/>
      <c r="G211" s="706">
        <v>19.392633127802096</v>
      </c>
      <c r="H211" s="706">
        <v>376.62061887564852</v>
      </c>
      <c r="I211" s="697">
        <f t="shared" ca="1" si="57"/>
        <v>342.53985194422665</v>
      </c>
      <c r="J211" s="706">
        <v>36.313864284664504</v>
      </c>
      <c r="K211" s="706">
        <v>16.727387574401803</v>
      </c>
      <c r="L211" s="697">
        <f t="shared" ca="1" si="58"/>
        <v>15.420000037248862</v>
      </c>
      <c r="M211" s="1185">
        <v>9.9275641856832113</v>
      </c>
      <c r="N211" s="697">
        <f t="shared" ca="1" si="59"/>
        <v>8.1842553963144997</v>
      </c>
      <c r="O211" s="697"/>
      <c r="P211" s="697"/>
      <c r="Q211" s="697"/>
      <c r="R211" s="706">
        <v>6.4752160516280552</v>
      </c>
      <c r="S211" s="697">
        <f t="shared" ca="1" si="60"/>
        <v>6.2754980846405033</v>
      </c>
      <c r="T211" s="1152">
        <v>345.65621581176589</v>
      </c>
      <c r="U211" s="697">
        <f t="shared" ca="1" si="61"/>
        <v>65.1084081344151</v>
      </c>
      <c r="V211" s="697">
        <f t="shared" ca="1" si="65"/>
        <v>41.021279401540347</v>
      </c>
      <c r="W211" s="697">
        <v>19.392633127802096</v>
      </c>
      <c r="X211" s="697">
        <f t="shared" ca="1" si="62"/>
        <v>20.684677803177475</v>
      </c>
      <c r="Y211" s="697">
        <v>28.727672476186115</v>
      </c>
      <c r="Z211" s="697">
        <f t="shared" ca="1" si="63"/>
        <v>15.366110393028141</v>
      </c>
    </row>
    <row r="212" spans="2:26" ht="13.2">
      <c r="B212" s="166">
        <f t="shared" si="64"/>
        <v>43616</v>
      </c>
      <c r="C212"/>
      <c r="G212" s="706">
        <v>18.97544836662707</v>
      </c>
      <c r="H212" s="706">
        <v>371.29667360591196</v>
      </c>
      <c r="I212" s="697">
        <f t="shared" ca="1" si="57"/>
        <v>342.53985194422665</v>
      </c>
      <c r="J212" s="706">
        <v>35.472143803569473</v>
      </c>
      <c r="K212" s="706">
        <v>16.583169436576309</v>
      </c>
      <c r="L212" s="697">
        <f t="shared" ca="1" si="58"/>
        <v>15.420000037248862</v>
      </c>
      <c r="M212" s="1185">
        <v>9.8586134534514525</v>
      </c>
      <c r="N212" s="697">
        <f t="shared" ca="1" si="59"/>
        <v>8.1842553963144997</v>
      </c>
      <c r="O212" s="697"/>
      <c r="P212" s="697"/>
      <c r="Q212" s="697"/>
      <c r="R212" s="706">
        <v>6.3822268501806798</v>
      </c>
      <c r="S212" s="697">
        <f t="shared" ca="1" si="60"/>
        <v>6.2754980846405033</v>
      </c>
      <c r="T212" s="1152">
        <v>340.5803422432852</v>
      </c>
      <c r="U212" s="697">
        <f t="shared" ca="1" si="61"/>
        <v>65.1084081344151</v>
      </c>
      <c r="V212" s="697">
        <f t="shared" ca="1" si="65"/>
        <v>41.021279401540347</v>
      </c>
      <c r="W212" s="697">
        <v>18.97544836662707</v>
      </c>
      <c r="X212" s="697">
        <f t="shared" ca="1" si="62"/>
        <v>20.684677803177475</v>
      </c>
      <c r="Y212" s="697">
        <v>28.580562875872783</v>
      </c>
      <c r="Z212" s="697">
        <f t="shared" ca="1" si="63"/>
        <v>15.366110393028141</v>
      </c>
    </row>
    <row r="213" spans="2:26" ht="13.2">
      <c r="B213" s="166">
        <f t="shared" si="64"/>
        <v>43623</v>
      </c>
      <c r="C213"/>
      <c r="G213" s="706">
        <v>20.470727665187205</v>
      </c>
      <c r="H213" s="706">
        <v>407.95862346027542</v>
      </c>
      <c r="I213" s="697">
        <f t="shared" ca="1" si="57"/>
        <v>342.53985194422665</v>
      </c>
      <c r="J213" s="706">
        <v>37.839676058369243</v>
      </c>
      <c r="K213" s="706">
        <v>18.422487833424416</v>
      </c>
      <c r="L213" s="697">
        <f t="shared" ca="1" si="58"/>
        <v>15.420000037248862</v>
      </c>
      <c r="M213" s="1185">
        <v>10.277302764314042</v>
      </c>
      <c r="N213" s="697">
        <f t="shared" ca="1" si="59"/>
        <v>8.1842553963144997</v>
      </c>
      <c r="O213" s="697"/>
      <c r="P213" s="697"/>
      <c r="Q213" s="697"/>
      <c r="R213" s="706">
        <v>6.9698840981980998</v>
      </c>
      <c r="S213" s="697">
        <f t="shared" ca="1" si="60"/>
        <v>6.2754980846405033</v>
      </c>
      <c r="T213" s="1152">
        <v>375.79155647935607</v>
      </c>
      <c r="U213" s="697">
        <f t="shared" ca="1" si="61"/>
        <v>65.1084081344151</v>
      </c>
      <c r="V213" s="697">
        <f t="shared" ca="1" si="65"/>
        <v>41.021279401540347</v>
      </c>
      <c r="W213" s="697">
        <v>20.470727665187205</v>
      </c>
      <c r="X213" s="697">
        <f t="shared" ca="1" si="62"/>
        <v>20.684677803177475</v>
      </c>
      <c r="Y213" s="697">
        <v>29.22963581744434</v>
      </c>
      <c r="Z213" s="697">
        <f t="shared" ca="1" si="63"/>
        <v>15.366110393028141</v>
      </c>
    </row>
    <row r="214" spans="2:26" ht="13.2">
      <c r="B214" s="166">
        <f t="shared" si="64"/>
        <v>43630</v>
      </c>
      <c r="C214"/>
      <c r="G214" s="706">
        <v>20.274485483794024</v>
      </c>
      <c r="H214" s="706">
        <v>404.35389122534428</v>
      </c>
      <c r="I214" s="697">
        <f t="shared" ca="1" si="57"/>
        <v>342.53985194422665</v>
      </c>
      <c r="J214" s="706">
        <v>37.568901308717457</v>
      </c>
      <c r="K214" s="706">
        <v>18.325718195658155</v>
      </c>
      <c r="L214" s="697">
        <f t="shared" ca="1" si="58"/>
        <v>15.420000037248862</v>
      </c>
      <c r="M214" s="1185">
        <v>10.009253691307661</v>
      </c>
      <c r="N214" s="697">
        <f t="shared" ca="1" si="59"/>
        <v>8.1842553963144997</v>
      </c>
      <c r="O214" s="697"/>
      <c r="P214" s="697"/>
      <c r="Q214" s="697"/>
      <c r="R214" s="706">
        <v>6.950509517335723</v>
      </c>
      <c r="S214" s="697">
        <f t="shared" ca="1" si="60"/>
        <v>6.2754980846405033</v>
      </c>
      <c r="T214" s="1152">
        <v>371.74213407432092</v>
      </c>
      <c r="U214" s="697">
        <f t="shared" ca="1" si="61"/>
        <v>65.1084081344151</v>
      </c>
      <c r="V214" s="697">
        <f t="shared" ca="1" si="65"/>
        <v>41.021279401540347</v>
      </c>
      <c r="W214" s="697">
        <v>20.274485483794024</v>
      </c>
      <c r="X214" s="697">
        <f t="shared" ca="1" si="62"/>
        <v>20.684677803177475</v>
      </c>
      <c r="Y214" s="697">
        <v>28.343221245648568</v>
      </c>
      <c r="Z214" s="697">
        <f t="shared" ca="1" si="63"/>
        <v>15.366110393028141</v>
      </c>
    </row>
    <row r="215" spans="2:26" ht="13.2">
      <c r="B215" s="166">
        <f t="shared" si="64"/>
        <v>43637</v>
      </c>
      <c r="C215"/>
      <c r="G215" s="706">
        <v>20.851729874420364</v>
      </c>
      <c r="H215" s="706">
        <v>434.71784238435794</v>
      </c>
      <c r="I215" s="697">
        <f t="shared" ca="1" si="57"/>
        <v>342.53985194422665</v>
      </c>
      <c r="J215" s="706">
        <v>38.67724229270523</v>
      </c>
      <c r="K215" s="706">
        <v>19.59562412770925</v>
      </c>
      <c r="L215" s="697">
        <f t="shared" ca="1" si="58"/>
        <v>15.420000037248862</v>
      </c>
      <c r="M215" s="1185">
        <v>10.432616937111797</v>
      </c>
      <c r="N215" s="697">
        <f t="shared" ca="1" si="59"/>
        <v>8.1842553963144997</v>
      </c>
      <c r="O215" s="697"/>
      <c r="P215" s="697"/>
      <c r="Q215" s="697"/>
      <c r="R215" s="706">
        <v>7.1751228045824442</v>
      </c>
      <c r="S215" s="697">
        <f t="shared" ca="1" si="60"/>
        <v>6.2754980846405033</v>
      </c>
      <c r="T215" s="1152">
        <v>395.56298860176253</v>
      </c>
      <c r="U215" s="697">
        <f t="shared" ca="1" si="61"/>
        <v>65.1084081344151</v>
      </c>
      <c r="V215" s="697">
        <f t="shared" ca="1" si="65"/>
        <v>41.021279401540347</v>
      </c>
      <c r="W215" s="697">
        <v>20.851729874420364</v>
      </c>
      <c r="X215" s="697">
        <f t="shared" ca="1" si="62"/>
        <v>20.684677803177475</v>
      </c>
      <c r="Y215" s="697">
        <v>29.474537559245391</v>
      </c>
      <c r="Z215" s="697">
        <f t="shared" ca="1" si="63"/>
        <v>15.366110393028141</v>
      </c>
    </row>
    <row r="216" spans="2:26" ht="13.2">
      <c r="B216" s="166">
        <f t="shared" si="64"/>
        <v>43644</v>
      </c>
      <c r="C216"/>
      <c r="G216" s="706">
        <v>20.152813088520578</v>
      </c>
      <c r="H216" s="706">
        <v>395.46183987583436</v>
      </c>
      <c r="I216" s="697">
        <f t="shared" ref="I216:I279" ca="1" si="66">+I$87</f>
        <v>342.53985194422665</v>
      </c>
      <c r="J216" s="706">
        <v>37.757583839263354</v>
      </c>
      <c r="K216" s="706">
        <v>17.968814733566894</v>
      </c>
      <c r="L216" s="697">
        <f t="shared" ref="L216:L279" ca="1" si="67">+L$87</f>
        <v>15.420000037248862</v>
      </c>
      <c r="M216" s="1185">
        <v>10.158204564932166</v>
      </c>
      <c r="N216" s="697">
        <f t="shared" ref="N216:N279" ca="1" si="68">+N$87</f>
        <v>8.1842553963144997</v>
      </c>
      <c r="O216" s="697"/>
      <c r="P216" s="697"/>
      <c r="Q216" s="697"/>
      <c r="R216" s="706">
        <v>6.424963222596217</v>
      </c>
      <c r="S216" s="697">
        <f t="shared" ref="S216:S279" ca="1" si="69">+S$87</f>
        <v>6.2754980846405033</v>
      </c>
      <c r="T216" s="1152">
        <v>362.05918931102002</v>
      </c>
      <c r="U216" s="697">
        <f t="shared" ref="U216:U279" ca="1" si="70">+U$87</f>
        <v>65.1084081344151</v>
      </c>
      <c r="V216" s="697">
        <f t="shared" ca="1" si="65"/>
        <v>41.021279401540347</v>
      </c>
      <c r="W216" s="697">
        <v>20.152813088520578</v>
      </c>
      <c r="X216" s="697">
        <f t="shared" ref="X216:X279" ca="1" si="71">+X$87</f>
        <v>20.684677803177475</v>
      </c>
      <c r="Y216" s="697">
        <v>28.506451093966952</v>
      </c>
      <c r="Z216" s="697">
        <f t="shared" ref="Z216:Z279" ca="1" si="72">+Z$87</f>
        <v>15.366110393028141</v>
      </c>
    </row>
    <row r="217" spans="2:26" ht="13.2">
      <c r="B217" s="166">
        <f t="shared" ref="B217:B280" si="73">B216+7</f>
        <v>43651</v>
      </c>
      <c r="C217"/>
      <c r="G217" s="706">
        <v>20.738062688464574</v>
      </c>
      <c r="H217" s="706">
        <v>415.35838330633192</v>
      </c>
      <c r="I217" s="697">
        <f t="shared" ca="1" si="66"/>
        <v>342.53985194422665</v>
      </c>
      <c r="J217" s="706">
        <v>38.747280686620186</v>
      </c>
      <c r="K217" s="706">
        <v>18.721673106986987</v>
      </c>
      <c r="L217" s="697">
        <f t="shared" ca="1" si="67"/>
        <v>15.420000037248862</v>
      </c>
      <c r="M217" s="1185">
        <v>10.422078986866966</v>
      </c>
      <c r="N217" s="697">
        <f t="shared" ca="1" si="68"/>
        <v>8.1842553963144997</v>
      </c>
      <c r="O217" s="697"/>
      <c r="P217" s="697"/>
      <c r="Q217" s="697"/>
      <c r="R217" s="706">
        <v>6.5595764487384205</v>
      </c>
      <c r="S217" s="697">
        <f t="shared" ca="1" si="69"/>
        <v>6.2754980846405033</v>
      </c>
      <c r="T217" s="1152">
        <v>372.71790309923404</v>
      </c>
      <c r="U217" s="697">
        <f t="shared" ca="1" si="70"/>
        <v>65.1084081344151</v>
      </c>
      <c r="V217" s="697">
        <f t="shared" ref="V217:V280" ca="1" si="74">+V216</f>
        <v>41.021279401540347</v>
      </c>
      <c r="W217" s="697">
        <v>20.738062688464574</v>
      </c>
      <c r="X217" s="697">
        <f t="shared" ca="1" si="71"/>
        <v>20.684677803177475</v>
      </c>
      <c r="Y217" s="697">
        <v>29.039371335001203</v>
      </c>
      <c r="Z217" s="697">
        <f t="shared" ca="1" si="72"/>
        <v>15.366110393028141</v>
      </c>
    </row>
    <row r="218" spans="2:26" ht="13.2">
      <c r="B218" s="166">
        <f t="shared" si="73"/>
        <v>43658</v>
      </c>
      <c r="C218"/>
      <c r="G218" s="706">
        <v>20.847922863484992</v>
      </c>
      <c r="H218" s="706">
        <v>406.71198108045388</v>
      </c>
      <c r="I218" s="697">
        <f t="shared" ca="1" si="66"/>
        <v>342.53985194422665</v>
      </c>
      <c r="J218" s="706">
        <v>38.940457834421906</v>
      </c>
      <c r="K218" s="706">
        <v>18.387715873422021</v>
      </c>
      <c r="L218" s="697">
        <f t="shared" ca="1" si="67"/>
        <v>15.420000037248862</v>
      </c>
      <c r="M218" s="1185">
        <v>10.526470988737135</v>
      </c>
      <c r="N218" s="697">
        <f t="shared" ca="1" si="68"/>
        <v>8.1842553963144997</v>
      </c>
      <c r="O218" s="697"/>
      <c r="P218" s="697"/>
      <c r="Q218" s="697"/>
      <c r="R218" s="706">
        <v>6.5917416672670823</v>
      </c>
      <c r="S218" s="697">
        <f t="shared" ca="1" si="69"/>
        <v>6.2754980846405033</v>
      </c>
      <c r="T218" s="1152">
        <v>363.59344019433382</v>
      </c>
      <c r="U218" s="697">
        <f t="shared" ca="1" si="70"/>
        <v>65.1084081344151</v>
      </c>
      <c r="V218" s="697">
        <f t="shared" ca="1" si="74"/>
        <v>41.021279401540347</v>
      </c>
      <c r="W218" s="697">
        <v>20.847922863484992</v>
      </c>
      <c r="X218" s="697">
        <f t="shared" ca="1" si="71"/>
        <v>20.684677803177475</v>
      </c>
      <c r="Y218" s="697">
        <v>29.235216405063692</v>
      </c>
      <c r="Z218" s="697">
        <f t="shared" ca="1" si="72"/>
        <v>15.366110393028141</v>
      </c>
    </row>
    <row r="219" spans="2:26" ht="13.2">
      <c r="B219" s="166">
        <f t="shared" si="73"/>
        <v>43665</v>
      </c>
      <c r="C219"/>
      <c r="G219" s="706">
        <v>19.520100066654539</v>
      </c>
      <c r="H219" s="706">
        <v>428.97987312231288</v>
      </c>
      <c r="I219" s="697">
        <f t="shared" ca="1" si="66"/>
        <v>342.53985194422665</v>
      </c>
      <c r="J219" s="706">
        <v>36.834167400000219</v>
      </c>
      <c r="K219" s="706">
        <v>19.540278308588306</v>
      </c>
      <c r="L219" s="697">
        <f t="shared" ca="1" si="67"/>
        <v>15.420000037248862</v>
      </c>
      <c r="M219" s="1185">
        <v>10.387488020799257</v>
      </c>
      <c r="N219" s="697">
        <f t="shared" ca="1" si="68"/>
        <v>8.1842553963144997</v>
      </c>
      <c r="O219" s="697"/>
      <c r="P219" s="697"/>
      <c r="Q219" s="697"/>
      <c r="R219" s="706">
        <v>6.3974171254066654</v>
      </c>
      <c r="S219" s="697">
        <f t="shared" ca="1" si="69"/>
        <v>6.2754980846405033</v>
      </c>
      <c r="T219" s="1152">
        <v>383.62846094931598</v>
      </c>
      <c r="U219" s="697">
        <f t="shared" ca="1" si="70"/>
        <v>65.1084081344151</v>
      </c>
      <c r="V219" s="697">
        <f t="shared" ca="1" si="74"/>
        <v>41.021279401540347</v>
      </c>
      <c r="W219" s="697">
        <v>19.520100066654539</v>
      </c>
      <c r="X219" s="697">
        <f t="shared" ca="1" si="71"/>
        <v>20.684677803177475</v>
      </c>
      <c r="Y219" s="697">
        <v>29.014500936041532</v>
      </c>
      <c r="Z219" s="697">
        <f t="shared" ca="1" si="72"/>
        <v>15.366110393028141</v>
      </c>
    </row>
    <row r="220" spans="2:26" ht="13.2">
      <c r="B220" s="166">
        <f t="shared" si="73"/>
        <v>43672</v>
      </c>
      <c r="C220"/>
      <c r="G220" s="706">
        <v>21.086155437557551</v>
      </c>
      <c r="H220" s="706">
        <v>433.53233299541591</v>
      </c>
      <c r="I220" s="697">
        <f t="shared" ca="1" si="66"/>
        <v>342.53985194422665</v>
      </c>
      <c r="J220" s="706">
        <v>40.116217505818078</v>
      </c>
      <c r="K220" s="706">
        <v>19.843366406808457</v>
      </c>
      <c r="L220" s="697">
        <f t="shared" ca="1" si="67"/>
        <v>15.420000037248862</v>
      </c>
      <c r="M220" s="1185">
        <v>10.515817420665286</v>
      </c>
      <c r="N220" s="697">
        <f t="shared" ca="1" si="68"/>
        <v>8.1842553963144997</v>
      </c>
      <c r="O220" s="697"/>
      <c r="P220" s="697"/>
      <c r="Q220" s="697"/>
      <c r="R220" s="706">
        <v>6.85543336552188</v>
      </c>
      <c r="S220" s="697">
        <f t="shared" ca="1" si="69"/>
        <v>6.2754980846405033</v>
      </c>
      <c r="T220" s="1152">
        <v>386.7167597895787</v>
      </c>
      <c r="U220" s="697">
        <f t="shared" ca="1" si="70"/>
        <v>65.1084081344151</v>
      </c>
      <c r="V220" s="697">
        <f t="shared" ca="1" si="74"/>
        <v>41.021279401540347</v>
      </c>
      <c r="W220" s="697">
        <v>21.086155437557551</v>
      </c>
      <c r="X220" s="697">
        <f t="shared" ca="1" si="71"/>
        <v>20.684677803177475</v>
      </c>
      <c r="Y220" s="697">
        <v>28.923078538480194</v>
      </c>
      <c r="Z220" s="697">
        <f t="shared" ca="1" si="72"/>
        <v>15.366110393028141</v>
      </c>
    </row>
    <row r="221" spans="2:26" ht="13.2">
      <c r="B221" s="166">
        <f t="shared" si="73"/>
        <v>43679</v>
      </c>
      <c r="C221"/>
      <c r="G221" s="706">
        <v>19.824890201486252</v>
      </c>
      <c r="H221" s="706">
        <v>404.91339285389967</v>
      </c>
      <c r="I221" s="697">
        <f t="shared" ca="1" si="66"/>
        <v>342.53985194422665</v>
      </c>
      <c r="J221" s="706">
        <v>37.615197481248984</v>
      </c>
      <c r="K221" s="706">
        <v>19.086408029013651</v>
      </c>
      <c r="L221" s="697">
        <f t="shared" ca="1" si="67"/>
        <v>15.420000037248862</v>
      </c>
      <c r="M221" s="1185">
        <v>10.042940520325459</v>
      </c>
      <c r="N221" s="697">
        <f t="shared" ca="1" si="68"/>
        <v>8.1842553963144997</v>
      </c>
      <c r="O221" s="697"/>
      <c r="P221" s="697"/>
      <c r="Q221" s="697"/>
      <c r="R221" s="706">
        <v>6.5971793064733664</v>
      </c>
      <c r="S221" s="697">
        <f t="shared" ca="1" si="69"/>
        <v>6.2754980846405033</v>
      </c>
      <c r="T221" s="1152">
        <v>387.88932348494689</v>
      </c>
      <c r="U221" s="697">
        <f t="shared" ca="1" si="70"/>
        <v>65.1084081344151</v>
      </c>
      <c r="V221" s="697">
        <f t="shared" ca="1" si="74"/>
        <v>41.021279401540347</v>
      </c>
      <c r="W221" s="697">
        <v>19.824890201486252</v>
      </c>
      <c r="X221" s="697">
        <f t="shared" ca="1" si="71"/>
        <v>20.684677803177475</v>
      </c>
      <c r="Y221" s="697">
        <v>27.796051550727952</v>
      </c>
      <c r="Z221" s="697">
        <f t="shared" ca="1" si="72"/>
        <v>15.366110393028141</v>
      </c>
    </row>
    <row r="222" spans="2:26" ht="13.2">
      <c r="B222" s="166">
        <f t="shared" si="73"/>
        <v>43686</v>
      </c>
      <c r="C222"/>
      <c r="G222" s="706">
        <v>19.605034087350255</v>
      </c>
      <c r="H222" s="706">
        <v>446.61484445973815</v>
      </c>
      <c r="I222" s="697">
        <f t="shared" ca="1" si="66"/>
        <v>342.53985194422665</v>
      </c>
      <c r="J222" s="706">
        <v>37.176168692837777</v>
      </c>
      <c r="K222" s="706">
        <v>21.243416677340974</v>
      </c>
      <c r="L222" s="697">
        <f t="shared" ca="1" si="67"/>
        <v>15.420000037248862</v>
      </c>
      <c r="M222" s="1185">
        <v>9.8962164003934561</v>
      </c>
      <c r="N222" s="697">
        <f t="shared" ca="1" si="68"/>
        <v>8.1842553963144997</v>
      </c>
      <c r="O222" s="697"/>
      <c r="P222" s="697"/>
      <c r="Q222" s="697"/>
      <c r="R222" s="706">
        <v>6.6803932923571772</v>
      </c>
      <c r="S222" s="697">
        <f t="shared" ca="1" si="69"/>
        <v>6.2754980846405033</v>
      </c>
      <c r="T222" s="1152">
        <v>417.20707818189572</v>
      </c>
      <c r="U222" s="697">
        <f t="shared" ca="1" si="70"/>
        <v>65.1084081344151</v>
      </c>
      <c r="V222" s="697">
        <f t="shared" ca="1" si="74"/>
        <v>41.021279401540347</v>
      </c>
      <c r="W222" s="697">
        <v>19.605034087350255</v>
      </c>
      <c r="X222" s="697">
        <f t="shared" ca="1" si="71"/>
        <v>20.684677803177475</v>
      </c>
      <c r="Y222" s="697">
        <v>27.257080440631359</v>
      </c>
      <c r="Z222" s="697">
        <f t="shared" ca="1" si="72"/>
        <v>15.366110393028141</v>
      </c>
    </row>
    <row r="223" spans="2:26" ht="13.2">
      <c r="B223" s="166">
        <f t="shared" si="73"/>
        <v>43693</v>
      </c>
      <c r="C223"/>
      <c r="G223" s="706">
        <v>18.79143850257114</v>
      </c>
      <c r="H223" s="706">
        <v>429.50657747048001</v>
      </c>
      <c r="I223" s="697">
        <f t="shared" ca="1" si="66"/>
        <v>342.53985194422665</v>
      </c>
      <c r="J223" s="706">
        <v>35.82702759066165</v>
      </c>
      <c r="K223" s="706">
        <v>20.447531199285432</v>
      </c>
      <c r="L223" s="697">
        <f t="shared" ca="1" si="67"/>
        <v>15.420000037248862</v>
      </c>
      <c r="M223" s="1185">
        <v>9.7097967161122032</v>
      </c>
      <c r="N223" s="697">
        <f t="shared" ca="1" si="68"/>
        <v>8.1842553963144997</v>
      </c>
      <c r="O223" s="697"/>
      <c r="P223" s="697"/>
      <c r="Q223" s="697"/>
      <c r="R223" s="706">
        <v>6.3270877876953628</v>
      </c>
      <c r="S223" s="697">
        <f t="shared" ca="1" si="69"/>
        <v>6.2754980846405033</v>
      </c>
      <c r="T223" s="1152">
        <v>398.54385405366054</v>
      </c>
      <c r="U223" s="697">
        <f t="shared" ca="1" si="70"/>
        <v>65.1084081344151</v>
      </c>
      <c r="V223" s="697">
        <f t="shared" ca="1" si="74"/>
        <v>41.021279401540347</v>
      </c>
      <c r="W223" s="697">
        <v>18.79143850257114</v>
      </c>
      <c r="X223" s="697">
        <f t="shared" ca="1" si="71"/>
        <v>20.684677803177475</v>
      </c>
      <c r="Y223" s="697">
        <v>26.649735082562461</v>
      </c>
      <c r="Z223" s="697">
        <f t="shared" ca="1" si="72"/>
        <v>15.366110393028141</v>
      </c>
    </row>
    <row r="224" spans="2:26" ht="13.2">
      <c r="B224" s="166">
        <f t="shared" si="73"/>
        <v>43700</v>
      </c>
      <c r="C224"/>
      <c r="G224" s="706">
        <v>18.295606119446816</v>
      </c>
      <c r="H224" s="706">
        <v>454.63324430321677</v>
      </c>
      <c r="I224" s="697">
        <f t="shared" ca="1" si="66"/>
        <v>342.53985194422665</v>
      </c>
      <c r="J224" s="706">
        <v>34.849574272523299</v>
      </c>
      <c r="K224" s="706">
        <v>21.771437001088792</v>
      </c>
      <c r="L224" s="697">
        <f t="shared" ca="1" si="67"/>
        <v>15.420000037248862</v>
      </c>
      <c r="M224" s="1185">
        <v>9.6226198686581021</v>
      </c>
      <c r="N224" s="697">
        <f t="shared" ca="1" si="68"/>
        <v>8.1842553963144997</v>
      </c>
      <c r="O224" s="697"/>
      <c r="P224" s="697"/>
      <c r="Q224" s="697"/>
      <c r="R224" s="706">
        <v>6.3163966649169341</v>
      </c>
      <c r="S224" s="697">
        <f t="shared" ca="1" si="69"/>
        <v>6.2754980846405033</v>
      </c>
      <c r="T224" s="1152">
        <v>422.55945823653462</v>
      </c>
      <c r="U224" s="697">
        <f t="shared" ca="1" si="70"/>
        <v>65.1084081344151</v>
      </c>
      <c r="V224" s="697">
        <f t="shared" ca="1" si="74"/>
        <v>41.021279401540347</v>
      </c>
      <c r="W224" s="697">
        <v>18.295606119446816</v>
      </c>
      <c r="X224" s="697">
        <f t="shared" ca="1" si="71"/>
        <v>20.684677803177475</v>
      </c>
      <c r="Y224" s="697">
        <v>26.659292846609731</v>
      </c>
      <c r="Z224" s="697">
        <f t="shared" ca="1" si="72"/>
        <v>15.366110393028141</v>
      </c>
    </row>
    <row r="225" spans="2:26" ht="13.2">
      <c r="B225" s="166">
        <f t="shared" si="73"/>
        <v>43707</v>
      </c>
      <c r="C225"/>
      <c r="G225" s="706">
        <v>18.469465193288542</v>
      </c>
      <c r="H225" s="706">
        <v>454.18161985119809</v>
      </c>
      <c r="I225" s="697">
        <f t="shared" ca="1" si="66"/>
        <v>342.53985194422665</v>
      </c>
      <c r="J225" s="706">
        <v>35.139446681602578</v>
      </c>
      <c r="K225" s="706">
        <v>21.80830388874455</v>
      </c>
      <c r="L225" s="697">
        <f t="shared" ca="1" si="67"/>
        <v>15.420000037248862</v>
      </c>
      <c r="M225" s="1185">
        <v>9.6312138950108697</v>
      </c>
      <c r="N225" s="697">
        <f t="shared" ca="1" si="68"/>
        <v>8.1842553963144997</v>
      </c>
      <c r="O225" s="697"/>
      <c r="P225" s="697"/>
      <c r="Q225" s="697"/>
      <c r="R225" s="706">
        <v>6.3495940704678633</v>
      </c>
      <c r="S225" s="697">
        <f t="shared" ca="1" si="69"/>
        <v>6.2754980846405033</v>
      </c>
      <c r="T225" s="1152">
        <v>421.54746067594772</v>
      </c>
      <c r="U225" s="697">
        <f t="shared" ca="1" si="70"/>
        <v>65.1084081344151</v>
      </c>
      <c r="V225" s="697">
        <f t="shared" ca="1" si="74"/>
        <v>41.021279401540347</v>
      </c>
      <c r="W225" s="697">
        <v>18.469465193288542</v>
      </c>
      <c r="X225" s="697">
        <f t="shared" ca="1" si="71"/>
        <v>20.684677803177475</v>
      </c>
      <c r="Y225" s="697">
        <v>26.382364930377133</v>
      </c>
      <c r="Z225" s="697">
        <f t="shared" ca="1" si="72"/>
        <v>15.366110393028141</v>
      </c>
    </row>
    <row r="226" spans="2:26" ht="13.2">
      <c r="B226" s="166">
        <f t="shared" si="73"/>
        <v>43714</v>
      </c>
      <c r="C226"/>
      <c r="G226" s="706">
        <v>18.147062273527084</v>
      </c>
      <c r="H226" s="706">
        <v>444.83842715102077</v>
      </c>
      <c r="I226" s="697">
        <f t="shared" ca="1" si="66"/>
        <v>342.53985194422665</v>
      </c>
      <c r="J226" s="706">
        <v>34.787576819507542</v>
      </c>
      <c r="K226" s="706">
        <v>21.384790151835599</v>
      </c>
      <c r="L226" s="697">
        <f t="shared" ca="1" si="67"/>
        <v>15.420000037248862</v>
      </c>
      <c r="M226" s="1185">
        <v>9.5910661917164415</v>
      </c>
      <c r="N226" s="697">
        <f t="shared" ca="1" si="68"/>
        <v>8.1842553963144997</v>
      </c>
      <c r="O226" s="697"/>
      <c r="P226" s="697"/>
      <c r="Q226" s="697"/>
      <c r="R226" s="706">
        <v>6.1735285023711892</v>
      </c>
      <c r="S226" s="697">
        <f t="shared" ca="1" si="69"/>
        <v>6.2754980846405033</v>
      </c>
      <c r="T226" s="1152">
        <v>411.04875372341797</v>
      </c>
      <c r="U226" s="697">
        <f t="shared" ca="1" si="70"/>
        <v>65.1084081344151</v>
      </c>
      <c r="V226" s="697">
        <f t="shared" ca="1" si="74"/>
        <v>41.021279401540347</v>
      </c>
      <c r="W226" s="697">
        <v>18.147062273527084</v>
      </c>
      <c r="X226" s="697">
        <f t="shared" ca="1" si="71"/>
        <v>20.684677803177475</v>
      </c>
      <c r="Y226" s="697">
        <v>25.930967689758383</v>
      </c>
      <c r="Z226" s="697">
        <f t="shared" ca="1" si="72"/>
        <v>15.366110393028141</v>
      </c>
    </row>
    <row r="227" spans="2:26" ht="13.2">
      <c r="B227" s="166">
        <f t="shared" si="73"/>
        <v>43721</v>
      </c>
      <c r="C227"/>
      <c r="G227" s="706">
        <v>17.639782318307589</v>
      </c>
      <c r="H227" s="706">
        <v>403.3064188199649</v>
      </c>
      <c r="I227" s="697">
        <f t="shared" ca="1" si="66"/>
        <v>342.53985194422665</v>
      </c>
      <c r="J227" s="706">
        <v>34.024916329355555</v>
      </c>
      <c r="K227" s="706">
        <v>18.782715740102411</v>
      </c>
      <c r="L227" s="697">
        <f t="shared" ca="1" si="67"/>
        <v>15.420000037248862</v>
      </c>
      <c r="M227" s="1185">
        <v>9.0778425493974471</v>
      </c>
      <c r="N227" s="697">
        <f t="shared" ca="1" si="68"/>
        <v>8.1842553963144997</v>
      </c>
      <c r="O227" s="697"/>
      <c r="P227" s="697"/>
      <c r="Q227" s="697"/>
      <c r="R227" s="706">
        <v>5.8637492674345726</v>
      </c>
      <c r="S227" s="697">
        <f t="shared" ca="1" si="69"/>
        <v>6.2754980846405033</v>
      </c>
      <c r="T227" s="1152">
        <v>367.16350142748303</v>
      </c>
      <c r="U227" s="697">
        <f t="shared" ca="1" si="70"/>
        <v>65.1084081344151</v>
      </c>
      <c r="V227" s="697">
        <f t="shared" ca="1" si="74"/>
        <v>41.021279401540347</v>
      </c>
      <c r="W227" s="697">
        <v>17.639782318307589</v>
      </c>
      <c r="X227" s="697">
        <f t="shared" ca="1" si="71"/>
        <v>20.684677803177475</v>
      </c>
      <c r="Y227" s="697">
        <v>24.709297810145618</v>
      </c>
      <c r="Z227" s="697">
        <f t="shared" ca="1" si="72"/>
        <v>15.366110393028141</v>
      </c>
    </row>
    <row r="228" spans="2:26" ht="13.2">
      <c r="B228" s="166">
        <f t="shared" si="73"/>
        <v>43728</v>
      </c>
      <c r="C228"/>
      <c r="G228" s="706">
        <v>17.158493796759238</v>
      </c>
      <c r="H228" s="706">
        <v>377.19986111209045</v>
      </c>
      <c r="I228" s="697">
        <f t="shared" ca="1" si="66"/>
        <v>342.53985194422665</v>
      </c>
      <c r="J228" s="706">
        <v>33.073633313772518</v>
      </c>
      <c r="K228" s="706">
        <v>17.547144834896873</v>
      </c>
      <c r="L228" s="697">
        <f t="shared" ca="1" si="67"/>
        <v>15.420000037248862</v>
      </c>
      <c r="M228" s="1185">
        <v>9.0958653617541021</v>
      </c>
      <c r="N228" s="697">
        <f t="shared" ca="1" si="68"/>
        <v>8.1842553963144997</v>
      </c>
      <c r="O228" s="697"/>
      <c r="P228" s="697"/>
      <c r="Q228" s="697"/>
      <c r="R228" s="706">
        <v>5.7743519078294021</v>
      </c>
      <c r="S228" s="697">
        <f t="shared" ca="1" si="69"/>
        <v>6.2754980846405033</v>
      </c>
      <c r="T228" s="1152">
        <v>340.28893253642121</v>
      </c>
      <c r="U228" s="697">
        <f t="shared" ca="1" si="70"/>
        <v>65.1084081344151</v>
      </c>
      <c r="V228" s="697">
        <f t="shared" ca="1" si="74"/>
        <v>41.021279401540347</v>
      </c>
      <c r="W228" s="697">
        <v>17.158493796759238</v>
      </c>
      <c r="X228" s="697">
        <f t="shared" ca="1" si="71"/>
        <v>20.684677803177475</v>
      </c>
      <c r="Y228" s="697">
        <v>24.489915091984656</v>
      </c>
      <c r="Z228" s="697">
        <f t="shared" ca="1" si="72"/>
        <v>15.366110393028141</v>
      </c>
    </row>
    <row r="229" spans="2:26" ht="13.2">
      <c r="B229" s="166">
        <f t="shared" si="73"/>
        <v>43735</v>
      </c>
      <c r="C229"/>
      <c r="G229" s="706">
        <v>16.12492994631754</v>
      </c>
      <c r="H229" s="706">
        <v>359.35322297603574</v>
      </c>
      <c r="I229" s="697">
        <f t="shared" ca="1" si="66"/>
        <v>342.53985194422665</v>
      </c>
      <c r="J229" s="706">
        <v>31.267695462186687</v>
      </c>
      <c r="K229" s="706">
        <v>16.685887749315878</v>
      </c>
      <c r="L229" s="697">
        <f t="shared" ca="1" si="67"/>
        <v>15.420000037248862</v>
      </c>
      <c r="M229" s="1185">
        <v>8.8636903926474595</v>
      </c>
      <c r="N229" s="697">
        <f t="shared" ca="1" si="68"/>
        <v>8.1842553963144997</v>
      </c>
      <c r="O229" s="697"/>
      <c r="P229" s="697"/>
      <c r="Q229" s="697"/>
      <c r="R229" s="706">
        <v>5.3586722067806027</v>
      </c>
      <c r="S229" s="697">
        <f t="shared" ca="1" si="69"/>
        <v>6.2754980846405033</v>
      </c>
      <c r="T229" s="1152">
        <v>322.23524039786952</v>
      </c>
      <c r="U229" s="697">
        <f t="shared" ca="1" si="70"/>
        <v>65.1084081344151</v>
      </c>
      <c r="V229" s="697">
        <f t="shared" ca="1" si="74"/>
        <v>41.021279401540347</v>
      </c>
      <c r="W229" s="697">
        <v>16.12492994631754</v>
      </c>
      <c r="X229" s="697">
        <f t="shared" ca="1" si="71"/>
        <v>20.684677803177475</v>
      </c>
      <c r="Y229" s="697">
        <v>23.685458111821308</v>
      </c>
      <c r="Z229" s="697">
        <f t="shared" ca="1" si="72"/>
        <v>15.366110393028141</v>
      </c>
    </row>
    <row r="230" spans="2:26" ht="13.2">
      <c r="B230" s="166">
        <f t="shared" si="73"/>
        <v>43742</v>
      </c>
      <c r="C230"/>
      <c r="G230" s="706">
        <v>16.233309425944775</v>
      </c>
      <c r="H230" s="706">
        <v>381.80476264101071</v>
      </c>
      <c r="I230" s="697">
        <f t="shared" ca="1" si="66"/>
        <v>342.53985194422665</v>
      </c>
      <c r="J230" s="706">
        <v>31.620322603426388</v>
      </c>
      <c r="K230" s="706">
        <v>17.683978337658157</v>
      </c>
      <c r="L230" s="697">
        <f t="shared" ca="1" si="67"/>
        <v>15.420000037248862</v>
      </c>
      <c r="M230" s="1185">
        <v>8.8903757001862349</v>
      </c>
      <c r="N230" s="697">
        <f t="shared" ca="1" si="68"/>
        <v>8.1842553963144997</v>
      </c>
      <c r="O230" s="697"/>
      <c r="P230" s="697"/>
      <c r="Q230" s="697"/>
      <c r="R230" s="706">
        <v>5.5434588527667596</v>
      </c>
      <c r="S230" s="697">
        <f t="shared" ca="1" si="69"/>
        <v>6.2754980846405033</v>
      </c>
      <c r="T230" s="1152">
        <v>339.26871305505034</v>
      </c>
      <c r="U230" s="697">
        <f t="shared" ca="1" si="70"/>
        <v>65.1084081344151</v>
      </c>
      <c r="V230" s="697">
        <f t="shared" ca="1" si="74"/>
        <v>41.021279401540347</v>
      </c>
      <c r="W230" s="697">
        <v>16.233309425944775</v>
      </c>
      <c r="X230" s="697">
        <f t="shared" ca="1" si="71"/>
        <v>20.684677803177475</v>
      </c>
      <c r="Y230" s="697">
        <v>24.12723408677568</v>
      </c>
      <c r="Z230" s="697">
        <f t="shared" ca="1" si="72"/>
        <v>15.366110393028141</v>
      </c>
    </row>
    <row r="231" spans="2:26" ht="13.2">
      <c r="B231" s="166">
        <f t="shared" si="73"/>
        <v>43749</v>
      </c>
      <c r="C231"/>
      <c r="G231" s="706">
        <v>16.62250984253085</v>
      </c>
      <c r="H231" s="706">
        <v>369.93860891478261</v>
      </c>
      <c r="I231" s="697">
        <f t="shared" ca="1" si="66"/>
        <v>342.53985194422665</v>
      </c>
      <c r="J231" s="706">
        <v>32.214715991409953</v>
      </c>
      <c r="K231" s="706">
        <v>17.61531284687813</v>
      </c>
      <c r="L231" s="697">
        <f t="shared" ca="1" si="67"/>
        <v>15.420000037248862</v>
      </c>
      <c r="M231" s="1185">
        <v>8.9280768966893955</v>
      </c>
      <c r="N231" s="697">
        <f t="shared" ca="1" si="68"/>
        <v>8.1842553963144997</v>
      </c>
      <c r="O231" s="697"/>
      <c r="P231" s="697"/>
      <c r="Q231" s="697"/>
      <c r="R231" s="706">
        <v>5.5637808882969999</v>
      </c>
      <c r="S231" s="697">
        <f t="shared" ca="1" si="69"/>
        <v>6.2754980846405033</v>
      </c>
      <c r="T231" s="1152">
        <v>338.57132793154318</v>
      </c>
      <c r="U231" s="697">
        <f t="shared" ca="1" si="70"/>
        <v>65.1084081344151</v>
      </c>
      <c r="V231" s="697">
        <f t="shared" ca="1" si="74"/>
        <v>41.021279401540347</v>
      </c>
      <c r="W231" s="697">
        <v>16.62250984253085</v>
      </c>
      <c r="X231" s="697">
        <f t="shared" ca="1" si="71"/>
        <v>20.684677803177475</v>
      </c>
      <c r="Y231" s="697">
        <v>24.179372063237206</v>
      </c>
      <c r="Z231" s="697">
        <f t="shared" ca="1" si="72"/>
        <v>15.366110393028141</v>
      </c>
    </row>
    <row r="232" spans="2:26" ht="13.2">
      <c r="B232" s="166">
        <f t="shared" si="73"/>
        <v>43756</v>
      </c>
      <c r="C232"/>
      <c r="G232" s="706">
        <v>16.491936447080558</v>
      </c>
      <c r="H232" s="706">
        <v>350.55218046266555</v>
      </c>
      <c r="I232" s="697">
        <f t="shared" ca="1" si="66"/>
        <v>342.53985194422665</v>
      </c>
      <c r="J232" s="706">
        <v>32.062856203080628</v>
      </c>
      <c r="K232" s="706">
        <v>16.60790930393085</v>
      </c>
      <c r="L232" s="697">
        <f t="shared" ca="1" si="67"/>
        <v>15.420000037248862</v>
      </c>
      <c r="M232" s="1185">
        <v>8.6851792119872027</v>
      </c>
      <c r="N232" s="697">
        <f t="shared" ca="1" si="68"/>
        <v>8.1842553963144997</v>
      </c>
      <c r="O232" s="697"/>
      <c r="P232" s="697"/>
      <c r="Q232" s="697"/>
      <c r="R232" s="706">
        <v>5.4338540149220362</v>
      </c>
      <c r="S232" s="697">
        <f t="shared" ca="1" si="69"/>
        <v>6.2754980846405033</v>
      </c>
      <c r="T232" s="1152">
        <v>317.84579898520275</v>
      </c>
      <c r="U232" s="697">
        <f t="shared" ca="1" si="70"/>
        <v>65.1084081344151</v>
      </c>
      <c r="V232" s="697">
        <f t="shared" ca="1" si="74"/>
        <v>41.021279401540347</v>
      </c>
      <c r="W232" s="697">
        <v>16.491936447080558</v>
      </c>
      <c r="X232" s="697">
        <f t="shared" ca="1" si="71"/>
        <v>20.684677803177475</v>
      </c>
      <c r="Y232" s="697">
        <v>23.318719727135996</v>
      </c>
      <c r="Z232" s="697">
        <f t="shared" ca="1" si="72"/>
        <v>15.366110393028141</v>
      </c>
    </row>
    <row r="233" spans="2:26" ht="13.2">
      <c r="B233" s="166">
        <f t="shared" si="73"/>
        <v>43763</v>
      </c>
      <c r="C233"/>
      <c r="G233" s="706">
        <v>16.784259446000565</v>
      </c>
      <c r="H233" s="706">
        <v>361.34374753066595</v>
      </c>
      <c r="I233" s="697">
        <f t="shared" ca="1" si="66"/>
        <v>342.53985194422665</v>
      </c>
      <c r="J233" s="706">
        <v>33.66983023814791</v>
      </c>
      <c r="K233" s="706">
        <v>16.794871946593453</v>
      </c>
      <c r="L233" s="697">
        <f t="shared" ca="1" si="67"/>
        <v>15.420000037248862</v>
      </c>
      <c r="M233" s="1185">
        <v>8.908301718012174</v>
      </c>
      <c r="N233" s="697">
        <f t="shared" ca="1" si="68"/>
        <v>8.1842553963144997</v>
      </c>
      <c r="O233" s="697"/>
      <c r="P233" s="697"/>
      <c r="Q233" s="697"/>
      <c r="R233" s="706">
        <v>5.5312511819853878</v>
      </c>
      <c r="S233" s="697">
        <f t="shared" ca="1" si="69"/>
        <v>6.2754980846405033</v>
      </c>
      <c r="T233" s="1152">
        <v>318.41223258140656</v>
      </c>
      <c r="U233" s="697">
        <f t="shared" ca="1" si="70"/>
        <v>65.1084081344151</v>
      </c>
      <c r="V233" s="697">
        <f t="shared" ca="1" si="74"/>
        <v>41.021279401540347</v>
      </c>
      <c r="W233" s="697">
        <v>16.784259446000565</v>
      </c>
      <c r="X233" s="697">
        <f t="shared" ca="1" si="71"/>
        <v>20.684677803177475</v>
      </c>
      <c r="Y233" s="697">
        <v>23.818237877281824</v>
      </c>
      <c r="Z233" s="697">
        <f t="shared" ca="1" si="72"/>
        <v>15.366110393028141</v>
      </c>
    </row>
    <row r="234" spans="2:26" ht="13.2">
      <c r="B234" s="166">
        <f t="shared" si="73"/>
        <v>43770</v>
      </c>
      <c r="C234"/>
      <c r="G234" s="706">
        <v>17.014568510754259</v>
      </c>
      <c r="H234" s="706">
        <v>405.31319068209586</v>
      </c>
      <c r="I234" s="697">
        <f t="shared" ca="1" si="66"/>
        <v>342.53985194422665</v>
      </c>
      <c r="J234" s="706">
        <v>34.184125894461111</v>
      </c>
      <c r="K234" s="706">
        <v>16.37979527721679</v>
      </c>
      <c r="L234" s="697">
        <f t="shared" ca="1" si="67"/>
        <v>15.420000037248862</v>
      </c>
      <c r="M234" s="1185">
        <v>9.165217478378576</v>
      </c>
      <c r="N234" s="697">
        <f t="shared" ca="1" si="68"/>
        <v>8.1842553963144997</v>
      </c>
      <c r="O234" s="697"/>
      <c r="P234" s="697"/>
      <c r="Q234" s="697"/>
      <c r="R234" s="706">
        <v>5.4576888014346316</v>
      </c>
      <c r="S234" s="697">
        <f t="shared" ca="1" si="69"/>
        <v>6.2754980846405033</v>
      </c>
      <c r="T234" s="1152">
        <v>358.11317438758726</v>
      </c>
      <c r="U234" s="697">
        <f t="shared" ca="1" si="70"/>
        <v>65.1084081344151</v>
      </c>
      <c r="V234" s="697">
        <f t="shared" ca="1" si="74"/>
        <v>41.021279401540347</v>
      </c>
      <c r="W234" s="697">
        <v>17.014568510754259</v>
      </c>
      <c r="X234" s="697">
        <f t="shared" ca="1" si="71"/>
        <v>20.684677803177475</v>
      </c>
      <c r="Y234" s="697">
        <v>24.843320753705626</v>
      </c>
      <c r="Z234" s="697">
        <f t="shared" ca="1" si="72"/>
        <v>15.366110393028141</v>
      </c>
    </row>
    <row r="235" spans="2:26" ht="13.2">
      <c r="B235" s="166">
        <f t="shared" si="73"/>
        <v>43777</v>
      </c>
      <c r="C235"/>
      <c r="G235" s="706">
        <v>16.695713633557862</v>
      </c>
      <c r="H235" s="706">
        <v>374.53424039134575</v>
      </c>
      <c r="I235" s="697">
        <f t="shared" ca="1" si="66"/>
        <v>342.53985194422665</v>
      </c>
      <c r="J235" s="706">
        <v>33.324770264871852</v>
      </c>
      <c r="K235" s="706">
        <v>15.231126412519263</v>
      </c>
      <c r="L235" s="697">
        <f t="shared" ca="1" si="67"/>
        <v>15.420000037248862</v>
      </c>
      <c r="M235" s="1185">
        <v>9.2411380684629822</v>
      </c>
      <c r="N235" s="697">
        <f t="shared" ca="1" si="68"/>
        <v>8.1842553963144997</v>
      </c>
      <c r="O235" s="697"/>
      <c r="P235" s="697"/>
      <c r="Q235" s="697"/>
      <c r="R235" s="706">
        <v>5.2158086806408797</v>
      </c>
      <c r="S235" s="697">
        <f t="shared" ca="1" si="69"/>
        <v>6.2754980846405033</v>
      </c>
      <c r="T235" s="1152">
        <v>332.73006632271597</v>
      </c>
      <c r="U235" s="697">
        <f t="shared" ca="1" si="70"/>
        <v>65.1084081344151</v>
      </c>
      <c r="V235" s="697">
        <f t="shared" ca="1" si="74"/>
        <v>41.021279401540347</v>
      </c>
      <c r="W235" s="697">
        <v>16.695713633557862</v>
      </c>
      <c r="X235" s="697">
        <f t="shared" ca="1" si="71"/>
        <v>20.684677803177475</v>
      </c>
      <c r="Y235" s="697">
        <v>25.359153262693873</v>
      </c>
      <c r="Z235" s="697">
        <f t="shared" ca="1" si="72"/>
        <v>15.366110393028141</v>
      </c>
    </row>
    <row r="236" spans="2:26" ht="13.2">
      <c r="B236" s="166">
        <f t="shared" si="73"/>
        <v>43784</v>
      </c>
      <c r="C236"/>
      <c r="G236" s="706">
        <v>17.465246654950516</v>
      </c>
      <c r="H236" s="706">
        <v>391.40765104350209</v>
      </c>
      <c r="I236" s="697">
        <f t="shared" ca="1" si="66"/>
        <v>342.53985194422665</v>
      </c>
      <c r="J236" s="706">
        <v>34.178259307490094</v>
      </c>
      <c r="K236" s="706">
        <v>15.961813035156673</v>
      </c>
      <c r="L236" s="697">
        <f t="shared" ca="1" si="67"/>
        <v>15.420000037248862</v>
      </c>
      <c r="M236" s="1185">
        <v>9.3555336367453776</v>
      </c>
      <c r="N236" s="697">
        <f t="shared" ca="1" si="68"/>
        <v>8.1842553963144997</v>
      </c>
      <c r="O236" s="697"/>
      <c r="P236" s="697"/>
      <c r="Q236" s="697"/>
      <c r="R236" s="706">
        <v>5.3656273851458423</v>
      </c>
      <c r="S236" s="697">
        <f t="shared" ca="1" si="69"/>
        <v>6.2754980846405033</v>
      </c>
      <c r="T236" s="1152">
        <v>355.19296310497413</v>
      </c>
      <c r="U236" s="697">
        <f t="shared" ca="1" si="70"/>
        <v>65.1084081344151</v>
      </c>
      <c r="V236" s="697">
        <f t="shared" ca="1" si="74"/>
        <v>41.021279401540347</v>
      </c>
      <c r="W236" s="697">
        <v>17.465246654950516</v>
      </c>
      <c r="X236" s="697">
        <f t="shared" ca="1" si="71"/>
        <v>20.684677803177475</v>
      </c>
      <c r="Y236" s="697">
        <v>26.679844242293775</v>
      </c>
      <c r="Z236" s="697">
        <f t="shared" ca="1" si="72"/>
        <v>15.366110393028141</v>
      </c>
    </row>
    <row r="237" spans="2:26" ht="13.2">
      <c r="B237" s="166">
        <f t="shared" si="73"/>
        <v>43791</v>
      </c>
      <c r="C237"/>
      <c r="G237" s="706">
        <v>17.936221730889908</v>
      </c>
      <c r="H237" s="706">
        <v>373.84208440615424</v>
      </c>
      <c r="I237" s="697">
        <f t="shared" ca="1" si="66"/>
        <v>342.53985194422665</v>
      </c>
      <c r="J237" s="706">
        <v>34.907645638644304</v>
      </c>
      <c r="K237" s="706">
        <v>15.909333268298742</v>
      </c>
      <c r="L237" s="697">
        <f t="shared" ca="1" si="67"/>
        <v>15.420000037248862</v>
      </c>
      <c r="M237" s="1185">
        <v>9.280933883907128</v>
      </c>
      <c r="N237" s="697">
        <f t="shared" ca="1" si="68"/>
        <v>8.1842553963144997</v>
      </c>
      <c r="O237" s="697"/>
      <c r="P237" s="697"/>
      <c r="Q237" s="697"/>
      <c r="R237" s="706">
        <v>5.4828811789749636</v>
      </c>
      <c r="S237" s="697">
        <f t="shared" ca="1" si="69"/>
        <v>6.2754980846405033</v>
      </c>
      <c r="T237" s="1152">
        <v>355.32611626950717</v>
      </c>
      <c r="U237" s="697">
        <f t="shared" ca="1" si="70"/>
        <v>65.1084081344151</v>
      </c>
      <c r="V237" s="697">
        <f t="shared" ca="1" si="74"/>
        <v>41.021279401540347</v>
      </c>
      <c r="W237" s="697">
        <v>17.936221730889908</v>
      </c>
      <c r="X237" s="697">
        <f t="shared" ca="1" si="71"/>
        <v>20.684677803177475</v>
      </c>
      <c r="Y237" s="697">
        <v>26.002390830899554</v>
      </c>
      <c r="Z237" s="697">
        <f t="shared" ca="1" si="72"/>
        <v>15.366110393028141</v>
      </c>
    </row>
    <row r="238" spans="2:26" ht="13.2">
      <c r="B238" s="166">
        <f t="shared" si="73"/>
        <v>43798</v>
      </c>
      <c r="C238"/>
      <c r="G238" s="706">
        <v>18.538309590601692</v>
      </c>
      <c r="H238" s="706">
        <v>393.97489253874141</v>
      </c>
      <c r="I238" s="697">
        <f t="shared" ca="1" si="66"/>
        <v>342.53985194422665</v>
      </c>
      <c r="J238" s="706">
        <v>36.142333095952473</v>
      </c>
      <c r="K238" s="706">
        <v>17.035206680804123</v>
      </c>
      <c r="L238" s="697">
        <f t="shared" ca="1" si="67"/>
        <v>15.420000037248862</v>
      </c>
      <c r="M238" s="1185">
        <v>9.3410662808843981</v>
      </c>
      <c r="N238" s="697">
        <f t="shared" ca="1" si="68"/>
        <v>8.1842553963144997</v>
      </c>
      <c r="O238" s="697"/>
      <c r="P238" s="697"/>
      <c r="Q238" s="697"/>
      <c r="R238" s="706">
        <v>5.6719050147740804</v>
      </c>
      <c r="S238" s="697">
        <f t="shared" ca="1" si="69"/>
        <v>6.2754980846405033</v>
      </c>
      <c r="T238" s="1152">
        <v>377.71598495498529</v>
      </c>
      <c r="U238" s="697">
        <f t="shared" ca="1" si="70"/>
        <v>65.1084081344151</v>
      </c>
      <c r="V238" s="697">
        <f t="shared" ca="1" si="74"/>
        <v>41.021279401540347</v>
      </c>
      <c r="W238" s="697">
        <v>18.538309590601692</v>
      </c>
      <c r="X238" s="697">
        <f t="shared" ca="1" si="71"/>
        <v>20.684677803177475</v>
      </c>
      <c r="Y238" s="697">
        <v>26.002548554750479</v>
      </c>
      <c r="Z238" s="697">
        <f t="shared" ca="1" si="72"/>
        <v>15.366110393028141</v>
      </c>
    </row>
    <row r="239" spans="2:26" ht="13.2">
      <c r="B239" s="166">
        <f t="shared" si="73"/>
        <v>43805</v>
      </c>
      <c r="C239"/>
      <c r="G239" s="706">
        <v>17.975324509642643</v>
      </c>
      <c r="H239" s="706">
        <v>419.95806178888762</v>
      </c>
      <c r="I239" s="697">
        <f t="shared" ca="1" si="66"/>
        <v>342.53985194422665</v>
      </c>
      <c r="J239" s="706">
        <v>35.195203755703965</v>
      </c>
      <c r="K239" s="706">
        <v>18.453333250460542</v>
      </c>
      <c r="L239" s="697">
        <f t="shared" ca="1" si="67"/>
        <v>15.420000037248862</v>
      </c>
      <c r="M239" s="1185">
        <v>9.2046432250910062</v>
      </c>
      <c r="N239" s="697">
        <f t="shared" ca="1" si="68"/>
        <v>8.1842553963144997</v>
      </c>
      <c r="O239" s="697"/>
      <c r="P239" s="697"/>
      <c r="Q239" s="697"/>
      <c r="R239" s="706">
        <v>5.6332640024243199</v>
      </c>
      <c r="S239" s="697">
        <f t="shared" ca="1" si="69"/>
        <v>6.2754980846405033</v>
      </c>
      <c r="T239" s="1152">
        <v>409.8541447817118</v>
      </c>
      <c r="U239" s="697">
        <f t="shared" ca="1" si="70"/>
        <v>65.1084081344151</v>
      </c>
      <c r="V239" s="697">
        <f t="shared" ca="1" si="74"/>
        <v>41.021279401540347</v>
      </c>
      <c r="W239" s="697">
        <v>17.975324509642643</v>
      </c>
      <c r="X239" s="697">
        <f t="shared" ca="1" si="71"/>
        <v>20.684677803177475</v>
      </c>
      <c r="Y239" s="697">
        <v>25.4168368964392</v>
      </c>
      <c r="Z239" s="697">
        <f t="shared" ca="1" si="72"/>
        <v>15.366110393028141</v>
      </c>
    </row>
    <row r="240" spans="2:26" ht="13.2">
      <c r="B240" s="166">
        <f t="shared" si="73"/>
        <v>43812</v>
      </c>
      <c r="C240"/>
      <c r="G240" s="706">
        <v>17.947299932879162</v>
      </c>
      <c r="H240" s="706">
        <v>437.34558011265932</v>
      </c>
      <c r="I240" s="697">
        <f t="shared" ca="1" si="66"/>
        <v>342.53985194422665</v>
      </c>
      <c r="J240" s="706">
        <v>35.152946843103607</v>
      </c>
      <c r="K240" s="706">
        <v>19.486365978824644</v>
      </c>
      <c r="L240" s="697">
        <f t="shared" ca="1" si="67"/>
        <v>15.420000037248862</v>
      </c>
      <c r="M240" s="1185">
        <v>9.3449732079842427</v>
      </c>
      <c r="N240" s="697">
        <f t="shared" ca="1" si="68"/>
        <v>8.1842553963144997</v>
      </c>
      <c r="O240" s="697"/>
      <c r="P240" s="697"/>
      <c r="Q240" s="697"/>
      <c r="R240" s="706">
        <v>5.6885568687277246</v>
      </c>
      <c r="S240" s="697">
        <f t="shared" ca="1" si="69"/>
        <v>6.2754980846405033</v>
      </c>
      <c r="T240" s="1152">
        <v>431.85193510600931</v>
      </c>
      <c r="U240" s="697">
        <f t="shared" ca="1" si="70"/>
        <v>65.1084081344151</v>
      </c>
      <c r="V240" s="697">
        <f t="shared" ca="1" si="74"/>
        <v>41.021279401540347</v>
      </c>
      <c r="W240" s="697">
        <v>17.947299932879162</v>
      </c>
      <c r="X240" s="697">
        <f t="shared" ca="1" si="71"/>
        <v>20.684677803177475</v>
      </c>
      <c r="Y240" s="697">
        <v>25.566332922358406</v>
      </c>
      <c r="Z240" s="697">
        <f t="shared" ca="1" si="72"/>
        <v>15.366110393028141</v>
      </c>
    </row>
    <row r="241" spans="2:26" ht="13.2">
      <c r="B241" s="166">
        <f t="shared" si="73"/>
        <v>43819</v>
      </c>
      <c r="C241"/>
      <c r="G241" s="706">
        <v>18.842071040146294</v>
      </c>
      <c r="H241" s="706">
        <v>437.0684807326158</v>
      </c>
      <c r="I241" s="697">
        <f t="shared" ca="1" si="66"/>
        <v>342.53985194422665</v>
      </c>
      <c r="J241" s="706">
        <v>36.68032236334426</v>
      </c>
      <c r="K241" s="706">
        <v>19.612548536561668</v>
      </c>
      <c r="L241" s="697">
        <f t="shared" ca="1" si="67"/>
        <v>15.420000037248862</v>
      </c>
      <c r="M241" s="1185">
        <v>9.4318102978007889</v>
      </c>
      <c r="N241" s="697">
        <f t="shared" ca="1" si="68"/>
        <v>8.1842553963144997</v>
      </c>
      <c r="O241" s="697"/>
      <c r="P241" s="697"/>
      <c r="Q241" s="697"/>
      <c r="R241" s="706">
        <v>5.8951390789754914</v>
      </c>
      <c r="S241" s="697">
        <f t="shared" ca="1" si="69"/>
        <v>6.2754980846405033</v>
      </c>
      <c r="T241" s="1152">
        <v>455.74544775373829</v>
      </c>
      <c r="U241" s="697">
        <f t="shared" ca="1" si="70"/>
        <v>65.1084081344151</v>
      </c>
      <c r="V241" s="697">
        <f t="shared" ca="1" si="74"/>
        <v>41.021279401540347</v>
      </c>
      <c r="W241" s="697">
        <v>18.842071040146294</v>
      </c>
      <c r="X241" s="697">
        <f t="shared" ca="1" si="71"/>
        <v>20.684677803177475</v>
      </c>
      <c r="Y241" s="697">
        <v>25.708242450328264</v>
      </c>
      <c r="Z241" s="697">
        <f t="shared" ca="1" si="72"/>
        <v>15.366110393028141</v>
      </c>
    </row>
    <row r="242" spans="2:26" ht="13.2">
      <c r="B242" s="166">
        <f t="shared" si="73"/>
        <v>43826</v>
      </c>
      <c r="C242"/>
      <c r="G242" s="706">
        <v>19.028970520304025</v>
      </c>
      <c r="H242" s="706">
        <v>450.24641390318544</v>
      </c>
      <c r="I242" s="697">
        <f t="shared" ca="1" si="66"/>
        <v>342.53985194422665</v>
      </c>
      <c r="J242" s="706">
        <v>37.079601799549465</v>
      </c>
      <c r="K242" s="706">
        <v>20.466246273006234</v>
      </c>
      <c r="L242" s="697">
        <f t="shared" ca="1" si="67"/>
        <v>15.420000037248862</v>
      </c>
      <c r="M242" s="1185">
        <v>9.5140955618849468</v>
      </c>
      <c r="N242" s="697">
        <f t="shared" ca="1" si="68"/>
        <v>8.1842553963144997</v>
      </c>
      <c r="O242" s="697"/>
      <c r="P242" s="697"/>
      <c r="Q242" s="697"/>
      <c r="R242" s="706">
        <v>5.9825700323757154</v>
      </c>
      <c r="S242" s="697">
        <f t="shared" ca="1" si="69"/>
        <v>6.2754980846405033</v>
      </c>
      <c r="T242" s="1152">
        <v>476.24645861891736</v>
      </c>
      <c r="U242" s="697">
        <f t="shared" ca="1" si="70"/>
        <v>65.1084081344151</v>
      </c>
      <c r="V242" s="697">
        <f t="shared" ca="1" si="74"/>
        <v>41.021279401540347</v>
      </c>
      <c r="W242" s="697">
        <v>19.028970520304025</v>
      </c>
      <c r="X242" s="697">
        <f t="shared" ca="1" si="71"/>
        <v>20.684677803177475</v>
      </c>
      <c r="Y242" s="697">
        <v>26.006338961578582</v>
      </c>
      <c r="Z242" s="697">
        <f t="shared" ca="1" si="72"/>
        <v>15.366110393028141</v>
      </c>
    </row>
    <row r="243" spans="2:26" ht="13.2">
      <c r="B243" s="166">
        <f t="shared" si="73"/>
        <v>43833</v>
      </c>
      <c r="C243"/>
      <c r="G243" s="706">
        <v>18.995896583776201</v>
      </c>
      <c r="H243" s="706">
        <v>439.16472995263359</v>
      </c>
      <c r="I243" s="697">
        <f t="shared" ca="1" si="66"/>
        <v>342.53985194422665</v>
      </c>
      <c r="J243" s="706">
        <v>36.863043065035839</v>
      </c>
      <c r="K243" s="706">
        <v>20.24140632880011</v>
      </c>
      <c r="L243" s="697">
        <f t="shared" ca="1" si="67"/>
        <v>15.420000037248862</v>
      </c>
      <c r="M243" s="1185">
        <v>9.7173537456481078</v>
      </c>
      <c r="N243" s="697">
        <f t="shared" ca="1" si="68"/>
        <v>8.1842553963144997</v>
      </c>
      <c r="O243" s="697"/>
      <c r="P243" s="697"/>
      <c r="Q243" s="697"/>
      <c r="R243" s="706">
        <v>5.7747755845385047</v>
      </c>
      <c r="S243" s="697">
        <f t="shared" ca="1" si="69"/>
        <v>6.2754980846405033</v>
      </c>
      <c r="T243" s="1152">
        <v>467.57054520428716</v>
      </c>
      <c r="U243" s="697">
        <f t="shared" ca="1" si="70"/>
        <v>65.1084081344151</v>
      </c>
      <c r="V243" s="697">
        <f t="shared" ca="1" si="74"/>
        <v>41.021279401540347</v>
      </c>
      <c r="W243" s="697">
        <v>18.995896583776201</v>
      </c>
      <c r="X243" s="697">
        <f t="shared" ca="1" si="71"/>
        <v>20.684677803177475</v>
      </c>
      <c r="Y243" s="697">
        <v>26.568211136269621</v>
      </c>
      <c r="Z243" s="697">
        <f t="shared" ca="1" si="72"/>
        <v>15.366110393028141</v>
      </c>
    </row>
    <row r="244" spans="2:26" ht="13.2">
      <c r="B244" s="166">
        <f t="shared" si="73"/>
        <v>43840</v>
      </c>
      <c r="C244"/>
      <c r="G244" s="706">
        <v>19.226556677162595</v>
      </c>
      <c r="H244" s="706">
        <v>455.98632200534087</v>
      </c>
      <c r="I244" s="697">
        <f t="shared" ca="1" si="66"/>
        <v>342.53985194422665</v>
      </c>
      <c r="J244" s="706">
        <v>37.231687837571712</v>
      </c>
      <c r="K244" s="706">
        <v>21.416196468827895</v>
      </c>
      <c r="L244" s="697">
        <f t="shared" ca="1" si="67"/>
        <v>15.420000037248862</v>
      </c>
      <c r="M244" s="1185">
        <v>10.160394232199829</v>
      </c>
      <c r="N244" s="697">
        <f t="shared" ca="1" si="68"/>
        <v>8.1842553963144997</v>
      </c>
      <c r="O244" s="697"/>
      <c r="P244" s="697"/>
      <c r="Q244" s="697"/>
      <c r="R244" s="706">
        <v>5.9759970614935458</v>
      </c>
      <c r="S244" s="697">
        <f t="shared" ca="1" si="69"/>
        <v>6.2754980846405033</v>
      </c>
      <c r="T244" s="1152">
        <v>455.61792374344702</v>
      </c>
      <c r="U244" s="697">
        <f t="shared" ca="1" si="70"/>
        <v>65.1084081344151</v>
      </c>
      <c r="V244" s="697">
        <f t="shared" ca="1" si="74"/>
        <v>41.021279401540347</v>
      </c>
      <c r="W244" s="697">
        <v>19.226556677162595</v>
      </c>
      <c r="X244" s="697">
        <f t="shared" ca="1" si="71"/>
        <v>20.684677803177475</v>
      </c>
      <c r="Y244" s="697">
        <v>28.008328066895359</v>
      </c>
      <c r="Z244" s="697">
        <f t="shared" ca="1" si="72"/>
        <v>15.366110393028141</v>
      </c>
    </row>
    <row r="245" spans="2:26" ht="13.2">
      <c r="B245" s="166">
        <f t="shared" si="73"/>
        <v>43847</v>
      </c>
      <c r="C245"/>
      <c r="G245" s="706">
        <v>19.411353671424386</v>
      </c>
      <c r="H245" s="706">
        <v>475.60864817650338</v>
      </c>
      <c r="I245" s="697">
        <f t="shared" ca="1" si="66"/>
        <v>342.53985194422665</v>
      </c>
      <c r="J245" s="706">
        <v>37.468424725023112</v>
      </c>
      <c r="K245" s="706">
        <v>22.593129064680472</v>
      </c>
      <c r="L245" s="697">
        <f t="shared" ca="1" si="67"/>
        <v>15.420000037248862</v>
      </c>
      <c r="M245" s="1185">
        <v>10.326162186384035</v>
      </c>
      <c r="N245" s="697">
        <f t="shared" ca="1" si="68"/>
        <v>8.1842553963144997</v>
      </c>
      <c r="O245" s="697"/>
      <c r="P245" s="697"/>
      <c r="Q245" s="697"/>
      <c r="R245" s="706">
        <v>6.2053657253326291</v>
      </c>
      <c r="S245" s="697">
        <f t="shared" ca="1" si="69"/>
        <v>6.2754980846405033</v>
      </c>
      <c r="T245" s="1152">
        <v>483.01044539808549</v>
      </c>
      <c r="U245" s="697">
        <f t="shared" ca="1" si="70"/>
        <v>65.1084081344151</v>
      </c>
      <c r="V245" s="697">
        <f t="shared" ca="1" si="74"/>
        <v>41.021279401540347</v>
      </c>
      <c r="W245" s="697">
        <v>19.411353671424386</v>
      </c>
      <c r="X245" s="697">
        <f t="shared" ca="1" si="71"/>
        <v>20.684677803177475</v>
      </c>
      <c r="Y245" s="697">
        <v>28.250425076472357</v>
      </c>
      <c r="Z245" s="697">
        <f t="shared" ca="1" si="72"/>
        <v>15.366110393028141</v>
      </c>
    </row>
    <row r="246" spans="2:26" ht="13.2">
      <c r="B246" s="166">
        <f t="shared" si="73"/>
        <v>43854</v>
      </c>
      <c r="C246"/>
      <c r="G246" s="706">
        <v>19.368040123166786</v>
      </c>
      <c r="H246" s="706">
        <v>494.55929526681643</v>
      </c>
      <c r="I246" s="697">
        <f t="shared" ca="1" si="66"/>
        <v>342.53985194422665</v>
      </c>
      <c r="J246" s="706">
        <v>36.87458440547946</v>
      </c>
      <c r="K246" s="706">
        <v>23.222379672603559</v>
      </c>
      <c r="L246" s="697">
        <f t="shared" ca="1" si="67"/>
        <v>15.420000037248862</v>
      </c>
      <c r="M246" s="1185">
        <v>10.28475845279662</v>
      </c>
      <c r="N246" s="697">
        <f t="shared" ca="1" si="68"/>
        <v>8.1842553963144997</v>
      </c>
      <c r="O246" s="697"/>
      <c r="P246" s="697"/>
      <c r="Q246" s="697"/>
      <c r="R246" s="706">
        <v>6.2135435967055042</v>
      </c>
      <c r="S246" s="697">
        <f t="shared" ca="1" si="69"/>
        <v>6.2754980846405033</v>
      </c>
      <c r="T246" s="1152">
        <v>487.41677981858948</v>
      </c>
      <c r="U246" s="697">
        <f t="shared" ca="1" si="70"/>
        <v>65.1084081344151</v>
      </c>
      <c r="V246" s="697">
        <f t="shared" ca="1" si="74"/>
        <v>41.021279401540347</v>
      </c>
      <c r="W246" s="697">
        <v>19.368040123166786</v>
      </c>
      <c r="X246" s="697">
        <f t="shared" ca="1" si="71"/>
        <v>20.684677803177475</v>
      </c>
      <c r="Y246" s="697">
        <v>28.118885338366482</v>
      </c>
      <c r="Z246" s="697">
        <f t="shared" ca="1" si="72"/>
        <v>15.366110393028141</v>
      </c>
    </row>
    <row r="247" spans="2:26" ht="13.2">
      <c r="B247" s="166">
        <f t="shared" si="73"/>
        <v>43861</v>
      </c>
      <c r="C247"/>
      <c r="G247" s="706">
        <v>18.752287071383737</v>
      </c>
      <c r="H247" s="706">
        <v>488.2780141724985</v>
      </c>
      <c r="I247" s="697">
        <f t="shared" ca="1" si="66"/>
        <v>342.53985194422665</v>
      </c>
      <c r="J247" s="706">
        <v>35.503872070952561</v>
      </c>
      <c r="K247" s="706">
        <v>23.076125607818696</v>
      </c>
      <c r="L247" s="697">
        <f t="shared" ca="1" si="67"/>
        <v>15.420000037248862</v>
      </c>
      <c r="M247" s="1185">
        <v>10.079256387752341</v>
      </c>
      <c r="N247" s="697">
        <f t="shared" ca="1" si="68"/>
        <v>8.1842553963144997</v>
      </c>
      <c r="O247" s="697"/>
      <c r="P247" s="697"/>
      <c r="Q247" s="697"/>
      <c r="R247" s="706">
        <v>6.0191408659278247</v>
      </c>
      <c r="S247" s="697">
        <f t="shared" ca="1" si="69"/>
        <v>6.2754980846405033</v>
      </c>
      <c r="T247" s="1152">
        <v>480.88820203328555</v>
      </c>
      <c r="U247" s="697">
        <f t="shared" ca="1" si="70"/>
        <v>65.1084081344151</v>
      </c>
      <c r="V247" s="697">
        <f t="shared" ca="1" si="74"/>
        <v>41.021279401540347</v>
      </c>
      <c r="W247" s="697">
        <v>18.752287071383737</v>
      </c>
      <c r="X247" s="697">
        <f t="shared" ca="1" si="71"/>
        <v>20.684677803177475</v>
      </c>
      <c r="Y247" s="697">
        <v>27.496770053640876</v>
      </c>
      <c r="Z247" s="697">
        <f t="shared" ca="1" si="72"/>
        <v>15.366110393028141</v>
      </c>
    </row>
    <row r="248" spans="2:26" ht="13.2">
      <c r="B248" s="166">
        <f t="shared" si="73"/>
        <v>43868</v>
      </c>
      <c r="C248"/>
      <c r="G248" s="706">
        <v>19.823970537898404</v>
      </c>
      <c r="H248" s="706">
        <v>492.17429605884251</v>
      </c>
      <c r="I248" s="697">
        <f t="shared" ca="1" si="66"/>
        <v>342.53985194422665</v>
      </c>
      <c r="J248" s="706">
        <v>37.333403397864174</v>
      </c>
      <c r="K248" s="706">
        <v>23.592273517275334</v>
      </c>
      <c r="L248" s="697">
        <f t="shared" ca="1" si="67"/>
        <v>15.420000037248862</v>
      </c>
      <c r="M248" s="1185">
        <v>10.283208242665053</v>
      </c>
      <c r="N248" s="697">
        <f t="shared" ca="1" si="68"/>
        <v>8.1842553963144997</v>
      </c>
      <c r="O248" s="697"/>
      <c r="P248" s="697"/>
      <c r="Q248" s="697"/>
      <c r="R248" s="706">
        <v>6.2729770061379755</v>
      </c>
      <c r="S248" s="697">
        <f t="shared" ca="1" si="69"/>
        <v>6.2754980846405033</v>
      </c>
      <c r="T248" s="1152">
        <v>487.54211644104623</v>
      </c>
      <c r="U248" s="697">
        <f t="shared" ca="1" si="70"/>
        <v>65.1084081344151</v>
      </c>
      <c r="V248" s="697">
        <f t="shared" ca="1" si="74"/>
        <v>41.021279401540347</v>
      </c>
      <c r="W248" s="697">
        <v>19.823970537898404</v>
      </c>
      <c r="X248" s="697">
        <f t="shared" ca="1" si="71"/>
        <v>20.684677803177475</v>
      </c>
      <c r="Y248" s="697">
        <v>28.028123505022926</v>
      </c>
      <c r="Z248" s="697">
        <f t="shared" ca="1" si="72"/>
        <v>15.366110393028141</v>
      </c>
    </row>
    <row r="249" spans="2:26" ht="13.2">
      <c r="B249" s="166">
        <f t="shared" si="73"/>
        <v>43875</v>
      </c>
      <c r="C249"/>
      <c r="G249" s="706">
        <v>20.487875341706896</v>
      </c>
      <c r="H249" s="706">
        <v>1770.5111265373239</v>
      </c>
      <c r="I249" s="697">
        <f t="shared" ca="1" si="66"/>
        <v>342.53985194422665</v>
      </c>
      <c r="J249" s="706">
        <v>38.435380859188093</v>
      </c>
      <c r="K249" s="706">
        <v>25.243676673910336</v>
      </c>
      <c r="L249" s="697">
        <f t="shared" ca="1" si="67"/>
        <v>15.420000037248862</v>
      </c>
      <c r="M249" s="1185">
        <v>10.604782534327146</v>
      </c>
      <c r="N249" s="697">
        <f t="shared" ca="1" si="68"/>
        <v>8.1842553963144997</v>
      </c>
      <c r="O249" s="697"/>
      <c r="P249" s="697"/>
      <c r="Q249" s="697"/>
      <c r="R249" s="706">
        <v>6.4565758282183028</v>
      </c>
      <c r="S249" s="697">
        <f t="shared" ca="1" si="69"/>
        <v>6.2754980846405033</v>
      </c>
      <c r="T249" s="1152">
        <v>1109.2894622932633</v>
      </c>
      <c r="U249" s="697">
        <f t="shared" ca="1" si="70"/>
        <v>65.1084081344151</v>
      </c>
      <c r="V249" s="697">
        <f t="shared" ca="1" si="74"/>
        <v>41.021279401540347</v>
      </c>
      <c r="W249" s="697">
        <v>20.487875341706896</v>
      </c>
      <c r="X249" s="697">
        <f t="shared" ca="1" si="71"/>
        <v>20.684677803177475</v>
      </c>
      <c r="Y249" s="697">
        <v>28.703775272631209</v>
      </c>
      <c r="Z249" s="697">
        <f t="shared" ca="1" si="72"/>
        <v>15.366110393028141</v>
      </c>
    </row>
    <row r="250" spans="2:26" ht="13.2">
      <c r="B250" s="166">
        <f t="shared" si="73"/>
        <v>43882</v>
      </c>
      <c r="C250"/>
      <c r="G250" s="706">
        <v>20.167494850052314</v>
      </c>
      <c r="H250" s="706">
        <v>1676.0092398438653</v>
      </c>
      <c r="I250" s="697">
        <f t="shared" ca="1" si="66"/>
        <v>342.53985194422665</v>
      </c>
      <c r="J250" s="706">
        <v>37.717093942517593</v>
      </c>
      <c r="K250" s="706">
        <v>24.559258664097577</v>
      </c>
      <c r="L250" s="697">
        <f t="shared" ca="1" si="67"/>
        <v>15.420000037248862</v>
      </c>
      <c r="M250" s="1185">
        <v>10.341947665379418</v>
      </c>
      <c r="N250" s="697">
        <f t="shared" ca="1" si="68"/>
        <v>8.1842553963144997</v>
      </c>
      <c r="O250" s="697"/>
      <c r="P250" s="697"/>
      <c r="Q250" s="697"/>
      <c r="R250" s="706">
        <v>6.336732923036954</v>
      </c>
      <c r="S250" s="697">
        <f t="shared" ca="1" si="69"/>
        <v>6.2754980846405033</v>
      </c>
      <c r="T250" s="1152">
        <v>1051.8215797841262</v>
      </c>
      <c r="U250" s="697">
        <f t="shared" ca="1" si="70"/>
        <v>65.1084081344151</v>
      </c>
      <c r="V250" s="697">
        <f t="shared" ca="1" si="74"/>
        <v>41.021279401540347</v>
      </c>
      <c r="W250" s="697">
        <v>20.167494850052314</v>
      </c>
      <c r="X250" s="697">
        <f t="shared" ca="1" si="71"/>
        <v>20.684677803177475</v>
      </c>
      <c r="Y250" s="697">
        <v>28.313502442419711</v>
      </c>
      <c r="Z250" s="697">
        <f t="shared" ca="1" si="72"/>
        <v>15.366110393028141</v>
      </c>
    </row>
    <row r="251" spans="2:26" ht="13.2">
      <c r="B251" s="166">
        <f t="shared" si="73"/>
        <v>43889</v>
      </c>
      <c r="C251"/>
      <c r="G251" s="706">
        <v>18.921251116840253</v>
      </c>
      <c r="H251" s="706">
        <v>1442.1132875218307</v>
      </c>
      <c r="I251" s="697">
        <f t="shared" ca="1" si="66"/>
        <v>342.53985194422665</v>
      </c>
      <c r="J251" s="706">
        <v>34.939141304022513</v>
      </c>
      <c r="K251" s="706">
        <v>21.595482943675474</v>
      </c>
      <c r="L251" s="697">
        <f t="shared" ca="1" si="67"/>
        <v>15.420000037248862</v>
      </c>
      <c r="M251" s="1185">
        <v>9.5108013599632493</v>
      </c>
      <c r="N251" s="697">
        <f t="shared" ca="1" si="68"/>
        <v>8.1842553963144997</v>
      </c>
      <c r="O251" s="697"/>
      <c r="P251" s="697"/>
      <c r="Q251" s="697"/>
      <c r="R251" s="706">
        <v>5.6602368745414662</v>
      </c>
      <c r="S251" s="697">
        <f t="shared" ca="1" si="69"/>
        <v>6.2754980846405033</v>
      </c>
      <c r="T251" s="1152">
        <v>909.42889145428353</v>
      </c>
      <c r="U251" s="697">
        <f t="shared" ca="1" si="70"/>
        <v>65.1084081344151</v>
      </c>
      <c r="V251" s="697">
        <f t="shared" ca="1" si="74"/>
        <v>41.021279401540347</v>
      </c>
      <c r="W251" s="697">
        <v>18.921251116840253</v>
      </c>
      <c r="X251" s="697">
        <f t="shared" ca="1" si="71"/>
        <v>20.684677803177475</v>
      </c>
      <c r="Y251" s="697">
        <v>25.877069945071003</v>
      </c>
      <c r="Z251" s="697">
        <f t="shared" ca="1" si="72"/>
        <v>15.366110393028141</v>
      </c>
    </row>
    <row r="252" spans="2:26" ht="13.2">
      <c r="B252" s="166">
        <f t="shared" si="73"/>
        <v>43896</v>
      </c>
      <c r="C252"/>
      <c r="G252" s="706">
        <v>18.009004999790793</v>
      </c>
      <c r="H252" s="706">
        <v>1428.9051650954978</v>
      </c>
      <c r="I252" s="697">
        <f t="shared" ca="1" si="66"/>
        <v>342.53985194422665</v>
      </c>
      <c r="J252" s="706">
        <v>33.508317000937389</v>
      </c>
      <c r="K252" s="706">
        <v>21.902181969004875</v>
      </c>
      <c r="L252" s="697">
        <f t="shared" ca="1" si="67"/>
        <v>15.420000037248862</v>
      </c>
      <c r="M252" s="1185">
        <v>9.3948169427877595</v>
      </c>
      <c r="N252" s="697">
        <f t="shared" ca="1" si="68"/>
        <v>8.1842553963144997</v>
      </c>
      <c r="O252" s="697"/>
      <c r="P252" s="697"/>
      <c r="Q252" s="697"/>
      <c r="R252" s="706">
        <v>5.4215092347426177</v>
      </c>
      <c r="S252" s="697">
        <f t="shared" ca="1" si="69"/>
        <v>6.2754980846405033</v>
      </c>
      <c r="T252" s="1152">
        <v>902.77617443476674</v>
      </c>
      <c r="U252" s="697">
        <f t="shared" ca="1" si="70"/>
        <v>65.1084081344151</v>
      </c>
      <c r="V252" s="697">
        <f t="shared" ca="1" si="74"/>
        <v>41.021279401540347</v>
      </c>
      <c r="W252" s="697">
        <v>18.009004999790793</v>
      </c>
      <c r="X252" s="697">
        <f t="shared" ca="1" si="71"/>
        <v>20.684677803177475</v>
      </c>
      <c r="Y252" s="697">
        <v>25.594855366151616</v>
      </c>
      <c r="Z252" s="697">
        <f t="shared" ca="1" si="72"/>
        <v>15.366110393028141</v>
      </c>
    </row>
    <row r="253" spans="2:26" ht="13.2">
      <c r="B253" s="166">
        <f t="shared" si="73"/>
        <v>43903</v>
      </c>
      <c r="C253"/>
      <c r="G253" s="706">
        <v>15.945941787458297</v>
      </c>
      <c r="H253" s="706">
        <v>1065.9135701432074</v>
      </c>
      <c r="I253" s="697">
        <f t="shared" ca="1" si="66"/>
        <v>342.53985194422665</v>
      </c>
      <c r="J253" s="706">
        <v>29.809270983981637</v>
      </c>
      <c r="K253" s="706">
        <v>17.804450887776859</v>
      </c>
      <c r="L253" s="697">
        <f t="shared" ca="1" si="67"/>
        <v>15.420000037248862</v>
      </c>
      <c r="M253" s="1185">
        <v>8.7282953696712777</v>
      </c>
      <c r="N253" s="697">
        <f t="shared" ca="1" si="68"/>
        <v>8.1842553963144997</v>
      </c>
      <c r="O253" s="697"/>
      <c r="P253" s="697"/>
      <c r="Q253" s="697"/>
      <c r="R253" s="706">
        <v>4.5539749473038444</v>
      </c>
      <c r="S253" s="697">
        <f t="shared" ca="1" si="69"/>
        <v>6.2754980846405033</v>
      </c>
      <c r="T253" s="1152">
        <v>720.57106866082972</v>
      </c>
      <c r="U253" s="697">
        <f t="shared" ca="1" si="70"/>
        <v>65.1084081344151</v>
      </c>
      <c r="V253" s="697">
        <f t="shared" ca="1" si="74"/>
        <v>41.021279401540347</v>
      </c>
      <c r="W253" s="697">
        <v>15.945941787458297</v>
      </c>
      <c r="X253" s="697">
        <f t="shared" ca="1" si="71"/>
        <v>20.684677803177475</v>
      </c>
      <c r="Y253" s="697">
        <v>22.794155762946168</v>
      </c>
      <c r="Z253" s="697">
        <f t="shared" ca="1" si="72"/>
        <v>15.366110393028141</v>
      </c>
    </row>
    <row r="254" spans="2:26" ht="13.2">
      <c r="B254" s="166">
        <f t="shared" si="73"/>
        <v>43910</v>
      </c>
      <c r="C254"/>
      <c r="G254" s="706">
        <v>14.613151601416666</v>
      </c>
      <c r="H254" s="706">
        <v>995.57076590421855</v>
      </c>
      <c r="I254" s="697">
        <f t="shared" ca="1" si="66"/>
        <v>342.53985194422665</v>
      </c>
      <c r="J254" s="706">
        <v>27.911607796376995</v>
      </c>
      <c r="K254" s="706">
        <v>15.585499069743909</v>
      </c>
      <c r="L254" s="697">
        <f t="shared" ca="1" si="67"/>
        <v>15.420000037248862</v>
      </c>
      <c r="M254" s="1185">
        <v>7.6913293299142351</v>
      </c>
      <c r="N254" s="697">
        <f t="shared" ca="1" si="68"/>
        <v>8.1842553963144997</v>
      </c>
      <c r="O254" s="697"/>
      <c r="P254" s="697"/>
      <c r="Q254" s="697"/>
      <c r="R254" s="706">
        <v>4.0315869842477543</v>
      </c>
      <c r="S254" s="697">
        <f t="shared" ca="1" si="69"/>
        <v>6.2754980846405033</v>
      </c>
      <c r="T254" s="1152">
        <v>615.26591929409722</v>
      </c>
      <c r="U254" s="697">
        <f t="shared" ca="1" si="70"/>
        <v>65.1084081344151</v>
      </c>
      <c r="V254" s="697">
        <f t="shared" ca="1" si="74"/>
        <v>41.021279401540347</v>
      </c>
      <c r="W254" s="697">
        <v>14.613151601416666</v>
      </c>
      <c r="X254" s="697">
        <f t="shared" ca="1" si="71"/>
        <v>20.684677803177475</v>
      </c>
      <c r="Y254" s="697">
        <v>19.983059170028419</v>
      </c>
      <c r="Z254" s="697">
        <f t="shared" ca="1" si="72"/>
        <v>15.366110393028141</v>
      </c>
    </row>
    <row r="255" spans="2:26" ht="13.2">
      <c r="B255" s="166">
        <f t="shared" si="73"/>
        <v>43917</v>
      </c>
      <c r="C255"/>
      <c r="G255" s="706">
        <v>16.091695749479477</v>
      </c>
      <c r="H255" s="706">
        <v>1183.8572879441815</v>
      </c>
      <c r="I255" s="697">
        <f t="shared" ca="1" si="66"/>
        <v>342.53985194422665</v>
      </c>
      <c r="J255" s="706">
        <v>31.092257485913045</v>
      </c>
      <c r="K255" s="706">
        <v>19.15686775739735</v>
      </c>
      <c r="L255" s="697">
        <f t="shared" ca="1" si="67"/>
        <v>15.420000037248862</v>
      </c>
      <c r="M255" s="1185">
        <v>8.3043120253942018</v>
      </c>
      <c r="N255" s="697">
        <f t="shared" ca="1" si="68"/>
        <v>8.1842553963144997</v>
      </c>
      <c r="O255" s="697"/>
      <c r="P255" s="697"/>
      <c r="Q255" s="697"/>
      <c r="R255" s="706">
        <v>4.7676951044166938</v>
      </c>
      <c r="S255" s="697">
        <f t="shared" ca="1" si="69"/>
        <v>6.2754980846405033</v>
      </c>
      <c r="T255" s="1152">
        <v>736.81512535924128</v>
      </c>
      <c r="U255" s="697">
        <f t="shared" ca="1" si="70"/>
        <v>65.1084081344151</v>
      </c>
      <c r="V255" s="697">
        <f t="shared" ca="1" si="74"/>
        <v>41.021279401540347</v>
      </c>
      <c r="W255" s="697">
        <v>16.091695749479477</v>
      </c>
      <c r="X255" s="697">
        <f t="shared" ca="1" si="71"/>
        <v>20.684677803177475</v>
      </c>
      <c r="Y255" s="697">
        <v>21.574920393889627</v>
      </c>
      <c r="Z255" s="697">
        <f t="shared" ca="1" si="72"/>
        <v>15.366110393028141</v>
      </c>
    </row>
    <row r="256" spans="2:26" ht="13.2">
      <c r="B256" s="166">
        <f t="shared" si="73"/>
        <v>43924</v>
      </c>
      <c r="C256"/>
      <c r="G256" s="706">
        <v>15.046473846323094</v>
      </c>
      <c r="H256" s="706">
        <v>1902.7633401319947</v>
      </c>
      <c r="I256" s="697">
        <f t="shared" ca="1" si="66"/>
        <v>342.53985194422665</v>
      </c>
      <c r="J256" s="706">
        <v>30.077373385558708</v>
      </c>
      <c r="K256" s="706">
        <v>17.274075145793173</v>
      </c>
      <c r="L256" s="697">
        <f t="shared" ca="1" si="67"/>
        <v>15.420000037248862</v>
      </c>
      <c r="M256" s="1185">
        <v>8.1300161550830961</v>
      </c>
      <c r="N256" s="697">
        <f t="shared" ca="1" si="68"/>
        <v>8.1842553963144997</v>
      </c>
      <c r="O256" s="697"/>
      <c r="P256" s="697"/>
      <c r="Q256" s="697"/>
      <c r="R256" s="706">
        <v>4.551200526746368</v>
      </c>
      <c r="S256" s="697">
        <f t="shared" ca="1" si="69"/>
        <v>6.2754980846405033</v>
      </c>
      <c r="T256" s="1152">
        <v>1659.1180359084897</v>
      </c>
      <c r="U256" s="697">
        <f t="shared" ca="1" si="70"/>
        <v>65.1084081344151</v>
      </c>
      <c r="V256" s="697">
        <f t="shared" ca="1" si="74"/>
        <v>41.021279401540347</v>
      </c>
      <c r="W256" s="697">
        <v>15.046473846323094</v>
      </c>
      <c r="X256" s="697">
        <f t="shared" ca="1" si="71"/>
        <v>20.684677803177475</v>
      </c>
      <c r="Y256" s="697">
        <v>20.871072028740848</v>
      </c>
      <c r="Z256" s="697">
        <f t="shared" ca="1" si="72"/>
        <v>15.366110393028141</v>
      </c>
    </row>
    <row r="257" spans="2:26" ht="13.2">
      <c r="B257" s="166">
        <f t="shared" si="73"/>
        <v>43931</v>
      </c>
      <c r="C257"/>
      <c r="G257" s="706">
        <v>17.432419629695595</v>
      </c>
      <c r="H257" s="706">
        <v>2476.5012788597114</v>
      </c>
      <c r="I257" s="697">
        <f t="shared" ca="1" si="66"/>
        <v>342.53985194422665</v>
      </c>
      <c r="J257" s="706">
        <v>35.046075008576352</v>
      </c>
      <c r="K257" s="706">
        <v>20.401816541922052</v>
      </c>
      <c r="L257" s="697">
        <f t="shared" ca="1" si="67"/>
        <v>15.420000037248862</v>
      </c>
      <c r="M257" s="1185">
        <v>9.0231515102171613</v>
      </c>
      <c r="N257" s="697">
        <f t="shared" ca="1" si="68"/>
        <v>8.1842553963144997</v>
      </c>
      <c r="O257" s="697"/>
      <c r="P257" s="697"/>
      <c r="Q257" s="697"/>
      <c r="R257" s="706">
        <v>5.4668102758725121</v>
      </c>
      <c r="S257" s="697">
        <f t="shared" ca="1" si="69"/>
        <v>6.2754980846405033</v>
      </c>
      <c r="T257" s="1152">
        <v>1866.1797363733792</v>
      </c>
      <c r="U257" s="697">
        <f t="shared" ca="1" si="70"/>
        <v>65.1084081344151</v>
      </c>
      <c r="V257" s="697">
        <f t="shared" ca="1" si="74"/>
        <v>41.021279401540347</v>
      </c>
      <c r="W257" s="697">
        <v>17.432419629695595</v>
      </c>
      <c r="X257" s="697">
        <f t="shared" ca="1" si="71"/>
        <v>20.684677803177475</v>
      </c>
      <c r="Y257" s="697">
        <v>23.858279979848838</v>
      </c>
      <c r="Z257" s="697">
        <f t="shared" ca="1" si="72"/>
        <v>15.366110393028141</v>
      </c>
    </row>
    <row r="258" spans="2:26" ht="13.2">
      <c r="B258" s="166">
        <f t="shared" si="73"/>
        <v>43938</v>
      </c>
      <c r="C258"/>
      <c r="G258" s="706">
        <v>19.511587945756375</v>
      </c>
      <c r="H258" s="706">
        <v>3365.7232676436097</v>
      </c>
      <c r="I258" s="697">
        <f t="shared" ca="1" si="66"/>
        <v>342.53985194422665</v>
      </c>
      <c r="J258" s="706">
        <v>38.981960302895921</v>
      </c>
      <c r="K258" s="706">
        <v>29.17864365285601</v>
      </c>
      <c r="L258" s="697">
        <f t="shared" ca="1" si="67"/>
        <v>15.420000037248862</v>
      </c>
      <c r="M258" s="1185">
        <v>9.6670146730049247</v>
      </c>
      <c r="N258" s="697">
        <f t="shared" ca="1" si="68"/>
        <v>8.1842553963144997</v>
      </c>
      <c r="O258" s="697"/>
      <c r="P258" s="697"/>
      <c r="Q258" s="697"/>
      <c r="R258" s="706">
        <v>6.3034308725387458</v>
      </c>
      <c r="S258" s="697">
        <f t="shared" ca="1" si="69"/>
        <v>6.2754980846405033</v>
      </c>
      <c r="T258" s="1152">
        <v>2548.7879145876041</v>
      </c>
      <c r="U258" s="697">
        <f t="shared" ca="1" si="70"/>
        <v>65.1084081344151</v>
      </c>
      <c r="V258" s="697">
        <f t="shared" ca="1" si="74"/>
        <v>41.021279401540347</v>
      </c>
      <c r="W258" s="697">
        <v>19.511587945756375</v>
      </c>
      <c r="X258" s="697">
        <f t="shared" ca="1" si="71"/>
        <v>20.684677803177475</v>
      </c>
      <c r="Y258" s="697">
        <v>25.652509108786347</v>
      </c>
      <c r="Z258" s="697">
        <f t="shared" ca="1" si="72"/>
        <v>15.366110393028141</v>
      </c>
    </row>
    <row r="259" spans="2:26" ht="13.2">
      <c r="B259" s="166">
        <f t="shared" si="73"/>
        <v>43945</v>
      </c>
      <c r="C259"/>
      <c r="G259" s="706">
        <v>20.446780681278572</v>
      </c>
      <c r="H259" s="706">
        <v>3532.6625600656716</v>
      </c>
      <c r="I259" s="697">
        <f t="shared" ca="1" si="66"/>
        <v>342.53985194422665</v>
      </c>
      <c r="J259" s="706">
        <v>41.077159034465268</v>
      </c>
      <c r="K259" s="706">
        <v>31.741905323644218</v>
      </c>
      <c r="L259" s="697">
        <f t="shared" ca="1" si="67"/>
        <v>15.420000037248862</v>
      </c>
      <c r="M259" s="1185">
        <v>9.7042929281762937</v>
      </c>
      <c r="N259" s="697">
        <f t="shared" ca="1" si="68"/>
        <v>8.1842553963144997</v>
      </c>
      <c r="O259" s="697"/>
      <c r="P259" s="697"/>
      <c r="Q259" s="697"/>
      <c r="R259" s="706">
        <v>6.8428368970423588</v>
      </c>
      <c r="S259" s="697">
        <f t="shared" ca="1" si="69"/>
        <v>6.2754980846405033</v>
      </c>
      <c r="T259" s="1152">
        <v>2470.3286359519743</v>
      </c>
      <c r="U259" s="697">
        <f t="shared" ca="1" si="70"/>
        <v>65.1084081344151</v>
      </c>
      <c r="V259" s="697">
        <f t="shared" ca="1" si="74"/>
        <v>41.021279401540347</v>
      </c>
      <c r="W259" s="697">
        <v>20.446780681278572</v>
      </c>
      <c r="X259" s="697">
        <f t="shared" ca="1" si="71"/>
        <v>20.684677803177475</v>
      </c>
      <c r="Y259" s="697">
        <v>26.466446713841645</v>
      </c>
      <c r="Z259" s="697">
        <f t="shared" ca="1" si="72"/>
        <v>15.366110393028141</v>
      </c>
    </row>
    <row r="260" spans="2:26" ht="13.2">
      <c r="B260" s="166">
        <f t="shared" si="73"/>
        <v>43952</v>
      </c>
      <c r="C260"/>
      <c r="G260" s="706">
        <v>21.420615492345284</v>
      </c>
      <c r="H260" s="706">
        <v>3220.9169797705385</v>
      </c>
      <c r="I260" s="697">
        <f t="shared" ca="1" si="66"/>
        <v>342.53985194422665</v>
      </c>
      <c r="J260" s="706">
        <v>45.861964358046187</v>
      </c>
      <c r="K260" s="706">
        <v>29.976537868983563</v>
      </c>
      <c r="L260" s="697">
        <f t="shared" ca="1" si="67"/>
        <v>15.420000037248862</v>
      </c>
      <c r="M260" s="1185">
        <v>9.5241291051519088</v>
      </c>
      <c r="N260" s="697">
        <f t="shared" ca="1" si="68"/>
        <v>8.1842553963144997</v>
      </c>
      <c r="O260" s="697"/>
      <c r="P260" s="697"/>
      <c r="Q260" s="697"/>
      <c r="R260" s="706">
        <v>6.853204313474027</v>
      </c>
      <c r="S260" s="697">
        <f t="shared" ca="1" si="69"/>
        <v>6.2754980846405033</v>
      </c>
      <c r="T260" s="1152">
        <v>2256.7566711446611</v>
      </c>
      <c r="U260" s="697">
        <f t="shared" ca="1" si="70"/>
        <v>65.1084081344151</v>
      </c>
      <c r="V260" s="697">
        <f t="shared" ca="1" si="74"/>
        <v>41.021279401540347</v>
      </c>
      <c r="W260" s="697">
        <v>21.420615492345284</v>
      </c>
      <c r="X260" s="697">
        <f t="shared" ca="1" si="71"/>
        <v>20.684677803177475</v>
      </c>
      <c r="Y260" s="697">
        <v>25.763436387302399</v>
      </c>
      <c r="Z260" s="697">
        <f t="shared" ca="1" si="72"/>
        <v>15.366110393028141</v>
      </c>
    </row>
    <row r="261" spans="2:26" ht="13.2">
      <c r="B261" s="166">
        <f t="shared" si="73"/>
        <v>43959</v>
      </c>
      <c r="C261"/>
      <c r="G261" s="706">
        <v>24.932189385640356</v>
      </c>
      <c r="H261" s="706">
        <v>1331.051187864264</v>
      </c>
      <c r="I261" s="697">
        <f t="shared" ca="1" si="66"/>
        <v>342.53985194422665</v>
      </c>
      <c r="J261" s="706">
        <v>52.006613658829082</v>
      </c>
      <c r="K261" s="706">
        <v>33.073328961857733</v>
      </c>
      <c r="L261" s="697">
        <f t="shared" ca="1" si="67"/>
        <v>15.420000037248862</v>
      </c>
      <c r="M261" s="1185">
        <v>10.392933127749789</v>
      </c>
      <c r="N261" s="697">
        <f t="shared" ca="1" si="68"/>
        <v>8.1842553963144997</v>
      </c>
      <c r="O261" s="697"/>
      <c r="P261" s="697"/>
      <c r="Q261" s="697"/>
      <c r="R261" s="706">
        <v>7.642820097496811</v>
      </c>
      <c r="S261" s="697">
        <f t="shared" ca="1" si="69"/>
        <v>6.2754980846405033</v>
      </c>
      <c r="T261" s="1152">
        <v>1117.8054591409193</v>
      </c>
      <c r="U261" s="697">
        <f t="shared" ca="1" si="70"/>
        <v>65.1084081344151</v>
      </c>
      <c r="V261" s="697">
        <f t="shared" ca="1" si="74"/>
        <v>41.021279401540347</v>
      </c>
      <c r="W261" s="697">
        <v>24.932189385640356</v>
      </c>
      <c r="X261" s="697">
        <f t="shared" ca="1" si="71"/>
        <v>20.684677803177475</v>
      </c>
      <c r="Y261" s="697">
        <v>29.227985621548179</v>
      </c>
      <c r="Z261" s="697">
        <f t="shared" ca="1" si="72"/>
        <v>15.366110393028141</v>
      </c>
    </row>
    <row r="262" spans="2:26" ht="13.2">
      <c r="B262" s="166">
        <f t="shared" si="73"/>
        <v>43966</v>
      </c>
      <c r="C262"/>
      <c r="G262" s="706">
        <v>24.378814435712556</v>
      </c>
      <c r="H262" s="706">
        <v>1438.2473447743059</v>
      </c>
      <c r="I262" s="697">
        <f t="shared" ca="1" si="66"/>
        <v>342.53985194422665</v>
      </c>
      <c r="J262" s="706">
        <v>50.442852211725047</v>
      </c>
      <c r="K262" s="706">
        <v>35.647216173407884</v>
      </c>
      <c r="L262" s="697">
        <f t="shared" ca="1" si="67"/>
        <v>15.420000037248862</v>
      </c>
      <c r="M262" s="1185">
        <v>10.861109829159897</v>
      </c>
      <c r="N262" s="697">
        <f t="shared" ca="1" si="68"/>
        <v>8.1842553963144997</v>
      </c>
      <c r="O262" s="697"/>
      <c r="P262" s="697"/>
      <c r="Q262" s="697"/>
      <c r="R262" s="706">
        <v>7.6100409801146194</v>
      </c>
      <c r="S262" s="697">
        <f t="shared" ca="1" si="69"/>
        <v>6.2754980846405033</v>
      </c>
      <c r="T262" s="1152">
        <v>1195.3925423467372</v>
      </c>
      <c r="U262" s="697">
        <f t="shared" ca="1" si="70"/>
        <v>65.1084081344151</v>
      </c>
      <c r="V262" s="697">
        <f t="shared" ca="1" si="74"/>
        <v>41.021279401540347</v>
      </c>
      <c r="W262" s="697">
        <v>24.378814435712556</v>
      </c>
      <c r="X262" s="697">
        <f t="shared" ca="1" si="71"/>
        <v>20.684677803177475</v>
      </c>
      <c r="Y262" s="697">
        <v>31.159208765194126</v>
      </c>
      <c r="Z262" s="697">
        <f t="shared" ca="1" si="72"/>
        <v>15.366110393028141</v>
      </c>
    </row>
    <row r="263" spans="2:26" ht="13.2">
      <c r="B263" s="166">
        <f t="shared" si="73"/>
        <v>43973</v>
      </c>
      <c r="C263"/>
      <c r="G263" s="706">
        <v>25.091509143883926</v>
      </c>
      <c r="H263" s="706">
        <v>1524.2678094780688</v>
      </c>
      <c r="I263" s="697">
        <f t="shared" ca="1" si="66"/>
        <v>342.53985194422665</v>
      </c>
      <c r="J263" s="706">
        <v>52.218404301306201</v>
      </c>
      <c r="K263" s="706">
        <v>38.160562663009358</v>
      </c>
      <c r="L263" s="697">
        <f t="shared" ca="1" si="67"/>
        <v>15.420000037248862</v>
      </c>
      <c r="M263" s="1185">
        <v>11.090954856538398</v>
      </c>
      <c r="N263" s="697">
        <f t="shared" ca="1" si="68"/>
        <v>8.1842553963144997</v>
      </c>
      <c r="O263" s="697"/>
      <c r="P263" s="697"/>
      <c r="Q263" s="697"/>
      <c r="R263" s="706">
        <v>8.0957428713119715</v>
      </c>
      <c r="S263" s="697">
        <f t="shared" ca="1" si="69"/>
        <v>6.2754980846405033</v>
      </c>
      <c r="T263" s="1152">
        <v>1261.5679267718758</v>
      </c>
      <c r="U263" s="697">
        <f t="shared" ca="1" si="70"/>
        <v>65.1084081344151</v>
      </c>
      <c r="V263" s="697">
        <f t="shared" ca="1" si="74"/>
        <v>41.021279401540347</v>
      </c>
      <c r="W263" s="697">
        <v>25.091509143883926</v>
      </c>
      <c r="X263" s="697">
        <f t="shared" ca="1" si="71"/>
        <v>20.684677803177475</v>
      </c>
      <c r="Y263" s="697">
        <v>32.166824936477227</v>
      </c>
      <c r="Z263" s="697">
        <f t="shared" ca="1" si="72"/>
        <v>15.366110393028141</v>
      </c>
    </row>
    <row r="264" spans="2:26" ht="13.2">
      <c r="B264" s="166">
        <f t="shared" si="73"/>
        <v>43980</v>
      </c>
      <c r="C264"/>
      <c r="G264" s="706">
        <v>24.920670256417665</v>
      </c>
      <c r="H264" s="706">
        <v>1615.7480725946355</v>
      </c>
      <c r="I264" s="697">
        <f t="shared" ca="1" si="66"/>
        <v>342.53985194422665</v>
      </c>
      <c r="J264" s="706">
        <v>51.747515530614031</v>
      </c>
      <c r="K264" s="706">
        <v>34.812798484140629</v>
      </c>
      <c r="L264" s="697">
        <f t="shared" ca="1" si="67"/>
        <v>15.420000037248862</v>
      </c>
      <c r="M264" s="1185">
        <v>11.260705579210954</v>
      </c>
      <c r="N264" s="697">
        <f t="shared" ca="1" si="68"/>
        <v>8.1842553963144997</v>
      </c>
      <c r="O264" s="697"/>
      <c r="P264" s="697"/>
      <c r="Q264" s="697"/>
      <c r="R264" s="706">
        <v>7.9376693865686798</v>
      </c>
      <c r="S264" s="697">
        <f t="shared" ca="1" si="69"/>
        <v>6.2754980846405033</v>
      </c>
      <c r="T264" s="1152">
        <v>1140.00613493332</v>
      </c>
      <c r="U264" s="697">
        <f t="shared" ca="1" si="70"/>
        <v>65.1084081344151</v>
      </c>
      <c r="V264" s="697">
        <f t="shared" ca="1" si="74"/>
        <v>41.021279401540347</v>
      </c>
      <c r="W264" s="697">
        <v>24.920670256417665</v>
      </c>
      <c r="X264" s="697">
        <f t="shared" ca="1" si="71"/>
        <v>20.684677803177475</v>
      </c>
      <c r="Y264" s="697">
        <v>32.758842597806158</v>
      </c>
      <c r="Z264" s="697">
        <f t="shared" ca="1" si="72"/>
        <v>15.366110393028141</v>
      </c>
    </row>
    <row r="265" spans="2:26" ht="13.2">
      <c r="B265" s="166">
        <f t="shared" si="73"/>
        <v>43987</v>
      </c>
      <c r="C265"/>
      <c r="G265" s="706">
        <v>26.542278064185147</v>
      </c>
      <c r="H265" s="706">
        <v>1542.0667533929568</v>
      </c>
      <c r="I265" s="697">
        <f t="shared" ca="1" si="66"/>
        <v>342.53985194422665</v>
      </c>
      <c r="J265" s="706">
        <v>54.109890714486419</v>
      </c>
      <c r="K265" s="706">
        <v>33.200036846718106</v>
      </c>
      <c r="L265" s="697">
        <f t="shared" ca="1" si="67"/>
        <v>15.420000037248862</v>
      </c>
      <c r="M265" s="1185">
        <v>11.055375538615447</v>
      </c>
      <c r="N265" s="697">
        <f t="shared" ca="1" si="68"/>
        <v>8.1842553963144997</v>
      </c>
      <c r="O265" s="697"/>
      <c r="P265" s="697"/>
      <c r="Q265" s="697"/>
      <c r="R265" s="706">
        <v>8.2284395758664512</v>
      </c>
      <c r="S265" s="697">
        <f t="shared" ca="1" si="69"/>
        <v>6.2754980846405033</v>
      </c>
      <c r="T265" s="1152">
        <v>1083.2707183283326</v>
      </c>
      <c r="U265" s="697">
        <f t="shared" ca="1" si="70"/>
        <v>65.1084081344151</v>
      </c>
      <c r="V265" s="697">
        <f t="shared" ca="1" si="74"/>
        <v>41.021279401540347</v>
      </c>
      <c r="W265" s="697">
        <v>26.542278064185147</v>
      </c>
      <c r="X265" s="697">
        <f t="shared" ca="1" si="71"/>
        <v>20.684677803177475</v>
      </c>
      <c r="Y265" s="697">
        <v>32.00491578009305</v>
      </c>
      <c r="Z265" s="697">
        <f t="shared" ca="1" si="72"/>
        <v>15.366110393028141</v>
      </c>
    </row>
    <row r="266" spans="2:26" ht="13.2">
      <c r="B266" s="166">
        <f t="shared" si="73"/>
        <v>43994</v>
      </c>
      <c r="C266"/>
      <c r="G266" s="706">
        <v>26.379027497423507</v>
      </c>
      <c r="H266" s="706">
        <v>1553.6131265224551</v>
      </c>
      <c r="I266" s="697">
        <f t="shared" ca="1" si="66"/>
        <v>342.53985194422665</v>
      </c>
      <c r="J266" s="706">
        <v>53.250155272101701</v>
      </c>
      <c r="K266" s="706">
        <v>33.633785161871209</v>
      </c>
      <c r="L266" s="697">
        <f t="shared" ca="1" si="67"/>
        <v>15.420000037248862</v>
      </c>
      <c r="M266" s="1185">
        <v>11.062805676874586</v>
      </c>
      <c r="N266" s="697">
        <f t="shared" ca="1" si="68"/>
        <v>8.1842553963144997</v>
      </c>
      <c r="O266" s="697"/>
      <c r="P266" s="697"/>
      <c r="Q266" s="697"/>
      <c r="R266" s="706">
        <v>8.0636419746238754</v>
      </c>
      <c r="S266" s="697">
        <f t="shared" ca="1" si="69"/>
        <v>6.2754980846405033</v>
      </c>
      <c r="T266" s="1152">
        <v>1086.147208193185</v>
      </c>
      <c r="U266" s="697">
        <f t="shared" ca="1" si="70"/>
        <v>65.1084081344151</v>
      </c>
      <c r="V266" s="697">
        <f t="shared" ca="1" si="74"/>
        <v>41.021279401540347</v>
      </c>
      <c r="W266" s="697">
        <v>26.379027497423507</v>
      </c>
      <c r="X266" s="697">
        <f t="shared" ca="1" si="71"/>
        <v>20.684677803177475</v>
      </c>
      <c r="Y266" s="697">
        <v>31.911766686569706</v>
      </c>
      <c r="Z266" s="697">
        <f t="shared" ca="1" si="72"/>
        <v>15.366110393028141</v>
      </c>
    </row>
    <row r="267" spans="2:26" ht="13.2">
      <c r="B267" s="166">
        <f t="shared" si="73"/>
        <v>44001</v>
      </c>
      <c r="C267"/>
      <c r="G267" s="706">
        <v>27.952999165190654</v>
      </c>
      <c r="H267" s="706">
        <v>1831.9184656965467</v>
      </c>
      <c r="I267" s="697">
        <f t="shared" ca="1" si="66"/>
        <v>342.53985194422665</v>
      </c>
      <c r="J267" s="706">
        <v>55.908771684870722</v>
      </c>
      <c r="K267" s="706">
        <v>39.845169366147303</v>
      </c>
      <c r="L267" s="697">
        <f t="shared" ca="1" si="67"/>
        <v>15.420000037248862</v>
      </c>
      <c r="M267" s="1185">
        <v>11.566139446869105</v>
      </c>
      <c r="N267" s="697">
        <f t="shared" ca="1" si="68"/>
        <v>8.1842553963144997</v>
      </c>
      <c r="O267" s="697"/>
      <c r="P267" s="697"/>
      <c r="Q267" s="697"/>
      <c r="R267" s="706">
        <v>8.9166181090676808</v>
      </c>
      <c r="S267" s="697">
        <f t="shared" ca="1" si="69"/>
        <v>6.2754980846405033</v>
      </c>
      <c r="T267" s="1152">
        <v>1288.4221414137696</v>
      </c>
      <c r="U267" s="697">
        <f t="shared" ca="1" si="70"/>
        <v>65.1084081344151</v>
      </c>
      <c r="V267" s="697">
        <f t="shared" ca="1" si="74"/>
        <v>41.021279401540347</v>
      </c>
      <c r="W267" s="697">
        <v>27.952999165190654</v>
      </c>
      <c r="X267" s="697">
        <f t="shared" ca="1" si="71"/>
        <v>20.684677803177475</v>
      </c>
      <c r="Y267" s="697">
        <v>33.831438205263176</v>
      </c>
      <c r="Z267" s="697">
        <f t="shared" ca="1" si="72"/>
        <v>15.366110393028141</v>
      </c>
    </row>
    <row r="268" spans="2:26" ht="13.2">
      <c r="B268" s="166">
        <f t="shared" si="73"/>
        <v>44008</v>
      </c>
      <c r="C268"/>
      <c r="G268" s="706">
        <v>27.568744154160044</v>
      </c>
      <c r="H268" s="706">
        <v>1866.1922901567257</v>
      </c>
      <c r="I268" s="697">
        <f t="shared" ca="1" si="66"/>
        <v>342.53985194422665</v>
      </c>
      <c r="J268" s="706">
        <v>55.289296219616624</v>
      </c>
      <c r="K268" s="706">
        <v>40.914441055423538</v>
      </c>
      <c r="L268" s="697">
        <f t="shared" ca="1" si="67"/>
        <v>15.420000037248862</v>
      </c>
      <c r="M268" s="1185">
        <v>11.515199513704744</v>
      </c>
      <c r="N268" s="697">
        <f t="shared" ca="1" si="68"/>
        <v>8.1842553963144997</v>
      </c>
      <c r="O268" s="697"/>
      <c r="P268" s="697"/>
      <c r="Q268" s="697"/>
      <c r="R268" s="706">
        <v>8.8681742545901958</v>
      </c>
      <c r="S268" s="697">
        <f t="shared" ca="1" si="69"/>
        <v>6.2754980846405033</v>
      </c>
      <c r="T268" s="1152">
        <v>1297.0959270145856</v>
      </c>
      <c r="U268" s="697">
        <f t="shared" ca="1" si="70"/>
        <v>65.1084081344151</v>
      </c>
      <c r="V268" s="697">
        <f t="shared" ca="1" si="74"/>
        <v>41.021279401540347</v>
      </c>
      <c r="W268" s="697">
        <v>27.568744154160044</v>
      </c>
      <c r="X268" s="697">
        <f t="shared" ca="1" si="71"/>
        <v>20.684677803177475</v>
      </c>
      <c r="Y268" s="697">
        <v>33.823667567548981</v>
      </c>
      <c r="Z268" s="697">
        <f t="shared" ca="1" si="72"/>
        <v>15.366110393028141</v>
      </c>
    </row>
    <row r="269" spans="2:26" ht="13.2">
      <c r="B269" s="166">
        <f t="shared" si="73"/>
        <v>44015</v>
      </c>
      <c r="C269"/>
      <c r="G269" s="706">
        <v>29.384100438392366</v>
      </c>
      <c r="H269" s="706">
        <v>2084.3580460739518</v>
      </c>
      <c r="I269" s="697">
        <f t="shared" ca="1" si="66"/>
        <v>342.53985194422665</v>
      </c>
      <c r="J269" s="706">
        <v>57.433090144140145</v>
      </c>
      <c r="K269" s="706">
        <v>47.95682121739928</v>
      </c>
      <c r="L269" s="697">
        <f t="shared" ca="1" si="67"/>
        <v>15.420000037248862</v>
      </c>
      <c r="M269" s="1185">
        <v>12.06362126555589</v>
      </c>
      <c r="N269" s="697">
        <f t="shared" ca="1" si="68"/>
        <v>8.1842553963144997</v>
      </c>
      <c r="O269" s="697"/>
      <c r="P269" s="697"/>
      <c r="Q269" s="697"/>
      <c r="R269" s="706">
        <v>9.7739060967242697</v>
      </c>
      <c r="S269" s="697">
        <f t="shared" ca="1" si="69"/>
        <v>6.2754980846405033</v>
      </c>
      <c r="T269" s="1152">
        <v>1505.2306550287906</v>
      </c>
      <c r="U269" s="697">
        <f t="shared" ca="1" si="70"/>
        <v>65.1084081344151</v>
      </c>
      <c r="V269" s="697">
        <f t="shared" ca="1" si="74"/>
        <v>41.021279401540347</v>
      </c>
      <c r="W269" s="697">
        <v>29.384100438392366</v>
      </c>
      <c r="X269" s="697">
        <f t="shared" ca="1" si="71"/>
        <v>20.684677803177475</v>
      </c>
      <c r="Y269" s="697">
        <v>36.060514196327041</v>
      </c>
      <c r="Z269" s="697">
        <f t="shared" ca="1" si="72"/>
        <v>15.366110393028141</v>
      </c>
    </row>
    <row r="270" spans="2:26" ht="13.2">
      <c r="B270" s="166">
        <f t="shared" si="73"/>
        <v>44022</v>
      </c>
      <c r="C270"/>
      <c r="G270" s="706">
        <v>30.651405108861468</v>
      </c>
      <c r="H270" s="706">
        <v>2074.193265539554</v>
      </c>
      <c r="I270" s="697">
        <f t="shared" ca="1" si="66"/>
        <v>342.53985194422665</v>
      </c>
      <c r="J270" s="706">
        <v>60.399847101061212</v>
      </c>
      <c r="K270" s="706">
        <v>47.733267801300308</v>
      </c>
      <c r="L270" s="697">
        <f t="shared" ca="1" si="67"/>
        <v>15.420000037248862</v>
      </c>
      <c r="M270" s="1185">
        <v>12.460394029210631</v>
      </c>
      <c r="N270" s="697">
        <f t="shared" ca="1" si="68"/>
        <v>8.1842553963144997</v>
      </c>
      <c r="O270" s="697"/>
      <c r="P270" s="697"/>
      <c r="Q270" s="697"/>
      <c r="R270" s="706">
        <v>10.128374232679388</v>
      </c>
      <c r="S270" s="697">
        <f t="shared" ca="1" si="69"/>
        <v>6.2754980846405033</v>
      </c>
      <c r="T270" s="1152">
        <v>1439.6815341489439</v>
      </c>
      <c r="U270" s="697">
        <f t="shared" ca="1" si="70"/>
        <v>65.1084081344151</v>
      </c>
      <c r="V270" s="697">
        <f t="shared" ca="1" si="74"/>
        <v>41.021279401540347</v>
      </c>
      <c r="W270" s="697">
        <v>30.651405108861468</v>
      </c>
      <c r="X270" s="697">
        <f t="shared" ca="1" si="71"/>
        <v>20.684677803177475</v>
      </c>
      <c r="Y270" s="697">
        <v>37.619804324294364</v>
      </c>
      <c r="Z270" s="697">
        <f t="shared" ca="1" si="72"/>
        <v>15.366110393028141</v>
      </c>
    </row>
    <row r="271" spans="2:26" ht="13.2">
      <c r="B271" s="166">
        <f t="shared" si="73"/>
        <v>44029</v>
      </c>
      <c r="C271"/>
      <c r="G271" s="706">
        <v>29.0046242959151</v>
      </c>
      <c r="H271" s="706">
        <v>1771.8897000427639</v>
      </c>
      <c r="I271" s="697">
        <f t="shared" ca="1" si="66"/>
        <v>342.53985194422665</v>
      </c>
      <c r="J271" s="706">
        <v>56.653502835697367</v>
      </c>
      <c r="K271" s="706">
        <v>42.348382980652893</v>
      </c>
      <c r="L271" s="697">
        <f t="shared" ca="1" si="67"/>
        <v>15.420000037248862</v>
      </c>
      <c r="M271" s="1185">
        <v>11.637966070168057</v>
      </c>
      <c r="N271" s="697">
        <f t="shared" ca="1" si="68"/>
        <v>8.1842553963144997</v>
      </c>
      <c r="O271" s="697"/>
      <c r="P271" s="697"/>
      <c r="Q271" s="697"/>
      <c r="R271" s="706">
        <v>9.412045960468193</v>
      </c>
      <c r="S271" s="697">
        <f t="shared" ca="1" si="69"/>
        <v>6.2754980846405033</v>
      </c>
      <c r="T271" s="1152">
        <v>1255.61606987205</v>
      </c>
      <c r="U271" s="697">
        <f t="shared" ca="1" si="70"/>
        <v>65.1084081344151</v>
      </c>
      <c r="V271" s="697">
        <f t="shared" ca="1" si="74"/>
        <v>41.021279401540347</v>
      </c>
      <c r="W271" s="697">
        <v>29.0046242959151</v>
      </c>
      <c r="X271" s="697">
        <f t="shared" ca="1" si="71"/>
        <v>20.684677803177475</v>
      </c>
      <c r="Y271" s="697">
        <v>34.84632190973538</v>
      </c>
      <c r="Z271" s="697">
        <f t="shared" ca="1" si="72"/>
        <v>15.366110393028141</v>
      </c>
    </row>
    <row r="272" spans="2:26" ht="13.2">
      <c r="B272" s="166">
        <f t="shared" si="73"/>
        <v>44036</v>
      </c>
      <c r="C272"/>
      <c r="G272" s="706">
        <v>28.218511621554764</v>
      </c>
      <c r="H272" s="706">
        <v>1685.2924704994521</v>
      </c>
      <c r="I272" s="697">
        <f t="shared" ca="1" si="66"/>
        <v>342.53985194422665</v>
      </c>
      <c r="J272" s="706">
        <v>55.588583828068565</v>
      </c>
      <c r="K272" s="706">
        <v>41.964106892688861</v>
      </c>
      <c r="L272" s="697">
        <f t="shared" ca="1" si="67"/>
        <v>15.420000037248862</v>
      </c>
      <c r="M272" s="1185">
        <v>11.706921985372656</v>
      </c>
      <c r="N272" s="697">
        <f t="shared" ca="1" si="68"/>
        <v>8.1842553963144997</v>
      </c>
      <c r="O272" s="697"/>
      <c r="P272" s="697"/>
      <c r="Q272" s="697"/>
      <c r="R272" s="706">
        <v>9.1572503654860142</v>
      </c>
      <c r="S272" s="697">
        <f t="shared" ca="1" si="69"/>
        <v>6.2754980846405033</v>
      </c>
      <c r="T272" s="1152">
        <v>1238.2959782793191</v>
      </c>
      <c r="U272" s="697">
        <f t="shared" ca="1" si="70"/>
        <v>65.1084081344151</v>
      </c>
      <c r="V272" s="697">
        <f t="shared" ca="1" si="74"/>
        <v>41.021279401540347</v>
      </c>
      <c r="W272" s="697">
        <v>28.218511621554764</v>
      </c>
      <c r="X272" s="697">
        <f t="shared" ca="1" si="71"/>
        <v>20.684677803177475</v>
      </c>
      <c r="Y272" s="697">
        <v>34.677062447293977</v>
      </c>
      <c r="Z272" s="697">
        <f t="shared" ca="1" si="72"/>
        <v>15.366110393028141</v>
      </c>
    </row>
    <row r="273" spans="2:26" ht="13.2">
      <c r="B273" s="166">
        <f t="shared" si="73"/>
        <v>44043</v>
      </c>
      <c r="C273"/>
      <c r="G273" s="706">
        <v>28.728701642316462</v>
      </c>
      <c r="H273" s="706">
        <v>510.96157279560748</v>
      </c>
      <c r="I273" s="697">
        <f t="shared" ca="1" si="66"/>
        <v>342.53985194422665</v>
      </c>
      <c r="J273" s="706">
        <v>54.806570847985711</v>
      </c>
      <c r="K273" s="706">
        <v>40.217172529272489</v>
      </c>
      <c r="L273" s="697">
        <f t="shared" ca="1" si="67"/>
        <v>15.420000037248862</v>
      </c>
      <c r="M273" s="1185">
        <v>12.133051876171518</v>
      </c>
      <c r="N273" s="697">
        <f t="shared" ca="1" si="68"/>
        <v>8.1842553963144997</v>
      </c>
      <c r="O273" s="697"/>
      <c r="P273" s="697"/>
      <c r="Q273" s="697"/>
      <c r="R273" s="706">
        <v>9.3307901998916485</v>
      </c>
      <c r="S273" s="697">
        <f t="shared" ca="1" si="69"/>
        <v>6.2754980846405033</v>
      </c>
      <c r="T273" s="1152">
        <v>484.94875660795111</v>
      </c>
      <c r="U273" s="697">
        <f t="shared" ca="1" si="70"/>
        <v>65.1084081344151</v>
      </c>
      <c r="V273" s="697">
        <f t="shared" ca="1" si="74"/>
        <v>41.021279401540347</v>
      </c>
      <c r="W273" s="697">
        <v>28.728701642316462</v>
      </c>
      <c r="X273" s="697">
        <f t="shared" ca="1" si="71"/>
        <v>20.684677803177475</v>
      </c>
      <c r="Y273" s="697">
        <v>36.403451926501546</v>
      </c>
      <c r="Z273" s="697">
        <f t="shared" ca="1" si="72"/>
        <v>15.366110393028141</v>
      </c>
    </row>
    <row r="274" spans="2:26" ht="13.2">
      <c r="B274" s="166">
        <f t="shared" si="73"/>
        <v>44050</v>
      </c>
      <c r="C274"/>
      <c r="G274" s="706">
        <v>29.15317707500903</v>
      </c>
      <c r="H274" s="706">
        <v>525.92312709309022</v>
      </c>
      <c r="I274" s="697">
        <f t="shared" ca="1" si="66"/>
        <v>342.53985194422665</v>
      </c>
      <c r="J274" s="706">
        <v>54.984990473167855</v>
      </c>
      <c r="K274" s="706">
        <v>41.180429915117095</v>
      </c>
      <c r="L274" s="697">
        <f t="shared" ca="1" si="67"/>
        <v>15.420000037248862</v>
      </c>
      <c r="M274" s="1185">
        <v>12.18295033238512</v>
      </c>
      <c r="N274" s="697">
        <f t="shared" ca="1" si="68"/>
        <v>8.1842553963144997</v>
      </c>
      <c r="O274" s="697"/>
      <c r="P274" s="697"/>
      <c r="Q274" s="697"/>
      <c r="R274" s="706">
        <v>9.551782086210979</v>
      </c>
      <c r="S274" s="697">
        <f t="shared" ca="1" si="69"/>
        <v>6.2754980846405033</v>
      </c>
      <c r="T274" s="1152">
        <v>496.77588522906217</v>
      </c>
      <c r="U274" s="697">
        <f t="shared" ca="1" si="70"/>
        <v>65.1084081344151</v>
      </c>
      <c r="V274" s="697">
        <f t="shared" ca="1" si="74"/>
        <v>41.021279401540347</v>
      </c>
      <c r="W274" s="697">
        <v>29.15317707500903</v>
      </c>
      <c r="X274" s="697">
        <f t="shared" ca="1" si="71"/>
        <v>20.684677803177475</v>
      </c>
      <c r="Y274" s="697">
        <v>40.146913853548824</v>
      </c>
      <c r="Z274" s="697">
        <f t="shared" ca="1" si="72"/>
        <v>15.366110393028141</v>
      </c>
    </row>
    <row r="275" spans="2:26" ht="13.2">
      <c r="B275" s="166">
        <f t="shared" si="73"/>
        <v>44057</v>
      </c>
      <c r="C275"/>
      <c r="G275" s="706">
        <v>28.275368228360986</v>
      </c>
      <c r="H275" s="706">
        <v>448.91635028417056</v>
      </c>
      <c r="I275" s="697">
        <f t="shared" ca="1" si="66"/>
        <v>342.53985194422665</v>
      </c>
      <c r="J275" s="706">
        <v>53.672369973875668</v>
      </c>
      <c r="K275" s="706">
        <v>38.228175279477945</v>
      </c>
      <c r="L275" s="697">
        <f t="shared" ca="1" si="67"/>
        <v>15.420000037248862</v>
      </c>
      <c r="M275" s="1185">
        <v>11.90887179334562</v>
      </c>
      <c r="N275" s="697">
        <f t="shared" ca="1" si="68"/>
        <v>8.1842553963144997</v>
      </c>
      <c r="O275" s="697"/>
      <c r="P275" s="697"/>
      <c r="Q275" s="697"/>
      <c r="R275" s="706">
        <v>9.2035069771516973</v>
      </c>
      <c r="S275" s="697">
        <f t="shared" ca="1" si="69"/>
        <v>6.2754980846405033</v>
      </c>
      <c r="T275" s="1152">
        <v>442.15282083980151</v>
      </c>
      <c r="U275" s="697">
        <f t="shared" ca="1" si="70"/>
        <v>65.1084081344151</v>
      </c>
      <c r="V275" s="697">
        <f t="shared" ca="1" si="74"/>
        <v>41.021279401540347</v>
      </c>
      <c r="W275" s="697">
        <v>28.275368228360986</v>
      </c>
      <c r="X275" s="697">
        <f t="shared" ca="1" si="71"/>
        <v>20.684677803177475</v>
      </c>
      <c r="Y275" s="697">
        <v>38.749196868227898</v>
      </c>
      <c r="Z275" s="697">
        <f t="shared" ca="1" si="72"/>
        <v>15.366110393028141</v>
      </c>
    </row>
    <row r="276" spans="2:26" ht="13.2">
      <c r="B276" s="166">
        <f t="shared" si="73"/>
        <v>44064</v>
      </c>
      <c r="C276"/>
      <c r="G276" s="706">
        <v>28.13277684921173</v>
      </c>
      <c r="H276" s="706">
        <v>464.23982184014858</v>
      </c>
      <c r="I276" s="697">
        <f t="shared" ca="1" si="66"/>
        <v>342.53985194422665</v>
      </c>
      <c r="J276" s="706">
        <v>53.709162784738837</v>
      </c>
      <c r="K276" s="706">
        <v>39.357383241189197</v>
      </c>
      <c r="L276" s="697">
        <f t="shared" ca="1" si="67"/>
        <v>15.420000037248862</v>
      </c>
      <c r="M276" s="1185">
        <v>12.255164463400291</v>
      </c>
      <c r="N276" s="697">
        <f t="shared" ca="1" si="68"/>
        <v>8.1842553963144997</v>
      </c>
      <c r="O276" s="697"/>
      <c r="P276" s="697"/>
      <c r="Q276" s="697"/>
      <c r="R276" s="706">
        <v>9.2963732219726243</v>
      </c>
      <c r="S276" s="697">
        <f t="shared" ca="1" si="69"/>
        <v>6.2754980846405033</v>
      </c>
      <c r="T276" s="1152">
        <v>434.54559928243486</v>
      </c>
      <c r="U276" s="697">
        <f t="shared" ca="1" si="70"/>
        <v>65.1084081344151</v>
      </c>
      <c r="V276" s="697">
        <f t="shared" ca="1" si="74"/>
        <v>41.021279401540347</v>
      </c>
      <c r="W276" s="697">
        <v>28.13277684921173</v>
      </c>
      <c r="X276" s="697">
        <f t="shared" ca="1" si="71"/>
        <v>20.684677803177475</v>
      </c>
      <c r="Y276" s="697">
        <v>39.816966067730178</v>
      </c>
      <c r="Z276" s="697">
        <f t="shared" ca="1" si="72"/>
        <v>15.366110393028141</v>
      </c>
    </row>
    <row r="277" spans="2:26" ht="13.2">
      <c r="B277" s="166">
        <f t="shared" si="73"/>
        <v>44071</v>
      </c>
      <c r="C277"/>
      <c r="G277" s="706">
        <v>29.269782500726947</v>
      </c>
      <c r="H277" s="706">
        <v>467.7811005877407</v>
      </c>
      <c r="I277" s="697">
        <f t="shared" ca="1" si="66"/>
        <v>342.53985194422665</v>
      </c>
      <c r="J277" s="706">
        <v>55.810282431808275</v>
      </c>
      <c r="K277" s="706">
        <v>39.968455832291696</v>
      </c>
      <c r="L277" s="697">
        <f t="shared" ca="1" si="67"/>
        <v>15.420000037248862</v>
      </c>
      <c r="M277" s="1185">
        <v>20.557758450706572</v>
      </c>
      <c r="N277" s="697">
        <f t="shared" ca="1" si="68"/>
        <v>8.1842553963144997</v>
      </c>
      <c r="O277" s="697"/>
      <c r="P277" s="697"/>
      <c r="Q277" s="697"/>
      <c r="R277" s="706">
        <v>9.6202636937153496</v>
      </c>
      <c r="S277" s="697">
        <f t="shared" ca="1" si="69"/>
        <v>6.2754980846405033</v>
      </c>
      <c r="T277" s="1152">
        <v>441.48923098796291</v>
      </c>
      <c r="U277" s="697">
        <f t="shared" ca="1" si="70"/>
        <v>65.1084081344151</v>
      </c>
      <c r="V277" s="697">
        <f t="shared" ca="1" si="74"/>
        <v>41.021279401540347</v>
      </c>
      <c r="W277" s="697">
        <v>29.269782500726947</v>
      </c>
      <c r="X277" s="697">
        <f t="shared" ca="1" si="71"/>
        <v>20.684677803177475</v>
      </c>
      <c r="Y277" s="697">
        <v>43.194702998103914</v>
      </c>
      <c r="Z277" s="697">
        <f t="shared" ca="1" si="72"/>
        <v>15.366110393028141</v>
      </c>
    </row>
    <row r="278" spans="2:26" ht="13.2">
      <c r="B278" s="166">
        <f t="shared" si="73"/>
        <v>44078</v>
      </c>
      <c r="C278"/>
      <c r="G278" s="706">
        <v>27.510016972924614</v>
      </c>
      <c r="H278" s="706">
        <v>436.90047530920964</v>
      </c>
      <c r="I278" s="697">
        <f t="shared" ca="1" si="66"/>
        <v>342.53985194422665</v>
      </c>
      <c r="J278" s="706">
        <v>52.791143299065382</v>
      </c>
      <c r="K278" s="706">
        <v>37.048918210657362</v>
      </c>
      <c r="L278" s="697">
        <f t="shared" ca="1" si="67"/>
        <v>15.420000037248862</v>
      </c>
      <c r="M278" s="1185">
        <v>18.177472257406752</v>
      </c>
      <c r="N278" s="697">
        <f t="shared" ca="1" si="68"/>
        <v>8.1842553963144997</v>
      </c>
      <c r="O278" s="697"/>
      <c r="P278" s="697"/>
      <c r="Q278" s="697"/>
      <c r="R278" s="706">
        <v>9.0897843181187348</v>
      </c>
      <c r="S278" s="697">
        <f t="shared" ca="1" si="69"/>
        <v>6.2754980846405033</v>
      </c>
      <c r="T278" s="1152">
        <v>408.69751650342084</v>
      </c>
      <c r="U278" s="697">
        <f t="shared" ca="1" si="70"/>
        <v>65.1084081344151</v>
      </c>
      <c r="V278" s="697">
        <f t="shared" ca="1" si="74"/>
        <v>41.021279401540347</v>
      </c>
      <c r="W278" s="697">
        <v>27.510016972924614</v>
      </c>
      <c r="X278" s="697">
        <f t="shared" ca="1" si="71"/>
        <v>20.684677803177475</v>
      </c>
      <c r="Y278" s="697">
        <v>39.526211407638343</v>
      </c>
      <c r="Z278" s="697">
        <f t="shared" ca="1" si="72"/>
        <v>15.366110393028141</v>
      </c>
    </row>
    <row r="279" spans="2:26" ht="13.2">
      <c r="B279" s="166">
        <f t="shared" si="73"/>
        <v>44085</v>
      </c>
      <c r="C279"/>
      <c r="G279" s="706">
        <v>33.341528645859462</v>
      </c>
      <c r="H279" s="706">
        <v>410.78874939291313</v>
      </c>
      <c r="I279" s="697">
        <f t="shared" ca="1" si="66"/>
        <v>342.53985194422665</v>
      </c>
      <c r="J279" s="706">
        <v>49.773656830889948</v>
      </c>
      <c r="K279" s="706">
        <v>34.570615828937989</v>
      </c>
      <c r="L279" s="697">
        <f t="shared" ca="1" si="67"/>
        <v>15.420000037248862</v>
      </c>
      <c r="M279" s="1185">
        <v>15.949668293374614</v>
      </c>
      <c r="N279" s="697">
        <f t="shared" ca="1" si="68"/>
        <v>8.1842553963144997</v>
      </c>
      <c r="O279" s="697"/>
      <c r="P279" s="697"/>
      <c r="Q279" s="697"/>
      <c r="R279" s="706">
        <v>8.7643836686883425</v>
      </c>
      <c r="S279" s="697">
        <f t="shared" ca="1" si="69"/>
        <v>6.2754980846405033</v>
      </c>
      <c r="T279" s="1152">
        <v>384.35505002525377</v>
      </c>
      <c r="U279" s="697">
        <f t="shared" ca="1" si="70"/>
        <v>65.1084081344151</v>
      </c>
      <c r="V279" s="697">
        <f t="shared" ca="1" si="74"/>
        <v>41.021279401540347</v>
      </c>
      <c r="W279" s="697">
        <v>33.341528645859462</v>
      </c>
      <c r="X279" s="697">
        <f t="shared" ca="1" si="71"/>
        <v>20.684677803177475</v>
      </c>
      <c r="Y279" s="697">
        <v>38.089592644355754</v>
      </c>
      <c r="Z279" s="697">
        <f t="shared" ca="1" si="72"/>
        <v>15.366110393028141</v>
      </c>
    </row>
    <row r="280" spans="2:26" ht="13.2">
      <c r="B280" s="166">
        <f t="shared" si="73"/>
        <v>44092</v>
      </c>
      <c r="C280"/>
      <c r="G280" s="706">
        <v>34.166301878086223</v>
      </c>
      <c r="H280" s="706">
        <v>411.12364643786043</v>
      </c>
      <c r="I280" s="697">
        <f t="shared" ref="I280:I343" ca="1" si="75">+I$87</f>
        <v>342.53985194422665</v>
      </c>
      <c r="J280" s="706">
        <v>48.896369467255163</v>
      </c>
      <c r="K280" s="706">
        <v>33.869810360781081</v>
      </c>
      <c r="L280" s="697">
        <f t="shared" ref="L280:L343" ca="1" si="76">+L$87</f>
        <v>15.420000037248862</v>
      </c>
      <c r="M280" s="1185">
        <v>15.368093274598861</v>
      </c>
      <c r="N280" s="697">
        <f t="shared" ref="N280:N343" ca="1" si="77">+N$87</f>
        <v>8.1842553963144997</v>
      </c>
      <c r="O280" s="697"/>
      <c r="P280" s="697"/>
      <c r="Q280" s="697"/>
      <c r="R280" s="706">
        <v>8.7389197009607074</v>
      </c>
      <c r="S280" s="697">
        <f t="shared" ref="S280:S343" ca="1" si="78">+S$87</f>
        <v>6.2754980846405033</v>
      </c>
      <c r="T280" s="1152">
        <v>377.47790935330312</v>
      </c>
      <c r="U280" s="697">
        <f t="shared" ref="U280:U343" ca="1" si="79">+U$87</f>
        <v>65.1084081344151</v>
      </c>
      <c r="V280" s="697">
        <f t="shared" ca="1" si="74"/>
        <v>41.021279401540347</v>
      </c>
      <c r="W280" s="697">
        <v>34.166301878086223</v>
      </c>
      <c r="X280" s="697">
        <f t="shared" ref="X280:X343" ca="1" si="80">+X$87</f>
        <v>20.684677803177475</v>
      </c>
      <c r="Y280" s="697">
        <v>37.648829376407882</v>
      </c>
      <c r="Z280" s="697">
        <f t="shared" ref="Z280:Z343" ca="1" si="81">+Z$87</f>
        <v>15.366110393028141</v>
      </c>
    </row>
    <row r="281" spans="2:26" ht="13.2">
      <c r="B281" s="166">
        <f t="shared" ref="B281:B344" si="82">B280+7</f>
        <v>44099</v>
      </c>
      <c r="C281"/>
      <c r="G281" s="706">
        <v>35.451058458646962</v>
      </c>
      <c r="H281" s="706">
        <v>438.70476085426992</v>
      </c>
      <c r="I281" s="697">
        <f t="shared" ca="1" si="75"/>
        <v>342.53985194422665</v>
      </c>
      <c r="J281" s="706">
        <v>50.314605294898513</v>
      </c>
      <c r="K281" s="706">
        <v>36.014740089163318</v>
      </c>
      <c r="L281" s="697">
        <f t="shared" ca="1" si="76"/>
        <v>15.420000037248862</v>
      </c>
      <c r="M281" s="1185">
        <v>15.752942101945067</v>
      </c>
      <c r="N281" s="697">
        <f t="shared" ca="1" si="77"/>
        <v>8.1842553963144997</v>
      </c>
      <c r="O281" s="697"/>
      <c r="P281" s="697"/>
      <c r="Q281" s="697"/>
      <c r="R281" s="706">
        <v>9.0500483714033368</v>
      </c>
      <c r="S281" s="697">
        <f t="shared" ca="1" si="78"/>
        <v>6.2754980846405033</v>
      </c>
      <c r="T281" s="1152">
        <v>400.82657039408451</v>
      </c>
      <c r="U281" s="697">
        <f t="shared" ca="1" si="79"/>
        <v>65.1084081344151</v>
      </c>
      <c r="V281" s="697">
        <f t="shared" ref="V281:V344" ca="1" si="83">+V280</f>
        <v>41.021279401540347</v>
      </c>
      <c r="W281" s="697">
        <v>35.451058458646962</v>
      </c>
      <c r="X281" s="697">
        <f t="shared" ca="1" si="80"/>
        <v>20.684677803177475</v>
      </c>
      <c r="Y281" s="697">
        <v>37.491530334721688</v>
      </c>
      <c r="Z281" s="697">
        <f t="shared" ca="1" si="81"/>
        <v>15.366110393028141</v>
      </c>
    </row>
    <row r="282" spans="2:26" ht="13.2">
      <c r="B282" s="166">
        <f t="shared" si="82"/>
        <v>44106</v>
      </c>
      <c r="C282"/>
      <c r="G282" s="706">
        <v>40.573498745370031</v>
      </c>
      <c r="H282" s="706">
        <v>471.68258836250106</v>
      </c>
      <c r="I282" s="697">
        <f t="shared" ca="1" si="75"/>
        <v>342.53985194422665</v>
      </c>
      <c r="J282" s="706">
        <v>53.675758269387842</v>
      </c>
      <c r="K282" s="706">
        <v>38.624427615640116</v>
      </c>
      <c r="L282" s="697">
        <f t="shared" ca="1" si="76"/>
        <v>15.420000037248862</v>
      </c>
      <c r="M282" s="1185">
        <v>14.129719502527252</v>
      </c>
      <c r="N282" s="697">
        <f t="shared" ca="1" si="77"/>
        <v>8.1842553963144997</v>
      </c>
      <c r="O282" s="697"/>
      <c r="P282" s="697"/>
      <c r="Q282" s="697"/>
      <c r="R282" s="706">
        <v>10.090849159594006</v>
      </c>
      <c r="S282" s="697">
        <f t="shared" ca="1" si="78"/>
        <v>6.2754980846405033</v>
      </c>
      <c r="T282" s="1152">
        <v>437.86021512744333</v>
      </c>
      <c r="U282" s="697">
        <f t="shared" ca="1" si="79"/>
        <v>65.1084081344151</v>
      </c>
      <c r="V282" s="697">
        <f t="shared" ca="1" si="83"/>
        <v>41.021279401540347</v>
      </c>
      <c r="W282" s="697">
        <v>40.573498745370031</v>
      </c>
      <c r="X282" s="697">
        <f t="shared" ca="1" si="80"/>
        <v>20.684677803177475</v>
      </c>
      <c r="Y282" s="697">
        <v>38.378229014162606</v>
      </c>
      <c r="Z282" s="697">
        <f t="shared" ca="1" si="81"/>
        <v>15.366110393028141</v>
      </c>
    </row>
    <row r="283" spans="2:26" ht="13.2">
      <c r="B283" s="166">
        <f t="shared" si="82"/>
        <v>44113</v>
      </c>
      <c r="C283"/>
      <c r="G283" s="706">
        <v>41.642878571173355</v>
      </c>
      <c r="H283" s="706">
        <v>494.66647090632239</v>
      </c>
      <c r="I283" s="697">
        <f t="shared" ca="1" si="75"/>
        <v>342.53985194422665</v>
      </c>
      <c r="J283" s="706">
        <v>56.873717623351851</v>
      </c>
      <c r="K283" s="706">
        <v>40.98912993592073</v>
      </c>
      <c r="L283" s="697">
        <f t="shared" ca="1" si="76"/>
        <v>15.420000037248862</v>
      </c>
      <c r="M283" s="1185">
        <v>15.4295371133554</v>
      </c>
      <c r="N283" s="697">
        <f t="shared" ca="1" si="77"/>
        <v>8.1842553963144997</v>
      </c>
      <c r="O283" s="697"/>
      <c r="P283" s="697"/>
      <c r="Q283" s="697"/>
      <c r="R283" s="706">
        <v>10.500977505094284</v>
      </c>
      <c r="S283" s="697">
        <f t="shared" ca="1" si="78"/>
        <v>6.2754980846405033</v>
      </c>
      <c r="T283" s="1152">
        <v>464.90433425129805</v>
      </c>
      <c r="U283" s="697">
        <f t="shared" ca="1" si="79"/>
        <v>65.1084081344151</v>
      </c>
      <c r="V283" s="697">
        <f t="shared" ca="1" si="83"/>
        <v>41.021279401540347</v>
      </c>
      <c r="W283" s="697">
        <v>41.642878571173355</v>
      </c>
      <c r="X283" s="697">
        <f t="shared" ca="1" si="80"/>
        <v>20.684677803177475</v>
      </c>
      <c r="Y283" s="697">
        <v>41.720383356320056</v>
      </c>
      <c r="Z283" s="697">
        <f t="shared" ca="1" si="81"/>
        <v>15.366110393028141</v>
      </c>
    </row>
    <row r="284" spans="2:26" ht="13.2">
      <c r="B284" s="166">
        <f t="shared" si="82"/>
        <v>44120</v>
      </c>
      <c r="C284"/>
      <c r="G284" s="706">
        <v>39.96520048838908</v>
      </c>
      <c r="H284" s="706">
        <v>467.62684971480599</v>
      </c>
      <c r="I284" s="697">
        <f t="shared" ca="1" si="75"/>
        <v>342.53985194422665</v>
      </c>
      <c r="J284" s="706">
        <v>55.728291849994037</v>
      </c>
      <c r="K284" s="706">
        <v>39.529709555698744</v>
      </c>
      <c r="L284" s="697">
        <f t="shared" ca="1" si="76"/>
        <v>15.420000037248862</v>
      </c>
      <c r="M284" s="1185">
        <v>15.441386612391122</v>
      </c>
      <c r="N284" s="697">
        <f t="shared" ca="1" si="77"/>
        <v>8.1842553963144997</v>
      </c>
      <c r="O284" s="697"/>
      <c r="P284" s="697"/>
      <c r="Q284" s="697"/>
      <c r="R284" s="706">
        <v>10.281578121921427</v>
      </c>
      <c r="S284" s="697">
        <f t="shared" ca="1" si="78"/>
        <v>6.2754980846405033</v>
      </c>
      <c r="T284" s="1152">
        <v>421.04662221086522</v>
      </c>
      <c r="U284" s="697">
        <f t="shared" ca="1" si="79"/>
        <v>65.1084081344151</v>
      </c>
      <c r="V284" s="697">
        <f t="shared" ca="1" si="83"/>
        <v>41.021279401540347</v>
      </c>
      <c r="W284" s="697">
        <v>39.96520048838908</v>
      </c>
      <c r="X284" s="697">
        <f t="shared" ca="1" si="80"/>
        <v>20.684677803177475</v>
      </c>
      <c r="Y284" s="697">
        <v>40.174819401253778</v>
      </c>
      <c r="Z284" s="697">
        <f t="shared" ca="1" si="81"/>
        <v>15.366110393028141</v>
      </c>
    </row>
    <row r="285" spans="2:26" ht="13.2">
      <c r="B285" s="166">
        <f t="shared" si="82"/>
        <v>44127</v>
      </c>
      <c r="C285"/>
      <c r="G285" s="706">
        <v>40.015924664532264</v>
      </c>
      <c r="H285" s="706">
        <v>450.25344800020639</v>
      </c>
      <c r="I285" s="697">
        <f t="shared" ca="1" si="75"/>
        <v>342.53985194422665</v>
      </c>
      <c r="J285" s="706">
        <v>55.993115041068137</v>
      </c>
      <c r="K285" s="706">
        <v>37.740025107859125</v>
      </c>
      <c r="L285" s="697">
        <f t="shared" ca="1" si="76"/>
        <v>15.420000037248862</v>
      </c>
      <c r="M285" s="1185">
        <v>14.438799579708679</v>
      </c>
      <c r="N285" s="697">
        <f t="shared" ca="1" si="77"/>
        <v>8.1842553963144997</v>
      </c>
      <c r="O285" s="697"/>
      <c r="P285" s="697"/>
      <c r="Q285" s="697"/>
      <c r="R285" s="706">
        <v>10.847260763938623</v>
      </c>
      <c r="S285" s="697">
        <f t="shared" ca="1" si="78"/>
        <v>6.2754980846405033</v>
      </c>
      <c r="T285" s="1152">
        <v>395.27182856971837</v>
      </c>
      <c r="U285" s="697">
        <f t="shared" ca="1" si="79"/>
        <v>65.1084081344151</v>
      </c>
      <c r="V285" s="697">
        <f t="shared" ca="1" si="83"/>
        <v>41.021279401540347</v>
      </c>
      <c r="W285" s="697">
        <v>40.015924664532264</v>
      </c>
      <c r="X285" s="697">
        <f t="shared" ca="1" si="80"/>
        <v>20.684677803177475</v>
      </c>
      <c r="Y285" s="697">
        <v>38.984534316359714</v>
      </c>
      <c r="Z285" s="697">
        <f t="shared" ca="1" si="81"/>
        <v>15.366110393028141</v>
      </c>
    </row>
    <row r="286" spans="2:26" ht="13.2">
      <c r="B286" s="166">
        <f t="shared" si="82"/>
        <v>44134</v>
      </c>
      <c r="C286"/>
      <c r="G286" s="706">
        <v>36.433257610184988</v>
      </c>
      <c r="H286" s="706">
        <v>261.96935233446931</v>
      </c>
      <c r="I286" s="697">
        <f t="shared" ca="1" si="75"/>
        <v>342.53985194422665</v>
      </c>
      <c r="J286" s="706">
        <v>58.849273930850664</v>
      </c>
      <c r="K286" s="706">
        <v>30.839430619752942</v>
      </c>
      <c r="L286" s="697">
        <f t="shared" ca="1" si="76"/>
        <v>15.420000037248862</v>
      </c>
      <c r="M286" s="1185">
        <v>12.878583406449971</v>
      </c>
      <c r="N286" s="697">
        <f t="shared" ca="1" si="77"/>
        <v>8.1842553963144997</v>
      </c>
      <c r="O286" s="697"/>
      <c r="P286" s="697"/>
      <c r="Q286" s="697"/>
      <c r="R286" s="706">
        <v>9.7727508614523959</v>
      </c>
      <c r="S286" s="697">
        <f t="shared" ca="1" si="78"/>
        <v>6.2754980846405033</v>
      </c>
      <c r="T286" s="1152">
        <v>253.14527507249977</v>
      </c>
      <c r="U286" s="697">
        <f t="shared" ca="1" si="79"/>
        <v>65.1084081344151</v>
      </c>
      <c r="V286" s="697">
        <f t="shared" ca="1" si="83"/>
        <v>41.021279401540347</v>
      </c>
      <c r="W286" s="697">
        <v>36.433257610184988</v>
      </c>
      <c r="X286" s="697">
        <f t="shared" ca="1" si="80"/>
        <v>20.684677803177475</v>
      </c>
      <c r="Y286" s="697">
        <v>35.849711950207919</v>
      </c>
      <c r="Z286" s="697">
        <f t="shared" ca="1" si="81"/>
        <v>15.366110393028141</v>
      </c>
    </row>
    <row r="287" spans="2:26" ht="13.2">
      <c r="B287" s="166">
        <f t="shared" si="82"/>
        <v>44141</v>
      </c>
      <c r="C287"/>
      <c r="G287" s="706">
        <v>38.571322408734183</v>
      </c>
      <c r="H287" s="706">
        <v>295.17927056259055</v>
      </c>
      <c r="I287" s="697">
        <f t="shared" ca="1" si="75"/>
        <v>342.53985194422665</v>
      </c>
      <c r="J287" s="706">
        <v>67.582858508370094</v>
      </c>
      <c r="K287" s="706">
        <v>34.571301837019639</v>
      </c>
      <c r="L287" s="697">
        <f t="shared" ca="1" si="76"/>
        <v>15.420000037248862</v>
      </c>
      <c r="M287" s="1185">
        <v>14.062131243661142</v>
      </c>
      <c r="N287" s="697">
        <f t="shared" ca="1" si="77"/>
        <v>8.1842553963144997</v>
      </c>
      <c r="O287" s="697"/>
      <c r="P287" s="697"/>
      <c r="Q287" s="697"/>
      <c r="R287" s="706">
        <v>11.470412594985021</v>
      </c>
      <c r="S287" s="697">
        <f t="shared" ca="1" si="78"/>
        <v>6.2754980846405033</v>
      </c>
      <c r="T287" s="1152">
        <v>287.16610094647012</v>
      </c>
      <c r="U287" s="697">
        <f t="shared" ca="1" si="79"/>
        <v>65.1084081344151</v>
      </c>
      <c r="V287" s="697">
        <f t="shared" ca="1" si="83"/>
        <v>41.021279401540347</v>
      </c>
      <c r="W287" s="697">
        <v>38.571322408734183</v>
      </c>
      <c r="X287" s="697">
        <f t="shared" ca="1" si="80"/>
        <v>20.684677803177475</v>
      </c>
      <c r="Y287" s="697">
        <v>39.987735996527036</v>
      </c>
      <c r="Z287" s="697">
        <f t="shared" ca="1" si="81"/>
        <v>15.366110393028141</v>
      </c>
    </row>
    <row r="288" spans="2:26" ht="13.2">
      <c r="B288" s="166">
        <f t="shared" si="82"/>
        <v>44148</v>
      </c>
      <c r="C288"/>
      <c r="G288" s="706">
        <v>35.879926795238326</v>
      </c>
      <c r="H288" s="706">
        <v>259.27040635688235</v>
      </c>
      <c r="I288" s="697">
        <f t="shared" ca="1" si="75"/>
        <v>342.53985194422665</v>
      </c>
      <c r="J288" s="706">
        <v>63.700905303913068</v>
      </c>
      <c r="K288" s="706">
        <v>30.054442155901679</v>
      </c>
      <c r="L288" s="697">
        <f t="shared" ca="1" si="76"/>
        <v>15.420000037248862</v>
      </c>
      <c r="M288" s="1185">
        <v>12.72096392498525</v>
      </c>
      <c r="N288" s="697">
        <f t="shared" ca="1" si="77"/>
        <v>8.1842553963144997</v>
      </c>
      <c r="O288" s="697"/>
      <c r="P288" s="697"/>
      <c r="Q288" s="697"/>
      <c r="R288" s="706">
        <v>10.719099532098957</v>
      </c>
      <c r="S288" s="697">
        <f t="shared" ca="1" si="78"/>
        <v>6.2754980846405033</v>
      </c>
      <c r="T288" s="1152">
        <v>249.59997306586789</v>
      </c>
      <c r="U288" s="697">
        <f t="shared" ca="1" si="79"/>
        <v>65.1084081344151</v>
      </c>
      <c r="V288" s="697">
        <f t="shared" ca="1" si="83"/>
        <v>41.021279401540347</v>
      </c>
      <c r="W288" s="697">
        <v>35.879926795238326</v>
      </c>
      <c r="X288" s="697">
        <f t="shared" ca="1" si="80"/>
        <v>20.684677803177475</v>
      </c>
      <c r="Y288" s="697">
        <v>36.95650715272685</v>
      </c>
      <c r="Z288" s="697">
        <f t="shared" ca="1" si="81"/>
        <v>15.366110393028141</v>
      </c>
    </row>
    <row r="289" spans="2:26" ht="13.2">
      <c r="B289" s="166">
        <f t="shared" si="82"/>
        <v>44155</v>
      </c>
      <c r="C289"/>
      <c r="G289" s="706">
        <v>36.792512887581232</v>
      </c>
      <c r="H289" s="706">
        <v>278.55503406663809</v>
      </c>
      <c r="I289" s="697">
        <f t="shared" ca="1" si="75"/>
        <v>342.53985194422665</v>
      </c>
      <c r="J289" s="706">
        <v>64.872292546297956</v>
      </c>
      <c r="K289" s="706">
        <v>32.274212513830904</v>
      </c>
      <c r="L289" s="697">
        <f t="shared" ca="1" si="76"/>
        <v>15.420000037248862</v>
      </c>
      <c r="M289" s="1185">
        <v>12.830498713992116</v>
      </c>
      <c r="N289" s="697">
        <f t="shared" ca="1" si="77"/>
        <v>8.1842553963144997</v>
      </c>
      <c r="O289" s="697"/>
      <c r="P289" s="697"/>
      <c r="Q289" s="697"/>
      <c r="R289" s="706">
        <v>11.193945260805096</v>
      </c>
      <c r="S289" s="697">
        <f t="shared" ca="1" si="78"/>
        <v>6.2754980846405033</v>
      </c>
      <c r="T289" s="1152">
        <v>270.61695815169929</v>
      </c>
      <c r="U289" s="697">
        <f t="shared" ca="1" si="79"/>
        <v>65.1084081344151</v>
      </c>
      <c r="V289" s="697">
        <f t="shared" ca="1" si="83"/>
        <v>41.021279401540347</v>
      </c>
      <c r="W289" s="697">
        <v>36.792512887581232</v>
      </c>
      <c r="X289" s="697">
        <f t="shared" ca="1" si="80"/>
        <v>20.684677803177475</v>
      </c>
      <c r="Y289" s="697">
        <v>37.698128859541228</v>
      </c>
      <c r="Z289" s="697">
        <f t="shared" ca="1" si="81"/>
        <v>15.366110393028141</v>
      </c>
    </row>
    <row r="290" spans="2:26" ht="13.2">
      <c r="B290" s="166">
        <f t="shared" si="82"/>
        <v>44162</v>
      </c>
      <c r="C290"/>
      <c r="G290" s="706">
        <v>37.576993694325509</v>
      </c>
      <c r="H290" s="706">
        <v>291.34261857018453</v>
      </c>
      <c r="I290" s="697">
        <f t="shared" ca="1" si="75"/>
        <v>342.53985194422665</v>
      </c>
      <c r="J290" s="706">
        <v>66.815421189508569</v>
      </c>
      <c r="K290" s="706">
        <v>33.678256911184739</v>
      </c>
      <c r="L290" s="697">
        <f t="shared" ca="1" si="76"/>
        <v>15.420000037248862</v>
      </c>
      <c r="M290" s="1185">
        <v>13.495619700883216</v>
      </c>
      <c r="N290" s="697">
        <f t="shared" ca="1" si="77"/>
        <v>8.1842553963144997</v>
      </c>
      <c r="O290" s="697"/>
      <c r="P290" s="697"/>
      <c r="Q290" s="697"/>
      <c r="R290" s="706">
        <v>11.607679850037899</v>
      </c>
      <c r="S290" s="697">
        <f t="shared" ca="1" si="78"/>
        <v>6.2754980846405033</v>
      </c>
      <c r="T290" s="1152">
        <v>282.68220742490394</v>
      </c>
      <c r="U290" s="697">
        <f t="shared" ca="1" si="79"/>
        <v>65.1084081344151</v>
      </c>
      <c r="V290" s="697">
        <f t="shared" ca="1" si="83"/>
        <v>41.021279401540347</v>
      </c>
      <c r="W290" s="697">
        <v>37.576993694325509</v>
      </c>
      <c r="X290" s="697">
        <f t="shared" ca="1" si="80"/>
        <v>20.684677803177475</v>
      </c>
      <c r="Y290" s="697">
        <v>37.770284782242726</v>
      </c>
      <c r="Z290" s="697">
        <f t="shared" ca="1" si="81"/>
        <v>15.366110393028141</v>
      </c>
    </row>
    <row r="291" spans="2:26" ht="13.2">
      <c r="B291" s="166">
        <f t="shared" si="82"/>
        <v>44169</v>
      </c>
      <c r="C291"/>
      <c r="G291" s="706">
        <v>38.007925961399039</v>
      </c>
      <c r="H291" s="706">
        <v>291.34882877433563</v>
      </c>
      <c r="I291" s="697">
        <f t="shared" ca="1" si="75"/>
        <v>342.53985194422665</v>
      </c>
      <c r="J291" s="706">
        <v>66.458551021471379</v>
      </c>
      <c r="K291" s="706">
        <v>34.057427735699278</v>
      </c>
      <c r="L291" s="697">
        <f t="shared" ca="1" si="76"/>
        <v>15.420000037248862</v>
      </c>
      <c r="M291" s="1185">
        <v>13.390193917079756</v>
      </c>
      <c r="N291" s="697">
        <f t="shared" ca="1" si="77"/>
        <v>8.1842553963144997</v>
      </c>
      <c r="O291" s="697"/>
      <c r="P291" s="697"/>
      <c r="Q291" s="697"/>
      <c r="R291" s="706">
        <v>11.875500366974219</v>
      </c>
      <c r="S291" s="697">
        <f t="shared" ca="1" si="78"/>
        <v>6.2754980846405033</v>
      </c>
      <c r="T291" s="1152">
        <v>275.12544302183397</v>
      </c>
      <c r="U291" s="697">
        <f t="shared" ca="1" si="79"/>
        <v>65.1084081344151</v>
      </c>
      <c r="V291" s="697">
        <f t="shared" ca="1" si="83"/>
        <v>41.021279401540347</v>
      </c>
      <c r="W291" s="697">
        <v>38.007925961399039</v>
      </c>
      <c r="X291" s="697">
        <f t="shared" ca="1" si="80"/>
        <v>20.684677803177475</v>
      </c>
      <c r="Y291" s="697">
        <v>37.207436889179121</v>
      </c>
      <c r="Z291" s="697">
        <f t="shared" ca="1" si="81"/>
        <v>15.366110393028141</v>
      </c>
    </row>
    <row r="292" spans="2:26" ht="13.2">
      <c r="B292" s="166">
        <f t="shared" si="82"/>
        <v>44176</v>
      </c>
      <c r="C292"/>
      <c r="G292" s="706">
        <v>39.437712652379318</v>
      </c>
      <c r="H292" s="706">
        <v>292.21628540830091</v>
      </c>
      <c r="I292" s="697">
        <f t="shared" ca="1" si="75"/>
        <v>342.53985194422665</v>
      </c>
      <c r="J292" s="706">
        <v>67.087330389696959</v>
      </c>
      <c r="K292" s="706">
        <v>34.0281533659914</v>
      </c>
      <c r="L292" s="697">
        <f t="shared" ca="1" si="76"/>
        <v>15.420000037248862</v>
      </c>
      <c r="M292" s="1185">
        <v>12.994256336715926</v>
      </c>
      <c r="N292" s="697">
        <f t="shared" ca="1" si="77"/>
        <v>8.1842553963144997</v>
      </c>
      <c r="O292" s="697"/>
      <c r="P292" s="697"/>
      <c r="Q292" s="697"/>
      <c r="R292" s="706">
        <v>12.6160329451428</v>
      </c>
      <c r="S292" s="697">
        <f t="shared" ca="1" si="78"/>
        <v>6.2754980846405033</v>
      </c>
      <c r="T292" s="1152">
        <v>275.72564540104747</v>
      </c>
      <c r="U292" s="697">
        <f t="shared" ca="1" si="79"/>
        <v>65.1084081344151</v>
      </c>
      <c r="V292" s="697">
        <f t="shared" ca="1" si="83"/>
        <v>41.021279401540347</v>
      </c>
      <c r="W292" s="697">
        <v>39.437712652379318</v>
      </c>
      <c r="X292" s="697">
        <f t="shared" ca="1" si="80"/>
        <v>20.684677803177475</v>
      </c>
      <c r="Y292" s="697">
        <v>39.380138792635599</v>
      </c>
      <c r="Z292" s="697">
        <f t="shared" ca="1" si="81"/>
        <v>15.366110393028141</v>
      </c>
    </row>
    <row r="293" spans="2:26" ht="13.2">
      <c r="B293" s="166">
        <f t="shared" si="82"/>
        <v>44183</v>
      </c>
      <c r="C293"/>
      <c r="G293" s="706">
        <v>40.788402973741476</v>
      </c>
      <c r="H293" s="706">
        <v>323.20033916493884</v>
      </c>
      <c r="I293" s="697">
        <f t="shared" ca="1" si="75"/>
        <v>342.53985194422665</v>
      </c>
      <c r="J293" s="706">
        <v>68.157410432220658</v>
      </c>
      <c r="K293" s="706">
        <v>37.640167437013879</v>
      </c>
      <c r="L293" s="697">
        <f t="shared" ca="1" si="76"/>
        <v>15.420000037248862</v>
      </c>
      <c r="M293" s="1185">
        <v>13.202293789416606</v>
      </c>
      <c r="N293" s="697">
        <f t="shared" ca="1" si="77"/>
        <v>8.1842553963144997</v>
      </c>
      <c r="O293" s="697"/>
      <c r="P293" s="697"/>
      <c r="Q293" s="697"/>
      <c r="R293" s="706">
        <v>13.046957780510944</v>
      </c>
      <c r="S293" s="697">
        <f t="shared" ca="1" si="78"/>
        <v>6.2754980846405033</v>
      </c>
      <c r="T293" s="1152">
        <v>306.98873179091896</v>
      </c>
      <c r="U293" s="697">
        <f t="shared" ca="1" si="79"/>
        <v>65.1084081344151</v>
      </c>
      <c r="V293" s="697">
        <f t="shared" ca="1" si="83"/>
        <v>41.021279401540347</v>
      </c>
      <c r="W293" s="697">
        <v>40.788402973741476</v>
      </c>
      <c r="X293" s="697">
        <f t="shared" ca="1" si="80"/>
        <v>20.684677803177475</v>
      </c>
      <c r="Y293" s="697">
        <v>40.357983425150472</v>
      </c>
      <c r="Z293" s="697">
        <f t="shared" ca="1" si="81"/>
        <v>15.366110393028141</v>
      </c>
    </row>
    <row r="294" spans="2:26" ht="13.2">
      <c r="B294" s="166">
        <f t="shared" si="82"/>
        <v>44190</v>
      </c>
      <c r="C294"/>
      <c r="G294" s="706">
        <v>40.20340516294754</v>
      </c>
      <c r="H294" s="706">
        <v>338.02897706460482</v>
      </c>
      <c r="I294" s="697">
        <f t="shared" ca="1" si="75"/>
        <v>342.53985194422665</v>
      </c>
      <c r="J294" s="706">
        <v>66.955360568134978</v>
      </c>
      <c r="K294" s="706">
        <v>39.300651583497654</v>
      </c>
      <c r="L294" s="697">
        <f t="shared" ca="1" si="76"/>
        <v>15.420000037248862</v>
      </c>
      <c r="M294" s="1185">
        <v>13.156825553249428</v>
      </c>
      <c r="N294" s="697">
        <f t="shared" ca="1" si="77"/>
        <v>8.1842553963144997</v>
      </c>
      <c r="O294" s="697"/>
      <c r="P294" s="697"/>
      <c r="Q294" s="697"/>
      <c r="R294" s="706">
        <v>12.8776803754568</v>
      </c>
      <c r="S294" s="697">
        <f t="shared" ca="1" si="78"/>
        <v>6.2754980846405033</v>
      </c>
      <c r="T294" s="1152">
        <v>319.19621059139797</v>
      </c>
      <c r="U294" s="697">
        <f t="shared" ca="1" si="79"/>
        <v>65.1084081344151</v>
      </c>
      <c r="V294" s="697">
        <f t="shared" ca="1" si="83"/>
        <v>41.021279401540347</v>
      </c>
      <c r="W294" s="697">
        <v>40.20340516294754</v>
      </c>
      <c r="X294" s="697">
        <f t="shared" ca="1" si="80"/>
        <v>20.684677803177475</v>
      </c>
      <c r="Y294" s="697">
        <v>39.597155542230404</v>
      </c>
      <c r="Z294" s="697">
        <f t="shared" ca="1" si="81"/>
        <v>15.366110393028141</v>
      </c>
    </row>
    <row r="295" spans="2:26" ht="13.2">
      <c r="B295" s="166">
        <f t="shared" si="82"/>
        <v>44197</v>
      </c>
      <c r="C295"/>
      <c r="G295" s="706">
        <v>36.443162957083999</v>
      </c>
      <c r="H295" s="706">
        <v>311.97189637434332</v>
      </c>
      <c r="I295" s="697">
        <f t="shared" ca="1" si="75"/>
        <v>342.53985194422665</v>
      </c>
      <c r="J295" s="706">
        <v>63.631920501709047</v>
      </c>
      <c r="K295" s="706">
        <v>35.518496781060527</v>
      </c>
      <c r="L295" s="697">
        <f t="shared" ca="1" si="76"/>
        <v>15.420000037248862</v>
      </c>
      <c r="M295" s="1185">
        <v>13.708083654683987</v>
      </c>
      <c r="N295" s="697">
        <f t="shared" ca="1" si="77"/>
        <v>8.1842553963144997</v>
      </c>
      <c r="O295" s="697"/>
      <c r="P295" s="697"/>
      <c r="Q295" s="697"/>
      <c r="R295" s="706">
        <v>11.815431034144682</v>
      </c>
      <c r="S295" s="697">
        <f t="shared" ca="1" si="78"/>
        <v>6.2754980846405033</v>
      </c>
      <c r="T295" s="1152">
        <v>289.1484428285894</v>
      </c>
      <c r="U295" s="697">
        <f t="shared" ca="1" si="79"/>
        <v>65.1084081344151</v>
      </c>
      <c r="V295" s="697">
        <f t="shared" ca="1" si="83"/>
        <v>41.021279401540347</v>
      </c>
      <c r="W295" s="697">
        <v>36.443162957083999</v>
      </c>
      <c r="X295" s="697">
        <f t="shared" ca="1" si="80"/>
        <v>20.684677803177475</v>
      </c>
      <c r="Y295" s="697">
        <v>37.755826267685187</v>
      </c>
      <c r="Z295" s="697">
        <f t="shared" ca="1" si="81"/>
        <v>15.366110393028141</v>
      </c>
    </row>
    <row r="296" spans="2:26" ht="13.2">
      <c r="B296" s="166">
        <f t="shared" si="82"/>
        <v>44204</v>
      </c>
      <c r="C296"/>
      <c r="G296" s="706">
        <v>36.760309861310461</v>
      </c>
      <c r="H296" s="706">
        <v>324.73331975315983</v>
      </c>
      <c r="I296" s="697">
        <f t="shared" ca="1" si="75"/>
        <v>342.53985194422665</v>
      </c>
      <c r="J296" s="706">
        <v>63.490308396991409</v>
      </c>
      <c r="K296" s="706">
        <v>37.027995021630566</v>
      </c>
      <c r="L296" s="697">
        <f t="shared" ca="1" si="76"/>
        <v>15.420000037248862</v>
      </c>
      <c r="M296" s="1185">
        <v>13.500011779760852</v>
      </c>
      <c r="N296" s="697">
        <f t="shared" ca="1" si="77"/>
        <v>8.1842553963144997</v>
      </c>
      <c r="O296" s="697"/>
      <c r="P296" s="697"/>
      <c r="Q296" s="697"/>
      <c r="R296" s="706">
        <v>12.120627593948797</v>
      </c>
      <c r="S296" s="697">
        <f t="shared" ca="1" si="78"/>
        <v>6.2754980846405033</v>
      </c>
      <c r="T296" s="1152">
        <v>310.60871067973028</v>
      </c>
      <c r="U296" s="697">
        <f t="shared" ca="1" si="79"/>
        <v>65.1084081344151</v>
      </c>
      <c r="V296" s="697">
        <f t="shared" ca="1" si="83"/>
        <v>41.021279401540347</v>
      </c>
      <c r="W296" s="697">
        <v>36.760309861310461</v>
      </c>
      <c r="X296" s="697">
        <f t="shared" ca="1" si="80"/>
        <v>20.684677803177475</v>
      </c>
      <c r="Y296" s="697">
        <v>37.858797630360719</v>
      </c>
      <c r="Z296" s="697">
        <f t="shared" ca="1" si="81"/>
        <v>15.366110393028141</v>
      </c>
    </row>
    <row r="297" spans="2:26" ht="13.2">
      <c r="B297" s="166">
        <f t="shared" si="82"/>
        <v>44211</v>
      </c>
      <c r="C297"/>
      <c r="G297" s="706">
        <v>35.097208715360715</v>
      </c>
      <c r="H297" s="706">
        <v>318.68724824627668</v>
      </c>
      <c r="I297" s="697">
        <f t="shared" ca="1" si="75"/>
        <v>342.53985194422665</v>
      </c>
      <c r="J297" s="706">
        <v>61.440557312074247</v>
      </c>
      <c r="K297" s="706">
        <v>36.013008891166784</v>
      </c>
      <c r="L297" s="697">
        <f t="shared" ca="1" si="76"/>
        <v>15.420000037248862</v>
      </c>
      <c r="M297" s="1185">
        <v>12.835309943998118</v>
      </c>
      <c r="N297" s="697">
        <f t="shared" ca="1" si="77"/>
        <v>8.1842553963144997</v>
      </c>
      <c r="O297" s="697"/>
      <c r="P297" s="697"/>
      <c r="Q297" s="697"/>
      <c r="R297" s="706">
        <v>12.03272745127601</v>
      </c>
      <c r="S297" s="697">
        <f t="shared" ca="1" si="78"/>
        <v>6.2754980846405033</v>
      </c>
      <c r="T297" s="1152">
        <v>298.95276765467827</v>
      </c>
      <c r="U297" s="697">
        <f t="shared" ca="1" si="79"/>
        <v>65.1084081344151</v>
      </c>
      <c r="V297" s="697">
        <f t="shared" ca="1" si="83"/>
        <v>41.021279401540347</v>
      </c>
      <c r="W297" s="697">
        <v>35.097208715360715</v>
      </c>
      <c r="X297" s="697">
        <f t="shared" ca="1" si="80"/>
        <v>20.684677803177475</v>
      </c>
      <c r="Y297" s="697">
        <v>35.324361231881063</v>
      </c>
      <c r="Z297" s="697">
        <f t="shared" ca="1" si="81"/>
        <v>15.366110393028141</v>
      </c>
    </row>
    <row r="298" spans="2:26" ht="13.2">
      <c r="B298" s="166">
        <f t="shared" si="82"/>
        <v>44218</v>
      </c>
      <c r="C298"/>
      <c r="G298" s="706">
        <v>36.149875398910424</v>
      </c>
      <c r="H298" s="706">
        <v>323.229409419597</v>
      </c>
      <c r="I298" s="697">
        <f t="shared" ca="1" si="75"/>
        <v>342.53985194422665</v>
      </c>
      <c r="J298" s="706">
        <v>62.927550702613466</v>
      </c>
      <c r="K298" s="706">
        <v>36.654462657212235</v>
      </c>
      <c r="L298" s="697">
        <f t="shared" ca="1" si="76"/>
        <v>15.420000037248862</v>
      </c>
      <c r="M298" s="1185">
        <v>13.598486295844589</v>
      </c>
      <c r="N298" s="697">
        <f t="shared" ca="1" si="77"/>
        <v>8.1842553963144997</v>
      </c>
      <c r="O298" s="697"/>
      <c r="P298" s="697"/>
      <c r="Q298" s="697"/>
      <c r="R298" s="706">
        <v>12.401136191334523</v>
      </c>
      <c r="S298" s="697">
        <f t="shared" ca="1" si="78"/>
        <v>6.2754980846405033</v>
      </c>
      <c r="T298" s="1152">
        <v>303.77938606716094</v>
      </c>
      <c r="U298" s="697">
        <f t="shared" ca="1" si="79"/>
        <v>65.1084081344151</v>
      </c>
      <c r="V298" s="697">
        <f t="shared" ca="1" si="83"/>
        <v>41.021279401540347</v>
      </c>
      <c r="W298" s="697">
        <v>36.149875398910424</v>
      </c>
      <c r="X298" s="697">
        <f t="shared" ca="1" si="80"/>
        <v>20.684677803177475</v>
      </c>
      <c r="Y298" s="697">
        <v>36.225722337725934</v>
      </c>
      <c r="Z298" s="697">
        <f t="shared" ca="1" si="81"/>
        <v>15.366110393028141</v>
      </c>
    </row>
    <row r="299" spans="2:26" ht="13.2">
      <c r="B299" s="166">
        <f t="shared" si="82"/>
        <v>44225</v>
      </c>
      <c r="C299"/>
      <c r="G299" s="706">
        <v>33.650389714523484</v>
      </c>
      <c r="H299" s="706">
        <v>291.27979473946976</v>
      </c>
      <c r="I299" s="697">
        <f t="shared" ca="1" si="75"/>
        <v>342.53985194422665</v>
      </c>
      <c r="J299" s="706">
        <v>59.259009146958341</v>
      </c>
      <c r="K299" s="706">
        <v>33.237271291629504</v>
      </c>
      <c r="L299" s="697">
        <f t="shared" ca="1" si="76"/>
        <v>15.420000037248862</v>
      </c>
      <c r="M299" s="1185">
        <v>13.948764937534557</v>
      </c>
      <c r="N299" s="697">
        <f t="shared" ca="1" si="77"/>
        <v>8.1842553963144997</v>
      </c>
      <c r="O299" s="697"/>
      <c r="P299" s="697"/>
      <c r="Q299" s="697"/>
      <c r="R299" s="706">
        <v>11.755040040900198</v>
      </c>
      <c r="S299" s="697">
        <f t="shared" ca="1" si="78"/>
        <v>6.2754980846405033</v>
      </c>
      <c r="T299" s="1152">
        <v>266.26172073910141</v>
      </c>
      <c r="U299" s="697">
        <f t="shared" ca="1" si="79"/>
        <v>65.1084081344151</v>
      </c>
      <c r="V299" s="697">
        <f t="shared" ca="1" si="83"/>
        <v>41.021279401540347</v>
      </c>
      <c r="W299" s="697">
        <v>33.650389714523484</v>
      </c>
      <c r="X299" s="697">
        <f t="shared" ca="1" si="80"/>
        <v>20.684677803177475</v>
      </c>
      <c r="Y299" s="697">
        <v>35.341689890176937</v>
      </c>
      <c r="Z299" s="697">
        <f t="shared" ca="1" si="81"/>
        <v>15.366110393028141</v>
      </c>
    </row>
    <row r="300" spans="2:26" ht="13.2">
      <c r="B300" s="166">
        <f t="shared" si="82"/>
        <v>44232</v>
      </c>
      <c r="C300"/>
      <c r="G300" s="706">
        <v>37.034681550159171</v>
      </c>
      <c r="H300" s="706">
        <v>331.77524151767165</v>
      </c>
      <c r="I300" s="697">
        <f t="shared" ca="1" si="75"/>
        <v>342.53985194422665</v>
      </c>
      <c r="J300" s="706">
        <v>62.688089607555639</v>
      </c>
      <c r="K300" s="706">
        <v>38.766734709000787</v>
      </c>
      <c r="L300" s="697">
        <f t="shared" ca="1" si="76"/>
        <v>15.420000037248862</v>
      </c>
      <c r="M300" s="1185">
        <v>14.663814400913481</v>
      </c>
      <c r="N300" s="697">
        <f t="shared" ca="1" si="77"/>
        <v>8.1842553963144997</v>
      </c>
      <c r="O300" s="697"/>
      <c r="P300" s="697"/>
      <c r="Q300" s="697"/>
      <c r="R300" s="706">
        <v>12.923474949036111</v>
      </c>
      <c r="S300" s="697">
        <f t="shared" ca="1" si="78"/>
        <v>6.2754980846405033</v>
      </c>
      <c r="T300" s="1152">
        <v>302.45482977373774</v>
      </c>
      <c r="U300" s="697">
        <f t="shared" ca="1" si="79"/>
        <v>65.1084081344151</v>
      </c>
      <c r="V300" s="697">
        <f t="shared" ca="1" si="83"/>
        <v>41.021279401540347</v>
      </c>
      <c r="W300" s="697">
        <v>37.034681550159171</v>
      </c>
      <c r="X300" s="697">
        <f t="shared" ca="1" si="80"/>
        <v>20.684677803177475</v>
      </c>
      <c r="Y300" s="697">
        <v>38.244087385107647</v>
      </c>
      <c r="Z300" s="697">
        <f t="shared" ca="1" si="81"/>
        <v>15.366110393028141</v>
      </c>
    </row>
    <row r="301" spans="2:26" ht="13.2">
      <c r="B301" s="166">
        <f t="shared" si="82"/>
        <v>44239</v>
      </c>
      <c r="C301"/>
      <c r="G301" s="706">
        <v>36.651686481919697</v>
      </c>
      <c r="H301" s="706">
        <v>366.30133425705827</v>
      </c>
      <c r="I301" s="697">
        <f t="shared" ca="1" si="75"/>
        <v>342.53985194422665</v>
      </c>
      <c r="J301" s="706">
        <v>62.568308826608408</v>
      </c>
      <c r="K301" s="706">
        <v>43.625292310242074</v>
      </c>
      <c r="L301" s="697">
        <f t="shared" ca="1" si="76"/>
        <v>15.420000037248862</v>
      </c>
      <c r="M301" s="1185">
        <v>14.252376981730436</v>
      </c>
      <c r="N301" s="697">
        <f t="shared" ca="1" si="77"/>
        <v>8.1842553963144997</v>
      </c>
      <c r="O301" s="697"/>
      <c r="P301" s="697"/>
      <c r="Q301" s="697"/>
      <c r="R301" s="706">
        <v>13.563881292239337</v>
      </c>
      <c r="S301" s="697">
        <f t="shared" ca="1" si="78"/>
        <v>6.2754980846405033</v>
      </c>
      <c r="T301" s="1152">
        <v>324.81535515569215</v>
      </c>
      <c r="U301" s="697">
        <f t="shared" ca="1" si="79"/>
        <v>65.1084081344151</v>
      </c>
      <c r="V301" s="697">
        <f t="shared" ca="1" si="83"/>
        <v>41.021279401540347</v>
      </c>
      <c r="W301" s="697">
        <v>36.651686481919697</v>
      </c>
      <c r="X301" s="697">
        <f t="shared" ca="1" si="80"/>
        <v>20.684677803177475</v>
      </c>
      <c r="Y301" s="697">
        <v>39.040704603825255</v>
      </c>
      <c r="Z301" s="697">
        <f t="shared" ca="1" si="81"/>
        <v>15.366110393028141</v>
      </c>
    </row>
    <row r="302" spans="2:26" ht="13.2">
      <c r="B302" s="166">
        <f t="shared" si="82"/>
        <v>44246</v>
      </c>
      <c r="C302"/>
      <c r="G302" s="706">
        <v>35.346450367620591</v>
      </c>
      <c r="H302" s="706">
        <v>345.47874871502665</v>
      </c>
      <c r="I302" s="697">
        <f t="shared" ca="1" si="75"/>
        <v>342.53985194422665</v>
      </c>
      <c r="J302" s="706">
        <v>61.327051276923385</v>
      </c>
      <c r="K302" s="706">
        <v>40.367484846989626</v>
      </c>
      <c r="L302" s="697">
        <f t="shared" ca="1" si="76"/>
        <v>15.420000037248862</v>
      </c>
      <c r="M302" s="1185">
        <v>14.18961621812889</v>
      </c>
      <c r="N302" s="697">
        <f t="shared" ca="1" si="77"/>
        <v>8.1842553963144997</v>
      </c>
      <c r="O302" s="697"/>
      <c r="P302" s="697"/>
      <c r="Q302" s="697"/>
      <c r="R302" s="706">
        <v>13.332264206935671</v>
      </c>
      <c r="S302" s="697">
        <f t="shared" ca="1" si="78"/>
        <v>6.2754980846405033</v>
      </c>
      <c r="T302" s="1152">
        <v>291.56620490878004</v>
      </c>
      <c r="U302" s="697">
        <f t="shared" ca="1" si="79"/>
        <v>65.1084081344151</v>
      </c>
      <c r="V302" s="697">
        <f t="shared" ca="1" si="83"/>
        <v>41.021279401540347</v>
      </c>
      <c r="W302" s="697">
        <v>35.346450367620591</v>
      </c>
      <c r="X302" s="697">
        <f t="shared" ca="1" si="80"/>
        <v>20.684677803177475</v>
      </c>
      <c r="Y302" s="697">
        <v>50.221027015829677</v>
      </c>
      <c r="Z302" s="697">
        <f t="shared" ca="1" si="81"/>
        <v>15.366110393028141</v>
      </c>
    </row>
    <row r="303" spans="2:26" ht="13.2">
      <c r="B303" s="166">
        <f t="shared" si="82"/>
        <v>44253</v>
      </c>
      <c r="C303"/>
      <c r="G303" s="706">
        <v>32.909758181065932</v>
      </c>
      <c r="H303" s="706">
        <v>307.25494854558389</v>
      </c>
      <c r="I303" s="697">
        <f t="shared" ca="1" si="75"/>
        <v>342.53985194422665</v>
      </c>
      <c r="J303" s="706">
        <v>58.417376075008846</v>
      </c>
      <c r="K303" s="706">
        <v>35.665926359483088</v>
      </c>
      <c r="L303" s="697">
        <f t="shared" ca="1" si="76"/>
        <v>15.420000037248862</v>
      </c>
      <c r="M303" s="1185">
        <v>12.705665626491971</v>
      </c>
      <c r="N303" s="697">
        <f t="shared" ca="1" si="77"/>
        <v>8.1842553963144997</v>
      </c>
      <c r="O303" s="697"/>
      <c r="P303" s="697"/>
      <c r="Q303" s="697"/>
      <c r="R303" s="706">
        <v>12.308655293366293</v>
      </c>
      <c r="S303" s="697">
        <f t="shared" ca="1" si="78"/>
        <v>6.2754980846405033</v>
      </c>
      <c r="T303" s="1152">
        <v>261.9115539428318</v>
      </c>
      <c r="U303" s="697">
        <f t="shared" ca="1" si="79"/>
        <v>65.1084081344151</v>
      </c>
      <c r="V303" s="697">
        <f t="shared" ca="1" si="83"/>
        <v>41.021279401540347</v>
      </c>
      <c r="W303" s="697">
        <v>32.909758181065932</v>
      </c>
      <c r="X303" s="697">
        <f t="shared" ca="1" si="80"/>
        <v>20.684677803177475</v>
      </c>
      <c r="Y303" s="697">
        <v>52.260988449731784</v>
      </c>
      <c r="Z303" s="697">
        <f t="shared" ca="1" si="81"/>
        <v>15.366110393028141</v>
      </c>
    </row>
    <row r="304" spans="2:26" ht="13.2">
      <c r="B304" s="166">
        <f t="shared" si="82"/>
        <v>44260</v>
      </c>
      <c r="C304"/>
      <c r="G304" s="706">
        <v>29.476875302534005</v>
      </c>
      <c r="H304" s="706">
        <v>267.67426948708743</v>
      </c>
      <c r="I304" s="697">
        <f t="shared" ca="1" si="75"/>
        <v>342.53985194422665</v>
      </c>
      <c r="J304" s="706">
        <v>64.346245872879962</v>
      </c>
      <c r="K304" s="706">
        <v>31.140295813337033</v>
      </c>
      <c r="L304" s="697">
        <f t="shared" ca="1" si="76"/>
        <v>15.420000037248862</v>
      </c>
      <c r="M304" s="1185">
        <v>12.217199355241744</v>
      </c>
      <c r="N304" s="697">
        <f t="shared" ca="1" si="77"/>
        <v>8.1842553963144997</v>
      </c>
      <c r="O304" s="697"/>
      <c r="P304" s="697"/>
      <c r="Q304" s="697"/>
      <c r="R304" s="706">
        <v>11.0081826836226</v>
      </c>
      <c r="S304" s="697">
        <f t="shared" ca="1" si="78"/>
        <v>6.2754980846405033</v>
      </c>
      <c r="T304" s="1152">
        <v>224.3099843356926</v>
      </c>
      <c r="U304" s="697">
        <f t="shared" ca="1" si="79"/>
        <v>65.1084081344151</v>
      </c>
      <c r="V304" s="697">
        <f t="shared" ca="1" si="83"/>
        <v>41.021279401540347</v>
      </c>
      <c r="W304" s="697">
        <v>29.476875302534005</v>
      </c>
      <c r="X304" s="697">
        <f t="shared" ca="1" si="80"/>
        <v>20.684677803177475</v>
      </c>
      <c r="Y304" s="697">
        <v>47.366625952218314</v>
      </c>
      <c r="Z304" s="697">
        <f t="shared" ca="1" si="81"/>
        <v>15.366110393028141</v>
      </c>
    </row>
    <row r="305" spans="2:26" ht="13.2">
      <c r="B305" s="166">
        <f t="shared" si="82"/>
        <v>44267</v>
      </c>
      <c r="C305"/>
      <c r="G305" s="706">
        <v>31.412386628987768</v>
      </c>
      <c r="H305" s="706">
        <v>268.8065613658917</v>
      </c>
      <c r="I305" s="697">
        <f t="shared" ca="1" si="75"/>
        <v>342.53985194422665</v>
      </c>
      <c r="J305" s="706">
        <v>63.910493633830946</v>
      </c>
      <c r="K305" s="706">
        <v>31.232684971435791</v>
      </c>
      <c r="L305" s="697">
        <f t="shared" ca="1" si="76"/>
        <v>15.420000037248862</v>
      </c>
      <c r="M305" s="1185">
        <v>12.074568345065201</v>
      </c>
      <c r="N305" s="697">
        <f t="shared" ca="1" si="77"/>
        <v>8.1842553963144997</v>
      </c>
      <c r="O305" s="697"/>
      <c r="P305" s="697"/>
      <c r="Q305" s="697"/>
      <c r="R305" s="706">
        <v>11.599562636830104</v>
      </c>
      <c r="S305" s="697">
        <f t="shared" ca="1" si="78"/>
        <v>6.2754980846405033</v>
      </c>
      <c r="T305" s="1152">
        <v>225.0434252430787</v>
      </c>
      <c r="U305" s="697">
        <f t="shared" ca="1" si="79"/>
        <v>65.1084081344151</v>
      </c>
      <c r="V305" s="697">
        <f t="shared" ca="1" si="83"/>
        <v>41.021279401540347</v>
      </c>
      <c r="W305" s="697">
        <v>31.412386628987768</v>
      </c>
      <c r="X305" s="697">
        <f t="shared" ca="1" si="80"/>
        <v>20.684677803177475</v>
      </c>
      <c r="Y305" s="697">
        <v>45.921738562635184</v>
      </c>
      <c r="Z305" s="697">
        <f t="shared" ca="1" si="81"/>
        <v>15.366110393028141</v>
      </c>
    </row>
    <row r="306" spans="2:26" ht="13.2">
      <c r="B306" s="166">
        <f t="shared" si="82"/>
        <v>44274</v>
      </c>
      <c r="C306"/>
      <c r="G306" s="706">
        <v>30.308146428523116</v>
      </c>
      <c r="H306" s="706">
        <v>263.17062322997521</v>
      </c>
      <c r="I306" s="697">
        <f t="shared" ca="1" si="75"/>
        <v>342.53985194422665</v>
      </c>
      <c r="J306" s="706">
        <v>62.420827076007185</v>
      </c>
      <c r="K306" s="706">
        <v>30.386945309931484</v>
      </c>
      <c r="L306" s="697">
        <f t="shared" ca="1" si="76"/>
        <v>15.420000037248862</v>
      </c>
      <c r="M306" s="1185">
        <v>11.736295550372434</v>
      </c>
      <c r="N306" s="697">
        <f t="shared" ca="1" si="77"/>
        <v>8.1842553963144997</v>
      </c>
      <c r="O306" s="697"/>
      <c r="P306" s="697"/>
      <c r="Q306" s="697"/>
      <c r="R306" s="706">
        <v>11.227505027392777</v>
      </c>
      <c r="S306" s="697">
        <f t="shared" ca="1" si="78"/>
        <v>6.2754980846405033</v>
      </c>
      <c r="T306" s="1152">
        <v>219.60916232610407</v>
      </c>
      <c r="U306" s="697">
        <f t="shared" ca="1" si="79"/>
        <v>65.1084081344151</v>
      </c>
      <c r="V306" s="697">
        <f t="shared" ca="1" si="83"/>
        <v>41.021279401540347</v>
      </c>
      <c r="W306" s="697">
        <v>30.308146428523116</v>
      </c>
      <c r="X306" s="697">
        <f t="shared" ca="1" si="80"/>
        <v>20.684677803177475</v>
      </c>
      <c r="Y306" s="697">
        <v>44.58937571223781</v>
      </c>
      <c r="Z306" s="697">
        <f t="shared" ca="1" si="81"/>
        <v>15.366110393028141</v>
      </c>
    </row>
    <row r="307" spans="2:26" ht="13.2">
      <c r="B307" s="166">
        <f t="shared" si="82"/>
        <v>44281</v>
      </c>
      <c r="C307"/>
      <c r="G307" s="706">
        <v>28.745810841770947</v>
      </c>
      <c r="H307" s="706">
        <v>249.1436200837631</v>
      </c>
      <c r="I307" s="697">
        <f t="shared" ca="1" si="75"/>
        <v>342.53985194422665</v>
      </c>
      <c r="J307" s="706">
        <v>58.638141193779596</v>
      </c>
      <c r="K307" s="706">
        <v>28.634718455245583</v>
      </c>
      <c r="L307" s="697">
        <f t="shared" ca="1" si="76"/>
        <v>15.420000037248862</v>
      </c>
      <c r="M307" s="1185">
        <v>11.853626648418702</v>
      </c>
      <c r="N307" s="697">
        <f t="shared" ca="1" si="77"/>
        <v>8.1842553963144997</v>
      </c>
      <c r="O307" s="697"/>
      <c r="P307" s="697"/>
      <c r="Q307" s="697"/>
      <c r="R307" s="706">
        <v>10.496144053955721</v>
      </c>
      <c r="S307" s="697">
        <f t="shared" ca="1" si="78"/>
        <v>6.2754980846405033</v>
      </c>
      <c r="T307" s="1152">
        <v>206.36856820459241</v>
      </c>
      <c r="U307" s="697">
        <f t="shared" ca="1" si="79"/>
        <v>65.1084081344151</v>
      </c>
      <c r="V307" s="697">
        <f t="shared" ca="1" si="83"/>
        <v>41.021279401540347</v>
      </c>
      <c r="W307" s="697">
        <v>28.745810841770947</v>
      </c>
      <c r="X307" s="697">
        <f t="shared" ca="1" si="80"/>
        <v>20.684677803177475</v>
      </c>
      <c r="Y307" s="697">
        <v>43.901067575060836</v>
      </c>
      <c r="Z307" s="697">
        <f t="shared" ca="1" si="81"/>
        <v>15.366110393028141</v>
      </c>
    </row>
    <row r="308" spans="2:26" ht="13.2">
      <c r="B308" s="166">
        <f t="shared" si="82"/>
        <v>44288</v>
      </c>
      <c r="C308"/>
      <c r="G308" s="706">
        <v>30.769313059641256</v>
      </c>
      <c r="H308" s="706">
        <v>269.961042676977</v>
      </c>
      <c r="I308" s="697">
        <f t="shared" ca="1" si="75"/>
        <v>342.53985194422665</v>
      </c>
      <c r="J308" s="706">
        <v>61.101567318325479</v>
      </c>
      <c r="K308" s="706">
        <v>31.499461925454145</v>
      </c>
      <c r="L308" s="697">
        <f t="shared" ca="1" si="76"/>
        <v>15.420000037248862</v>
      </c>
      <c r="M308" s="1185">
        <v>12.477842488984825</v>
      </c>
      <c r="N308" s="697">
        <f t="shared" ca="1" si="77"/>
        <v>8.1842553963144997</v>
      </c>
      <c r="O308" s="697"/>
      <c r="P308" s="697"/>
      <c r="Q308" s="697"/>
      <c r="R308" s="706">
        <v>11.311013589216667</v>
      </c>
      <c r="S308" s="697">
        <f t="shared" ca="1" si="78"/>
        <v>6.2754980846405033</v>
      </c>
      <c r="T308" s="1152">
        <v>228.61445381505112</v>
      </c>
      <c r="U308" s="697">
        <f t="shared" ca="1" si="79"/>
        <v>65.1084081344151</v>
      </c>
      <c r="V308" s="697">
        <f t="shared" ca="1" si="83"/>
        <v>41.021279401540347</v>
      </c>
      <c r="W308" s="697">
        <v>30.769313059641256</v>
      </c>
      <c r="X308" s="697">
        <f t="shared" ca="1" si="80"/>
        <v>20.684677803177475</v>
      </c>
      <c r="Y308" s="697">
        <v>50.485751011718598</v>
      </c>
      <c r="Z308" s="697">
        <f t="shared" ca="1" si="81"/>
        <v>15.366110393028141</v>
      </c>
    </row>
    <row r="309" spans="2:26" ht="13.2">
      <c r="B309" s="166">
        <f t="shared" si="82"/>
        <v>44295</v>
      </c>
      <c r="C309"/>
      <c r="G309" s="706">
        <v>32.021930566456078</v>
      </c>
      <c r="H309" s="706">
        <v>286.30356230402219</v>
      </c>
      <c r="I309" s="697">
        <f t="shared" ca="1" si="75"/>
        <v>342.53985194422665</v>
      </c>
      <c r="J309" s="706">
        <v>61.756752201981818</v>
      </c>
      <c r="K309" s="706">
        <v>33.322198589481246</v>
      </c>
      <c r="L309" s="697">
        <f t="shared" ca="1" si="76"/>
        <v>15.420000037248862</v>
      </c>
      <c r="M309" s="1185">
        <v>12.649497553589676</v>
      </c>
      <c r="N309" s="697">
        <f t="shared" ca="1" si="77"/>
        <v>8.1842553963144997</v>
      </c>
      <c r="O309" s="697"/>
      <c r="P309" s="697"/>
      <c r="Q309" s="697"/>
      <c r="R309" s="706">
        <v>11.763213809661471</v>
      </c>
      <c r="S309" s="697">
        <f t="shared" ca="1" si="78"/>
        <v>6.2754980846405033</v>
      </c>
      <c r="T309" s="1152">
        <v>242.05558475971438</v>
      </c>
      <c r="U309" s="697">
        <f t="shared" ca="1" si="79"/>
        <v>65.1084081344151</v>
      </c>
      <c r="V309" s="697">
        <f t="shared" ca="1" si="83"/>
        <v>41.021279401540347</v>
      </c>
      <c r="W309" s="697">
        <v>32.021930566456078</v>
      </c>
      <c r="X309" s="697">
        <f t="shared" ca="1" si="80"/>
        <v>20.684677803177475</v>
      </c>
      <c r="Y309" s="697">
        <v>51.093865330091788</v>
      </c>
      <c r="Z309" s="697">
        <f t="shared" ca="1" si="81"/>
        <v>15.366110393028141</v>
      </c>
    </row>
    <row r="310" spans="2:26" ht="13.2">
      <c r="B310" s="166">
        <f t="shared" si="82"/>
        <v>44302</v>
      </c>
      <c r="C310"/>
      <c r="G310" s="706">
        <v>31.677119624020566</v>
      </c>
      <c r="H310" s="706">
        <v>281.5239624119157</v>
      </c>
      <c r="I310" s="697">
        <f t="shared" ca="1" si="75"/>
        <v>342.53985194422665</v>
      </c>
      <c r="J310" s="706">
        <v>59.997176792101619</v>
      </c>
      <c r="K310" s="706">
        <v>32.567910148594535</v>
      </c>
      <c r="L310" s="697">
        <f t="shared" ca="1" si="76"/>
        <v>15.420000037248862</v>
      </c>
      <c r="M310" s="1185">
        <v>12.875407982158622</v>
      </c>
      <c r="N310" s="697">
        <f t="shared" ca="1" si="77"/>
        <v>8.1842553963144997</v>
      </c>
      <c r="O310" s="697"/>
      <c r="P310" s="697"/>
      <c r="Q310" s="697"/>
      <c r="R310" s="706">
        <v>11.616871211473526</v>
      </c>
      <c r="S310" s="697">
        <f t="shared" ca="1" si="78"/>
        <v>6.2754980846405033</v>
      </c>
      <c r="T310" s="1152">
        <v>237.34326846514409</v>
      </c>
      <c r="U310" s="697">
        <f t="shared" ca="1" si="79"/>
        <v>65.1084081344151</v>
      </c>
      <c r="V310" s="697">
        <f t="shared" ca="1" si="83"/>
        <v>41.021279401540347</v>
      </c>
      <c r="W310" s="697">
        <v>31.677119624020566</v>
      </c>
      <c r="X310" s="697">
        <f t="shared" ca="1" si="80"/>
        <v>20.684677803177475</v>
      </c>
      <c r="Y310" s="697">
        <v>50.599966225357171</v>
      </c>
      <c r="Z310" s="697">
        <f t="shared" ca="1" si="81"/>
        <v>15.366110393028141</v>
      </c>
    </row>
    <row r="311" spans="2:26" ht="13.2">
      <c r="B311" s="166">
        <f t="shared" si="82"/>
        <v>44309</v>
      </c>
      <c r="C311"/>
      <c r="G311" s="706">
        <v>31.261093289888741</v>
      </c>
      <c r="H311" s="706">
        <v>253.44328088953708</v>
      </c>
      <c r="I311" s="697">
        <f t="shared" ca="1" si="75"/>
        <v>342.53985194422665</v>
      </c>
      <c r="J311" s="706">
        <v>57.40390576172291</v>
      </c>
      <c r="K311" s="706">
        <v>29.093081362091013</v>
      </c>
      <c r="L311" s="697">
        <f t="shared" ca="1" si="76"/>
        <v>15.420000037248862</v>
      </c>
      <c r="M311" s="1185">
        <v>12.506329107697205</v>
      </c>
      <c r="N311" s="697">
        <f t="shared" ca="1" si="77"/>
        <v>8.1842553963144997</v>
      </c>
      <c r="O311" s="697"/>
      <c r="P311" s="697"/>
      <c r="Q311" s="697"/>
      <c r="R311" s="706">
        <v>11.264010019109547</v>
      </c>
      <c r="S311" s="697">
        <f t="shared" ca="1" si="78"/>
        <v>6.2754980846405033</v>
      </c>
      <c r="T311" s="1152">
        <v>215.60662079838642</v>
      </c>
      <c r="U311" s="697">
        <f t="shared" ca="1" si="79"/>
        <v>65.1084081344151</v>
      </c>
      <c r="V311" s="697">
        <f t="shared" ca="1" si="83"/>
        <v>41.021279401540347</v>
      </c>
      <c r="W311" s="697">
        <v>31.261093289888741</v>
      </c>
      <c r="X311" s="697">
        <f t="shared" ca="1" si="80"/>
        <v>20.684677803177475</v>
      </c>
      <c r="Y311" s="697">
        <v>50.020014061321412</v>
      </c>
      <c r="Z311" s="697">
        <f t="shared" ca="1" si="81"/>
        <v>15.366110393028141</v>
      </c>
    </row>
    <row r="312" spans="2:26" ht="13.2">
      <c r="B312" s="166">
        <f t="shared" si="82"/>
        <v>44316</v>
      </c>
      <c r="C312"/>
      <c r="G312" s="706">
        <v>30.846813741460267</v>
      </c>
      <c r="H312" s="706">
        <v>261.65219762532894</v>
      </c>
      <c r="I312" s="697">
        <f t="shared" ca="1" si="75"/>
        <v>342.53985194422665</v>
      </c>
      <c r="J312" s="706">
        <v>54.406701912092366</v>
      </c>
      <c r="K312" s="706">
        <v>29.247522073711242</v>
      </c>
      <c r="L312" s="697">
        <f t="shared" ca="1" si="76"/>
        <v>15.420000037248862</v>
      </c>
      <c r="M312" s="1185">
        <v>13.019952187578548</v>
      </c>
      <c r="N312" s="697">
        <f t="shared" ca="1" si="77"/>
        <v>8.1842553963144997</v>
      </c>
      <c r="O312" s="697"/>
      <c r="P312" s="697"/>
      <c r="Q312" s="697"/>
      <c r="R312" s="706">
        <v>11.006998329693054</v>
      </c>
      <c r="S312" s="697">
        <f t="shared" ca="1" si="78"/>
        <v>6.2754980846405033</v>
      </c>
      <c r="T312" s="1152">
        <v>257.30294064976073</v>
      </c>
      <c r="U312" s="697">
        <f t="shared" ca="1" si="79"/>
        <v>65.1084081344151</v>
      </c>
      <c r="V312" s="697">
        <f t="shared" ca="1" si="83"/>
        <v>41.021279401540347</v>
      </c>
      <c r="W312" s="697">
        <v>30.846813741460267</v>
      </c>
      <c r="X312" s="697">
        <f t="shared" ca="1" si="80"/>
        <v>20.684677803177475</v>
      </c>
      <c r="Y312" s="697">
        <v>51.769925769519276</v>
      </c>
      <c r="Z312" s="697">
        <f t="shared" ca="1" si="81"/>
        <v>15.366110393028141</v>
      </c>
    </row>
    <row r="313" spans="2:26" ht="13.2">
      <c r="B313" s="166">
        <f t="shared" si="82"/>
        <v>44323</v>
      </c>
      <c r="C313"/>
      <c r="G313" s="706">
        <v>28.938511873390063</v>
      </c>
      <c r="H313" s="706">
        <v>244.77736167539882</v>
      </c>
      <c r="I313" s="697">
        <f t="shared" ca="1" si="75"/>
        <v>342.53985194422665</v>
      </c>
      <c r="J313" s="706">
        <v>54.465222126563866</v>
      </c>
      <c r="K313" s="706">
        <v>27.175232594206193</v>
      </c>
      <c r="L313" s="697">
        <f t="shared" ca="1" si="76"/>
        <v>15.420000037248862</v>
      </c>
      <c r="M313" s="1185">
        <v>11.961426443816976</v>
      </c>
      <c r="N313" s="697">
        <f t="shared" ca="1" si="77"/>
        <v>8.1842553963144997</v>
      </c>
      <c r="O313" s="697"/>
      <c r="P313" s="697"/>
      <c r="Q313" s="697"/>
      <c r="R313" s="706">
        <v>10.019153708919408</v>
      </c>
      <c r="S313" s="697">
        <f t="shared" ca="1" si="78"/>
        <v>6.2754980846405033</v>
      </c>
      <c r="T313" s="1152">
        <v>239.72002934336618</v>
      </c>
      <c r="U313" s="697">
        <f t="shared" ca="1" si="79"/>
        <v>65.1084081344151</v>
      </c>
      <c r="V313" s="697">
        <f t="shared" ca="1" si="83"/>
        <v>41.021279401540347</v>
      </c>
      <c r="W313" s="697">
        <v>28.938511873390063</v>
      </c>
      <c r="X313" s="697">
        <f t="shared" ca="1" si="80"/>
        <v>20.684677803177475</v>
      </c>
      <c r="Y313" s="697">
        <v>48.400310199814484</v>
      </c>
      <c r="Z313" s="697">
        <f t="shared" ca="1" si="81"/>
        <v>15.366110393028141</v>
      </c>
    </row>
    <row r="314" spans="2:26" ht="13.2">
      <c r="B314" s="166">
        <f t="shared" si="82"/>
        <v>44330</v>
      </c>
      <c r="C314"/>
      <c r="G314" s="706">
        <v>26.270148607632422</v>
      </c>
      <c r="H314" s="706">
        <v>238.65772040601706</v>
      </c>
      <c r="I314" s="697">
        <f t="shared" ca="1" si="75"/>
        <v>342.53985194422665</v>
      </c>
      <c r="J314" s="706">
        <v>49.721902947125301</v>
      </c>
      <c r="K314" s="706">
        <v>26.350801355162591</v>
      </c>
      <c r="L314" s="697">
        <f t="shared" ca="1" si="76"/>
        <v>15.420000037248862</v>
      </c>
      <c r="M314" s="1185">
        <v>11.27311542064775</v>
      </c>
      <c r="N314" s="697">
        <f t="shared" ca="1" si="77"/>
        <v>8.1842553963144997</v>
      </c>
      <c r="O314" s="697"/>
      <c r="P314" s="697"/>
      <c r="Q314" s="697"/>
      <c r="R314" s="706">
        <v>9.3563182924177326</v>
      </c>
      <c r="S314" s="697">
        <f t="shared" ca="1" si="78"/>
        <v>6.2754980846405033</v>
      </c>
      <c r="T314" s="1152">
        <v>234.0471584383655</v>
      </c>
      <c r="U314" s="697">
        <f t="shared" ca="1" si="79"/>
        <v>65.1084081344151</v>
      </c>
      <c r="V314" s="697">
        <f t="shared" ca="1" si="83"/>
        <v>41.021279401540347</v>
      </c>
      <c r="W314" s="697">
        <v>26.270148607632422</v>
      </c>
      <c r="X314" s="697">
        <f t="shared" ca="1" si="80"/>
        <v>20.684677803177475</v>
      </c>
      <c r="Y314" s="697">
        <v>44.357626376507035</v>
      </c>
      <c r="Z314" s="697">
        <f t="shared" ca="1" si="81"/>
        <v>15.366110393028141</v>
      </c>
    </row>
    <row r="315" spans="2:26" ht="13.2">
      <c r="B315" s="166">
        <f t="shared" si="82"/>
        <v>44337</v>
      </c>
      <c r="C315"/>
      <c r="G315" s="706">
        <v>26.412305573828842</v>
      </c>
      <c r="H315" s="706">
        <v>268.68514888559821</v>
      </c>
      <c r="I315" s="697">
        <f t="shared" ca="1" si="75"/>
        <v>342.53985194422665</v>
      </c>
      <c r="J315" s="706">
        <v>49.538281319953484</v>
      </c>
      <c r="K315" s="706">
        <v>29.74025395215499</v>
      </c>
      <c r="L315" s="697">
        <f t="shared" ca="1" si="76"/>
        <v>15.420000037248862</v>
      </c>
      <c r="M315" s="1185">
        <v>11.683070391302913</v>
      </c>
      <c r="N315" s="697">
        <f t="shared" ca="1" si="77"/>
        <v>8.1842553963144997</v>
      </c>
      <c r="O315" s="697"/>
      <c r="P315" s="697"/>
      <c r="Q315" s="697"/>
      <c r="R315" s="706">
        <v>9.6251694432355972</v>
      </c>
      <c r="S315" s="697">
        <f t="shared" ca="1" si="78"/>
        <v>6.2754980846405033</v>
      </c>
      <c r="T315" s="1152">
        <v>263.95831601149695</v>
      </c>
      <c r="U315" s="697">
        <f t="shared" ca="1" si="79"/>
        <v>65.1084081344151</v>
      </c>
      <c r="V315" s="697">
        <f t="shared" ca="1" si="83"/>
        <v>41.021279401540347</v>
      </c>
      <c r="W315" s="697">
        <v>26.412305573828842</v>
      </c>
      <c r="X315" s="697">
        <f t="shared" ca="1" si="80"/>
        <v>20.684677803177475</v>
      </c>
      <c r="Y315" s="697">
        <v>46.9122409721233</v>
      </c>
      <c r="Z315" s="697">
        <f t="shared" ca="1" si="81"/>
        <v>15.366110393028141</v>
      </c>
    </row>
    <row r="316" spans="2:26" ht="13.2">
      <c r="B316" s="166">
        <f t="shared" si="82"/>
        <v>44344</v>
      </c>
      <c r="C316"/>
      <c r="G316" s="706">
        <v>38.975185400298521</v>
      </c>
      <c r="H316" s="706">
        <v>278.08174319420516</v>
      </c>
      <c r="I316" s="697">
        <f t="shared" ca="1" si="75"/>
        <v>342.53985194422665</v>
      </c>
      <c r="J316" s="706">
        <v>51.401220421917877</v>
      </c>
      <c r="K316" s="706">
        <v>29.914245775879756</v>
      </c>
      <c r="L316" s="697">
        <f t="shared" ca="1" si="76"/>
        <v>15.420000037248862</v>
      </c>
      <c r="M316" s="1185">
        <v>12.048489176762866</v>
      </c>
      <c r="N316" s="697">
        <f t="shared" ca="1" si="77"/>
        <v>8.1842553963144997</v>
      </c>
      <c r="O316" s="697"/>
      <c r="P316" s="697"/>
      <c r="Q316" s="697"/>
      <c r="R316" s="706">
        <v>10.044446864548235</v>
      </c>
      <c r="S316" s="697">
        <f t="shared" ca="1" si="78"/>
        <v>6.2754980846405033</v>
      </c>
      <c r="T316" s="1152">
        <v>274.97432886423104</v>
      </c>
      <c r="U316" s="697">
        <f t="shared" ca="1" si="79"/>
        <v>65.1084081344151</v>
      </c>
      <c r="V316" s="697">
        <f t="shared" ca="1" si="83"/>
        <v>41.021279401540347</v>
      </c>
      <c r="W316" s="697">
        <v>38.975185400298521</v>
      </c>
      <c r="X316" s="697">
        <f t="shared" ca="1" si="80"/>
        <v>20.684677803177475</v>
      </c>
      <c r="Y316" s="697">
        <v>48.265143347537148</v>
      </c>
      <c r="Z316" s="697">
        <f t="shared" ca="1" si="81"/>
        <v>15.366110393028141</v>
      </c>
    </row>
    <row r="317" spans="2:26" ht="13.2">
      <c r="B317" s="166">
        <f t="shared" si="82"/>
        <v>44351</v>
      </c>
      <c r="C317"/>
      <c r="G317" s="706">
        <v>35.850799633916999</v>
      </c>
      <c r="H317" s="706">
        <v>269.21080335224093</v>
      </c>
      <c r="I317" s="697">
        <f t="shared" ca="1" si="75"/>
        <v>342.53985194422665</v>
      </c>
      <c r="J317" s="706">
        <v>49.443937851034704</v>
      </c>
      <c r="K317" s="706">
        <v>28.81823548911256</v>
      </c>
      <c r="L317" s="697">
        <f t="shared" ca="1" si="76"/>
        <v>15.420000037248862</v>
      </c>
      <c r="M317" s="1185">
        <v>12.006070450208933</v>
      </c>
      <c r="N317" s="697">
        <f t="shared" ca="1" si="77"/>
        <v>8.1842553963144997</v>
      </c>
      <c r="O317" s="697"/>
      <c r="P317" s="697"/>
      <c r="Q317" s="697"/>
      <c r="R317" s="706">
        <v>9.8326033593673987</v>
      </c>
      <c r="S317" s="697">
        <f t="shared" ca="1" si="78"/>
        <v>6.2754980846405033</v>
      </c>
      <c r="T317" s="1152">
        <v>264.85115272595294</v>
      </c>
      <c r="U317" s="697">
        <f t="shared" ca="1" si="79"/>
        <v>65.1084081344151</v>
      </c>
      <c r="V317" s="697">
        <f t="shared" ca="1" si="83"/>
        <v>41.021279401540347</v>
      </c>
      <c r="W317" s="697">
        <v>35.850799633916999</v>
      </c>
      <c r="X317" s="697">
        <f t="shared" ca="1" si="80"/>
        <v>20.684677803177475</v>
      </c>
      <c r="Y317" s="697">
        <v>47.312957944933316</v>
      </c>
      <c r="Z317" s="697">
        <f t="shared" ca="1" si="81"/>
        <v>15.366110393028141</v>
      </c>
    </row>
    <row r="318" spans="2:26" ht="13.2">
      <c r="B318" s="166">
        <f t="shared" si="82"/>
        <v>44358</v>
      </c>
      <c r="C318"/>
      <c r="G318" s="706">
        <v>35.286447107918647</v>
      </c>
      <c r="H318" s="706">
        <v>274.52743293008314</v>
      </c>
      <c r="I318" s="697">
        <f t="shared" ca="1" si="75"/>
        <v>342.53985194422665</v>
      </c>
      <c r="J318" s="706">
        <v>50.513073498592959</v>
      </c>
      <c r="K318" s="706">
        <v>29.688608755677155</v>
      </c>
      <c r="L318" s="697">
        <f t="shared" ca="1" si="76"/>
        <v>15.420000037248862</v>
      </c>
      <c r="M318" s="1185">
        <v>12.64071775387246</v>
      </c>
      <c r="N318" s="697">
        <f t="shared" ca="1" si="77"/>
        <v>8.1842553963144997</v>
      </c>
      <c r="O318" s="697"/>
      <c r="P318" s="697"/>
      <c r="Q318" s="697"/>
      <c r="R318" s="706">
        <v>10.07805547646573</v>
      </c>
      <c r="S318" s="697">
        <f t="shared" ca="1" si="78"/>
        <v>6.2754980846405033</v>
      </c>
      <c r="T318" s="1152">
        <v>272.46154654904637</v>
      </c>
      <c r="U318" s="697">
        <f t="shared" ca="1" si="79"/>
        <v>65.1084081344151</v>
      </c>
      <c r="V318" s="697">
        <f t="shared" ca="1" si="83"/>
        <v>41.021279401540347</v>
      </c>
      <c r="W318" s="697">
        <v>35.286447107918647</v>
      </c>
      <c r="X318" s="697">
        <f t="shared" ca="1" si="80"/>
        <v>20.684677803177475</v>
      </c>
      <c r="Y318" s="697">
        <v>50.081447603221989</v>
      </c>
      <c r="Z318" s="697">
        <f t="shared" ca="1" si="81"/>
        <v>15.366110393028141</v>
      </c>
    </row>
    <row r="319" spans="2:26" ht="13.2">
      <c r="B319" s="166">
        <f t="shared" si="82"/>
        <v>44365</v>
      </c>
      <c r="C319"/>
      <c r="G319" s="706">
        <v>35.542135357463962</v>
      </c>
      <c r="H319" s="706">
        <v>322.23133717602445</v>
      </c>
      <c r="I319" s="697">
        <f t="shared" ca="1" si="75"/>
        <v>342.53985194422665</v>
      </c>
      <c r="J319" s="706">
        <v>51.300839928956769</v>
      </c>
      <c r="K319" s="706">
        <v>34.970953747261717</v>
      </c>
      <c r="L319" s="697">
        <f t="shared" ca="1" si="76"/>
        <v>15.420000037248862</v>
      </c>
      <c r="M319" s="1185">
        <v>13.026294909918596</v>
      </c>
      <c r="N319" s="697">
        <f t="shared" ca="1" si="77"/>
        <v>8.1842553963144997</v>
      </c>
      <c r="O319" s="697"/>
      <c r="P319" s="697"/>
      <c r="Q319" s="697"/>
      <c r="R319" s="706">
        <v>10.549222932824449</v>
      </c>
      <c r="S319" s="697">
        <f t="shared" ca="1" si="78"/>
        <v>6.2754980846405033</v>
      </c>
      <c r="T319" s="1152">
        <v>319.35447730503842</v>
      </c>
      <c r="U319" s="697">
        <f t="shared" ca="1" si="79"/>
        <v>65.1084081344151</v>
      </c>
      <c r="V319" s="697">
        <f t="shared" ca="1" si="83"/>
        <v>41.021279401540347</v>
      </c>
      <c r="W319" s="697">
        <v>35.542135357463962</v>
      </c>
      <c r="X319" s="697">
        <f t="shared" ca="1" si="80"/>
        <v>20.684677803177475</v>
      </c>
      <c r="Y319" s="697">
        <v>52.065028612361594</v>
      </c>
      <c r="Z319" s="697">
        <f t="shared" ca="1" si="81"/>
        <v>15.366110393028141</v>
      </c>
    </row>
    <row r="320" spans="2:26" ht="13.2">
      <c r="B320" s="166">
        <f t="shared" si="82"/>
        <v>44372</v>
      </c>
      <c r="C320"/>
      <c r="G320" s="706">
        <v>37.113376902288287</v>
      </c>
      <c r="H320" s="706">
        <v>323.00101555689366</v>
      </c>
      <c r="I320" s="697">
        <f t="shared" ca="1" si="75"/>
        <v>342.53985194422665</v>
      </c>
      <c r="J320" s="706">
        <v>53.938442943581478</v>
      </c>
      <c r="K320" s="706">
        <v>34.947626110662611</v>
      </c>
      <c r="L320" s="697">
        <f t="shared" ca="1" si="76"/>
        <v>15.420000037248862</v>
      </c>
      <c r="M320" s="1185">
        <v>13.12748091495382</v>
      </c>
      <c r="N320" s="697">
        <f t="shared" ca="1" si="77"/>
        <v>8.1842553963144997</v>
      </c>
      <c r="O320" s="697"/>
      <c r="P320" s="697"/>
      <c r="Q320" s="697"/>
      <c r="R320" s="706">
        <v>11.10238596336621</v>
      </c>
      <c r="S320" s="697">
        <f t="shared" ca="1" si="78"/>
        <v>6.2754980846405033</v>
      </c>
      <c r="T320" s="1152">
        <v>320.97907229173018</v>
      </c>
      <c r="U320" s="697">
        <f t="shared" ca="1" si="79"/>
        <v>65.1084081344151</v>
      </c>
      <c r="V320" s="697">
        <f t="shared" ca="1" si="83"/>
        <v>41.021279401540347</v>
      </c>
      <c r="W320" s="697">
        <v>37.113376902288287</v>
      </c>
      <c r="X320" s="697">
        <f t="shared" ca="1" si="80"/>
        <v>20.684677803177475</v>
      </c>
      <c r="Y320" s="697">
        <v>52.270521194751289</v>
      </c>
      <c r="Z320" s="697">
        <f t="shared" ca="1" si="81"/>
        <v>15.366110393028141</v>
      </c>
    </row>
    <row r="321" spans="2:26" ht="13.2">
      <c r="B321" s="166">
        <f t="shared" si="82"/>
        <v>44379</v>
      </c>
      <c r="C321"/>
      <c r="G321" s="706">
        <v>37.175749908432529</v>
      </c>
      <c r="H321" s="706">
        <v>320.3834758900361</v>
      </c>
      <c r="I321" s="697">
        <f t="shared" ca="1" si="75"/>
        <v>342.53985194422665</v>
      </c>
      <c r="J321" s="706">
        <v>53.898128378486767</v>
      </c>
      <c r="K321" s="706">
        <v>34.787830188187527</v>
      </c>
      <c r="L321" s="697">
        <f t="shared" ca="1" si="76"/>
        <v>15.420000037248862</v>
      </c>
      <c r="M321" s="1185">
        <v>13.522608960511091</v>
      </c>
      <c r="N321" s="697">
        <f t="shared" ca="1" si="77"/>
        <v>8.1842553963144997</v>
      </c>
      <c r="O321" s="697"/>
      <c r="P321" s="697"/>
      <c r="Q321" s="697"/>
      <c r="R321" s="706">
        <v>11.317057633253434</v>
      </c>
      <c r="S321" s="697">
        <f t="shared" ca="1" si="78"/>
        <v>6.2754980846405033</v>
      </c>
      <c r="T321" s="1152">
        <v>318.63396230387303</v>
      </c>
      <c r="U321" s="697">
        <f t="shared" ca="1" si="79"/>
        <v>65.1084081344151</v>
      </c>
      <c r="V321" s="697">
        <f t="shared" ca="1" si="83"/>
        <v>41.021279401540347</v>
      </c>
      <c r="W321" s="697">
        <v>37.175749908432529</v>
      </c>
      <c r="X321" s="697">
        <f t="shared" ca="1" si="80"/>
        <v>20.684677803177475</v>
      </c>
      <c r="Y321" s="697">
        <v>55.027913070250065</v>
      </c>
      <c r="Z321" s="697">
        <f t="shared" ca="1" si="81"/>
        <v>15.366110393028141</v>
      </c>
    </row>
    <row r="322" spans="2:26" ht="13.2">
      <c r="B322" s="166">
        <f t="shared" si="82"/>
        <v>44386</v>
      </c>
      <c r="C322"/>
      <c r="G322" s="706">
        <v>36.248530393736388</v>
      </c>
      <c r="H322" s="706">
        <v>327.25824184544223</v>
      </c>
      <c r="I322" s="697">
        <f t="shared" ca="1" si="75"/>
        <v>342.53985194422665</v>
      </c>
      <c r="J322" s="706">
        <v>53.583208596471607</v>
      </c>
      <c r="K322" s="706">
        <v>35.290096899652156</v>
      </c>
      <c r="L322" s="697">
        <f t="shared" ca="1" si="76"/>
        <v>15.420000037248862</v>
      </c>
      <c r="M322" s="1185">
        <v>13.833532758658039</v>
      </c>
      <c r="N322" s="697">
        <f t="shared" ca="1" si="77"/>
        <v>8.1842553963144997</v>
      </c>
      <c r="O322" s="697"/>
      <c r="P322" s="697"/>
      <c r="Q322" s="697"/>
      <c r="R322" s="706">
        <v>11.2033259012342</v>
      </c>
      <c r="S322" s="697">
        <f t="shared" ca="1" si="78"/>
        <v>6.2754980846405033</v>
      </c>
      <c r="T322" s="1152">
        <v>326.27085455670351</v>
      </c>
      <c r="U322" s="697">
        <f t="shared" ca="1" si="79"/>
        <v>65.1084081344151</v>
      </c>
      <c r="V322" s="697">
        <f t="shared" ca="1" si="83"/>
        <v>41.021279401540347</v>
      </c>
      <c r="W322" s="697">
        <v>36.248530393736388</v>
      </c>
      <c r="X322" s="697">
        <f t="shared" ca="1" si="80"/>
        <v>20.684677803177475</v>
      </c>
      <c r="Y322" s="697">
        <v>51.983025013559335</v>
      </c>
      <c r="Z322" s="697">
        <f t="shared" ca="1" si="81"/>
        <v>15.366110393028141</v>
      </c>
    </row>
    <row r="323" spans="2:26" ht="13.2">
      <c r="B323" s="166">
        <f t="shared" si="82"/>
        <v>44393</v>
      </c>
      <c r="C323"/>
      <c r="G323" s="706">
        <v>33.497793860028068</v>
      </c>
      <c r="H323" s="706">
        <v>313.45889680233381</v>
      </c>
      <c r="I323" s="697">
        <f t="shared" ca="1" si="75"/>
        <v>342.53985194422665</v>
      </c>
      <c r="J323" s="706">
        <v>50.054100948245257</v>
      </c>
      <c r="K323" s="706">
        <v>33.641420676369172</v>
      </c>
      <c r="L323" s="697">
        <f t="shared" ca="1" si="76"/>
        <v>15.420000037248862</v>
      </c>
      <c r="M323" s="1185">
        <v>13.07495123302713</v>
      </c>
      <c r="N323" s="697">
        <f t="shared" ca="1" si="77"/>
        <v>8.1842553963144997</v>
      </c>
      <c r="O323" s="697"/>
      <c r="P323" s="697"/>
      <c r="Q323" s="697"/>
      <c r="R323" s="706">
        <v>10.421208601569923</v>
      </c>
      <c r="S323" s="697">
        <f t="shared" ca="1" si="78"/>
        <v>6.2754980846405033</v>
      </c>
      <c r="T323" s="1152">
        <v>305.00839609839244</v>
      </c>
      <c r="U323" s="697">
        <f t="shared" ca="1" si="79"/>
        <v>65.1084081344151</v>
      </c>
      <c r="V323" s="697">
        <f t="shared" ca="1" si="83"/>
        <v>41.021279401540347</v>
      </c>
      <c r="W323" s="697">
        <v>33.497793860028068</v>
      </c>
      <c r="X323" s="697">
        <f t="shared" ca="1" si="80"/>
        <v>20.684677803177475</v>
      </c>
      <c r="Y323" s="697">
        <v>49.407215390237212</v>
      </c>
      <c r="Z323" s="697">
        <f t="shared" ca="1" si="81"/>
        <v>15.366110393028141</v>
      </c>
    </row>
    <row r="324" spans="2:26" ht="13.2">
      <c r="B324" s="166">
        <f t="shared" si="82"/>
        <v>44400</v>
      </c>
      <c r="C324"/>
      <c r="G324" s="706">
        <v>34.966024950630398</v>
      </c>
      <c r="H324" s="706">
        <v>354.68601475150382</v>
      </c>
      <c r="I324" s="697">
        <f t="shared" ca="1" si="75"/>
        <v>342.53985194422665</v>
      </c>
      <c r="J324" s="706">
        <v>53.232308661576056</v>
      </c>
      <c r="K324" s="706">
        <v>38.133737489453495</v>
      </c>
      <c r="L324" s="697">
        <f t="shared" ca="1" si="76"/>
        <v>15.420000037248862</v>
      </c>
      <c r="M324" s="1185">
        <v>13.711983202669513</v>
      </c>
      <c r="N324" s="697">
        <f t="shared" ca="1" si="77"/>
        <v>8.1842553963144997</v>
      </c>
      <c r="O324" s="697"/>
      <c r="P324" s="697"/>
      <c r="Q324" s="697"/>
      <c r="R324" s="706">
        <v>11.437173258667782</v>
      </c>
      <c r="S324" s="697">
        <f t="shared" ca="1" si="78"/>
        <v>6.2754980846405033</v>
      </c>
      <c r="T324" s="1152">
        <v>345.63325992415622</v>
      </c>
      <c r="U324" s="697">
        <f t="shared" ca="1" si="79"/>
        <v>65.1084081344151</v>
      </c>
      <c r="V324" s="697">
        <f t="shared" ca="1" si="83"/>
        <v>41.021279401540347</v>
      </c>
      <c r="W324" s="697">
        <v>34.966024950630398</v>
      </c>
      <c r="X324" s="697">
        <f t="shared" ca="1" si="80"/>
        <v>20.684677803177475</v>
      </c>
      <c r="Y324" s="697">
        <v>52.060247384990078</v>
      </c>
      <c r="Z324" s="697">
        <f t="shared" ca="1" si="81"/>
        <v>15.366110393028141</v>
      </c>
    </row>
    <row r="325" spans="2:26" ht="13.2">
      <c r="B325" s="166">
        <f t="shared" si="82"/>
        <v>44407</v>
      </c>
      <c r="C325"/>
      <c r="G325" s="706">
        <v>34.506655653992553</v>
      </c>
      <c r="H325" s="706">
        <v>239.04783193912016</v>
      </c>
      <c r="I325" s="697">
        <f t="shared" ca="1" si="75"/>
        <v>342.53985194422665</v>
      </c>
      <c r="J325" s="706">
        <v>49.723520795624196</v>
      </c>
      <c r="K325" s="706">
        <v>33.307983157414192</v>
      </c>
      <c r="L325" s="697">
        <f t="shared" ca="1" si="76"/>
        <v>15.420000037248862</v>
      </c>
      <c r="M325" s="1185">
        <v>13.341487775448032</v>
      </c>
      <c r="N325" s="697">
        <f t="shared" ca="1" si="77"/>
        <v>8.1842553963144997</v>
      </c>
      <c r="O325" s="697"/>
      <c r="P325" s="697"/>
      <c r="Q325" s="697"/>
      <c r="R325" s="706">
        <v>10.667392113312598</v>
      </c>
      <c r="S325" s="697">
        <f t="shared" ca="1" si="78"/>
        <v>6.2754980846405033</v>
      </c>
      <c r="T325" s="1152">
        <v>248.80594700965406</v>
      </c>
      <c r="U325" s="697">
        <f t="shared" ca="1" si="79"/>
        <v>65.1084081344151</v>
      </c>
      <c r="V325" s="697">
        <f t="shared" ca="1" si="83"/>
        <v>41.021279401540347</v>
      </c>
      <c r="W325" s="697">
        <v>34.506655653992553</v>
      </c>
      <c r="X325" s="697">
        <f t="shared" ca="1" si="80"/>
        <v>20.684677803177475</v>
      </c>
      <c r="Y325" s="697">
        <v>51.295531435544987</v>
      </c>
      <c r="Z325" s="697">
        <f t="shared" ca="1" si="81"/>
        <v>15.366110393028141</v>
      </c>
    </row>
    <row r="326" spans="2:26" ht="13.2">
      <c r="B326" s="166">
        <f t="shared" si="82"/>
        <v>44414</v>
      </c>
      <c r="C326"/>
      <c r="G326" s="706">
        <v>32.173334624704204</v>
      </c>
      <c r="H326" s="706">
        <v>238.08713564580677</v>
      </c>
      <c r="I326" s="697">
        <f t="shared" ca="1" si="75"/>
        <v>342.53985194422665</v>
      </c>
      <c r="J326" s="706">
        <v>49.653906529044228</v>
      </c>
      <c r="K326" s="706">
        <v>33.626561080730824</v>
      </c>
      <c r="L326" s="697">
        <f t="shared" ca="1" si="76"/>
        <v>15.420000037248862</v>
      </c>
      <c r="M326" s="1185">
        <v>12.697906004459218</v>
      </c>
      <c r="N326" s="697">
        <f t="shared" ca="1" si="77"/>
        <v>8.1842553963144997</v>
      </c>
      <c r="O326" s="697"/>
      <c r="P326" s="697"/>
      <c r="Q326" s="697"/>
      <c r="R326" s="706">
        <v>10.556556920562933</v>
      </c>
      <c r="S326" s="697">
        <f t="shared" ca="1" si="78"/>
        <v>6.2754980846405033</v>
      </c>
      <c r="T326" s="1152">
        <v>251.34953047935377</v>
      </c>
      <c r="U326" s="697">
        <f t="shared" ca="1" si="79"/>
        <v>65.1084081344151</v>
      </c>
      <c r="V326" s="697">
        <f t="shared" ca="1" si="83"/>
        <v>41.021279401540347</v>
      </c>
      <c r="W326" s="697">
        <v>32.173334624704204</v>
      </c>
      <c r="X326" s="697">
        <f t="shared" ca="1" si="80"/>
        <v>20.684677803177475</v>
      </c>
      <c r="Y326" s="697">
        <v>47.48050991837605</v>
      </c>
      <c r="Z326" s="697">
        <f t="shared" ca="1" si="81"/>
        <v>15.366110393028141</v>
      </c>
    </row>
    <row r="327" spans="2:26" ht="13.2">
      <c r="B327" s="166">
        <f t="shared" si="82"/>
        <v>44421</v>
      </c>
      <c r="C327"/>
      <c r="G327" s="706">
        <v>36.566206936451138</v>
      </c>
      <c r="H327" s="706">
        <v>237.90552927071792</v>
      </c>
      <c r="I327" s="697">
        <f t="shared" ca="1" si="75"/>
        <v>342.53985194422665</v>
      </c>
      <c r="J327" s="706">
        <v>47.1581989033509</v>
      </c>
      <c r="K327" s="706">
        <v>32.843185190530185</v>
      </c>
      <c r="L327" s="697">
        <f t="shared" ca="1" si="76"/>
        <v>15.420000037248862</v>
      </c>
      <c r="M327" s="1185">
        <v>12.228469222635217</v>
      </c>
      <c r="N327" s="697">
        <f t="shared" ca="1" si="77"/>
        <v>8.1842553963144997</v>
      </c>
      <c r="O327" s="697"/>
      <c r="P327" s="697"/>
      <c r="Q327" s="697"/>
      <c r="R327" s="706">
        <v>10.29144623133087</v>
      </c>
      <c r="S327" s="697">
        <f t="shared" ca="1" si="78"/>
        <v>6.2754980846405033</v>
      </c>
      <c r="T327" s="1152">
        <v>246.76263254709269</v>
      </c>
      <c r="U327" s="697">
        <f t="shared" ca="1" si="79"/>
        <v>65.1084081344151</v>
      </c>
      <c r="V327" s="697">
        <f t="shared" ca="1" si="83"/>
        <v>41.021279401540347</v>
      </c>
      <c r="W327" s="697">
        <v>36.566206936451138</v>
      </c>
      <c r="X327" s="697">
        <f t="shared" ca="1" si="80"/>
        <v>20.684677803177475</v>
      </c>
      <c r="Y327" s="697">
        <v>41.745961110347459</v>
      </c>
      <c r="Z327" s="697">
        <f t="shared" ca="1" si="81"/>
        <v>15.366110393028141</v>
      </c>
    </row>
    <row r="328" spans="2:26" ht="13.2">
      <c r="B328" s="166">
        <f t="shared" si="82"/>
        <v>44428</v>
      </c>
      <c r="C328"/>
      <c r="G328" s="706">
        <v>34.882401626250704</v>
      </c>
      <c r="H328" s="706">
        <v>230.74475670797338</v>
      </c>
      <c r="I328" s="697">
        <f t="shared" ca="1" si="75"/>
        <v>342.53985194422665</v>
      </c>
      <c r="J328" s="706">
        <v>55.947073331171772</v>
      </c>
      <c r="K328" s="706">
        <v>31.596263457628762</v>
      </c>
      <c r="L328" s="697">
        <f t="shared" ca="1" si="76"/>
        <v>15.420000037248862</v>
      </c>
      <c r="M328" s="1185">
        <v>11.926844371301335</v>
      </c>
      <c r="N328" s="697">
        <f t="shared" ca="1" si="77"/>
        <v>8.1842553963144997</v>
      </c>
      <c r="O328" s="697"/>
      <c r="P328" s="697"/>
      <c r="Q328" s="697"/>
      <c r="R328" s="706">
        <v>9.8813712512005907</v>
      </c>
      <c r="S328" s="697">
        <f t="shared" ca="1" si="78"/>
        <v>6.2754980846405033</v>
      </c>
      <c r="T328" s="1152">
        <v>237.47342673882653</v>
      </c>
      <c r="U328" s="697">
        <f t="shared" ca="1" si="79"/>
        <v>65.1084081344151</v>
      </c>
      <c r="V328" s="697">
        <f t="shared" ca="1" si="83"/>
        <v>41.021279401540347</v>
      </c>
      <c r="W328" s="697">
        <v>34.882401626250704</v>
      </c>
      <c r="X328" s="697">
        <f t="shared" ca="1" si="80"/>
        <v>20.684677803177475</v>
      </c>
      <c r="Y328" s="697">
        <v>43.485599852483631</v>
      </c>
      <c r="Z328" s="697">
        <f t="shared" ca="1" si="81"/>
        <v>15.366110393028141</v>
      </c>
    </row>
    <row r="329" spans="2:26" ht="13.2">
      <c r="B329" s="166">
        <f t="shared" si="82"/>
        <v>44435</v>
      </c>
      <c r="C329"/>
      <c r="G329" s="706">
        <v>35.84380672196469</v>
      </c>
      <c r="H329" s="706">
        <v>243.95582058538591</v>
      </c>
      <c r="I329" s="697">
        <f t="shared" ca="1" si="75"/>
        <v>342.53985194422665</v>
      </c>
      <c r="J329" s="706">
        <v>57.303232274764831</v>
      </c>
      <c r="K329" s="706">
        <v>33.242654542541551</v>
      </c>
      <c r="L329" s="697">
        <f t="shared" ca="1" si="76"/>
        <v>15.420000037248862</v>
      </c>
      <c r="M329" s="1185">
        <v>12.35440120214858</v>
      </c>
      <c r="N329" s="697">
        <f t="shared" ca="1" si="77"/>
        <v>8.1842553963144997</v>
      </c>
      <c r="O329" s="697"/>
      <c r="P329" s="697"/>
      <c r="Q329" s="697"/>
      <c r="R329" s="706">
        <v>10.283062685612572</v>
      </c>
      <c r="S329" s="697">
        <f t="shared" ca="1" si="78"/>
        <v>6.2754980846405033</v>
      </c>
      <c r="T329" s="1152">
        <v>251.50568255896462</v>
      </c>
      <c r="U329" s="697">
        <f t="shared" ca="1" si="79"/>
        <v>65.1084081344151</v>
      </c>
      <c r="V329" s="697">
        <f t="shared" ca="1" si="83"/>
        <v>41.021279401540347</v>
      </c>
      <c r="W329" s="697">
        <v>35.84380672196469</v>
      </c>
      <c r="X329" s="697">
        <f t="shared" ca="1" si="80"/>
        <v>20.684677803177475</v>
      </c>
      <c r="Y329" s="697">
        <v>45.25751423578285</v>
      </c>
      <c r="Z329" s="697">
        <f t="shared" ca="1" si="81"/>
        <v>15.366110393028141</v>
      </c>
    </row>
    <row r="330" spans="2:26" ht="13.2">
      <c r="B330" s="166">
        <f t="shared" si="82"/>
        <v>44442</v>
      </c>
      <c r="C330"/>
      <c r="G330" s="706">
        <v>35.79389771017172</v>
      </c>
      <c r="H330" s="706">
        <v>247.97119912442275</v>
      </c>
      <c r="I330" s="697">
        <f t="shared" ca="1" si="75"/>
        <v>342.53985194422665</v>
      </c>
      <c r="J330" s="706">
        <v>56.197539794975448</v>
      </c>
      <c r="K330" s="706">
        <v>33.57612641570622</v>
      </c>
      <c r="L330" s="697">
        <f t="shared" ca="1" si="76"/>
        <v>15.420000037248862</v>
      </c>
      <c r="M330" s="1185">
        <v>12.500601980058129</v>
      </c>
      <c r="N330" s="697">
        <f t="shared" ca="1" si="77"/>
        <v>8.1842553963144997</v>
      </c>
      <c r="O330" s="697"/>
      <c r="P330" s="697"/>
      <c r="Q330" s="697"/>
      <c r="R330" s="706">
        <v>10.354874103724139</v>
      </c>
      <c r="S330" s="697">
        <f t="shared" ca="1" si="78"/>
        <v>6.2754980846405033</v>
      </c>
      <c r="T330" s="1152">
        <v>255.16597407112542</v>
      </c>
      <c r="U330" s="697">
        <f t="shared" ca="1" si="79"/>
        <v>65.1084081344151</v>
      </c>
      <c r="V330" s="697">
        <f t="shared" ca="1" si="83"/>
        <v>41.021279401540347</v>
      </c>
      <c r="W330" s="697">
        <v>35.79389771017172</v>
      </c>
      <c r="X330" s="697">
        <f t="shared" ca="1" si="80"/>
        <v>20.684677803177475</v>
      </c>
      <c r="Y330" s="697">
        <v>46.255393024002238</v>
      </c>
      <c r="Z330" s="697">
        <f t="shared" ca="1" si="81"/>
        <v>15.366110393028141</v>
      </c>
    </row>
    <row r="331" spans="2:26" ht="13.2">
      <c r="B331" s="166">
        <f t="shared" si="82"/>
        <v>44449</v>
      </c>
      <c r="C331"/>
      <c r="G331" s="706">
        <v>35.116853047057681</v>
      </c>
      <c r="H331" s="706">
        <v>237.14179660517001</v>
      </c>
      <c r="I331" s="697">
        <f t="shared" ca="1" si="75"/>
        <v>342.53985194422665</v>
      </c>
      <c r="J331" s="706">
        <v>54.822839415353904</v>
      </c>
      <c r="K331" s="706">
        <v>31.832729630704844</v>
      </c>
      <c r="L331" s="697">
        <f t="shared" ca="1" si="76"/>
        <v>15.420000037248862</v>
      </c>
      <c r="M331" s="1185">
        <v>12.042978163294626</v>
      </c>
      <c r="N331" s="697">
        <f t="shared" ca="1" si="77"/>
        <v>8.1842553963144997</v>
      </c>
      <c r="O331" s="697"/>
      <c r="P331" s="697"/>
      <c r="Q331" s="697"/>
      <c r="R331" s="706">
        <v>10.231395681045033</v>
      </c>
      <c r="S331" s="697">
        <f t="shared" ca="1" si="78"/>
        <v>6.2754980846405033</v>
      </c>
      <c r="T331" s="1152">
        <v>243.70301159868342</v>
      </c>
      <c r="U331" s="697">
        <f t="shared" ca="1" si="79"/>
        <v>65.1084081344151</v>
      </c>
      <c r="V331" s="697">
        <f t="shared" ca="1" si="83"/>
        <v>41.021279401540347</v>
      </c>
      <c r="W331" s="697">
        <v>35.116853047057681</v>
      </c>
      <c r="X331" s="697">
        <f t="shared" ca="1" si="80"/>
        <v>20.684677803177475</v>
      </c>
      <c r="Y331" s="697">
        <v>43.756154039887761</v>
      </c>
      <c r="Z331" s="697">
        <f t="shared" ca="1" si="81"/>
        <v>15.366110393028141</v>
      </c>
    </row>
    <row r="332" spans="2:26" ht="13.2">
      <c r="B332" s="166">
        <f t="shared" si="82"/>
        <v>44456</v>
      </c>
      <c r="C332"/>
      <c r="G332" s="706">
        <v>34.976484590031419</v>
      </c>
      <c r="H332" s="706">
        <v>238.41110284837637</v>
      </c>
      <c r="I332" s="697">
        <f t="shared" ca="1" si="75"/>
        <v>342.53985194422665</v>
      </c>
      <c r="J332" s="706">
        <v>54.49496303330249</v>
      </c>
      <c r="K332" s="706">
        <v>31.713421612193891</v>
      </c>
      <c r="L332" s="697">
        <f t="shared" ca="1" si="76"/>
        <v>15.420000037248862</v>
      </c>
      <c r="M332" s="1185">
        <v>12.084582508960438</v>
      </c>
      <c r="N332" s="697">
        <f t="shared" ca="1" si="77"/>
        <v>8.1842553963144997</v>
      </c>
      <c r="O332" s="697"/>
      <c r="P332" s="697"/>
      <c r="Q332" s="697"/>
      <c r="R332" s="706">
        <v>10.213087546214409</v>
      </c>
      <c r="S332" s="697">
        <f t="shared" ca="1" si="78"/>
        <v>6.2754980846405033</v>
      </c>
      <c r="T332" s="1152">
        <v>239.75205025489242</v>
      </c>
      <c r="U332" s="697">
        <f t="shared" ca="1" si="79"/>
        <v>65.1084081344151</v>
      </c>
      <c r="V332" s="697">
        <f t="shared" ca="1" si="83"/>
        <v>41.021279401540347</v>
      </c>
      <c r="W332" s="697">
        <v>34.976484590031419</v>
      </c>
      <c r="X332" s="697">
        <f t="shared" ca="1" si="80"/>
        <v>20.684677803177475</v>
      </c>
      <c r="Y332" s="697">
        <v>42.86652630153916</v>
      </c>
      <c r="Z332" s="697">
        <f t="shared" ca="1" si="81"/>
        <v>15.366110393028141</v>
      </c>
    </row>
    <row r="333" spans="2:26" ht="13.2">
      <c r="B333" s="166">
        <f t="shared" si="82"/>
        <v>44463</v>
      </c>
      <c r="C333"/>
      <c r="G333" s="706">
        <v>36.058238054364644</v>
      </c>
      <c r="H333" s="706">
        <v>232.03162635840528</v>
      </c>
      <c r="I333" s="697">
        <f t="shared" ca="1" si="75"/>
        <v>342.53985194422665</v>
      </c>
      <c r="J333" s="706">
        <v>54.910491557007141</v>
      </c>
      <c r="K333" s="706">
        <v>30.727805033074514</v>
      </c>
      <c r="L333" s="697">
        <f t="shared" ca="1" si="76"/>
        <v>15.420000037248862</v>
      </c>
      <c r="M333" s="1185">
        <v>11.751085408054427</v>
      </c>
      <c r="N333" s="697">
        <f t="shared" ca="1" si="77"/>
        <v>8.1842553963144997</v>
      </c>
      <c r="O333" s="697"/>
      <c r="P333" s="697"/>
      <c r="Q333" s="697"/>
      <c r="R333" s="706">
        <v>10.428381965519884</v>
      </c>
      <c r="S333" s="697">
        <f t="shared" ca="1" si="78"/>
        <v>6.2754980846405033</v>
      </c>
      <c r="T333" s="1152">
        <v>231.69124423435719</v>
      </c>
      <c r="U333" s="697">
        <f t="shared" ca="1" si="79"/>
        <v>65.1084081344151</v>
      </c>
      <c r="V333" s="697">
        <f t="shared" ca="1" si="83"/>
        <v>41.021279401540347</v>
      </c>
      <c r="W333" s="697">
        <v>36.058238054364644</v>
      </c>
      <c r="X333" s="697">
        <f t="shared" ca="1" si="80"/>
        <v>20.684677803177475</v>
      </c>
      <c r="Y333" s="697">
        <v>42.020943166456256</v>
      </c>
      <c r="Z333" s="697">
        <f t="shared" ca="1" si="81"/>
        <v>15.366110393028141</v>
      </c>
    </row>
    <row r="334" spans="2:26" ht="13.2">
      <c r="B334" s="166">
        <f t="shared" si="82"/>
        <v>44470</v>
      </c>
      <c r="C334"/>
      <c r="G334" s="706">
        <v>34.77759342641609</v>
      </c>
      <c r="H334" s="706">
        <v>217.04520548561524</v>
      </c>
      <c r="I334" s="697">
        <f t="shared" ca="1" si="75"/>
        <v>342.53985194422665</v>
      </c>
      <c r="J334" s="706">
        <v>52.941896492722542</v>
      </c>
      <c r="K334" s="706">
        <v>28.570432285899805</v>
      </c>
      <c r="L334" s="697">
        <f t="shared" ca="1" si="76"/>
        <v>15.420000037248862</v>
      </c>
      <c r="M334" s="1185">
        <v>11.048867880871958</v>
      </c>
      <c r="N334" s="697">
        <f t="shared" ca="1" si="77"/>
        <v>8.1842553963144997</v>
      </c>
      <c r="O334" s="697"/>
      <c r="P334" s="697"/>
      <c r="Q334" s="697"/>
      <c r="R334" s="706">
        <v>10.0582846724555</v>
      </c>
      <c r="S334" s="697">
        <f t="shared" ca="1" si="78"/>
        <v>6.2754980846405033</v>
      </c>
      <c r="T334" s="1152">
        <v>216.07818833506042</v>
      </c>
      <c r="U334" s="697">
        <f t="shared" ca="1" si="79"/>
        <v>65.1084081344151</v>
      </c>
      <c r="V334" s="697">
        <f t="shared" ca="1" si="83"/>
        <v>41.021279401540347</v>
      </c>
      <c r="W334" s="697">
        <v>34.77759342641609</v>
      </c>
      <c r="X334" s="697">
        <f t="shared" ca="1" si="80"/>
        <v>20.684677803177475</v>
      </c>
      <c r="Y334" s="697">
        <v>37.542883359662149</v>
      </c>
      <c r="Z334" s="697">
        <f t="shared" ca="1" si="81"/>
        <v>15.366110393028141</v>
      </c>
    </row>
    <row r="335" spans="2:26" ht="13.2">
      <c r="B335" s="166">
        <f t="shared" si="82"/>
        <v>44477</v>
      </c>
      <c r="C335"/>
      <c r="G335" s="706">
        <v>34.480263375813642</v>
      </c>
      <c r="H335" s="706">
        <v>219.65623752704997</v>
      </c>
      <c r="I335" s="697">
        <f t="shared" ca="1" si="75"/>
        <v>342.53985194422665</v>
      </c>
      <c r="J335" s="706">
        <v>52.067131830464177</v>
      </c>
      <c r="K335" s="706">
        <v>29.000335332371236</v>
      </c>
      <c r="L335" s="697">
        <f t="shared" ca="1" si="76"/>
        <v>15.420000037248862</v>
      </c>
      <c r="M335" s="1185">
        <v>10.936846541713573</v>
      </c>
      <c r="N335" s="697">
        <f t="shared" ca="1" si="77"/>
        <v>8.1842553963144997</v>
      </c>
      <c r="O335" s="697"/>
      <c r="P335" s="697"/>
      <c r="Q335" s="697"/>
      <c r="R335" s="706">
        <v>10.053496144692192</v>
      </c>
      <c r="S335" s="697">
        <f t="shared" ca="1" si="78"/>
        <v>6.2754980846405033</v>
      </c>
      <c r="T335" s="1152">
        <v>221.10585489582863</v>
      </c>
      <c r="U335" s="697">
        <f t="shared" ca="1" si="79"/>
        <v>65.1084081344151</v>
      </c>
      <c r="V335" s="697">
        <f t="shared" ca="1" si="83"/>
        <v>41.021279401540347</v>
      </c>
      <c r="W335" s="697">
        <v>34.480263375813642</v>
      </c>
      <c r="X335" s="697">
        <f t="shared" ca="1" si="80"/>
        <v>20.684677803177475</v>
      </c>
      <c r="Y335" s="697">
        <v>36.868396831646557</v>
      </c>
      <c r="Z335" s="697">
        <f t="shared" ca="1" si="81"/>
        <v>15.366110393028141</v>
      </c>
    </row>
    <row r="336" spans="2:26" ht="13.2">
      <c r="B336" s="166">
        <f t="shared" si="82"/>
        <v>44484</v>
      </c>
      <c r="C336"/>
      <c r="G336" s="706">
        <v>35.131746015661257</v>
      </c>
      <c r="H336" s="706">
        <v>227.35183421691545</v>
      </c>
      <c r="I336" s="697">
        <f t="shared" ca="1" si="75"/>
        <v>342.53985194422665</v>
      </c>
      <c r="J336" s="706">
        <v>52.434029758951702</v>
      </c>
      <c r="K336" s="706">
        <v>29.810701160903598</v>
      </c>
      <c r="L336" s="697">
        <f t="shared" ca="1" si="76"/>
        <v>15.420000037248862</v>
      </c>
      <c r="M336" s="1185">
        <v>11.431727582318716</v>
      </c>
      <c r="N336" s="697">
        <f t="shared" ca="1" si="77"/>
        <v>8.1842553963144997</v>
      </c>
      <c r="O336" s="697"/>
      <c r="P336" s="697"/>
      <c r="Q336" s="697"/>
      <c r="R336" s="706">
        <v>10.308365424134619</v>
      </c>
      <c r="S336" s="697">
        <f t="shared" ca="1" si="78"/>
        <v>6.2754980846405033</v>
      </c>
      <c r="T336" s="1152">
        <v>227.13575198772057</v>
      </c>
      <c r="U336" s="697">
        <f t="shared" ca="1" si="79"/>
        <v>65.1084081344151</v>
      </c>
      <c r="V336" s="697">
        <f t="shared" ca="1" si="83"/>
        <v>41.021279401540347</v>
      </c>
      <c r="W336" s="697">
        <v>35.131746015661257</v>
      </c>
      <c r="X336" s="697">
        <f t="shared" ca="1" si="80"/>
        <v>20.684677803177475</v>
      </c>
      <c r="Y336" s="697">
        <v>37.981296563886438</v>
      </c>
      <c r="Z336" s="697">
        <f t="shared" ca="1" si="81"/>
        <v>15.366110393028141</v>
      </c>
    </row>
    <row r="337" spans="2:26" ht="13.2">
      <c r="B337" s="166">
        <f t="shared" si="82"/>
        <v>44491</v>
      </c>
      <c r="C337"/>
      <c r="G337" s="706">
        <v>34.094269640418034</v>
      </c>
      <c r="H337" s="706">
        <v>229.58958862379524</v>
      </c>
      <c r="I337" s="697">
        <f t="shared" ca="1" si="75"/>
        <v>342.53985194422665</v>
      </c>
      <c r="J337" s="706">
        <v>51.207298871470954</v>
      </c>
      <c r="K337" s="706">
        <v>29.796098094686027</v>
      </c>
      <c r="L337" s="697">
        <f t="shared" ca="1" si="76"/>
        <v>15.420000037248862</v>
      </c>
      <c r="M337" s="1185">
        <v>11.541761397452882</v>
      </c>
      <c r="N337" s="697">
        <f t="shared" ca="1" si="77"/>
        <v>8.1842553963144997</v>
      </c>
      <c r="O337" s="697"/>
      <c r="P337" s="697"/>
      <c r="Q337" s="697"/>
      <c r="R337" s="706">
        <v>9.9843008353640919</v>
      </c>
      <c r="S337" s="697">
        <f t="shared" ca="1" si="78"/>
        <v>6.2754980846405033</v>
      </c>
      <c r="T337" s="1152">
        <v>226.06980618718129</v>
      </c>
      <c r="U337" s="697">
        <f t="shared" ca="1" si="79"/>
        <v>65.1084081344151</v>
      </c>
      <c r="V337" s="697">
        <f t="shared" ca="1" si="83"/>
        <v>41.021279401540347</v>
      </c>
      <c r="W337" s="697">
        <v>34.094269640418034</v>
      </c>
      <c r="X337" s="697">
        <f t="shared" ca="1" si="80"/>
        <v>20.684677803177475</v>
      </c>
      <c r="Y337" s="697">
        <v>39.285076848827508</v>
      </c>
      <c r="Z337" s="697">
        <f t="shared" ca="1" si="81"/>
        <v>15.366110393028141</v>
      </c>
    </row>
    <row r="338" spans="2:26" ht="13.2">
      <c r="B338" s="166">
        <f t="shared" si="82"/>
        <v>44498</v>
      </c>
      <c r="C338"/>
      <c r="G338" s="706">
        <v>33.260589123022434</v>
      </c>
      <c r="H338" s="706">
        <v>237.04294370058375</v>
      </c>
      <c r="I338" s="697">
        <f t="shared" ca="1" si="75"/>
        <v>342.53985194422665</v>
      </c>
      <c r="J338" s="706">
        <v>51.288000104194026</v>
      </c>
      <c r="K338" s="706">
        <v>30.938250535373061</v>
      </c>
      <c r="L338" s="697">
        <f t="shared" ca="1" si="76"/>
        <v>15.420000037248862</v>
      </c>
      <c r="M338" s="1185">
        <v>11.437305351096612</v>
      </c>
      <c r="N338" s="697">
        <f t="shared" ca="1" si="77"/>
        <v>8.1842553963144997</v>
      </c>
      <c r="O338" s="697"/>
      <c r="P338" s="697"/>
      <c r="Q338" s="697"/>
      <c r="R338" s="706">
        <v>9.7815727563396653</v>
      </c>
      <c r="S338" s="697">
        <f t="shared" ca="1" si="78"/>
        <v>6.2754980846405033</v>
      </c>
      <c r="T338" s="1152">
        <v>235.7063284791123</v>
      </c>
      <c r="U338" s="697">
        <f t="shared" ca="1" si="79"/>
        <v>65.1084081344151</v>
      </c>
      <c r="V338" s="697">
        <f t="shared" ca="1" si="83"/>
        <v>41.021279401540347</v>
      </c>
      <c r="W338" s="697">
        <v>33.260589123022434</v>
      </c>
      <c r="X338" s="697">
        <f t="shared" ca="1" si="80"/>
        <v>20.684677803177475</v>
      </c>
      <c r="Y338" s="697">
        <v>38.637689992646045</v>
      </c>
      <c r="Z338" s="697">
        <f t="shared" ca="1" si="81"/>
        <v>15.366110393028141</v>
      </c>
    </row>
    <row r="339" spans="2:26" ht="13.2">
      <c r="B339" s="166">
        <f t="shared" si="82"/>
        <v>44505</v>
      </c>
      <c r="C339"/>
      <c r="G339" s="706">
        <v>33.083764669224536</v>
      </c>
      <c r="H339" s="706">
        <v>246.78797034209973</v>
      </c>
      <c r="I339" s="697">
        <f t="shared" ca="1" si="75"/>
        <v>342.53985194422665</v>
      </c>
      <c r="J339" s="706">
        <v>53.497967449349972</v>
      </c>
      <c r="K339" s="706">
        <v>32.138118710267541</v>
      </c>
      <c r="L339" s="697">
        <f t="shared" ca="1" si="76"/>
        <v>15.420000037248862</v>
      </c>
      <c r="M339" s="1185">
        <v>12.230441903470942</v>
      </c>
      <c r="N339" s="697">
        <f t="shared" ca="1" si="77"/>
        <v>8.1842553963144997</v>
      </c>
      <c r="O339" s="697"/>
      <c r="P339" s="697"/>
      <c r="Q339" s="697"/>
      <c r="R339" s="706">
        <v>9.980400703246147</v>
      </c>
      <c r="S339" s="697">
        <f t="shared" ca="1" si="78"/>
        <v>6.2754980846405033</v>
      </c>
      <c r="T339" s="1152">
        <v>247.84531241512957</v>
      </c>
      <c r="U339" s="697">
        <f t="shared" ca="1" si="79"/>
        <v>65.1084081344151</v>
      </c>
      <c r="V339" s="697">
        <f t="shared" ca="1" si="83"/>
        <v>41.021279401540347</v>
      </c>
      <c r="W339" s="697">
        <v>33.083764669224536</v>
      </c>
      <c r="X339" s="697">
        <f t="shared" ca="1" si="80"/>
        <v>20.684677803177475</v>
      </c>
      <c r="Y339" s="697">
        <v>39.848984345409583</v>
      </c>
      <c r="Z339" s="697">
        <f t="shared" ca="1" si="81"/>
        <v>15.366110393028141</v>
      </c>
    </row>
    <row r="340" spans="2:26" ht="13.2">
      <c r="B340" s="166">
        <f t="shared" si="82"/>
        <v>44512</v>
      </c>
      <c r="C340"/>
      <c r="G340" s="706">
        <v>34.325500847408648</v>
      </c>
      <c r="H340" s="706">
        <v>270.33876366852036</v>
      </c>
      <c r="I340" s="697">
        <f t="shared" ca="1" si="75"/>
        <v>342.53985194422665</v>
      </c>
      <c r="J340" s="706">
        <v>56.511786464640444</v>
      </c>
      <c r="K340" s="706">
        <v>35.08078371126058</v>
      </c>
      <c r="L340" s="697">
        <f t="shared" ca="1" si="76"/>
        <v>15.420000037248862</v>
      </c>
      <c r="M340" s="1185">
        <v>12.180540927814528</v>
      </c>
      <c r="N340" s="697">
        <f t="shared" ca="1" si="77"/>
        <v>8.1842553963144997</v>
      </c>
      <c r="O340" s="697"/>
      <c r="P340" s="697"/>
      <c r="Q340" s="697"/>
      <c r="R340" s="706">
        <v>10.74255699697375</v>
      </c>
      <c r="S340" s="697">
        <f t="shared" ca="1" si="78"/>
        <v>6.2754980846405033</v>
      </c>
      <c r="T340" s="1152">
        <v>270.90960172621118</v>
      </c>
      <c r="U340" s="697">
        <f t="shared" ca="1" si="79"/>
        <v>65.1084081344151</v>
      </c>
      <c r="V340" s="697">
        <f t="shared" ca="1" si="83"/>
        <v>41.021279401540347</v>
      </c>
      <c r="W340" s="697">
        <v>34.325500847408648</v>
      </c>
      <c r="X340" s="697">
        <f t="shared" ca="1" si="80"/>
        <v>20.684677803177475</v>
      </c>
      <c r="Y340" s="697">
        <v>39.680480456569583</v>
      </c>
      <c r="Z340" s="697">
        <f t="shared" ca="1" si="81"/>
        <v>15.366110393028141</v>
      </c>
    </row>
    <row r="341" spans="2:26" ht="13.2">
      <c r="B341" s="166">
        <f t="shared" si="82"/>
        <v>44519</v>
      </c>
      <c r="C341"/>
      <c r="G341" s="706">
        <v>33.389860013592205</v>
      </c>
      <c r="H341" s="706">
        <v>273.96616503277107</v>
      </c>
      <c r="I341" s="697">
        <f t="shared" ca="1" si="75"/>
        <v>342.53985194422665</v>
      </c>
      <c r="J341" s="706">
        <v>53.705424674814928</v>
      </c>
      <c r="K341" s="706">
        <v>35.3640665961791</v>
      </c>
      <c r="L341" s="697">
        <f t="shared" ca="1" si="76"/>
        <v>15.420000037248862</v>
      </c>
      <c r="M341" s="1185">
        <v>11.810804404500475</v>
      </c>
      <c r="N341" s="697">
        <f t="shared" ca="1" si="77"/>
        <v>8.1842553963144997</v>
      </c>
      <c r="O341" s="697"/>
      <c r="P341" s="697"/>
      <c r="Q341" s="697"/>
      <c r="R341" s="706">
        <v>10.558351176014506</v>
      </c>
      <c r="S341" s="697">
        <f t="shared" ca="1" si="78"/>
        <v>6.2754980846405033</v>
      </c>
      <c r="T341" s="1152">
        <v>275.44979117299482</v>
      </c>
      <c r="U341" s="697">
        <f t="shared" ca="1" si="79"/>
        <v>65.1084081344151</v>
      </c>
      <c r="V341" s="697">
        <f t="shared" ca="1" si="83"/>
        <v>41.021279401540347</v>
      </c>
      <c r="W341" s="697">
        <v>33.389860013592205</v>
      </c>
      <c r="X341" s="697">
        <f t="shared" ca="1" si="80"/>
        <v>20.684677803177475</v>
      </c>
      <c r="Y341" s="697">
        <v>37.700998104054001</v>
      </c>
      <c r="Z341" s="697">
        <f t="shared" ca="1" si="81"/>
        <v>15.366110393028141</v>
      </c>
    </row>
    <row r="342" spans="2:26" ht="13.2">
      <c r="B342" s="166">
        <f t="shared" si="82"/>
        <v>44526</v>
      </c>
      <c r="C342"/>
      <c r="G342" s="706">
        <v>31.784671493462028</v>
      </c>
      <c r="H342" s="706">
        <v>255.71154531058727</v>
      </c>
      <c r="I342" s="697">
        <f t="shared" ca="1" si="75"/>
        <v>342.53985194422665</v>
      </c>
      <c r="J342" s="706">
        <v>50.284993474686559</v>
      </c>
      <c r="K342" s="706">
        <v>32.746040756364792</v>
      </c>
      <c r="L342" s="697">
        <f t="shared" ca="1" si="76"/>
        <v>15.420000037248862</v>
      </c>
      <c r="M342" s="1185">
        <v>11.383723812548469</v>
      </c>
      <c r="N342" s="697">
        <f t="shared" ca="1" si="77"/>
        <v>8.1842553963144997</v>
      </c>
      <c r="O342" s="697"/>
      <c r="P342" s="697"/>
      <c r="Q342" s="697"/>
      <c r="R342" s="706">
        <v>9.88244530818565</v>
      </c>
      <c r="S342" s="697">
        <f t="shared" ca="1" si="78"/>
        <v>6.2754980846405033</v>
      </c>
      <c r="T342" s="1152">
        <v>254.50043262565214</v>
      </c>
      <c r="U342" s="697">
        <f t="shared" ca="1" si="79"/>
        <v>65.1084081344151</v>
      </c>
      <c r="V342" s="697">
        <f t="shared" ca="1" si="83"/>
        <v>41.021279401540347</v>
      </c>
      <c r="W342" s="697">
        <v>31.784671493462028</v>
      </c>
      <c r="X342" s="697">
        <f t="shared" ca="1" si="80"/>
        <v>20.684677803177475</v>
      </c>
      <c r="Y342" s="697">
        <v>35.686235789983009</v>
      </c>
      <c r="Z342" s="697">
        <f t="shared" ca="1" si="81"/>
        <v>15.366110393028141</v>
      </c>
    </row>
    <row r="343" spans="2:26" ht="13.2">
      <c r="B343" s="166">
        <f t="shared" si="82"/>
        <v>44533</v>
      </c>
      <c r="C343"/>
      <c r="G343" s="706">
        <v>29.144783675822737</v>
      </c>
      <c r="H343" s="706">
        <v>234.75518946325471</v>
      </c>
      <c r="I343" s="697">
        <f t="shared" ca="1" si="75"/>
        <v>342.53985194422665</v>
      </c>
      <c r="J343" s="706">
        <v>46.153066534827538</v>
      </c>
      <c r="K343" s="706">
        <v>28.939380904838067</v>
      </c>
      <c r="L343" s="697">
        <f t="shared" ca="1" si="76"/>
        <v>15.420000037248862</v>
      </c>
      <c r="M343" s="1185">
        <v>10.550022778073169</v>
      </c>
      <c r="N343" s="697">
        <f t="shared" ca="1" si="77"/>
        <v>8.1842553963144997</v>
      </c>
      <c r="O343" s="697"/>
      <c r="P343" s="697"/>
      <c r="Q343" s="697"/>
      <c r="R343" s="706">
        <v>8.9285485850178041</v>
      </c>
      <c r="S343" s="697">
        <f t="shared" ca="1" si="78"/>
        <v>6.2754980846405033</v>
      </c>
      <c r="T343" s="1152">
        <v>223.67454242445078</v>
      </c>
      <c r="U343" s="697">
        <f t="shared" ca="1" si="79"/>
        <v>65.1084081344151</v>
      </c>
      <c r="V343" s="697">
        <f t="shared" ca="1" si="83"/>
        <v>41.021279401540347</v>
      </c>
      <c r="W343" s="697">
        <v>29.144783675822737</v>
      </c>
      <c r="X343" s="697">
        <f t="shared" ca="1" si="80"/>
        <v>20.684677803177475</v>
      </c>
      <c r="Y343" s="697">
        <v>32.929145957949196</v>
      </c>
      <c r="Z343" s="697">
        <f t="shared" ca="1" si="81"/>
        <v>15.366110393028141</v>
      </c>
    </row>
    <row r="344" spans="2:26" ht="13.2">
      <c r="B344" s="166">
        <f t="shared" si="82"/>
        <v>44540</v>
      </c>
      <c r="C344"/>
      <c r="G344" s="706">
        <v>30.170998985993361</v>
      </c>
      <c r="H344" s="706">
        <v>244.59690494328134</v>
      </c>
      <c r="I344" s="697">
        <f t="shared" ref="I344:I407" ca="1" si="84">+I$87</f>
        <v>342.53985194422665</v>
      </c>
      <c r="J344" s="706">
        <v>46.627189186737745</v>
      </c>
      <c r="K344" s="706">
        <v>29.881057578080163</v>
      </c>
      <c r="L344" s="697">
        <f t="shared" ref="L344:L407" ca="1" si="85">+L$87</f>
        <v>15.420000037248862</v>
      </c>
      <c r="M344" s="1185">
        <v>10.742351662040823</v>
      </c>
      <c r="N344" s="697">
        <f t="shared" ref="N344:N407" ca="1" si="86">+N$87</f>
        <v>8.1842553963144997</v>
      </c>
      <c r="O344" s="697"/>
      <c r="P344" s="697"/>
      <c r="Q344" s="697"/>
      <c r="R344" s="706">
        <v>9.2949985165714253</v>
      </c>
      <c r="S344" s="697">
        <f t="shared" ref="S344:S407" ca="1" si="87">+S$87</f>
        <v>6.2754980846405033</v>
      </c>
      <c r="T344" s="1152">
        <v>231.2635598587058</v>
      </c>
      <c r="U344" s="697">
        <f t="shared" ref="U344:U407" ca="1" si="88">+U$87</f>
        <v>65.1084081344151</v>
      </c>
      <c r="V344" s="697">
        <f t="shared" ca="1" si="83"/>
        <v>41.021279401540347</v>
      </c>
      <c r="W344" s="697">
        <v>30.170998985993361</v>
      </c>
      <c r="X344" s="697">
        <f t="shared" ref="X344:X407" ca="1" si="89">+X$87</f>
        <v>20.684677803177475</v>
      </c>
      <c r="Y344" s="697">
        <v>33.648594870820816</v>
      </c>
      <c r="Z344" s="697">
        <f t="shared" ref="Z344:Z407" ca="1" si="90">+Z$87</f>
        <v>15.366110393028141</v>
      </c>
    </row>
    <row r="345" spans="2:26" ht="13.2">
      <c r="B345" s="166">
        <f t="shared" ref="B345:B408" si="91">B344+7</f>
        <v>44547</v>
      </c>
      <c r="C345"/>
      <c r="G345" s="706">
        <v>28.850362413553459</v>
      </c>
      <c r="H345" s="706">
        <v>221.73115623758483</v>
      </c>
      <c r="I345" s="697">
        <f t="shared" ca="1" si="84"/>
        <v>342.53985194422665</v>
      </c>
      <c r="J345" s="706">
        <v>45.064044623145577</v>
      </c>
      <c r="K345" s="706">
        <v>26.821580729322772</v>
      </c>
      <c r="L345" s="697">
        <f t="shared" ca="1" si="85"/>
        <v>15.420000037248862</v>
      </c>
      <c r="M345" s="1185">
        <v>10.114041620871166</v>
      </c>
      <c r="N345" s="697">
        <f t="shared" ca="1" si="86"/>
        <v>8.1842553963144997</v>
      </c>
      <c r="O345" s="697"/>
      <c r="P345" s="697"/>
      <c r="Q345" s="697"/>
      <c r="R345" s="706">
        <v>8.7262695732052595</v>
      </c>
      <c r="S345" s="697">
        <f t="shared" ca="1" si="87"/>
        <v>6.2754980846405033</v>
      </c>
      <c r="T345" s="1152">
        <v>209.72746619329106</v>
      </c>
      <c r="U345" s="697">
        <f t="shared" ca="1" si="88"/>
        <v>65.1084081344151</v>
      </c>
      <c r="V345" s="697">
        <f t="shared" ref="V345:V408" ca="1" si="92">+V344</f>
        <v>41.021279401540347</v>
      </c>
      <c r="W345" s="697">
        <v>28.850362413553459</v>
      </c>
      <c r="X345" s="697">
        <f t="shared" ca="1" si="89"/>
        <v>20.684677803177475</v>
      </c>
      <c r="Y345" s="697">
        <v>32.250662585438882</v>
      </c>
      <c r="Z345" s="697">
        <f t="shared" ca="1" si="90"/>
        <v>15.366110393028141</v>
      </c>
    </row>
    <row r="346" spans="2:26" ht="13.2">
      <c r="B346" s="166">
        <f t="shared" si="91"/>
        <v>44554</v>
      </c>
      <c r="C346"/>
      <c r="G346" s="706">
        <v>30.366039353997675</v>
      </c>
      <c r="H346" s="706">
        <v>241.39657915992453</v>
      </c>
      <c r="I346" s="697">
        <f t="shared" ca="1" si="84"/>
        <v>342.53985194422665</v>
      </c>
      <c r="J346" s="706">
        <v>46.873962695181525</v>
      </c>
      <c r="K346" s="706">
        <v>29.145667954877904</v>
      </c>
      <c r="L346" s="697">
        <f t="shared" ca="1" si="85"/>
        <v>15.420000037248862</v>
      </c>
      <c r="M346" s="1185">
        <v>10.479225883341089</v>
      </c>
      <c r="N346" s="697">
        <f t="shared" ca="1" si="86"/>
        <v>8.1842553963144997</v>
      </c>
      <c r="O346" s="697"/>
      <c r="P346" s="697"/>
      <c r="Q346" s="697"/>
      <c r="R346" s="706">
        <v>9.2534819215887456</v>
      </c>
      <c r="S346" s="697">
        <f t="shared" ca="1" si="87"/>
        <v>6.2754980846405033</v>
      </c>
      <c r="T346" s="1152">
        <v>224.16538846103276</v>
      </c>
      <c r="U346" s="697">
        <f t="shared" ca="1" si="88"/>
        <v>65.1084081344151</v>
      </c>
      <c r="V346" s="697">
        <f t="shared" ca="1" si="92"/>
        <v>41.021279401540347</v>
      </c>
      <c r="W346" s="697">
        <v>30.366039353997675</v>
      </c>
      <c r="X346" s="697">
        <f t="shared" ca="1" si="89"/>
        <v>20.684677803177475</v>
      </c>
      <c r="Y346" s="697">
        <v>34.112732324717832</v>
      </c>
      <c r="Z346" s="697">
        <f t="shared" ca="1" si="90"/>
        <v>15.366110393028141</v>
      </c>
    </row>
    <row r="347" spans="2:26" ht="13.2">
      <c r="B347" s="166">
        <f t="shared" si="91"/>
        <v>44561</v>
      </c>
      <c r="C347"/>
      <c r="G347" s="706">
        <v>29.305115701342267</v>
      </c>
      <c r="H347" s="706">
        <v>231.31757762689014</v>
      </c>
      <c r="I347" s="697">
        <f t="shared" ca="1" si="84"/>
        <v>342.53985194422665</v>
      </c>
      <c r="J347" s="706">
        <v>44.530779984307422</v>
      </c>
      <c r="K347" s="706">
        <v>27.590948260914786</v>
      </c>
      <c r="L347" s="697">
        <f t="shared" ca="1" si="85"/>
        <v>15.420000037248862</v>
      </c>
      <c r="M347" s="1185">
        <v>10.325385884763852</v>
      </c>
      <c r="N347" s="697">
        <f t="shared" ca="1" si="86"/>
        <v>8.1842553963144997</v>
      </c>
      <c r="O347" s="697"/>
      <c r="P347" s="697"/>
      <c r="Q347" s="697"/>
      <c r="R347" s="706">
        <v>8.8425338120795658</v>
      </c>
      <c r="S347" s="697">
        <f t="shared" ca="1" si="87"/>
        <v>6.2754980846405033</v>
      </c>
      <c r="T347" s="1152">
        <v>217.05921722165067</v>
      </c>
      <c r="U347" s="697">
        <f t="shared" ca="1" si="88"/>
        <v>65.1084081344151</v>
      </c>
      <c r="V347" s="697">
        <f t="shared" ca="1" si="92"/>
        <v>41.021279401540347</v>
      </c>
      <c r="W347" s="697">
        <v>29.305115701342267</v>
      </c>
      <c r="X347" s="697">
        <f t="shared" ca="1" si="89"/>
        <v>20.684677803177475</v>
      </c>
      <c r="Y347" s="697">
        <v>32.990952998955891</v>
      </c>
      <c r="Z347" s="697">
        <f t="shared" ca="1" si="90"/>
        <v>15.366110393028141</v>
      </c>
    </row>
    <row r="348" spans="2:26" ht="13.2">
      <c r="B348" s="166">
        <f t="shared" si="91"/>
        <v>44568</v>
      </c>
      <c r="C348"/>
      <c r="G348" s="706">
        <v>26.64931781817916</v>
      </c>
      <c r="H348" s="706">
        <v>190.52593284716659</v>
      </c>
      <c r="I348" s="697">
        <f t="shared" ca="1" si="84"/>
        <v>342.53985194422665</v>
      </c>
      <c r="J348" s="706">
        <v>41.402309240719887</v>
      </c>
      <c r="K348" s="706">
        <v>22.578536153896355</v>
      </c>
      <c r="L348" s="697">
        <f t="shared" ca="1" si="85"/>
        <v>15.420000037248862</v>
      </c>
      <c r="M348" s="1185">
        <v>9.4674327341586526</v>
      </c>
      <c r="N348" s="697">
        <f t="shared" ca="1" si="86"/>
        <v>8.1842553963144997</v>
      </c>
      <c r="O348" s="697"/>
      <c r="P348" s="697"/>
      <c r="Q348" s="697"/>
      <c r="R348" s="706">
        <v>7.9915191952756537</v>
      </c>
      <c r="S348" s="697">
        <f t="shared" ca="1" si="87"/>
        <v>6.2754980846405033</v>
      </c>
      <c r="T348" s="1152">
        <v>176.15758844990336</v>
      </c>
      <c r="U348" s="697">
        <f t="shared" ca="1" si="88"/>
        <v>65.1084081344151</v>
      </c>
      <c r="V348" s="697">
        <f t="shared" ca="1" si="92"/>
        <v>41.021279401540347</v>
      </c>
      <c r="W348" s="697">
        <v>26.64931781817916</v>
      </c>
      <c r="X348" s="697">
        <f t="shared" ca="1" si="89"/>
        <v>20.684677803177475</v>
      </c>
      <c r="Y348" s="697">
        <v>29.878196879110607</v>
      </c>
      <c r="Z348" s="697">
        <f t="shared" ca="1" si="90"/>
        <v>15.366110393028141</v>
      </c>
    </row>
    <row r="349" spans="2:26" ht="13.2">
      <c r="B349" s="166">
        <f t="shared" si="91"/>
        <v>44575</v>
      </c>
      <c r="C349"/>
      <c r="G349" s="706">
        <v>25.597658010796255</v>
      </c>
      <c r="H349" s="706">
        <v>182.08877972577471</v>
      </c>
      <c r="I349" s="697">
        <f t="shared" ca="1" si="84"/>
        <v>342.53985194422665</v>
      </c>
      <c r="J349" s="706">
        <v>49.236996465180809</v>
      </c>
      <c r="K349" s="706">
        <v>21.574528491115696</v>
      </c>
      <c r="L349" s="697">
        <f t="shared" ca="1" si="85"/>
        <v>15.420000037248862</v>
      </c>
      <c r="M349" s="1185">
        <v>9.243898845998201</v>
      </c>
      <c r="N349" s="697">
        <f t="shared" ca="1" si="86"/>
        <v>8.1842553963144997</v>
      </c>
      <c r="O349" s="697"/>
      <c r="P349" s="697"/>
      <c r="Q349" s="697"/>
      <c r="R349" s="706">
        <v>7.7451224090512607</v>
      </c>
      <c r="S349" s="697">
        <f t="shared" ca="1" si="87"/>
        <v>6.2754980846405033</v>
      </c>
      <c r="T349" s="1152">
        <v>168.19773265541784</v>
      </c>
      <c r="U349" s="697">
        <f t="shared" ca="1" si="88"/>
        <v>65.1084081344151</v>
      </c>
      <c r="V349" s="697">
        <f t="shared" ca="1" si="92"/>
        <v>41.021279401540347</v>
      </c>
      <c r="W349" s="697">
        <v>25.597658010796255</v>
      </c>
      <c r="X349" s="697">
        <f t="shared" ca="1" si="89"/>
        <v>20.684677803177475</v>
      </c>
      <c r="Y349" s="697">
        <v>28.992262183430711</v>
      </c>
      <c r="Z349" s="697">
        <f t="shared" ca="1" si="90"/>
        <v>15.366110393028141</v>
      </c>
    </row>
    <row r="350" spans="2:26" ht="13.2">
      <c r="B350" s="166">
        <f t="shared" si="91"/>
        <v>44582</v>
      </c>
      <c r="C350"/>
      <c r="G350" s="706">
        <v>25.629361046656868</v>
      </c>
      <c r="H350" s="706">
        <v>143.88871770671932</v>
      </c>
      <c r="I350" s="697">
        <f t="shared" ca="1" si="84"/>
        <v>342.53985194422665</v>
      </c>
      <c r="J350" s="706">
        <v>43.907542429443197</v>
      </c>
      <c r="K350" s="706">
        <v>16.922269326510563</v>
      </c>
      <c r="L350" s="697">
        <f t="shared" ca="1" si="85"/>
        <v>15.420000037248862</v>
      </c>
      <c r="M350" s="1185">
        <v>8.6987746110169013</v>
      </c>
      <c r="N350" s="697">
        <f t="shared" ca="1" si="86"/>
        <v>8.1842553963144997</v>
      </c>
      <c r="O350" s="697"/>
      <c r="P350" s="697"/>
      <c r="Q350" s="697"/>
      <c r="R350" s="706">
        <v>6.6795079136111823</v>
      </c>
      <c r="S350" s="697">
        <f t="shared" ca="1" si="87"/>
        <v>6.2754980846405033</v>
      </c>
      <c r="T350" s="1152">
        <v>133.13426333447256</v>
      </c>
      <c r="U350" s="697">
        <f t="shared" ca="1" si="88"/>
        <v>65.1084081344151</v>
      </c>
      <c r="V350" s="697">
        <f t="shared" ca="1" si="92"/>
        <v>41.021279401540347</v>
      </c>
      <c r="W350" s="697">
        <v>25.629361046656868</v>
      </c>
      <c r="X350" s="697">
        <f t="shared" ca="1" si="89"/>
        <v>20.684677803177475</v>
      </c>
      <c r="Y350" s="697">
        <v>27.194948178673361</v>
      </c>
      <c r="Z350" s="697">
        <f t="shared" ca="1" si="90"/>
        <v>15.366110393028141</v>
      </c>
    </row>
    <row r="351" spans="2:26" ht="13.2">
      <c r="B351" s="166">
        <f t="shared" si="91"/>
        <v>44589</v>
      </c>
      <c r="C351"/>
      <c r="G351" s="706">
        <v>24.790563414597258</v>
      </c>
      <c r="H351" s="706">
        <v>140.22619949122566</v>
      </c>
      <c r="I351" s="697">
        <f t="shared" ca="1" si="84"/>
        <v>342.53985194422665</v>
      </c>
      <c r="J351" s="706">
        <v>41.993404259092237</v>
      </c>
      <c r="K351" s="706">
        <v>16.609753030149523</v>
      </c>
      <c r="L351" s="697">
        <f t="shared" ca="1" si="85"/>
        <v>15.420000037248862</v>
      </c>
      <c r="M351" s="1185">
        <v>8.7647092677172775</v>
      </c>
      <c r="N351" s="697">
        <f t="shared" ca="1" si="86"/>
        <v>8.1842553963144997</v>
      </c>
      <c r="O351" s="697"/>
      <c r="P351" s="697"/>
      <c r="Q351" s="697"/>
      <c r="R351" s="706">
        <v>6.4936580470930831</v>
      </c>
      <c r="S351" s="697">
        <f t="shared" ca="1" si="87"/>
        <v>6.2754980846405033</v>
      </c>
      <c r="T351" s="1152">
        <v>128.52966304501078</v>
      </c>
      <c r="U351" s="697">
        <f t="shared" ca="1" si="88"/>
        <v>65.1084081344151</v>
      </c>
      <c r="V351" s="697">
        <f t="shared" ca="1" si="92"/>
        <v>41.021279401540347</v>
      </c>
      <c r="W351" s="697">
        <v>24.790563414597258</v>
      </c>
      <c r="X351" s="697">
        <f t="shared" ca="1" si="89"/>
        <v>20.684677803177475</v>
      </c>
      <c r="Y351" s="697">
        <v>26.450718188678007</v>
      </c>
      <c r="Z351" s="697">
        <f t="shared" ca="1" si="90"/>
        <v>15.366110393028141</v>
      </c>
    </row>
    <row r="352" spans="2:26" ht="13.2">
      <c r="B352" s="166">
        <f t="shared" si="91"/>
        <v>44596</v>
      </c>
      <c r="C352"/>
      <c r="G352" s="706">
        <v>27.251870190721018</v>
      </c>
      <c r="H352" s="706">
        <v>139.54350794537794</v>
      </c>
      <c r="I352" s="697">
        <f t="shared" ca="1" si="84"/>
        <v>342.53985194422665</v>
      </c>
      <c r="J352" s="706">
        <v>44.844560545757517</v>
      </c>
      <c r="K352" s="706">
        <v>16.57838128556164</v>
      </c>
      <c r="L352" s="697">
        <f t="shared" ca="1" si="85"/>
        <v>15.420000037248862</v>
      </c>
      <c r="M352" s="1185">
        <v>8.8006448480762316</v>
      </c>
      <c r="N352" s="697">
        <f t="shared" ca="1" si="86"/>
        <v>8.1842553963144997</v>
      </c>
      <c r="O352" s="697"/>
      <c r="P352" s="697"/>
      <c r="Q352" s="697"/>
      <c r="R352" s="706">
        <v>6.8745078137441737</v>
      </c>
      <c r="S352" s="697">
        <f t="shared" ca="1" si="87"/>
        <v>6.2754980846405033</v>
      </c>
      <c r="T352" s="1152">
        <v>127.5364502388703</v>
      </c>
      <c r="U352" s="697">
        <f t="shared" ca="1" si="88"/>
        <v>65.1084081344151</v>
      </c>
      <c r="V352" s="697">
        <f t="shared" ca="1" si="92"/>
        <v>41.021279401540347</v>
      </c>
      <c r="W352" s="697">
        <v>27.251870190721018</v>
      </c>
      <c r="X352" s="697">
        <f t="shared" ca="1" si="89"/>
        <v>20.684677803177475</v>
      </c>
      <c r="Y352" s="697">
        <v>26.380349359229363</v>
      </c>
      <c r="Z352" s="697">
        <f t="shared" ca="1" si="90"/>
        <v>15.366110393028141</v>
      </c>
    </row>
    <row r="353" spans="2:26" ht="13.2">
      <c r="B353" s="166">
        <f t="shared" si="91"/>
        <v>44603</v>
      </c>
      <c r="C353"/>
      <c r="G353" s="706">
        <v>27.393908267990202</v>
      </c>
      <c r="H353" s="706">
        <v>135.31215261892552</v>
      </c>
      <c r="I353" s="697">
        <f t="shared" ca="1" si="84"/>
        <v>342.53985194422665</v>
      </c>
      <c r="J353" s="706">
        <v>44.549114432650967</v>
      </c>
      <c r="K353" s="706">
        <v>16.082693480426112</v>
      </c>
      <c r="L353" s="697">
        <f t="shared" ca="1" si="85"/>
        <v>15.420000037248862</v>
      </c>
      <c r="M353" s="1185">
        <v>8.4999370265055862</v>
      </c>
      <c r="N353" s="697">
        <f t="shared" ca="1" si="86"/>
        <v>8.1842553963144997</v>
      </c>
      <c r="O353" s="697"/>
      <c r="P353" s="697"/>
      <c r="Q353" s="697"/>
      <c r="R353" s="706">
        <v>6.8530759242334458</v>
      </c>
      <c r="S353" s="697">
        <f t="shared" ca="1" si="87"/>
        <v>6.2754980846405033</v>
      </c>
      <c r="T353" s="1152">
        <v>124.27528073394058</v>
      </c>
      <c r="U353" s="697">
        <f t="shared" ca="1" si="88"/>
        <v>65.1084081344151</v>
      </c>
      <c r="V353" s="697">
        <f t="shared" ca="1" si="92"/>
        <v>41.021279401540347</v>
      </c>
      <c r="W353" s="697">
        <v>27.393908267990202</v>
      </c>
      <c r="X353" s="697">
        <f t="shared" ca="1" si="89"/>
        <v>20.684677803177475</v>
      </c>
      <c r="Y353" s="697">
        <v>25.461062188221771</v>
      </c>
      <c r="Z353" s="697">
        <f t="shared" ca="1" si="90"/>
        <v>15.366110393028141</v>
      </c>
    </row>
    <row r="354" spans="2:26" ht="13.2">
      <c r="B354" s="166">
        <f t="shared" si="91"/>
        <v>44610</v>
      </c>
      <c r="C354"/>
      <c r="G354" s="706">
        <v>26.674303597736046</v>
      </c>
      <c r="H354" s="706">
        <v>192.6548434562082</v>
      </c>
      <c r="I354" s="697">
        <f t="shared" ca="1" si="84"/>
        <v>342.53985194422665</v>
      </c>
      <c r="J354" s="706">
        <v>42.143041555731465</v>
      </c>
      <c r="K354" s="706">
        <v>12.119941529613531</v>
      </c>
      <c r="L354" s="697">
        <f t="shared" ca="1" si="85"/>
        <v>15.420000037248862</v>
      </c>
      <c r="M354" s="1185">
        <v>7.8284131954366432</v>
      </c>
      <c r="N354" s="697">
        <f t="shared" ca="1" si="86"/>
        <v>8.1842553963144997</v>
      </c>
      <c r="O354" s="697"/>
      <c r="P354" s="697"/>
      <c r="Q354" s="697"/>
      <c r="R354" s="706">
        <v>6.5359075412519827</v>
      </c>
      <c r="S354" s="697">
        <f t="shared" ca="1" si="87"/>
        <v>6.2754980846405033</v>
      </c>
      <c r="T354" s="1152">
        <v>141.5217658265764</v>
      </c>
      <c r="U354" s="697">
        <f t="shared" ca="1" si="88"/>
        <v>65.1084081344151</v>
      </c>
      <c r="V354" s="697">
        <f t="shared" ca="1" si="92"/>
        <v>41.021279401540347</v>
      </c>
      <c r="W354" s="697">
        <v>26.674303597736046</v>
      </c>
      <c r="X354" s="697">
        <f t="shared" ca="1" si="89"/>
        <v>20.684677803177475</v>
      </c>
      <c r="Y354" s="697">
        <v>25.398357351293253</v>
      </c>
      <c r="Z354" s="697">
        <f t="shared" ca="1" si="90"/>
        <v>15.366110393028141</v>
      </c>
    </row>
    <row r="355" spans="2:26" ht="13.2">
      <c r="B355" s="166">
        <f t="shared" si="91"/>
        <v>44617</v>
      </c>
      <c r="C355"/>
      <c r="G355" s="706">
        <v>26.620874819820031</v>
      </c>
      <c r="H355" s="706">
        <v>193.78345426800649</v>
      </c>
      <c r="I355" s="697">
        <f t="shared" ca="1" si="84"/>
        <v>342.53985194422665</v>
      </c>
      <c r="J355" s="706">
        <v>41.112998049136145</v>
      </c>
      <c r="K355" s="706">
        <v>12.447732588948963</v>
      </c>
      <c r="L355" s="697">
        <f t="shared" ca="1" si="85"/>
        <v>15.420000037248862</v>
      </c>
      <c r="M355" s="1185">
        <v>8.0509374424338151</v>
      </c>
      <c r="N355" s="697">
        <f t="shared" ca="1" si="86"/>
        <v>8.1842553963144997</v>
      </c>
      <c r="O355" s="697"/>
      <c r="P355" s="697"/>
      <c r="Q355" s="697"/>
      <c r="R355" s="706">
        <v>6.5753130215151021</v>
      </c>
      <c r="S355" s="697">
        <f t="shared" ca="1" si="87"/>
        <v>6.2754980846405033</v>
      </c>
      <c r="T355" s="1152">
        <v>144.0116951266246</v>
      </c>
      <c r="U355" s="697">
        <f t="shared" ca="1" si="88"/>
        <v>65.1084081344151</v>
      </c>
      <c r="V355" s="697">
        <f t="shared" ca="1" si="92"/>
        <v>41.021279401540347</v>
      </c>
      <c r="W355" s="697">
        <v>26.620874819820031</v>
      </c>
      <c r="X355" s="697">
        <f t="shared" ca="1" si="89"/>
        <v>20.684677803177475</v>
      </c>
      <c r="Y355" s="697">
        <v>26.057491936797533</v>
      </c>
      <c r="Z355" s="697">
        <f t="shared" ca="1" si="90"/>
        <v>15.366110393028141</v>
      </c>
    </row>
    <row r="356" spans="2:26" ht="13.2">
      <c r="B356" s="166">
        <f t="shared" si="91"/>
        <v>44624</v>
      </c>
      <c r="C356"/>
      <c r="G356" s="706">
        <v>23.748761837813273</v>
      </c>
      <c r="H356" s="706">
        <v>170.39713983293288</v>
      </c>
      <c r="I356" s="697">
        <f t="shared" ca="1" si="84"/>
        <v>342.53985194422665</v>
      </c>
      <c r="J356" s="706">
        <v>37.381705159346289</v>
      </c>
      <c r="K356" s="706">
        <v>10.86163090613042</v>
      </c>
      <c r="L356" s="697">
        <f t="shared" ca="1" si="85"/>
        <v>15.420000037248862</v>
      </c>
      <c r="M356" s="1185">
        <v>7.6756846435391033</v>
      </c>
      <c r="N356" s="697">
        <f t="shared" ca="1" si="86"/>
        <v>8.1842553963144997</v>
      </c>
      <c r="O356" s="697"/>
      <c r="P356" s="697"/>
      <c r="Q356" s="697"/>
      <c r="R356" s="706">
        <v>5.8949935691855631</v>
      </c>
      <c r="S356" s="697">
        <f t="shared" ca="1" si="87"/>
        <v>6.2754980846405033</v>
      </c>
      <c r="T356" s="1152">
        <v>124.91911843513002</v>
      </c>
      <c r="U356" s="697">
        <f t="shared" ca="1" si="88"/>
        <v>65.1084081344151</v>
      </c>
      <c r="V356" s="697">
        <f t="shared" ca="1" si="92"/>
        <v>41.021279401540347</v>
      </c>
      <c r="W356" s="697">
        <v>23.748761837813273</v>
      </c>
      <c r="X356" s="697">
        <f t="shared" ca="1" si="89"/>
        <v>20.684677803177475</v>
      </c>
      <c r="Y356" s="697">
        <v>24.037355176866516</v>
      </c>
      <c r="Z356" s="697">
        <f t="shared" ca="1" si="90"/>
        <v>15.366110393028141</v>
      </c>
    </row>
    <row r="357" spans="2:26" ht="13.2">
      <c r="B357" s="166">
        <f t="shared" si="91"/>
        <v>44631</v>
      </c>
      <c r="C357"/>
      <c r="G357" s="706">
        <v>22.013989792520832</v>
      </c>
      <c r="H357" s="706">
        <v>157.81937499039665</v>
      </c>
      <c r="I357" s="697">
        <f t="shared" ca="1" si="84"/>
        <v>342.53985194422665</v>
      </c>
      <c r="J357" s="706">
        <v>35.240494084257428</v>
      </c>
      <c r="K357" s="706">
        <v>9.7231265918215772</v>
      </c>
      <c r="L357" s="697">
        <f t="shared" ca="1" si="85"/>
        <v>15.420000037248862</v>
      </c>
      <c r="M357" s="1185">
        <v>7.2363671529354567</v>
      </c>
      <c r="N357" s="697">
        <f t="shared" ca="1" si="86"/>
        <v>8.1842553963144997</v>
      </c>
      <c r="O357" s="697"/>
      <c r="P357" s="697"/>
      <c r="Q357" s="697"/>
      <c r="R357" s="706">
        <v>5.3497753678739475</v>
      </c>
      <c r="S357" s="697">
        <f t="shared" ca="1" si="87"/>
        <v>6.2754980846405033</v>
      </c>
      <c r="T357" s="1152">
        <v>118.61871597935219</v>
      </c>
      <c r="U357" s="697">
        <f t="shared" ca="1" si="88"/>
        <v>65.1084081344151</v>
      </c>
      <c r="V357" s="697">
        <f t="shared" ca="1" si="92"/>
        <v>41.021279401540347</v>
      </c>
      <c r="W357" s="697">
        <v>22.013989792520832</v>
      </c>
      <c r="X357" s="697">
        <f t="shared" ca="1" si="89"/>
        <v>20.684677803177475</v>
      </c>
      <c r="Y357" s="697">
        <v>23.472283491820527</v>
      </c>
      <c r="Z357" s="697">
        <f t="shared" ca="1" si="90"/>
        <v>15.366110393028141</v>
      </c>
    </row>
    <row r="358" spans="2:26" ht="13.2">
      <c r="B358" s="166">
        <f t="shared" si="91"/>
        <v>44638</v>
      </c>
      <c r="C358"/>
      <c r="G358" s="706">
        <v>24.780029454612269</v>
      </c>
      <c r="H358" s="706">
        <v>234.71192586641877</v>
      </c>
      <c r="I358" s="697">
        <f t="shared" ca="1" si="84"/>
        <v>342.53985194422665</v>
      </c>
      <c r="J358" s="706">
        <v>39.478141528274087</v>
      </c>
      <c r="K358" s="706">
        <v>14.295985463401605</v>
      </c>
      <c r="L358" s="697">
        <f t="shared" ca="1" si="85"/>
        <v>15.420000037248862</v>
      </c>
      <c r="M358" s="1185">
        <v>7.896909578805416</v>
      </c>
      <c r="N358" s="697">
        <f t="shared" ca="1" si="86"/>
        <v>8.1842553963144997</v>
      </c>
      <c r="O358" s="697"/>
      <c r="P358" s="697"/>
      <c r="Q358" s="697"/>
      <c r="R358" s="706">
        <v>6.3281036190888749</v>
      </c>
      <c r="S358" s="697">
        <f t="shared" ca="1" si="87"/>
        <v>6.2754980846405033</v>
      </c>
      <c r="T358" s="1152">
        <v>149.91109155376103</v>
      </c>
      <c r="U358" s="697">
        <f t="shared" ca="1" si="88"/>
        <v>65.1084081344151</v>
      </c>
      <c r="V358" s="697">
        <f t="shared" ca="1" si="92"/>
        <v>41.021279401540347</v>
      </c>
      <c r="W358" s="697">
        <v>24.780029454612269</v>
      </c>
      <c r="X358" s="697">
        <f t="shared" ca="1" si="89"/>
        <v>20.684677803177475</v>
      </c>
      <c r="Y358" s="697">
        <v>25.835917195305449</v>
      </c>
      <c r="Z358" s="697">
        <f t="shared" ca="1" si="90"/>
        <v>15.366110393028141</v>
      </c>
    </row>
    <row r="359" spans="2:26" ht="13.2">
      <c r="B359" s="166">
        <f t="shared" si="91"/>
        <v>44645</v>
      </c>
      <c r="C359"/>
      <c r="G359" s="706">
        <v>24.431654418692961</v>
      </c>
      <c r="H359" s="706">
        <v>202.86045995794899</v>
      </c>
      <c r="I359" s="697">
        <f t="shared" ca="1" si="84"/>
        <v>342.53985194422665</v>
      </c>
      <c r="J359" s="706">
        <v>38.964904048369142</v>
      </c>
      <c r="K359" s="706">
        <v>12.237620844109451</v>
      </c>
      <c r="L359" s="697">
        <f t="shared" ca="1" si="85"/>
        <v>15.420000037248862</v>
      </c>
      <c r="M359" s="1185">
        <v>7.7015568335206943</v>
      </c>
      <c r="N359" s="697">
        <f t="shared" ca="1" si="86"/>
        <v>8.1842553963144997</v>
      </c>
      <c r="O359" s="697"/>
      <c r="P359" s="697"/>
      <c r="Q359" s="697"/>
      <c r="R359" s="706">
        <v>6.1595135811186603</v>
      </c>
      <c r="S359" s="697">
        <f t="shared" ca="1" si="87"/>
        <v>6.2754980846405033</v>
      </c>
      <c r="T359" s="1152">
        <v>147.37064361358361</v>
      </c>
      <c r="U359" s="697">
        <f t="shared" ca="1" si="88"/>
        <v>65.1084081344151</v>
      </c>
      <c r="V359" s="697">
        <f t="shared" ca="1" si="92"/>
        <v>41.021279401540347</v>
      </c>
      <c r="W359" s="697">
        <v>24.431654418692961</v>
      </c>
      <c r="X359" s="697">
        <f t="shared" ca="1" si="89"/>
        <v>20.684677803177475</v>
      </c>
      <c r="Y359" s="697">
        <v>26.070885828287022</v>
      </c>
      <c r="Z359" s="697">
        <f t="shared" ca="1" si="90"/>
        <v>15.366110393028141</v>
      </c>
    </row>
    <row r="360" spans="2:26" ht="13.2">
      <c r="B360" s="166">
        <f t="shared" si="91"/>
        <v>44652</v>
      </c>
      <c r="C360"/>
      <c r="G360" s="706">
        <v>24.688542938912292</v>
      </c>
      <c r="H360" s="706">
        <v>213.89176058382262</v>
      </c>
      <c r="I360" s="697">
        <f t="shared" ca="1" si="84"/>
        <v>342.53985194422665</v>
      </c>
      <c r="J360" s="706">
        <v>39.590931491669274</v>
      </c>
      <c r="K360" s="706">
        <v>12.359277294335971</v>
      </c>
      <c r="L360" s="697">
        <f t="shared" ca="1" si="85"/>
        <v>15.420000037248862</v>
      </c>
      <c r="M360" s="1185">
        <v>8.072850696157678</v>
      </c>
      <c r="N360" s="697">
        <f t="shared" ca="1" si="86"/>
        <v>8.1842553963144997</v>
      </c>
      <c r="O360" s="697"/>
      <c r="P360" s="697"/>
      <c r="Q360" s="697"/>
      <c r="R360" s="706">
        <v>6.2941876598545168</v>
      </c>
      <c r="S360" s="697">
        <f t="shared" ca="1" si="87"/>
        <v>6.2754980846405033</v>
      </c>
      <c r="T360" s="1152">
        <v>157.03834189742753</v>
      </c>
      <c r="U360" s="697">
        <f t="shared" ca="1" si="88"/>
        <v>65.1084081344151</v>
      </c>
      <c r="V360" s="697">
        <f t="shared" ca="1" si="92"/>
        <v>41.021279401540347</v>
      </c>
      <c r="W360" s="697">
        <v>24.688542938912292</v>
      </c>
      <c r="X360" s="697">
        <f t="shared" ca="1" si="89"/>
        <v>20.684677803177475</v>
      </c>
      <c r="Y360" s="697">
        <v>27.879432894026319</v>
      </c>
      <c r="Z360" s="697">
        <f t="shared" ca="1" si="90"/>
        <v>15.366110393028141</v>
      </c>
    </row>
    <row r="361" spans="2:26" ht="13.2">
      <c r="B361" s="166">
        <f t="shared" si="91"/>
        <v>44659</v>
      </c>
      <c r="C361"/>
      <c r="G361" s="706">
        <v>22.892579369324018</v>
      </c>
      <c r="H361" s="706">
        <v>184.60954215682756</v>
      </c>
      <c r="I361" s="697">
        <f t="shared" ca="1" si="84"/>
        <v>342.53985194422665</v>
      </c>
      <c r="J361" s="706">
        <v>36.835884349654251</v>
      </c>
      <c r="K361" s="706">
        <v>10.577959109758208</v>
      </c>
      <c r="L361" s="697">
        <f t="shared" ca="1" si="85"/>
        <v>15.420000037248862</v>
      </c>
      <c r="M361" s="1185">
        <v>7.6918067723371708</v>
      </c>
      <c r="N361" s="697">
        <f t="shared" ca="1" si="86"/>
        <v>8.1842553963144997</v>
      </c>
      <c r="O361" s="697"/>
      <c r="P361" s="697"/>
      <c r="Q361" s="697"/>
      <c r="R361" s="706">
        <v>5.805504940879846</v>
      </c>
      <c r="S361" s="697">
        <f t="shared" ca="1" si="87"/>
        <v>6.2754980846405033</v>
      </c>
      <c r="T361" s="1152">
        <v>133.32153729678066</v>
      </c>
      <c r="U361" s="697">
        <f t="shared" ca="1" si="88"/>
        <v>65.1084081344151</v>
      </c>
      <c r="V361" s="697">
        <f t="shared" ca="1" si="92"/>
        <v>41.021279401540347</v>
      </c>
      <c r="W361" s="697">
        <v>22.892579369324018</v>
      </c>
      <c r="X361" s="697">
        <f t="shared" ca="1" si="89"/>
        <v>20.684677803177475</v>
      </c>
      <c r="Y361" s="697">
        <v>25.678684775780646</v>
      </c>
      <c r="Z361" s="697">
        <f t="shared" ca="1" si="90"/>
        <v>15.366110393028141</v>
      </c>
    </row>
    <row r="362" spans="2:26" ht="13.2">
      <c r="B362" s="166">
        <f t="shared" si="91"/>
        <v>44666</v>
      </c>
      <c r="C362"/>
      <c r="G362" s="706">
        <v>22.242758254886965</v>
      </c>
      <c r="H362" s="706">
        <v>176.31656379277251</v>
      </c>
      <c r="I362" s="697">
        <f t="shared" ca="1" si="84"/>
        <v>342.53985194422665</v>
      </c>
      <c r="J362" s="706">
        <v>36.45239919584791</v>
      </c>
      <c r="K362" s="706">
        <v>10.079907472828024</v>
      </c>
      <c r="L362" s="697">
        <f t="shared" ca="1" si="85"/>
        <v>15.420000037248862</v>
      </c>
      <c r="M362" s="1185">
        <v>7.4626492792959622</v>
      </c>
      <c r="N362" s="697">
        <f t="shared" ca="1" si="86"/>
        <v>8.1842553963144997</v>
      </c>
      <c r="O362" s="697"/>
      <c r="P362" s="697"/>
      <c r="Q362" s="697"/>
      <c r="R362" s="706">
        <v>5.63393719556748</v>
      </c>
      <c r="S362" s="697">
        <f t="shared" ca="1" si="87"/>
        <v>6.2754980846405033</v>
      </c>
      <c r="T362" s="1152">
        <v>126.90469477059153</v>
      </c>
      <c r="U362" s="697">
        <f t="shared" ca="1" si="88"/>
        <v>65.1084081344151</v>
      </c>
      <c r="V362" s="697">
        <f t="shared" ca="1" si="92"/>
        <v>41.021279401540347</v>
      </c>
      <c r="W362" s="697">
        <v>22.242758254886965</v>
      </c>
      <c r="X362" s="697">
        <f t="shared" ca="1" si="89"/>
        <v>20.684677803177475</v>
      </c>
      <c r="Y362" s="697">
        <v>24.759457552359287</v>
      </c>
      <c r="Z362" s="697">
        <f t="shared" ca="1" si="90"/>
        <v>15.366110393028141</v>
      </c>
    </row>
    <row r="363" spans="2:26" ht="13.2">
      <c r="B363" s="166">
        <f t="shared" si="91"/>
        <v>44673</v>
      </c>
      <c r="C363"/>
      <c r="G363" s="706">
        <v>20.391524744144441</v>
      </c>
      <c r="H363" s="706">
        <v>138.92063046414629</v>
      </c>
      <c r="I363" s="697">
        <f t="shared" ca="1" si="84"/>
        <v>342.53985194422665</v>
      </c>
      <c r="J363" s="706">
        <v>32.704884606584628</v>
      </c>
      <c r="K363" s="706">
        <v>7.7602310493724174</v>
      </c>
      <c r="L363" s="697">
        <f t="shared" ca="1" si="85"/>
        <v>15.420000037248862</v>
      </c>
      <c r="M363" s="1185">
        <v>7.0177468590100558</v>
      </c>
      <c r="N363" s="697">
        <f t="shared" ca="1" si="86"/>
        <v>8.1842553963144997</v>
      </c>
      <c r="O363" s="697"/>
      <c r="P363" s="697"/>
      <c r="Q363" s="697"/>
      <c r="R363" s="706">
        <v>4.9621565866710871</v>
      </c>
      <c r="S363" s="697">
        <f t="shared" ca="1" si="87"/>
        <v>6.2754980846405033</v>
      </c>
      <c r="T363" s="1152">
        <v>97.26028686052166</v>
      </c>
      <c r="U363" s="697">
        <f t="shared" ca="1" si="88"/>
        <v>65.1084081344151</v>
      </c>
      <c r="V363" s="697">
        <f t="shared" ca="1" si="92"/>
        <v>41.021279401540347</v>
      </c>
      <c r="W363" s="697">
        <v>20.391524744144441</v>
      </c>
      <c r="X363" s="697">
        <f t="shared" ca="1" si="89"/>
        <v>20.684677803177475</v>
      </c>
      <c r="Y363" s="697">
        <v>23.141485320700856</v>
      </c>
      <c r="Z363" s="697">
        <f t="shared" ca="1" si="90"/>
        <v>15.366110393028141</v>
      </c>
    </row>
    <row r="364" spans="2:26" ht="13.2">
      <c r="B364" s="166">
        <f t="shared" si="91"/>
        <v>44680</v>
      </c>
      <c r="C364"/>
      <c r="G364" s="706">
        <v>19.933471861927934</v>
      </c>
      <c r="H364" s="706">
        <v>138.98948509873389</v>
      </c>
      <c r="I364" s="697">
        <f t="shared" ca="1" si="84"/>
        <v>342.53985194422665</v>
      </c>
      <c r="J364" s="706">
        <v>34.04096969106844</v>
      </c>
      <c r="K364" s="706">
        <v>7.1173461494980259</v>
      </c>
      <c r="L364" s="697">
        <f t="shared" ca="1" si="85"/>
        <v>15.420000037248862</v>
      </c>
      <c r="M364" s="1185">
        <v>6.5953063791169697</v>
      </c>
      <c r="N364" s="697">
        <f t="shared" ca="1" si="86"/>
        <v>8.1842553963144997</v>
      </c>
      <c r="O364" s="697"/>
      <c r="P364" s="697"/>
      <c r="Q364" s="697"/>
      <c r="R364" s="706">
        <v>4.8267194194557375</v>
      </c>
      <c r="S364" s="697">
        <f t="shared" ca="1" si="87"/>
        <v>6.2754980846405033</v>
      </c>
      <c r="T364" s="1152">
        <v>101.23309623193614</v>
      </c>
      <c r="U364" s="697">
        <f t="shared" ca="1" si="88"/>
        <v>65.1084081344151</v>
      </c>
      <c r="V364" s="697">
        <f t="shared" ca="1" si="92"/>
        <v>41.021279401540347</v>
      </c>
      <c r="W364" s="697">
        <v>19.933471861927934</v>
      </c>
      <c r="X364" s="697">
        <f t="shared" ca="1" si="89"/>
        <v>20.684677803177475</v>
      </c>
      <c r="Y364" s="697">
        <v>22.172399784572271</v>
      </c>
      <c r="Z364" s="697">
        <f t="shared" ca="1" si="90"/>
        <v>15.366110393028141</v>
      </c>
    </row>
    <row r="365" spans="2:26" ht="13.2">
      <c r="B365" s="166">
        <f t="shared" si="91"/>
        <v>44687</v>
      </c>
      <c r="C365"/>
      <c r="G365" s="706">
        <v>17.702684206116903</v>
      </c>
      <c r="H365" s="706">
        <v>225.7892215239352</v>
      </c>
      <c r="I365" s="697">
        <f t="shared" ca="1" si="84"/>
        <v>342.53985194422665</v>
      </c>
      <c r="J365" s="706">
        <v>30.136646680064697</v>
      </c>
      <c r="K365" s="706">
        <v>6.3549920158421331</v>
      </c>
      <c r="L365" s="697">
        <f t="shared" ca="1" si="85"/>
        <v>15.420000037248862</v>
      </c>
      <c r="M365" s="1185">
        <v>6.4219329630790467</v>
      </c>
      <c r="N365" s="697">
        <f t="shared" ca="1" si="86"/>
        <v>8.1842553963144997</v>
      </c>
      <c r="O365" s="697"/>
      <c r="P365" s="697"/>
      <c r="Q365" s="697"/>
      <c r="R365" s="706">
        <v>4.3163943686559989</v>
      </c>
      <c r="S365" s="697">
        <f t="shared" ca="1" si="87"/>
        <v>6.2754980846405033</v>
      </c>
      <c r="T365" s="1152">
        <v>172.75644965328365</v>
      </c>
      <c r="U365" s="697">
        <f t="shared" ca="1" si="88"/>
        <v>65.1084081344151</v>
      </c>
      <c r="V365" s="697">
        <f t="shared" ca="1" si="92"/>
        <v>41.021279401540347</v>
      </c>
      <c r="W365" s="697">
        <v>17.702684206116903</v>
      </c>
      <c r="X365" s="697">
        <f t="shared" ca="1" si="89"/>
        <v>20.684677803177475</v>
      </c>
      <c r="Y365" s="697">
        <v>21.204774575609218</v>
      </c>
      <c r="Z365" s="697">
        <f t="shared" ca="1" si="90"/>
        <v>15.366110393028141</v>
      </c>
    </row>
    <row r="366" spans="2:26" ht="13.2">
      <c r="B366" s="166">
        <f t="shared" si="91"/>
        <v>44694</v>
      </c>
      <c r="C366"/>
      <c r="G366" s="706">
        <v>17.213117445251957</v>
      </c>
      <c r="H366" s="706">
        <v>279.89834977641095</v>
      </c>
      <c r="I366" s="697">
        <f t="shared" ca="1" si="84"/>
        <v>342.53985194422665</v>
      </c>
      <c r="J366" s="706">
        <v>29.329258723940697</v>
      </c>
      <c r="K366" s="706">
        <v>6.8122560944757655</v>
      </c>
      <c r="L366" s="697">
        <f t="shared" ca="1" si="85"/>
        <v>15.420000037248862</v>
      </c>
      <c r="M366" s="1185">
        <v>6.2758438912111485</v>
      </c>
      <c r="N366" s="697">
        <f t="shared" ca="1" si="86"/>
        <v>8.1842553963144997</v>
      </c>
      <c r="O366" s="697"/>
      <c r="P366" s="697"/>
      <c r="Q366" s="697"/>
      <c r="R366" s="706">
        <v>4.2966465384721078</v>
      </c>
      <c r="S366" s="697">
        <f t="shared" ca="1" si="87"/>
        <v>6.2754980846405033</v>
      </c>
      <c r="T366" s="1152">
        <v>182.50471371192407</v>
      </c>
      <c r="U366" s="697">
        <f t="shared" ca="1" si="88"/>
        <v>65.1084081344151</v>
      </c>
      <c r="V366" s="697">
        <f t="shared" ca="1" si="92"/>
        <v>41.021279401540347</v>
      </c>
      <c r="W366" s="697">
        <v>17.213117445251957</v>
      </c>
      <c r="X366" s="697">
        <f t="shared" ca="1" si="89"/>
        <v>20.684677803177475</v>
      </c>
      <c r="Y366" s="697">
        <v>20.772898398949259</v>
      </c>
      <c r="Z366" s="697">
        <f t="shared" ca="1" si="90"/>
        <v>15.366110393028141</v>
      </c>
    </row>
    <row r="367" spans="2:26" ht="13.2">
      <c r="B367" s="166">
        <f t="shared" si="91"/>
        <v>44701</v>
      </c>
      <c r="C367"/>
      <c r="G367" s="706">
        <v>16.761559742023277</v>
      </c>
      <c r="H367" s="706">
        <v>256.26251027233343</v>
      </c>
      <c r="I367" s="697">
        <f t="shared" ca="1" si="84"/>
        <v>342.53985194422665</v>
      </c>
      <c r="J367" s="706">
        <v>28.427572072868276</v>
      </c>
      <c r="K367" s="706">
        <v>6.0367920157578441</v>
      </c>
      <c r="L367" s="697">
        <f t="shared" ca="1" si="85"/>
        <v>15.420000037248862</v>
      </c>
      <c r="M367" s="1185">
        <v>6.2576314879441455</v>
      </c>
      <c r="N367" s="697">
        <f t="shared" ca="1" si="86"/>
        <v>8.1842553963144997</v>
      </c>
      <c r="O367" s="697"/>
      <c r="P367" s="697"/>
      <c r="Q367" s="697"/>
      <c r="R367" s="706">
        <v>4.14365541248638</v>
      </c>
      <c r="S367" s="697">
        <f t="shared" ca="1" si="87"/>
        <v>6.2754980846405033</v>
      </c>
      <c r="T367" s="1152">
        <v>166.23368602540987</v>
      </c>
      <c r="U367" s="697">
        <f t="shared" ca="1" si="88"/>
        <v>65.1084081344151</v>
      </c>
      <c r="V367" s="697">
        <f t="shared" ca="1" si="92"/>
        <v>41.021279401540347</v>
      </c>
      <c r="W367" s="697">
        <v>16.761559742023277</v>
      </c>
      <c r="X367" s="697">
        <f t="shared" ca="1" si="89"/>
        <v>20.684677803177475</v>
      </c>
      <c r="Y367" s="697">
        <v>18.886659950554691</v>
      </c>
      <c r="Z367" s="697">
        <f t="shared" ca="1" si="90"/>
        <v>15.366110393028141</v>
      </c>
    </row>
    <row r="368" spans="2:26" ht="13.2">
      <c r="B368" s="166">
        <f t="shared" si="91"/>
        <v>44708</v>
      </c>
      <c r="C368"/>
      <c r="G368" s="706">
        <v>16.527953197238595</v>
      </c>
      <c r="H368" s="706">
        <v>264.39608025535171</v>
      </c>
      <c r="I368" s="697">
        <f t="shared" ca="1" si="84"/>
        <v>342.53985194422665</v>
      </c>
      <c r="J368" s="706">
        <v>29.10980501569551</v>
      </c>
      <c r="K368" s="706">
        <v>6.148813771978765</v>
      </c>
      <c r="L368" s="697">
        <f t="shared" ca="1" si="85"/>
        <v>15.420000037248862</v>
      </c>
      <c r="M368" s="1185">
        <v>6.591745362625069</v>
      </c>
      <c r="N368" s="697">
        <f t="shared" ca="1" si="86"/>
        <v>8.1842553963144997</v>
      </c>
      <c r="O368" s="697"/>
      <c r="P368" s="697"/>
      <c r="Q368" s="697"/>
      <c r="R368" s="706">
        <v>4.1554874685153598</v>
      </c>
      <c r="S368" s="697">
        <f t="shared" ca="1" si="87"/>
        <v>6.2754980846405033</v>
      </c>
      <c r="T368" s="1152">
        <v>168.72494777917811</v>
      </c>
      <c r="U368" s="697">
        <f t="shared" ca="1" si="88"/>
        <v>65.1084081344151</v>
      </c>
      <c r="V368" s="697">
        <f t="shared" ca="1" si="92"/>
        <v>41.021279401540347</v>
      </c>
      <c r="W368" s="697">
        <v>16.527953197238595</v>
      </c>
      <c r="X368" s="697">
        <f t="shared" ca="1" si="89"/>
        <v>20.684677803177475</v>
      </c>
      <c r="Y368" s="697">
        <v>18.517750043937546</v>
      </c>
      <c r="Z368" s="697">
        <f t="shared" ca="1" si="90"/>
        <v>15.366110393028141</v>
      </c>
    </row>
    <row r="369" spans="2:26" ht="13.2">
      <c r="B369" s="166">
        <f t="shared" si="91"/>
        <v>44715</v>
      </c>
      <c r="C369"/>
      <c r="G369" s="706">
        <v>16.279084648297438</v>
      </c>
      <c r="H369" s="706">
        <v>250.26788131672353</v>
      </c>
      <c r="I369" s="697">
        <f t="shared" ca="1" si="84"/>
        <v>342.53985194422665</v>
      </c>
      <c r="J369" s="706">
        <v>29.085705034739945</v>
      </c>
      <c r="K369" s="706">
        <v>5.8310580444062952</v>
      </c>
      <c r="L369" s="697">
        <f t="shared" ca="1" si="85"/>
        <v>15.420000037248862</v>
      </c>
      <c r="M369" s="1185">
        <v>6.5625758740486289</v>
      </c>
      <c r="N369" s="697">
        <f t="shared" ca="1" si="86"/>
        <v>8.1842553963144997</v>
      </c>
      <c r="O369" s="697"/>
      <c r="P369" s="697"/>
      <c r="Q369" s="697"/>
      <c r="R369" s="706">
        <v>4.062480953674493</v>
      </c>
      <c r="S369" s="697">
        <f t="shared" ca="1" si="87"/>
        <v>6.2754980846405033</v>
      </c>
      <c r="T369" s="1152">
        <v>158.63900243960416</v>
      </c>
      <c r="U369" s="697">
        <f t="shared" ca="1" si="88"/>
        <v>65.1084081344151</v>
      </c>
      <c r="V369" s="697">
        <f t="shared" ca="1" si="92"/>
        <v>41.021279401540347</v>
      </c>
      <c r="W369" s="697">
        <v>16.279084648297438</v>
      </c>
      <c r="X369" s="697">
        <f t="shared" ca="1" si="89"/>
        <v>20.684677803177475</v>
      </c>
      <c r="Y369" s="697">
        <v>18.119630558620489</v>
      </c>
      <c r="Z369" s="697">
        <f t="shared" ca="1" si="90"/>
        <v>15.366110393028141</v>
      </c>
    </row>
    <row r="370" spans="2:26" ht="13.2">
      <c r="B370" s="166">
        <f t="shared" si="91"/>
        <v>44722</v>
      </c>
      <c r="C370"/>
      <c r="G370" s="706">
        <v>15.071938996381892</v>
      </c>
      <c r="H370" s="706">
        <v>251.83853769287771</v>
      </c>
      <c r="I370" s="697">
        <f t="shared" ca="1" si="84"/>
        <v>342.53985194422665</v>
      </c>
      <c r="J370" s="706">
        <v>26.755554477316537</v>
      </c>
      <c r="K370" s="706">
        <v>5.7040501574399931</v>
      </c>
      <c r="L370" s="697">
        <f t="shared" ca="1" si="85"/>
        <v>15.420000037248862</v>
      </c>
      <c r="M370" s="1185">
        <v>6.2121245777283827</v>
      </c>
      <c r="N370" s="697">
        <f t="shared" ca="1" si="86"/>
        <v>8.1842553963144997</v>
      </c>
      <c r="O370" s="697"/>
      <c r="P370" s="697"/>
      <c r="Q370" s="697"/>
      <c r="R370" s="706">
        <v>3.7882474194598879</v>
      </c>
      <c r="S370" s="697">
        <f t="shared" ca="1" si="87"/>
        <v>6.2754980846405033</v>
      </c>
      <c r="T370" s="1152">
        <v>161.38772524064879</v>
      </c>
      <c r="U370" s="697">
        <f t="shared" ca="1" si="88"/>
        <v>65.1084081344151</v>
      </c>
      <c r="V370" s="697">
        <f t="shared" ca="1" si="92"/>
        <v>41.021279401540347</v>
      </c>
      <c r="W370" s="697">
        <v>15.071938996381892</v>
      </c>
      <c r="X370" s="697">
        <f t="shared" ca="1" si="89"/>
        <v>20.684677803177475</v>
      </c>
      <c r="Y370" s="697">
        <v>17.21853043816099</v>
      </c>
      <c r="Z370" s="697">
        <f t="shared" ca="1" si="90"/>
        <v>15.366110393028141</v>
      </c>
    </row>
    <row r="371" spans="2:26" ht="13.2">
      <c r="B371" s="166">
        <f t="shared" si="91"/>
        <v>44729</v>
      </c>
      <c r="C371"/>
      <c r="G371" s="706">
        <v>13.886060834564894</v>
      </c>
      <c r="H371" s="706">
        <v>234.58681955092936</v>
      </c>
      <c r="I371" s="697">
        <f t="shared" ca="1" si="84"/>
        <v>342.53985194422665</v>
      </c>
      <c r="J371" s="706">
        <v>24.672064447036334</v>
      </c>
      <c r="K371" s="706">
        <v>5.0732303462782999</v>
      </c>
      <c r="L371" s="697">
        <f t="shared" ca="1" si="85"/>
        <v>15.420000037248862</v>
      </c>
      <c r="M371" s="1185">
        <v>5.7888670286164006</v>
      </c>
      <c r="N371" s="697">
        <f t="shared" ca="1" si="86"/>
        <v>8.1842553963144997</v>
      </c>
      <c r="O371" s="697"/>
      <c r="P371" s="697"/>
      <c r="Q371" s="697"/>
      <c r="R371" s="706">
        <v>3.5049416659133836</v>
      </c>
      <c r="S371" s="697">
        <f t="shared" ca="1" si="87"/>
        <v>6.2754980846405033</v>
      </c>
      <c r="T371" s="1152">
        <v>141.8045908410833</v>
      </c>
      <c r="U371" s="697">
        <f t="shared" ca="1" si="88"/>
        <v>65.1084081344151</v>
      </c>
      <c r="V371" s="697">
        <f t="shared" ca="1" si="92"/>
        <v>41.021279401540347</v>
      </c>
      <c r="W371" s="697">
        <v>13.886060834564894</v>
      </c>
      <c r="X371" s="697">
        <f t="shared" ca="1" si="89"/>
        <v>20.684677803177475</v>
      </c>
      <c r="Y371" s="697">
        <v>16.426849169997094</v>
      </c>
      <c r="Z371" s="697">
        <f t="shared" ca="1" si="90"/>
        <v>15.366110393028141</v>
      </c>
    </row>
    <row r="372" spans="2:26" ht="13.2">
      <c r="B372" s="166">
        <f t="shared" si="91"/>
        <v>44736</v>
      </c>
      <c r="C372"/>
      <c r="G372" s="706">
        <v>15.308870007978575</v>
      </c>
      <c r="H372" s="706">
        <v>290.20621340923913</v>
      </c>
      <c r="I372" s="697">
        <f t="shared" ca="1" si="84"/>
        <v>342.53985194422665</v>
      </c>
      <c r="J372" s="706">
        <v>26.634696442303184</v>
      </c>
      <c r="K372" s="706">
        <v>6.3565909325540355</v>
      </c>
      <c r="L372" s="697">
        <f t="shared" ca="1" si="85"/>
        <v>15.420000037248862</v>
      </c>
      <c r="M372" s="1185">
        <v>6.3590106698278133</v>
      </c>
      <c r="N372" s="697">
        <f t="shared" ca="1" si="86"/>
        <v>8.1842553963144997</v>
      </c>
      <c r="O372" s="697"/>
      <c r="P372" s="697"/>
      <c r="Q372" s="697"/>
      <c r="R372" s="706">
        <v>3.8927047151206358</v>
      </c>
      <c r="S372" s="697">
        <f t="shared" ca="1" si="87"/>
        <v>6.2754980846405033</v>
      </c>
      <c r="T372" s="1152">
        <v>177.83505801935596</v>
      </c>
      <c r="U372" s="697">
        <f t="shared" ca="1" si="88"/>
        <v>65.1084081344151</v>
      </c>
      <c r="V372" s="697">
        <f t="shared" ca="1" si="92"/>
        <v>41.021279401540347</v>
      </c>
      <c r="W372" s="697">
        <v>15.308870007978575</v>
      </c>
      <c r="X372" s="697">
        <f t="shared" ca="1" si="89"/>
        <v>20.684677803177475</v>
      </c>
      <c r="Y372" s="697">
        <v>18.147911625987675</v>
      </c>
      <c r="Z372" s="697">
        <f t="shared" ca="1" si="90"/>
        <v>15.366110393028141</v>
      </c>
    </row>
    <row r="373" spans="2:26" ht="13.2">
      <c r="B373" s="166">
        <f t="shared" si="91"/>
        <v>44743</v>
      </c>
      <c r="C373"/>
      <c r="G373" s="706">
        <v>13.720782243784438</v>
      </c>
      <c r="H373" s="706">
        <v>238.49993337036244</v>
      </c>
      <c r="I373" s="697">
        <f t="shared" ca="1" si="84"/>
        <v>342.53985194422665</v>
      </c>
      <c r="J373" s="706">
        <v>24.019397548196245</v>
      </c>
      <c r="K373" s="706">
        <v>5.0424026310215817</v>
      </c>
      <c r="L373" s="697">
        <f t="shared" ca="1" si="85"/>
        <v>15.420000037248862</v>
      </c>
      <c r="M373" s="1185">
        <v>6.1256823515591483</v>
      </c>
      <c r="N373" s="697">
        <f t="shared" ca="1" si="86"/>
        <v>8.1842553963144997</v>
      </c>
      <c r="O373" s="697"/>
      <c r="P373" s="697"/>
      <c r="Q373" s="697"/>
      <c r="R373" s="706">
        <v>3.440914093342363</v>
      </c>
      <c r="S373" s="697">
        <f t="shared" ca="1" si="87"/>
        <v>6.2754980846405033</v>
      </c>
      <c r="T373" s="1152">
        <v>140.99968031440929</v>
      </c>
      <c r="U373" s="697">
        <f t="shared" ca="1" si="88"/>
        <v>65.1084081344151</v>
      </c>
      <c r="V373" s="697">
        <f t="shared" ca="1" si="92"/>
        <v>41.021279401540347</v>
      </c>
      <c r="W373" s="697">
        <v>13.720782243784438</v>
      </c>
      <c r="X373" s="697">
        <f t="shared" ca="1" si="89"/>
        <v>20.684677803177475</v>
      </c>
      <c r="Y373" s="697">
        <v>17.360079179559833</v>
      </c>
      <c r="Z373" s="697">
        <f t="shared" ca="1" si="90"/>
        <v>15.366110393028141</v>
      </c>
    </row>
    <row r="374" spans="2:26" ht="13.2">
      <c r="B374" s="166">
        <f t="shared" si="91"/>
        <v>44750</v>
      </c>
      <c r="C374"/>
      <c r="G374" s="706">
        <v>14.658548349114179</v>
      </c>
      <c r="H374" s="706">
        <v>268.29727851369489</v>
      </c>
      <c r="I374" s="697">
        <f t="shared" ca="1" si="84"/>
        <v>342.53985194422665</v>
      </c>
      <c r="J374" s="706">
        <v>25.205002045465569</v>
      </c>
      <c r="K374" s="706">
        <v>5.8046773686980373</v>
      </c>
      <c r="L374" s="697">
        <f t="shared" ca="1" si="85"/>
        <v>15.420000037248862</v>
      </c>
      <c r="M374" s="1185">
        <v>6.4057565665911342</v>
      </c>
      <c r="N374" s="697">
        <f t="shared" ca="1" si="86"/>
        <v>8.1842553963144997</v>
      </c>
      <c r="O374" s="697"/>
      <c r="P374" s="697"/>
      <c r="Q374" s="697"/>
      <c r="R374" s="706">
        <v>3.7027336310896817</v>
      </c>
      <c r="S374" s="697">
        <f t="shared" ca="1" si="87"/>
        <v>6.2754980846405033</v>
      </c>
      <c r="T374" s="1152">
        <v>162.11027197926913</v>
      </c>
      <c r="U374" s="697">
        <f t="shared" ca="1" si="88"/>
        <v>65.1084081344151</v>
      </c>
      <c r="V374" s="697">
        <f t="shared" ca="1" si="92"/>
        <v>41.021279401540347</v>
      </c>
      <c r="W374" s="697">
        <v>14.658548349114179</v>
      </c>
      <c r="X374" s="697">
        <f t="shared" ca="1" si="89"/>
        <v>20.684677803177475</v>
      </c>
      <c r="Y374" s="697">
        <v>18.001628430707513</v>
      </c>
      <c r="Z374" s="697">
        <f t="shared" ca="1" si="90"/>
        <v>15.366110393028141</v>
      </c>
    </row>
    <row r="375" spans="2:26" ht="13.2">
      <c r="B375" s="166">
        <f t="shared" si="91"/>
        <v>44757</v>
      </c>
      <c r="C375"/>
      <c r="G375" s="706">
        <v>14.154578025994219</v>
      </c>
      <c r="H375" s="706">
        <v>245.22499412816711</v>
      </c>
      <c r="I375" s="697">
        <f t="shared" ca="1" si="84"/>
        <v>342.53985194422665</v>
      </c>
      <c r="J375" s="706">
        <v>24.382613284642051</v>
      </c>
      <c r="K375" s="706">
        <v>4.9889505289305962</v>
      </c>
      <c r="L375" s="697">
        <f t="shared" ca="1" si="85"/>
        <v>15.420000037248862</v>
      </c>
      <c r="M375" s="1185">
        <v>6.1790288846859092</v>
      </c>
      <c r="N375" s="697">
        <f t="shared" ca="1" si="86"/>
        <v>8.1842553963144997</v>
      </c>
      <c r="O375" s="697"/>
      <c r="P375" s="697"/>
      <c r="Q375" s="697"/>
      <c r="R375" s="706">
        <v>3.4934377084293322</v>
      </c>
      <c r="S375" s="697">
        <f t="shared" ca="1" si="87"/>
        <v>6.2754980846405033</v>
      </c>
      <c r="T375" s="1152">
        <v>142.17097309111728</v>
      </c>
      <c r="U375" s="697">
        <f t="shared" ca="1" si="88"/>
        <v>65.1084081344151</v>
      </c>
      <c r="V375" s="697">
        <f t="shared" ca="1" si="92"/>
        <v>41.021279401540347</v>
      </c>
      <c r="W375" s="697">
        <v>14.154578025994219</v>
      </c>
      <c r="X375" s="697">
        <f t="shared" ca="1" si="89"/>
        <v>20.684677803177475</v>
      </c>
      <c r="Y375" s="697">
        <v>16.789332010567765</v>
      </c>
      <c r="Z375" s="697">
        <f t="shared" ca="1" si="90"/>
        <v>15.366110393028141</v>
      </c>
    </row>
    <row r="376" spans="2:26" ht="13.2">
      <c r="B376" s="166">
        <f t="shared" si="91"/>
        <v>44764</v>
      </c>
      <c r="C376"/>
      <c r="G376" s="706">
        <v>15.463162407810533</v>
      </c>
      <c r="H376" s="706">
        <v>290.09219805771039</v>
      </c>
      <c r="I376" s="697">
        <f t="shared" ca="1" si="84"/>
        <v>342.53985194422665</v>
      </c>
      <c r="J376" s="706">
        <v>26.356164052905829</v>
      </c>
      <c r="K376" s="706">
        <v>6.15816792923889</v>
      </c>
      <c r="L376" s="697">
        <f t="shared" ca="1" si="85"/>
        <v>15.420000037248862</v>
      </c>
      <c r="M376" s="1185">
        <v>6.444278518177363</v>
      </c>
      <c r="N376" s="697">
        <f t="shared" ca="1" si="86"/>
        <v>8.1842553963144997</v>
      </c>
      <c r="O376" s="697"/>
      <c r="P376" s="697"/>
      <c r="Q376" s="697"/>
      <c r="R376" s="706">
        <v>3.723830931227381</v>
      </c>
      <c r="S376" s="697">
        <f t="shared" ca="1" si="87"/>
        <v>6.2754980846405033</v>
      </c>
      <c r="T376" s="1152">
        <v>175.41817159774843</v>
      </c>
      <c r="U376" s="697">
        <f t="shared" ca="1" si="88"/>
        <v>65.1084081344151</v>
      </c>
      <c r="V376" s="697">
        <f t="shared" ca="1" si="92"/>
        <v>41.021279401540347</v>
      </c>
      <c r="W376" s="697">
        <v>15.463162407810533</v>
      </c>
      <c r="X376" s="697">
        <f t="shared" ca="1" si="89"/>
        <v>20.684677803177475</v>
      </c>
      <c r="Y376" s="697">
        <v>17.675931764541946</v>
      </c>
      <c r="Z376" s="697">
        <f t="shared" ca="1" si="90"/>
        <v>15.366110393028141</v>
      </c>
    </row>
    <row r="377" spans="2:26" ht="13.2">
      <c r="B377" s="166">
        <f t="shared" si="91"/>
        <v>44771</v>
      </c>
      <c r="C377"/>
      <c r="G377" s="706">
        <v>15.813646795344315</v>
      </c>
      <c r="H377" s="706" t="s">
        <v>572</v>
      </c>
      <c r="I377" s="697">
        <f t="shared" ca="1" si="84"/>
        <v>342.53985194422665</v>
      </c>
      <c r="J377" s="706">
        <v>28.394995762252524</v>
      </c>
      <c r="K377" s="706">
        <v>6.0209908310429521</v>
      </c>
      <c r="L377" s="697">
        <f t="shared" ca="1" si="85"/>
        <v>15.420000037248862</v>
      </c>
      <c r="M377" s="1185">
        <v>6.4732930238972353</v>
      </c>
      <c r="N377" s="697">
        <f t="shared" ca="1" si="86"/>
        <v>8.1842553963144997</v>
      </c>
      <c r="O377" s="697"/>
      <c r="P377" s="697"/>
      <c r="Q377" s="697"/>
      <c r="R377" s="706">
        <v>3.7813038890964807</v>
      </c>
      <c r="S377" s="697">
        <f t="shared" ca="1" si="87"/>
        <v>6.2754980846405033</v>
      </c>
      <c r="T377" s="1152">
        <v>662.52967976087962</v>
      </c>
      <c r="U377" s="697">
        <f t="shared" ca="1" si="88"/>
        <v>65.1084081344151</v>
      </c>
      <c r="V377" s="697">
        <f t="shared" ca="1" si="92"/>
        <v>41.021279401540347</v>
      </c>
      <c r="W377" s="697">
        <v>15.813646795344315</v>
      </c>
      <c r="X377" s="697">
        <f t="shared" ca="1" si="89"/>
        <v>20.684677803177475</v>
      </c>
      <c r="Y377" s="697">
        <v>17.45464349376806</v>
      </c>
      <c r="Z377" s="697">
        <f t="shared" ca="1" si="90"/>
        <v>15.366110393028141</v>
      </c>
    </row>
    <row r="378" spans="2:26" ht="13.2">
      <c r="B378" s="166">
        <f t="shared" si="91"/>
        <v>44778</v>
      </c>
      <c r="C378"/>
      <c r="G378" s="706">
        <v>17.890031456839157</v>
      </c>
      <c r="H378" s="706" t="s">
        <v>572</v>
      </c>
      <c r="I378" s="697">
        <f t="shared" ca="1" si="84"/>
        <v>342.53985194422665</v>
      </c>
      <c r="J378" s="706">
        <v>31.316703462750901</v>
      </c>
      <c r="K378" s="706">
        <v>7.1899611357575388</v>
      </c>
      <c r="L378" s="697">
        <f t="shared" ca="1" si="85"/>
        <v>15.420000037248862</v>
      </c>
      <c r="M378" s="1185">
        <v>6.9289181182473243</v>
      </c>
      <c r="N378" s="697">
        <f t="shared" ca="1" si="86"/>
        <v>8.1842553963144997</v>
      </c>
      <c r="O378" s="697"/>
      <c r="P378" s="697"/>
      <c r="Q378" s="697"/>
      <c r="R378" s="706">
        <v>4.1646046443862899</v>
      </c>
      <c r="S378" s="697">
        <f t="shared" ca="1" si="87"/>
        <v>6.2754980846405033</v>
      </c>
      <c r="T378" s="1152">
        <v>1054.321342502165</v>
      </c>
      <c r="U378" s="697">
        <f t="shared" ca="1" si="88"/>
        <v>65.1084081344151</v>
      </c>
      <c r="V378" s="697">
        <f t="shared" ca="1" si="92"/>
        <v>41.021279401540347</v>
      </c>
      <c r="W378" s="697">
        <v>17.890031456839157</v>
      </c>
      <c r="X378" s="697">
        <f t="shared" ca="1" si="89"/>
        <v>20.684677803177475</v>
      </c>
      <c r="Y378" s="697">
        <v>18.775643502717323</v>
      </c>
      <c r="Z378" s="697">
        <f t="shared" ca="1" si="90"/>
        <v>15.366110393028141</v>
      </c>
    </row>
    <row r="379" spans="2:26" ht="13.2">
      <c r="B379" s="166">
        <f t="shared" si="91"/>
        <v>44785</v>
      </c>
      <c r="C379"/>
      <c r="G379" s="706">
        <v>19.647267791163276</v>
      </c>
      <c r="H379" s="706" t="s">
        <v>572</v>
      </c>
      <c r="I379" s="697">
        <f t="shared" ca="1" si="84"/>
        <v>342.53985194422665</v>
      </c>
      <c r="J379" s="706">
        <v>33.794092135468823</v>
      </c>
      <c r="K379" s="706">
        <v>7.1754576658595104</v>
      </c>
      <c r="L379" s="697">
        <f t="shared" ca="1" si="85"/>
        <v>15.420000037248862</v>
      </c>
      <c r="M379" s="1185">
        <v>7.164295306938059</v>
      </c>
      <c r="N379" s="697">
        <f t="shared" ca="1" si="86"/>
        <v>8.1842553963144997</v>
      </c>
      <c r="O379" s="697"/>
      <c r="P379" s="697"/>
      <c r="Q379" s="697"/>
      <c r="R379" s="706">
        <v>4.6234310695008203</v>
      </c>
      <c r="S379" s="697">
        <f t="shared" ca="1" si="87"/>
        <v>6.2754980846405033</v>
      </c>
      <c r="T379" s="1152">
        <v>964.95947856291366</v>
      </c>
      <c r="U379" s="697">
        <f t="shared" ca="1" si="88"/>
        <v>65.1084081344151</v>
      </c>
      <c r="V379" s="697">
        <f t="shared" ca="1" si="92"/>
        <v>41.021279401540347</v>
      </c>
      <c r="W379" s="697">
        <v>19.647267791163276</v>
      </c>
      <c r="X379" s="697">
        <f t="shared" ca="1" si="89"/>
        <v>20.684677803177475</v>
      </c>
      <c r="Y379" s="697">
        <v>33.302862160645795</v>
      </c>
      <c r="Z379" s="697">
        <f t="shared" ca="1" si="90"/>
        <v>15.366110393028141</v>
      </c>
    </row>
    <row r="380" spans="2:26" ht="13.2">
      <c r="B380" s="166">
        <f t="shared" si="91"/>
        <v>44792</v>
      </c>
      <c r="C380"/>
      <c r="G380" s="706">
        <v>19.918952853338894</v>
      </c>
      <c r="H380" s="706" t="s">
        <v>572</v>
      </c>
      <c r="I380" s="697">
        <f t="shared" ca="1" si="84"/>
        <v>342.53985194422665</v>
      </c>
      <c r="J380" s="706">
        <v>31.241671905827978</v>
      </c>
      <c r="K380" s="706">
        <v>5.844452720423245</v>
      </c>
      <c r="L380" s="697">
        <f t="shared" ca="1" si="85"/>
        <v>15.420000037248862</v>
      </c>
      <c r="M380" s="1185">
        <v>6.881583347630726</v>
      </c>
      <c r="N380" s="697">
        <f t="shared" ca="1" si="86"/>
        <v>8.1842553963144997</v>
      </c>
      <c r="O380" s="697"/>
      <c r="P380" s="697"/>
      <c r="Q380" s="697"/>
      <c r="R380" s="706">
        <v>4.1861985901162582</v>
      </c>
      <c r="S380" s="697">
        <f t="shared" ca="1" si="87"/>
        <v>6.2754980846405033</v>
      </c>
      <c r="T380" s="1152">
        <v>732.25795240452521</v>
      </c>
      <c r="U380" s="697">
        <f t="shared" ca="1" si="88"/>
        <v>65.1084081344151</v>
      </c>
      <c r="V380" s="697">
        <f t="shared" ca="1" si="92"/>
        <v>41.021279401540347</v>
      </c>
      <c r="W380" s="697">
        <v>19.918952853338894</v>
      </c>
      <c r="X380" s="697">
        <f t="shared" ca="1" si="89"/>
        <v>20.684677803177475</v>
      </c>
      <c r="Y380" s="697">
        <v>30.130432361690193</v>
      </c>
      <c r="Z380" s="697">
        <f t="shared" ca="1" si="90"/>
        <v>15.366110393028141</v>
      </c>
    </row>
    <row r="381" spans="2:26" ht="13.2">
      <c r="B381" s="166">
        <f t="shared" si="91"/>
        <v>44799</v>
      </c>
      <c r="C381"/>
      <c r="G381" s="706">
        <v>18.999902568890775</v>
      </c>
      <c r="H381" s="706" t="s">
        <v>572</v>
      </c>
      <c r="I381" s="697">
        <f t="shared" ca="1" si="84"/>
        <v>342.53985194422665</v>
      </c>
      <c r="J381" s="706">
        <v>29.807586741070445</v>
      </c>
      <c r="K381" s="706">
        <v>5.4836129220061176</v>
      </c>
      <c r="L381" s="697">
        <f t="shared" ca="1" si="85"/>
        <v>15.420000037248862</v>
      </c>
      <c r="M381" s="1185">
        <v>6.3601983184411353</v>
      </c>
      <c r="N381" s="697">
        <f t="shared" ca="1" si="86"/>
        <v>8.1842553963144997</v>
      </c>
      <c r="O381" s="697"/>
      <c r="P381" s="697"/>
      <c r="Q381" s="697"/>
      <c r="R381" s="706">
        <v>4.0051306631494148</v>
      </c>
      <c r="S381" s="697">
        <f t="shared" ca="1" si="87"/>
        <v>6.2754980846405033</v>
      </c>
      <c r="T381" s="1152">
        <v>643.39844771794333</v>
      </c>
      <c r="U381" s="697">
        <f t="shared" ca="1" si="88"/>
        <v>65.1084081344151</v>
      </c>
      <c r="V381" s="697">
        <f t="shared" ca="1" si="92"/>
        <v>41.021279401540347</v>
      </c>
      <c r="W381" s="697">
        <v>18.999902568890775</v>
      </c>
      <c r="X381" s="697">
        <f t="shared" ca="1" si="89"/>
        <v>20.684677803177475</v>
      </c>
      <c r="Y381" s="697">
        <v>27.110561155303472</v>
      </c>
      <c r="Z381" s="697">
        <f t="shared" ca="1" si="90"/>
        <v>15.366110393028141</v>
      </c>
    </row>
    <row r="382" spans="2:26" ht="13.2">
      <c r="B382" s="166">
        <f t="shared" si="91"/>
        <v>44806</v>
      </c>
      <c r="C382"/>
      <c r="G382" s="706">
        <v>17.989460504738545</v>
      </c>
      <c r="H382" s="706" t="s">
        <v>572</v>
      </c>
      <c r="I382" s="697">
        <f t="shared" ca="1" si="84"/>
        <v>342.53985194422665</v>
      </c>
      <c r="J382" s="706">
        <v>28.941836940945727</v>
      </c>
      <c r="K382" s="706">
        <v>5.0052642030100172</v>
      </c>
      <c r="L382" s="697">
        <f t="shared" ca="1" si="85"/>
        <v>15.420000037248862</v>
      </c>
      <c r="M382" s="1185">
        <v>6.0402173240031045</v>
      </c>
      <c r="N382" s="697">
        <f t="shared" ca="1" si="86"/>
        <v>8.1842553963144997</v>
      </c>
      <c r="O382" s="697"/>
      <c r="P382" s="697"/>
      <c r="Q382" s="697"/>
      <c r="R382" s="706">
        <v>3.8931645421969296</v>
      </c>
      <c r="S382" s="697">
        <f t="shared" ca="1" si="87"/>
        <v>6.2754980846405033</v>
      </c>
      <c r="T382" s="1152">
        <v>572.37161905242522</v>
      </c>
      <c r="U382" s="697">
        <f t="shared" ca="1" si="88"/>
        <v>65.1084081344151</v>
      </c>
      <c r="V382" s="697">
        <f t="shared" ca="1" si="92"/>
        <v>41.021279401540347</v>
      </c>
      <c r="W382" s="697">
        <v>17.989460504738545</v>
      </c>
      <c r="X382" s="697">
        <f t="shared" ca="1" si="89"/>
        <v>20.684677803177475</v>
      </c>
      <c r="Y382" s="697">
        <v>25.305655538464158</v>
      </c>
      <c r="Z382" s="697">
        <f t="shared" ca="1" si="90"/>
        <v>15.366110393028141</v>
      </c>
    </row>
    <row r="383" spans="2:26" ht="13.2">
      <c r="B383" s="166">
        <f t="shared" si="91"/>
        <v>44813</v>
      </c>
      <c r="C383"/>
      <c r="G383" s="706">
        <v>19.673826496806356</v>
      </c>
      <c r="H383" s="706" t="s">
        <v>572</v>
      </c>
      <c r="I383" s="697">
        <f t="shared" ca="1" si="84"/>
        <v>342.53985194422665</v>
      </c>
      <c r="J383" s="706">
        <v>31.240120703406369</v>
      </c>
      <c r="K383" s="706">
        <v>5.9420084543905265</v>
      </c>
      <c r="L383" s="697">
        <f t="shared" ca="1" si="85"/>
        <v>15.420000037248862</v>
      </c>
      <c r="M383" s="1185">
        <v>6.4347341890995979</v>
      </c>
      <c r="N383" s="697">
        <f t="shared" ca="1" si="86"/>
        <v>8.1842553963144997</v>
      </c>
      <c r="O383" s="697"/>
      <c r="P383" s="697"/>
      <c r="Q383" s="697"/>
      <c r="R383" s="706">
        <v>4.2719965203432428</v>
      </c>
      <c r="S383" s="697">
        <f t="shared" ca="1" si="87"/>
        <v>6.2754980846405033</v>
      </c>
      <c r="T383" s="1152">
        <v>781.76172398267408</v>
      </c>
      <c r="U383" s="697">
        <f t="shared" ca="1" si="88"/>
        <v>65.1084081344151</v>
      </c>
      <c r="V383" s="697">
        <f t="shared" ca="1" si="92"/>
        <v>41.021279401540347</v>
      </c>
      <c r="W383" s="697">
        <v>19.673826496806356</v>
      </c>
      <c r="X383" s="697">
        <f t="shared" ca="1" si="89"/>
        <v>20.684677803177475</v>
      </c>
      <c r="Y383" s="697">
        <v>27.714869742705758</v>
      </c>
      <c r="Z383" s="697">
        <f t="shared" ca="1" si="90"/>
        <v>15.366110393028141</v>
      </c>
    </row>
    <row r="384" spans="2:26" ht="13.2">
      <c r="B384" s="166">
        <f t="shared" si="91"/>
        <v>44820</v>
      </c>
      <c r="C384"/>
      <c r="G384" s="706">
        <v>18.143019634991095</v>
      </c>
      <c r="H384" s="706" t="s">
        <v>572</v>
      </c>
      <c r="I384" s="697">
        <f t="shared" ca="1" si="84"/>
        <v>342.53985194422665</v>
      </c>
      <c r="J384" s="706">
        <v>28.930619796619542</v>
      </c>
      <c r="K384" s="706">
        <v>5.3119100979480285</v>
      </c>
      <c r="L384" s="697">
        <f t="shared" ca="1" si="85"/>
        <v>15.420000037248862</v>
      </c>
      <c r="M384" s="1185">
        <v>5.7822163217874376</v>
      </c>
      <c r="N384" s="697">
        <f t="shared" ca="1" si="86"/>
        <v>8.1842553963144997</v>
      </c>
      <c r="O384" s="697"/>
      <c r="P384" s="697"/>
      <c r="Q384" s="697"/>
      <c r="R384" s="706">
        <v>3.9520493185684487</v>
      </c>
      <c r="S384" s="697">
        <f t="shared" ca="1" si="87"/>
        <v>6.2754980846405033</v>
      </c>
      <c r="T384" s="1152">
        <v>651.62513054628891</v>
      </c>
      <c r="U384" s="697">
        <f t="shared" ca="1" si="88"/>
        <v>65.1084081344151</v>
      </c>
      <c r="V384" s="697">
        <f t="shared" ca="1" si="92"/>
        <v>41.021279401540347</v>
      </c>
      <c r="W384" s="697">
        <v>18.143019634991095</v>
      </c>
      <c r="X384" s="697">
        <f t="shared" ca="1" si="89"/>
        <v>20.684677803177475</v>
      </c>
      <c r="Y384" s="697">
        <v>23.912046064152175</v>
      </c>
      <c r="Z384" s="697">
        <f t="shared" ca="1" si="90"/>
        <v>15.366110393028141</v>
      </c>
    </row>
    <row r="385" spans="2:26" ht="13.2">
      <c r="B385" s="166">
        <f t="shared" si="91"/>
        <v>44827</v>
      </c>
      <c r="C385"/>
      <c r="G385" s="706">
        <v>16.083050700290507</v>
      </c>
      <c r="H385" s="706" t="s">
        <v>572</v>
      </c>
      <c r="I385" s="697">
        <f t="shared" ca="1" si="84"/>
        <v>342.53985194422665</v>
      </c>
      <c r="J385" s="706">
        <v>26.087699953493622</v>
      </c>
      <c r="K385" s="706">
        <v>4.7080803697453932</v>
      </c>
      <c r="L385" s="697">
        <f t="shared" ca="1" si="85"/>
        <v>15.420000037248862</v>
      </c>
      <c r="M385" s="1185">
        <v>5.574522995636201</v>
      </c>
      <c r="N385" s="697">
        <f t="shared" ca="1" si="86"/>
        <v>8.1842553963144997</v>
      </c>
      <c r="O385" s="697"/>
      <c r="P385" s="697"/>
      <c r="Q385" s="697"/>
      <c r="R385" s="706">
        <v>3.551073938763543</v>
      </c>
      <c r="S385" s="697">
        <f t="shared" ca="1" si="87"/>
        <v>6.2754980846405033</v>
      </c>
      <c r="T385" s="1152">
        <v>539.88301937089125</v>
      </c>
      <c r="U385" s="697">
        <f t="shared" ca="1" si="88"/>
        <v>65.1084081344151</v>
      </c>
      <c r="V385" s="697">
        <f t="shared" ca="1" si="92"/>
        <v>41.021279401540347</v>
      </c>
      <c r="W385" s="697">
        <v>16.083050700290507</v>
      </c>
      <c r="X385" s="697">
        <f t="shared" ca="1" si="89"/>
        <v>20.684677803177475</v>
      </c>
      <c r="Y385" s="697">
        <v>22.860494897052952</v>
      </c>
      <c r="Z385" s="697">
        <f t="shared" ca="1" si="90"/>
        <v>15.366110393028141</v>
      </c>
    </row>
    <row r="386" spans="2:26" ht="13.2">
      <c r="B386" s="166">
        <f t="shared" si="91"/>
        <v>44834</v>
      </c>
      <c r="C386"/>
      <c r="G386" s="706">
        <v>16.212235173826514</v>
      </c>
      <c r="H386" s="706" t="s">
        <v>572</v>
      </c>
      <c r="I386" s="697">
        <f t="shared" ca="1" si="84"/>
        <v>342.53985194422665</v>
      </c>
      <c r="J386" s="706">
        <v>26.133426653338866</v>
      </c>
      <c r="K386" s="706">
        <v>4.6799233004483138</v>
      </c>
      <c r="L386" s="697">
        <f t="shared" ca="1" si="85"/>
        <v>15.420000037248862</v>
      </c>
      <c r="M386" s="1185">
        <v>5.5491386137413707</v>
      </c>
      <c r="N386" s="697">
        <f t="shared" ca="1" si="86"/>
        <v>8.1842553963144997</v>
      </c>
      <c r="O386" s="697"/>
      <c r="P386" s="697"/>
      <c r="Q386" s="697"/>
      <c r="R386" s="706">
        <v>3.6332374013759385</v>
      </c>
      <c r="S386" s="697">
        <f t="shared" ca="1" si="87"/>
        <v>6.2754980846405033</v>
      </c>
      <c r="T386" s="1152">
        <v>505.87602045252186</v>
      </c>
      <c r="U386" s="697">
        <f t="shared" ca="1" si="88"/>
        <v>65.1084081344151</v>
      </c>
      <c r="V386" s="697">
        <f t="shared" ca="1" si="92"/>
        <v>41.021279401540347</v>
      </c>
      <c r="W386" s="697">
        <v>16.212235173826514</v>
      </c>
      <c r="X386" s="697">
        <f t="shared" ca="1" si="89"/>
        <v>20.684677803177475</v>
      </c>
      <c r="Y386" s="697">
        <v>23.066858520716046</v>
      </c>
      <c r="Z386" s="697">
        <f t="shared" ca="1" si="90"/>
        <v>15.366110393028141</v>
      </c>
    </row>
    <row r="387" spans="2:26" ht="13.2">
      <c r="B387" s="166">
        <f t="shared" si="91"/>
        <v>44841</v>
      </c>
      <c r="C387"/>
      <c r="G387" s="706">
        <v>16.369384313380536</v>
      </c>
      <c r="H387" s="706" t="s">
        <v>572</v>
      </c>
      <c r="I387" s="697">
        <f t="shared" ca="1" si="84"/>
        <v>342.53985194422665</v>
      </c>
      <c r="J387" s="706">
        <v>26.023438004108055</v>
      </c>
      <c r="K387" s="706">
        <v>4.7151314208652328</v>
      </c>
      <c r="L387" s="697">
        <f t="shared" ca="1" si="85"/>
        <v>15.420000037248862</v>
      </c>
      <c r="M387" s="1185">
        <v>5.7195401075345051</v>
      </c>
      <c r="N387" s="697">
        <f t="shared" ca="1" si="86"/>
        <v>8.1842553963144997</v>
      </c>
      <c r="O387" s="697"/>
      <c r="P387" s="697"/>
      <c r="Q387" s="697"/>
      <c r="R387" s="706">
        <v>3.6516561496904583</v>
      </c>
      <c r="S387" s="697">
        <f t="shared" ca="1" si="87"/>
        <v>6.2754980846405033</v>
      </c>
      <c r="T387" s="1152">
        <v>479.57014809946446</v>
      </c>
      <c r="U387" s="697">
        <f t="shared" ca="1" si="88"/>
        <v>65.1084081344151</v>
      </c>
      <c r="V387" s="697">
        <f t="shared" ca="1" si="92"/>
        <v>41.021279401540347</v>
      </c>
      <c r="W387" s="697">
        <v>16.369384313380536</v>
      </c>
      <c r="X387" s="697">
        <f t="shared" ca="1" si="89"/>
        <v>20.684677803177475</v>
      </c>
      <c r="Y387" s="697">
        <v>23.519762369676577</v>
      </c>
      <c r="Z387" s="697">
        <f t="shared" ca="1" si="90"/>
        <v>15.366110393028141</v>
      </c>
    </row>
    <row r="388" spans="2:26" ht="13.2">
      <c r="B388" s="166">
        <f t="shared" si="91"/>
        <v>44848</v>
      </c>
      <c r="C388"/>
      <c r="G388" s="706">
        <v>14.804661276944609</v>
      </c>
      <c r="H388" s="706" t="s">
        <v>572</v>
      </c>
      <c r="I388" s="697">
        <f t="shared" ca="1" si="84"/>
        <v>342.53985194422665</v>
      </c>
      <c r="J388" s="706">
        <v>24.213594418061163</v>
      </c>
      <c r="K388" s="706">
        <v>4.4761979375680028</v>
      </c>
      <c r="L388" s="697">
        <f t="shared" ca="1" si="85"/>
        <v>15.420000037248862</v>
      </c>
      <c r="M388" s="1185">
        <v>5.4486453671770176</v>
      </c>
      <c r="N388" s="697">
        <f t="shared" ca="1" si="86"/>
        <v>8.1842553963144997</v>
      </c>
      <c r="O388" s="697"/>
      <c r="P388" s="697"/>
      <c r="Q388" s="697"/>
      <c r="R388" s="706">
        <v>3.3897398764854847</v>
      </c>
      <c r="S388" s="697">
        <f t="shared" ca="1" si="87"/>
        <v>6.2754980846405033</v>
      </c>
      <c r="T388" s="1152">
        <v>430.05560928091973</v>
      </c>
      <c r="U388" s="697">
        <f t="shared" ca="1" si="88"/>
        <v>65.1084081344151</v>
      </c>
      <c r="V388" s="697">
        <f t="shared" ca="1" si="92"/>
        <v>41.021279401540347</v>
      </c>
      <c r="W388" s="697">
        <v>14.804661276944609</v>
      </c>
      <c r="X388" s="697">
        <f t="shared" ca="1" si="89"/>
        <v>20.684677803177475</v>
      </c>
      <c r="Y388" s="697">
        <v>22.742957632493997</v>
      </c>
      <c r="Z388" s="697">
        <f t="shared" ca="1" si="90"/>
        <v>15.366110393028141</v>
      </c>
    </row>
    <row r="389" spans="2:26" ht="13.2">
      <c r="B389" s="166">
        <f t="shared" si="91"/>
        <v>44855</v>
      </c>
      <c r="C389"/>
      <c r="G389" s="706">
        <v>15.993112602811124</v>
      </c>
      <c r="H389" s="706" t="s">
        <v>572</v>
      </c>
      <c r="I389" s="697">
        <f t="shared" ca="1" si="84"/>
        <v>342.53985194422665</v>
      </c>
      <c r="J389" s="706">
        <v>26.420897780669865</v>
      </c>
      <c r="K389" s="706">
        <v>5.1937788061102994</v>
      </c>
      <c r="L389" s="697">
        <f t="shared" ca="1" si="85"/>
        <v>15.420000037248862</v>
      </c>
      <c r="M389" s="1185">
        <v>5.8066472448638615</v>
      </c>
      <c r="N389" s="697">
        <f t="shared" ca="1" si="86"/>
        <v>8.1842553963144997</v>
      </c>
      <c r="O389" s="697"/>
      <c r="P389" s="697"/>
      <c r="Q389" s="697"/>
      <c r="R389" s="706">
        <v>3.6849385893514981</v>
      </c>
      <c r="S389" s="697">
        <f t="shared" ca="1" si="87"/>
        <v>6.2754980846405033</v>
      </c>
      <c r="T389" s="1152">
        <v>461.31761001710606</v>
      </c>
      <c r="U389" s="697">
        <f t="shared" ca="1" si="88"/>
        <v>65.1084081344151</v>
      </c>
      <c r="V389" s="697">
        <f t="shared" ca="1" si="92"/>
        <v>41.021279401540347</v>
      </c>
      <c r="W389" s="697">
        <v>15.993112602811124</v>
      </c>
      <c r="X389" s="697">
        <f t="shared" ca="1" si="89"/>
        <v>20.684677803177475</v>
      </c>
      <c r="Y389" s="697">
        <v>25.050879485638454</v>
      </c>
      <c r="Z389" s="697">
        <f t="shared" ca="1" si="90"/>
        <v>15.366110393028141</v>
      </c>
    </row>
    <row r="390" spans="2:26" ht="13.2">
      <c r="B390" s="166">
        <f t="shared" si="91"/>
        <v>44862</v>
      </c>
      <c r="C390"/>
      <c r="G390" s="706">
        <v>16.452192808852196</v>
      </c>
      <c r="H390" s="706" t="s">
        <v>572</v>
      </c>
      <c r="I390" s="697">
        <f t="shared" ca="1" si="84"/>
        <v>342.53985194422665</v>
      </c>
      <c r="J390" s="706">
        <v>26.767383792728797</v>
      </c>
      <c r="K390" s="706">
        <v>6.0853478359572089</v>
      </c>
      <c r="L390" s="697">
        <f t="shared" ca="1" si="85"/>
        <v>15.420000037248862</v>
      </c>
      <c r="M390" s="1185">
        <v>6.262012046380665</v>
      </c>
      <c r="N390" s="697">
        <f t="shared" ca="1" si="86"/>
        <v>8.1842553963144997</v>
      </c>
      <c r="O390" s="697"/>
      <c r="P390" s="697"/>
      <c r="Q390" s="697"/>
      <c r="R390" s="706">
        <v>3.7291103818514366</v>
      </c>
      <c r="S390" s="697">
        <f t="shared" ca="1" si="87"/>
        <v>6.2754980846405033</v>
      </c>
      <c r="T390" s="1152">
        <v>316.04860758565144</v>
      </c>
      <c r="U390" s="697">
        <f t="shared" ca="1" si="88"/>
        <v>65.1084081344151</v>
      </c>
      <c r="V390" s="697">
        <f t="shared" ca="1" si="92"/>
        <v>41.021279401540347</v>
      </c>
      <c r="W390" s="697">
        <v>16.452192808852196</v>
      </c>
      <c r="X390" s="697">
        <f t="shared" ca="1" si="89"/>
        <v>20.684677803177475</v>
      </c>
      <c r="Y390" s="697">
        <v>26.119962705669444</v>
      </c>
      <c r="Z390" s="697">
        <f t="shared" ca="1" si="90"/>
        <v>15.366110393028141</v>
      </c>
    </row>
    <row r="391" spans="2:26" ht="13.2">
      <c r="B391" s="166">
        <f t="shared" si="91"/>
        <v>44869</v>
      </c>
      <c r="C391"/>
      <c r="G391" s="706">
        <v>15.401899411441992</v>
      </c>
      <c r="H391" s="706" t="s">
        <v>572</v>
      </c>
      <c r="I391" s="697">
        <f t="shared" ca="1" si="84"/>
        <v>342.53985194422665</v>
      </c>
      <c r="J391" s="706">
        <v>24.74033581679835</v>
      </c>
      <c r="K391" s="706">
        <v>5.6667093427733013</v>
      </c>
      <c r="L391" s="697">
        <f t="shared" ca="1" si="85"/>
        <v>15.420000037248862</v>
      </c>
      <c r="M391" s="1185">
        <v>5.3075516732278478</v>
      </c>
      <c r="N391" s="697">
        <f t="shared" ca="1" si="86"/>
        <v>8.1842553963144997</v>
      </c>
      <c r="O391" s="697"/>
      <c r="P391" s="697"/>
      <c r="Q391" s="697"/>
      <c r="R391" s="706">
        <v>3.4108218389797913</v>
      </c>
      <c r="S391" s="697">
        <f t="shared" ca="1" si="87"/>
        <v>6.2754980846405033</v>
      </c>
      <c r="T391" s="1152">
        <v>286.62551359863426</v>
      </c>
      <c r="U391" s="697">
        <f t="shared" ca="1" si="88"/>
        <v>65.1084081344151</v>
      </c>
      <c r="V391" s="697">
        <f t="shared" ca="1" si="92"/>
        <v>41.021279401540347</v>
      </c>
      <c r="W391" s="697">
        <v>15.401899411441992</v>
      </c>
      <c r="X391" s="697">
        <f t="shared" ca="1" si="89"/>
        <v>20.684677803177475</v>
      </c>
      <c r="Y391" s="697">
        <v>21.652454634186384</v>
      </c>
      <c r="Z391" s="697">
        <f t="shared" ca="1" si="90"/>
        <v>15.366110393028141</v>
      </c>
    </row>
    <row r="392" spans="2:26" ht="13.2">
      <c r="B392" s="166">
        <f t="shared" si="91"/>
        <v>44876</v>
      </c>
      <c r="C392"/>
      <c r="G392" s="706">
        <v>17.499444015814969</v>
      </c>
      <c r="H392" s="706" t="s">
        <v>572</v>
      </c>
      <c r="I392" s="697">
        <f t="shared" ca="1" si="84"/>
        <v>342.53985194422665</v>
      </c>
      <c r="J392" s="706">
        <v>27.497827814936617</v>
      </c>
      <c r="K392" s="706">
        <v>7.0704134983530809</v>
      </c>
      <c r="L392" s="697">
        <f t="shared" ca="1" si="85"/>
        <v>15.420000037248862</v>
      </c>
      <c r="M392" s="1185">
        <v>5.9613432171567888</v>
      </c>
      <c r="N392" s="697">
        <f t="shared" ca="1" si="86"/>
        <v>8.1842553963144997</v>
      </c>
      <c r="O392" s="697"/>
      <c r="P392" s="697"/>
      <c r="Q392" s="697"/>
      <c r="R392" s="706">
        <v>3.8980389555594694</v>
      </c>
      <c r="S392" s="697">
        <f t="shared" ca="1" si="87"/>
        <v>6.2754980846405033</v>
      </c>
      <c r="T392" s="1152">
        <v>351.65011346115386</v>
      </c>
      <c r="U392" s="697">
        <f t="shared" ca="1" si="88"/>
        <v>65.1084081344151</v>
      </c>
      <c r="V392" s="697">
        <f t="shared" ca="1" si="92"/>
        <v>41.021279401540347</v>
      </c>
      <c r="W392" s="697">
        <v>17.499444015814969</v>
      </c>
      <c r="X392" s="697">
        <f t="shared" ca="1" si="89"/>
        <v>20.684677803177475</v>
      </c>
      <c r="Y392" s="697">
        <v>25.662057235990652</v>
      </c>
      <c r="Z392" s="697">
        <f t="shared" ca="1" si="90"/>
        <v>15.366110393028141</v>
      </c>
    </row>
    <row r="393" spans="2:26" ht="13.2">
      <c r="B393" s="166">
        <f t="shared" si="91"/>
        <v>44883</v>
      </c>
      <c r="C393"/>
      <c r="G393" s="706">
        <v>16.543650814503348</v>
      </c>
      <c r="H393" s="706" t="s">
        <v>572</v>
      </c>
      <c r="I393" s="697">
        <f t="shared" ca="1" si="84"/>
        <v>342.53985194422665</v>
      </c>
      <c r="J393" s="706">
        <v>25.996418608655915</v>
      </c>
      <c r="K393" s="706">
        <v>6.4939886229622523</v>
      </c>
      <c r="L393" s="697">
        <f t="shared" ca="1" si="85"/>
        <v>15.420000037248862</v>
      </c>
      <c r="M393" s="1185">
        <v>5.8236164490229747</v>
      </c>
      <c r="N393" s="697">
        <f t="shared" ca="1" si="86"/>
        <v>8.1842553963144997</v>
      </c>
      <c r="O393" s="697"/>
      <c r="P393" s="697"/>
      <c r="Q393" s="697"/>
      <c r="R393" s="706">
        <v>3.7325387434702657</v>
      </c>
      <c r="S393" s="697">
        <f t="shared" ca="1" si="87"/>
        <v>6.2754980846405033</v>
      </c>
      <c r="T393" s="1152">
        <v>329.78840072473957</v>
      </c>
      <c r="U393" s="697">
        <f t="shared" ca="1" si="88"/>
        <v>65.1084081344151</v>
      </c>
      <c r="V393" s="697">
        <f t="shared" ca="1" si="92"/>
        <v>41.021279401540347</v>
      </c>
      <c r="W393" s="697">
        <v>16.543650814503348</v>
      </c>
      <c r="X393" s="697">
        <f t="shared" ca="1" si="89"/>
        <v>20.684677803177475</v>
      </c>
      <c r="Y393" s="697">
        <v>24.970089006005853</v>
      </c>
      <c r="Z393" s="697">
        <f t="shared" ca="1" si="90"/>
        <v>15.366110393028141</v>
      </c>
    </row>
    <row r="394" spans="2:26" ht="13.2">
      <c r="B394" s="166">
        <f t="shared" si="91"/>
        <v>44890</v>
      </c>
      <c r="C394"/>
      <c r="G394" s="706">
        <v>16.323219116379569</v>
      </c>
      <c r="H394" s="706" t="s">
        <v>572</v>
      </c>
      <c r="I394" s="697">
        <f t="shared" ca="1" si="84"/>
        <v>342.53985194422665</v>
      </c>
      <c r="J394" s="706">
        <v>25.911295862352937</v>
      </c>
      <c r="K394" s="706">
        <v>6.5099591226101445</v>
      </c>
      <c r="L394" s="697">
        <f t="shared" ca="1" si="85"/>
        <v>15.420000037248862</v>
      </c>
      <c r="M394" s="1185">
        <v>5.9323215240186862</v>
      </c>
      <c r="N394" s="697">
        <f t="shared" ca="1" si="86"/>
        <v>8.1842553963144997</v>
      </c>
      <c r="O394" s="697"/>
      <c r="P394" s="697"/>
      <c r="Q394" s="697"/>
      <c r="R394" s="706">
        <v>3.7259440119479894</v>
      </c>
      <c r="S394" s="697">
        <f t="shared" ca="1" si="87"/>
        <v>6.2754980846405033</v>
      </c>
      <c r="T394" s="1152">
        <v>323.62348701820241</v>
      </c>
      <c r="U394" s="697">
        <f t="shared" ca="1" si="88"/>
        <v>65.1084081344151</v>
      </c>
      <c r="V394" s="697">
        <f t="shared" ca="1" si="92"/>
        <v>41.021279401540347</v>
      </c>
      <c r="W394" s="697">
        <v>16.323219116379569</v>
      </c>
      <c r="X394" s="697">
        <f t="shared" ca="1" si="89"/>
        <v>20.684677803177475</v>
      </c>
      <c r="Y394" s="697">
        <v>25.081744713112336</v>
      </c>
      <c r="Z394" s="697">
        <f t="shared" ca="1" si="90"/>
        <v>15.366110393028141</v>
      </c>
    </row>
    <row r="395" spans="2:26" ht="13.2">
      <c r="B395" s="166">
        <f t="shared" si="91"/>
        <v>44897</v>
      </c>
      <c r="C395"/>
      <c r="G395" s="706">
        <v>17.139012376991495</v>
      </c>
      <c r="H395" s="706" t="s">
        <v>572</v>
      </c>
      <c r="I395" s="697">
        <f t="shared" ca="1" si="84"/>
        <v>342.53985194422665</v>
      </c>
      <c r="J395" s="706">
        <v>26.939467314415555</v>
      </c>
      <c r="K395" s="706">
        <v>7.6960017813326056</v>
      </c>
      <c r="L395" s="697">
        <f t="shared" ca="1" si="85"/>
        <v>15.420000037248862</v>
      </c>
      <c r="M395" s="1185">
        <v>6.0545889971272482</v>
      </c>
      <c r="N395" s="697">
        <f t="shared" ca="1" si="86"/>
        <v>8.1842553963144997</v>
      </c>
      <c r="O395" s="697"/>
      <c r="P395" s="697"/>
      <c r="Q395" s="697"/>
      <c r="R395" s="706">
        <v>3.9791733244523604</v>
      </c>
      <c r="S395" s="697">
        <f t="shared" ca="1" si="87"/>
        <v>6.2754980846405033</v>
      </c>
      <c r="T395" s="1152">
        <v>375.62396731262749</v>
      </c>
      <c r="U395" s="697">
        <f t="shared" ca="1" si="88"/>
        <v>65.1084081344151</v>
      </c>
      <c r="V395" s="697">
        <f t="shared" ca="1" si="92"/>
        <v>41.021279401540347</v>
      </c>
      <c r="W395" s="697">
        <v>17.139012376991495</v>
      </c>
      <c r="X395" s="697">
        <f t="shared" ca="1" si="89"/>
        <v>20.684677803177475</v>
      </c>
      <c r="Y395" s="697">
        <v>25.290288135747801</v>
      </c>
      <c r="Z395" s="697">
        <f t="shared" ca="1" si="90"/>
        <v>15.366110393028141</v>
      </c>
    </row>
    <row r="396" spans="2:26" ht="13.2">
      <c r="B396" s="166">
        <f t="shared" si="91"/>
        <v>44904</v>
      </c>
      <c r="C396"/>
      <c r="G396" s="706">
        <v>15.955514439627303</v>
      </c>
      <c r="H396" s="706" t="s">
        <v>572</v>
      </c>
      <c r="I396" s="697">
        <f t="shared" ca="1" si="84"/>
        <v>342.53985194422665</v>
      </c>
      <c r="J396" s="706">
        <v>24.998710882158427</v>
      </c>
      <c r="K396" s="706">
        <v>6.7859849985438592</v>
      </c>
      <c r="L396" s="697">
        <f t="shared" ca="1" si="85"/>
        <v>15.420000037248862</v>
      </c>
      <c r="M396" s="1185">
        <v>5.7992282529143644</v>
      </c>
      <c r="N396" s="697">
        <f t="shared" ca="1" si="86"/>
        <v>8.1842553963144997</v>
      </c>
      <c r="O396" s="697"/>
      <c r="P396" s="697"/>
      <c r="Q396" s="697"/>
      <c r="R396" s="706">
        <v>3.657608055111726</v>
      </c>
      <c r="S396" s="697">
        <f t="shared" ca="1" si="87"/>
        <v>6.2754980846405033</v>
      </c>
      <c r="T396" s="1152">
        <v>335.32338090192911</v>
      </c>
      <c r="U396" s="697">
        <f t="shared" ca="1" si="88"/>
        <v>65.1084081344151</v>
      </c>
      <c r="V396" s="697">
        <f t="shared" ca="1" si="92"/>
        <v>41.021279401540347</v>
      </c>
      <c r="W396" s="697">
        <v>15.955514439627303</v>
      </c>
      <c r="X396" s="697">
        <f t="shared" ca="1" si="89"/>
        <v>20.684677803177475</v>
      </c>
      <c r="Y396" s="697">
        <v>23.211539396282944</v>
      </c>
      <c r="Z396" s="697">
        <f t="shared" ca="1" si="90"/>
        <v>15.366110393028141</v>
      </c>
    </row>
    <row r="397" spans="2:26" ht="13.2">
      <c r="B397" s="166">
        <f t="shared" si="91"/>
        <v>44911</v>
      </c>
      <c r="C397"/>
      <c r="G397" s="706">
        <v>15.395917343355999</v>
      </c>
      <c r="H397" s="706" t="s">
        <v>572</v>
      </c>
      <c r="I397" s="697">
        <f t="shared" ca="1" si="84"/>
        <v>342.53985194422665</v>
      </c>
      <c r="J397" s="706">
        <v>24.420613752817758</v>
      </c>
      <c r="K397" s="706">
        <v>6.3235916082055805</v>
      </c>
      <c r="L397" s="697">
        <f t="shared" ca="1" si="85"/>
        <v>15.420000037248862</v>
      </c>
      <c r="M397" s="1185">
        <v>5.8472501537245991</v>
      </c>
      <c r="N397" s="697">
        <f t="shared" ca="1" si="86"/>
        <v>8.1842553963144997</v>
      </c>
      <c r="O397" s="697"/>
      <c r="P397" s="697"/>
      <c r="Q397" s="697"/>
      <c r="R397" s="706">
        <v>3.5300547074646635</v>
      </c>
      <c r="S397" s="697">
        <f t="shared" ca="1" si="87"/>
        <v>6.2754980846405033</v>
      </c>
      <c r="T397" s="1152">
        <v>306.02416993337022</v>
      </c>
      <c r="U397" s="697">
        <f t="shared" ca="1" si="88"/>
        <v>65.1084081344151</v>
      </c>
      <c r="V397" s="697">
        <f t="shared" ca="1" si="92"/>
        <v>41.021279401540347</v>
      </c>
      <c r="W397" s="697">
        <v>15.395917343355999</v>
      </c>
      <c r="X397" s="697">
        <f t="shared" ca="1" si="89"/>
        <v>20.684677803177475</v>
      </c>
      <c r="Y397" s="697">
        <v>22.641809301355174</v>
      </c>
      <c r="Z397" s="697">
        <f t="shared" ca="1" si="90"/>
        <v>15.366110393028141</v>
      </c>
    </row>
    <row r="398" spans="2:26" ht="13.2">
      <c r="B398" s="166">
        <f t="shared" si="91"/>
        <v>44918</v>
      </c>
      <c r="C398"/>
      <c r="G398" s="706">
        <v>14.975546897177772</v>
      </c>
      <c r="H398" s="706" t="s">
        <v>572</v>
      </c>
      <c r="I398" s="697">
        <f t="shared" ca="1" si="84"/>
        <v>342.53985194422665</v>
      </c>
      <c r="J398" s="706">
        <v>23.763330926458536</v>
      </c>
      <c r="K398" s="706">
        <v>5.8397195593899749</v>
      </c>
      <c r="L398" s="697">
        <f t="shared" ca="1" si="85"/>
        <v>15.420000037248862</v>
      </c>
      <c r="M398" s="1185">
        <v>5.8145927088751179</v>
      </c>
      <c r="N398" s="697">
        <f t="shared" ca="1" si="86"/>
        <v>8.1842553963144997</v>
      </c>
      <c r="O398" s="697"/>
      <c r="P398" s="697"/>
      <c r="Q398" s="697"/>
      <c r="R398" s="706">
        <v>3.429539588713709</v>
      </c>
      <c r="S398" s="697">
        <f t="shared" ca="1" si="87"/>
        <v>6.2754980846405033</v>
      </c>
      <c r="T398" s="1152">
        <v>363.61367361578903</v>
      </c>
      <c r="U398" s="697">
        <f t="shared" ca="1" si="88"/>
        <v>65.1084081344151</v>
      </c>
      <c r="V398" s="697">
        <f t="shared" ca="1" si="92"/>
        <v>41.021279401540347</v>
      </c>
      <c r="W398" s="697">
        <v>14.975546897177772</v>
      </c>
      <c r="X398" s="697">
        <f t="shared" ca="1" si="89"/>
        <v>20.684677803177475</v>
      </c>
      <c r="Y398" s="697">
        <v>21.674613413717069</v>
      </c>
      <c r="Z398" s="697">
        <f t="shared" ca="1" si="90"/>
        <v>15.366110393028141</v>
      </c>
    </row>
    <row r="399" spans="2:26" ht="13.2">
      <c r="B399" s="166">
        <f t="shared" si="91"/>
        <v>44925</v>
      </c>
      <c r="C399"/>
      <c r="G399" s="707">
        <v>14.924433693168782</v>
      </c>
      <c r="H399" s="706">
        <v>950.52023251187234</v>
      </c>
      <c r="I399" s="697">
        <f t="shared" ca="1" si="84"/>
        <v>342.53985194422665</v>
      </c>
      <c r="J399" s="707">
        <v>23.695946579190338</v>
      </c>
      <c r="K399" s="707">
        <v>5.9750990460173039</v>
      </c>
      <c r="L399" s="697">
        <f t="shared" ca="1" si="85"/>
        <v>15.420000037248862</v>
      </c>
      <c r="M399" s="1185">
        <v>5.8967900030082978</v>
      </c>
      <c r="N399" s="697">
        <f t="shared" ca="1" si="86"/>
        <v>8.1842553963144997</v>
      </c>
      <c r="O399" s="697"/>
      <c r="P399" s="697"/>
      <c r="Q399" s="697"/>
      <c r="R399" s="707">
        <v>3.4507563217235226</v>
      </c>
      <c r="S399" s="697">
        <f t="shared" ca="1" si="87"/>
        <v>6.2754980846405033</v>
      </c>
      <c r="T399" s="1152">
        <v>363.71445804173345</v>
      </c>
      <c r="U399" s="697">
        <f t="shared" ca="1" si="88"/>
        <v>65.1084081344151</v>
      </c>
      <c r="V399" s="697">
        <f t="shared" ca="1" si="92"/>
        <v>41.021279401540347</v>
      </c>
      <c r="W399" s="697">
        <v>14.924433693168782</v>
      </c>
      <c r="X399" s="697">
        <f t="shared" ca="1" si="89"/>
        <v>20.684677803177475</v>
      </c>
      <c r="Y399" s="697">
        <v>21.930727611068676</v>
      </c>
      <c r="Z399" s="697">
        <f t="shared" ca="1" si="90"/>
        <v>15.366110393028141</v>
      </c>
    </row>
    <row r="400" spans="2:26" ht="13.2">
      <c r="B400" s="166">
        <f t="shared" si="91"/>
        <v>44932</v>
      </c>
      <c r="C400"/>
      <c r="G400" s="706">
        <v>15.329601218174007</v>
      </c>
      <c r="H400" s="706">
        <v>839.59096313045086</v>
      </c>
      <c r="I400" s="697">
        <f t="shared" ca="1" si="84"/>
        <v>342.53985194422665</v>
      </c>
      <c r="J400" s="706">
        <v>24.428547619063345</v>
      </c>
      <c r="K400" s="706">
        <v>6.4167549189526474</v>
      </c>
      <c r="L400" s="697">
        <f t="shared" ca="1" si="85"/>
        <v>15.420000037248862</v>
      </c>
      <c r="M400" s="1185">
        <v>5.879084074702412</v>
      </c>
      <c r="N400" s="697">
        <f t="shared" ca="1" si="86"/>
        <v>8.1842553963144997</v>
      </c>
      <c r="O400" s="697"/>
      <c r="P400" s="697"/>
      <c r="Q400" s="697"/>
      <c r="R400" s="706">
        <v>3.5524331642844058</v>
      </c>
      <c r="S400" s="697">
        <f t="shared" ca="1" si="87"/>
        <v>6.2754980846405033</v>
      </c>
      <c r="T400" s="1152">
        <v>373.49645249257986</v>
      </c>
      <c r="U400" s="697">
        <f t="shared" ca="1" si="88"/>
        <v>65.1084081344151</v>
      </c>
      <c r="V400" s="697">
        <f t="shared" ca="1" si="92"/>
        <v>41.021279401540347</v>
      </c>
      <c r="W400" s="697">
        <v>15.329601218174007</v>
      </c>
      <c r="X400" s="697">
        <f t="shared" ca="1" si="89"/>
        <v>20.684677803177475</v>
      </c>
      <c r="Y400" s="697">
        <v>21.462358882916277</v>
      </c>
      <c r="Z400" s="697">
        <f t="shared" ca="1" si="90"/>
        <v>15.366110393028141</v>
      </c>
    </row>
    <row r="401" spans="2:26" ht="13.2">
      <c r="B401" s="166">
        <f t="shared" si="91"/>
        <v>44939</v>
      </c>
      <c r="C401"/>
      <c r="G401" s="706">
        <v>16.866942354211872</v>
      </c>
      <c r="H401" s="706">
        <v>787.4561973693659</v>
      </c>
      <c r="I401" s="697">
        <f t="shared" ca="1" si="84"/>
        <v>342.53985194422665</v>
      </c>
      <c r="J401" s="706">
        <v>27.048450213790321</v>
      </c>
      <c r="K401" s="706">
        <v>6.7779813623522713</v>
      </c>
      <c r="L401" s="697">
        <f t="shared" ca="1" si="85"/>
        <v>15.420000037248862</v>
      </c>
      <c r="M401" s="1185">
        <v>6.1970438356217672</v>
      </c>
      <c r="N401" s="697">
        <f t="shared" ca="1" si="86"/>
        <v>8.1842553963144997</v>
      </c>
      <c r="O401" s="697"/>
      <c r="P401" s="697"/>
      <c r="Q401" s="697"/>
      <c r="R401" s="706">
        <v>3.8974819279359108</v>
      </c>
      <c r="S401" s="697">
        <f t="shared" ca="1" si="87"/>
        <v>6.2754980846405033</v>
      </c>
      <c r="T401" s="1152">
        <v>364.9387446100373</v>
      </c>
      <c r="U401" s="697">
        <f t="shared" ca="1" si="88"/>
        <v>65.1084081344151</v>
      </c>
      <c r="V401" s="697">
        <f t="shared" ca="1" si="92"/>
        <v>41.021279401540347</v>
      </c>
      <c r="W401" s="697">
        <v>16.866942354211872</v>
      </c>
      <c r="X401" s="697">
        <f t="shared" ca="1" si="89"/>
        <v>20.684677803177475</v>
      </c>
      <c r="Y401" s="697">
        <v>23.761485430115968</v>
      </c>
      <c r="Z401" s="697">
        <f t="shared" ca="1" si="90"/>
        <v>15.366110393028141</v>
      </c>
    </row>
    <row r="402" spans="2:26" ht="13.2">
      <c r="B402" s="166">
        <f t="shared" si="91"/>
        <v>44946</v>
      </c>
      <c r="C402"/>
      <c r="G402" s="706">
        <v>17.13117577056785</v>
      </c>
      <c r="H402" s="706">
        <v>808.93647794333162</v>
      </c>
      <c r="I402" s="697">
        <f t="shared" ca="1" si="84"/>
        <v>342.53985194422665</v>
      </c>
      <c r="J402" s="706">
        <v>27.143580269330148</v>
      </c>
      <c r="K402" s="706">
        <v>7.0600415908108953</v>
      </c>
      <c r="L402" s="697">
        <f t="shared" ca="1" si="85"/>
        <v>15.420000037248862</v>
      </c>
      <c r="M402" s="1185">
        <v>6.321613457072222</v>
      </c>
      <c r="N402" s="697">
        <f t="shared" ca="1" si="86"/>
        <v>8.1842553963144997</v>
      </c>
      <c r="O402" s="697"/>
      <c r="P402" s="697"/>
      <c r="Q402" s="697"/>
      <c r="R402" s="706">
        <v>3.9663646820280665</v>
      </c>
      <c r="S402" s="697">
        <f t="shared" ca="1" si="87"/>
        <v>6.2754980846405033</v>
      </c>
      <c r="T402" s="1152">
        <v>430.43382183335405</v>
      </c>
      <c r="U402" s="697">
        <f t="shared" ca="1" si="88"/>
        <v>65.1084081344151</v>
      </c>
      <c r="V402" s="697">
        <f t="shared" ca="1" si="92"/>
        <v>41.021279401540347</v>
      </c>
      <c r="W402" s="697">
        <v>17.13117577056785</v>
      </c>
      <c r="X402" s="697">
        <f t="shared" ca="1" si="89"/>
        <v>20.684677803177475</v>
      </c>
      <c r="Y402" s="697">
        <v>24.021750492324742</v>
      </c>
      <c r="Z402" s="697">
        <f t="shared" ca="1" si="90"/>
        <v>15.366110393028141</v>
      </c>
    </row>
    <row r="403" spans="2:26" ht="13.2">
      <c r="B403" s="166">
        <f t="shared" si="91"/>
        <v>44953</v>
      </c>
      <c r="C403"/>
      <c r="G403" s="706">
        <v>18.053445346066912</v>
      </c>
      <c r="H403" s="706">
        <v>655.91282227054546</v>
      </c>
      <c r="I403" s="697">
        <f t="shared" ca="1" si="84"/>
        <v>342.53985194422665</v>
      </c>
      <c r="J403" s="706">
        <v>28.662475672283481</v>
      </c>
      <c r="K403" s="706">
        <v>8.8171020016180357</v>
      </c>
      <c r="L403" s="697">
        <f t="shared" ca="1" si="85"/>
        <v>15.420000037248862</v>
      </c>
      <c r="M403" s="1185">
        <v>6.5716612607173301</v>
      </c>
      <c r="N403" s="697">
        <f t="shared" ca="1" si="86"/>
        <v>8.1842553963144997</v>
      </c>
      <c r="O403" s="697"/>
      <c r="P403" s="697"/>
      <c r="Q403" s="697"/>
      <c r="R403" s="706">
        <v>4.3218834879830137</v>
      </c>
      <c r="S403" s="697">
        <f t="shared" ca="1" si="87"/>
        <v>6.2754980846405033</v>
      </c>
      <c r="T403" s="1152">
        <v>362.29369485688852</v>
      </c>
      <c r="U403" s="697">
        <f t="shared" ca="1" si="88"/>
        <v>65.1084081344151</v>
      </c>
      <c r="V403" s="697">
        <f t="shared" ca="1" si="92"/>
        <v>41.021279401540347</v>
      </c>
      <c r="W403" s="697">
        <v>18.053445346066912</v>
      </c>
      <c r="X403" s="697">
        <f t="shared" ca="1" si="89"/>
        <v>20.684677803177475</v>
      </c>
      <c r="Y403" s="697">
        <v>24.688162400794994</v>
      </c>
      <c r="Z403" s="697">
        <f t="shared" ca="1" si="90"/>
        <v>15.366110393028141</v>
      </c>
    </row>
    <row r="404" spans="2:26" ht="13.2">
      <c r="B404" s="166">
        <f t="shared" si="91"/>
        <v>44960</v>
      </c>
      <c r="C404"/>
      <c r="G404" s="706">
        <v>18.915933078199792</v>
      </c>
      <c r="H404" s="706">
        <v>645.67150629563264</v>
      </c>
      <c r="I404" s="697">
        <f t="shared" ca="1" si="84"/>
        <v>342.53985194422665</v>
      </c>
      <c r="J404" s="706">
        <v>29.253963867859664</v>
      </c>
      <c r="K404" s="706">
        <v>9.2994194000407404</v>
      </c>
      <c r="L404" s="697">
        <f t="shared" ca="1" si="85"/>
        <v>15.420000037248862</v>
      </c>
      <c r="M404" s="1185">
        <v>6.6169513286837569</v>
      </c>
      <c r="N404" s="697">
        <f t="shared" ca="1" si="86"/>
        <v>8.1842553963144997</v>
      </c>
      <c r="O404" s="697"/>
      <c r="P404" s="697"/>
      <c r="Q404" s="697"/>
      <c r="R404" s="706">
        <v>4.4727801255291686</v>
      </c>
      <c r="S404" s="697">
        <f t="shared" ca="1" si="87"/>
        <v>6.2754980846405033</v>
      </c>
      <c r="T404" s="1152">
        <v>371.01590598617508</v>
      </c>
      <c r="U404" s="697">
        <f t="shared" ca="1" si="88"/>
        <v>65.1084081344151</v>
      </c>
      <c r="V404" s="697">
        <f t="shared" ca="1" si="92"/>
        <v>41.021279401540347</v>
      </c>
      <c r="W404" s="697">
        <v>18.915933078199792</v>
      </c>
      <c r="X404" s="697">
        <f t="shared" ca="1" si="89"/>
        <v>20.684677803177475</v>
      </c>
      <c r="Y404" s="697">
        <v>24.17850498340027</v>
      </c>
      <c r="Z404" s="697">
        <f t="shared" ca="1" si="90"/>
        <v>15.366110393028141</v>
      </c>
    </row>
    <row r="405" spans="2:26" ht="13.2">
      <c r="B405" s="166">
        <f t="shared" si="91"/>
        <v>44967</v>
      </c>
      <c r="C405"/>
      <c r="G405" s="706">
        <v>18.036842472003894</v>
      </c>
      <c r="H405" s="706">
        <v>540.1674317733864</v>
      </c>
      <c r="I405" s="697">
        <f t="shared" ca="1" si="84"/>
        <v>342.53985194422665</v>
      </c>
      <c r="J405" s="706">
        <v>27.734123695693061</v>
      </c>
      <c r="K405" s="706">
        <v>8.3407189193054929</v>
      </c>
      <c r="L405" s="697">
        <f t="shared" ca="1" si="85"/>
        <v>15.420000037248862</v>
      </c>
      <c r="M405" s="1185">
        <v>6.4257835636351315</v>
      </c>
      <c r="N405" s="697">
        <f t="shared" ca="1" si="86"/>
        <v>8.1842553963144997</v>
      </c>
      <c r="O405" s="697"/>
      <c r="P405" s="697"/>
      <c r="Q405" s="697"/>
      <c r="R405" s="706">
        <v>4.1317350237989032</v>
      </c>
      <c r="S405" s="697">
        <f t="shared" ca="1" si="87"/>
        <v>6.2754980846405033</v>
      </c>
      <c r="T405" s="1152">
        <v>324.38681126906948</v>
      </c>
      <c r="U405" s="697">
        <f t="shared" ca="1" si="88"/>
        <v>65.1084081344151</v>
      </c>
      <c r="V405" s="697">
        <f t="shared" ca="1" si="92"/>
        <v>41.021279401540347</v>
      </c>
      <c r="W405" s="697">
        <v>18.036842472003894</v>
      </c>
      <c r="X405" s="697">
        <f t="shared" ca="1" si="89"/>
        <v>20.684677803177475</v>
      </c>
      <c r="Y405" s="697">
        <v>22.847764703803158</v>
      </c>
      <c r="Z405" s="697">
        <f t="shared" ca="1" si="90"/>
        <v>15.366110393028141</v>
      </c>
    </row>
    <row r="406" spans="2:26" ht="13.2">
      <c r="B406" s="166">
        <f t="shared" si="91"/>
        <v>44974</v>
      </c>
      <c r="C406"/>
      <c r="G406" s="706">
        <v>18.45296254713848</v>
      </c>
      <c r="H406" s="706">
        <v>518.15946336692207</v>
      </c>
      <c r="I406" s="697">
        <f t="shared" ca="1" si="84"/>
        <v>342.53985194422665</v>
      </c>
      <c r="J406" s="706">
        <v>35.252559458788767</v>
      </c>
      <c r="K406" s="706">
        <v>7.4699228944641627</v>
      </c>
      <c r="L406" s="697">
        <f t="shared" ca="1" si="85"/>
        <v>15.420000037248862</v>
      </c>
      <c r="M406" s="1185">
        <v>6.2766181672567543</v>
      </c>
      <c r="N406" s="697">
        <f t="shared" ca="1" si="86"/>
        <v>8.1842553963144997</v>
      </c>
      <c r="O406" s="697"/>
      <c r="P406" s="697"/>
      <c r="Q406" s="697"/>
      <c r="R406" s="706">
        <v>4.3407436356349027</v>
      </c>
      <c r="S406" s="697">
        <f t="shared" ca="1" si="87"/>
        <v>6.2754980846405033</v>
      </c>
      <c r="T406" s="1152">
        <v>296.46612304103485</v>
      </c>
      <c r="U406" s="697">
        <f t="shared" ca="1" si="88"/>
        <v>65.1084081344151</v>
      </c>
      <c r="V406" s="697">
        <f t="shared" ca="1" si="92"/>
        <v>41.021279401540347</v>
      </c>
      <c r="W406" s="697">
        <v>18.45296254713848</v>
      </c>
      <c r="X406" s="697">
        <f t="shared" ca="1" si="89"/>
        <v>20.684677803177475</v>
      </c>
      <c r="Y406" s="697">
        <v>22.958375569046563</v>
      </c>
      <c r="Z406" s="697">
        <f t="shared" ca="1" si="90"/>
        <v>15.366110393028141</v>
      </c>
    </row>
    <row r="407" spans="2:26" ht="13.2">
      <c r="B407" s="166">
        <f t="shared" si="91"/>
        <v>44981</v>
      </c>
      <c r="C407"/>
      <c r="G407" s="706">
        <v>17.081480193456834</v>
      </c>
      <c r="H407" s="706">
        <v>527.04170135010622</v>
      </c>
      <c r="I407" s="697">
        <f t="shared" ca="1" si="84"/>
        <v>342.53985194422665</v>
      </c>
      <c r="J407" s="706">
        <v>32.129728518785285</v>
      </c>
      <c r="K407" s="706">
        <v>6.9128090672305378</v>
      </c>
      <c r="L407" s="697">
        <f t="shared" ca="1" si="85"/>
        <v>15.420000037248862</v>
      </c>
      <c r="M407" s="1185">
        <v>5.9843940197873051</v>
      </c>
      <c r="N407" s="697">
        <f t="shared" ca="1" si="86"/>
        <v>8.1842553963144997</v>
      </c>
      <c r="O407" s="697"/>
      <c r="P407" s="697"/>
      <c r="Q407" s="697"/>
      <c r="R407" s="706">
        <v>4.0342435660715559</v>
      </c>
      <c r="S407" s="697">
        <f t="shared" ca="1" si="87"/>
        <v>6.2754980846405033</v>
      </c>
      <c r="T407" s="1152">
        <v>263.93954773069697</v>
      </c>
      <c r="U407" s="697">
        <f t="shared" ca="1" si="88"/>
        <v>65.1084081344151</v>
      </c>
      <c r="V407" s="697">
        <f t="shared" ca="1" si="92"/>
        <v>41.021279401540347</v>
      </c>
      <c r="W407" s="697">
        <v>17.081480193456834</v>
      </c>
      <c r="X407" s="697">
        <f t="shared" ca="1" si="89"/>
        <v>20.684677803177475</v>
      </c>
      <c r="Y407" s="697">
        <v>18.033944167986718</v>
      </c>
      <c r="Z407" s="697">
        <f t="shared" ca="1" si="90"/>
        <v>15.366110393028141</v>
      </c>
    </row>
    <row r="408" spans="2:26" ht="13.2">
      <c r="B408" s="166">
        <f t="shared" si="91"/>
        <v>44988</v>
      </c>
      <c r="C408"/>
      <c r="G408" s="706">
        <v>17.6700305916563</v>
      </c>
      <c r="H408" s="706">
        <v>529.01604235053765</v>
      </c>
      <c r="I408" s="697">
        <f t="shared" ref="I408:I471" ca="1" si="93">+I$87</f>
        <v>342.53985194422665</v>
      </c>
      <c r="J408" s="706">
        <v>30.307366210779005</v>
      </c>
      <c r="K408" s="706">
        <v>7.3680342153585974</v>
      </c>
      <c r="L408" s="697">
        <f t="shared" ref="L408:L471" ca="1" si="94">+L$87</f>
        <v>15.420000037248862</v>
      </c>
      <c r="M408" s="1185">
        <v>6.239255639438106</v>
      </c>
      <c r="N408" s="697">
        <f t="shared" ref="N408:N471" ca="1" si="95">+N$87</f>
        <v>8.1842553963144997</v>
      </c>
      <c r="O408" s="697"/>
      <c r="P408" s="697"/>
      <c r="Q408" s="697"/>
      <c r="R408" s="706">
        <v>4.2047990348083122</v>
      </c>
      <c r="S408" s="697">
        <f t="shared" ref="S408:S471" ca="1" si="96">+S$87</f>
        <v>6.2754980846405033</v>
      </c>
      <c r="T408" s="1152">
        <v>270.35711841760974</v>
      </c>
      <c r="U408" s="697">
        <f t="shared" ref="U408:U471" ca="1" si="97">+U$87</f>
        <v>65.1084081344151</v>
      </c>
      <c r="V408" s="697">
        <f t="shared" ca="1" si="92"/>
        <v>41.021279401540347</v>
      </c>
      <c r="W408" s="697">
        <v>17.6700305916563</v>
      </c>
      <c r="X408" s="697">
        <f t="shared" ref="X408:X471" ca="1" si="98">+X$87</f>
        <v>20.684677803177475</v>
      </c>
      <c r="Y408" s="697">
        <v>18.617535267053345</v>
      </c>
      <c r="Z408" s="697">
        <f t="shared" ref="Z408:Z471" ca="1" si="99">+Z$87</f>
        <v>15.366110393028141</v>
      </c>
    </row>
    <row r="409" spans="2:26" ht="13.2">
      <c r="B409" s="166">
        <f t="shared" ref="B409:B472" si="100">B408+7</f>
        <v>44995</v>
      </c>
      <c r="C409"/>
      <c r="G409" s="706">
        <v>16.218287416153295</v>
      </c>
      <c r="H409" s="706">
        <v>481.14667488306429</v>
      </c>
      <c r="I409" s="697">
        <f t="shared" ca="1" si="93"/>
        <v>342.53985194422665</v>
      </c>
      <c r="J409" s="706">
        <v>27.599012670719127</v>
      </c>
      <c r="K409" s="706">
        <v>6.9842205637884875</v>
      </c>
      <c r="L409" s="697">
        <f t="shared" ca="1" si="94"/>
        <v>15.420000037248862</v>
      </c>
      <c r="M409" s="1185">
        <v>5.8576213478508699</v>
      </c>
      <c r="N409" s="697">
        <f t="shared" ca="1" si="95"/>
        <v>8.1842553963144997</v>
      </c>
      <c r="O409" s="697"/>
      <c r="P409" s="697"/>
      <c r="Q409" s="697"/>
      <c r="R409" s="706">
        <v>3.9008240947295167</v>
      </c>
      <c r="S409" s="697">
        <f t="shared" ca="1" si="96"/>
        <v>6.2754980846405033</v>
      </c>
      <c r="T409" s="1152">
        <v>249.38043880630889</v>
      </c>
      <c r="U409" s="697">
        <f t="shared" ca="1" si="97"/>
        <v>65.1084081344151</v>
      </c>
      <c r="V409" s="697">
        <f t="shared" ref="V409:V472" ca="1" si="101">+V408</f>
        <v>41.021279401540347</v>
      </c>
      <c r="W409" s="697">
        <v>16.218287416153295</v>
      </c>
      <c r="X409" s="697">
        <f t="shared" ca="1" si="98"/>
        <v>20.684677803177475</v>
      </c>
      <c r="Y409" s="697">
        <v>17.365407829337599</v>
      </c>
      <c r="Z409" s="697">
        <f t="shared" ca="1" si="99"/>
        <v>15.366110393028141</v>
      </c>
    </row>
    <row r="410" spans="2:26" ht="13.2">
      <c r="B410" s="166">
        <f t="shared" si="100"/>
        <v>45002</v>
      </c>
      <c r="C410"/>
      <c r="G410" s="706">
        <v>17.128110515178655</v>
      </c>
      <c r="H410" s="706">
        <v>498.6179422153586</v>
      </c>
      <c r="I410" s="697">
        <f t="shared" ca="1" si="93"/>
        <v>342.53985194422665</v>
      </c>
      <c r="J410" s="706">
        <v>30.580785876116888</v>
      </c>
      <c r="K410" s="706">
        <v>7.5466485242095596</v>
      </c>
      <c r="L410" s="697">
        <f t="shared" ca="1" si="94"/>
        <v>15.420000037248862</v>
      </c>
      <c r="M410" s="1185">
        <v>6.0496678449076748</v>
      </c>
      <c r="N410" s="697">
        <f t="shared" ca="1" si="95"/>
        <v>8.1842553963144997</v>
      </c>
      <c r="O410" s="697"/>
      <c r="P410" s="697"/>
      <c r="Q410" s="697"/>
      <c r="R410" s="706">
        <v>4.1276774110655632</v>
      </c>
      <c r="S410" s="697">
        <f t="shared" ca="1" si="96"/>
        <v>6.2754980846405033</v>
      </c>
      <c r="T410" s="1152">
        <v>259.29811952311894</v>
      </c>
      <c r="U410" s="697">
        <f t="shared" ca="1" si="97"/>
        <v>65.1084081344151</v>
      </c>
      <c r="V410" s="697">
        <f t="shared" ca="1" si="101"/>
        <v>41.021279401540347</v>
      </c>
      <c r="W410" s="697">
        <v>17.128110515178655</v>
      </c>
      <c r="X410" s="697">
        <f t="shared" ca="1" si="98"/>
        <v>20.684677803177475</v>
      </c>
      <c r="Y410" s="697">
        <v>18.097031042632231</v>
      </c>
      <c r="Z410" s="697">
        <f t="shared" ca="1" si="99"/>
        <v>15.366110393028141</v>
      </c>
    </row>
    <row r="411" spans="2:26" ht="13.2">
      <c r="B411" s="166">
        <f t="shared" si="100"/>
        <v>45009</v>
      </c>
      <c r="C411"/>
      <c r="G411" s="706">
        <v>17.604525405348575</v>
      </c>
      <c r="H411" s="706">
        <v>480.0571884935265</v>
      </c>
      <c r="I411" s="697">
        <f t="shared" ca="1" si="93"/>
        <v>342.53985194422665</v>
      </c>
      <c r="J411" s="706">
        <v>30.743956221357159</v>
      </c>
      <c r="K411" s="706">
        <v>7.5716274974588069</v>
      </c>
      <c r="L411" s="697">
        <f t="shared" ca="1" si="94"/>
        <v>15.420000037248862</v>
      </c>
      <c r="M411" s="1185">
        <v>6.2696447806703182</v>
      </c>
      <c r="N411" s="697">
        <f t="shared" ca="1" si="95"/>
        <v>8.1842553963144997</v>
      </c>
      <c r="O411" s="697"/>
      <c r="P411" s="697"/>
      <c r="Q411" s="697"/>
      <c r="R411" s="706">
        <v>4.2496946304022742</v>
      </c>
      <c r="S411" s="697">
        <f t="shared" ca="1" si="96"/>
        <v>6.2754980846405033</v>
      </c>
      <c r="T411" s="1152">
        <v>251.83054038691023</v>
      </c>
      <c r="U411" s="697">
        <f t="shared" ca="1" si="97"/>
        <v>65.1084081344151</v>
      </c>
      <c r="V411" s="697">
        <f t="shared" ca="1" si="101"/>
        <v>41.021279401540347</v>
      </c>
      <c r="W411" s="697">
        <v>17.604525405348575</v>
      </c>
      <c r="X411" s="697">
        <f t="shared" ca="1" si="98"/>
        <v>20.684677803177475</v>
      </c>
      <c r="Y411" s="697">
        <v>18.794697947523559</v>
      </c>
      <c r="Z411" s="697">
        <f t="shared" ca="1" si="99"/>
        <v>15.366110393028141</v>
      </c>
    </row>
    <row r="412" spans="2:26" ht="13.2">
      <c r="B412" s="166">
        <f t="shared" si="100"/>
        <v>45016</v>
      </c>
      <c r="C412"/>
      <c r="G412" s="707">
        <v>17.792387550845444</v>
      </c>
      <c r="H412" s="706">
        <v>493.88068032321263</v>
      </c>
      <c r="I412" s="697">
        <f t="shared" ca="1" si="93"/>
        <v>342.53985194422665</v>
      </c>
      <c r="J412" s="707">
        <v>28.163844304929913</v>
      </c>
      <c r="K412" s="707">
        <v>8.0826707998816971</v>
      </c>
      <c r="L412" s="697">
        <f t="shared" ca="1" si="94"/>
        <v>15.420000037248862</v>
      </c>
      <c r="M412" s="1185">
        <v>6.4202328453331887</v>
      </c>
      <c r="N412" s="697">
        <f t="shared" ca="1" si="95"/>
        <v>8.1842553963144997</v>
      </c>
      <c r="O412" s="697"/>
      <c r="P412" s="697"/>
      <c r="Q412" s="697"/>
      <c r="R412" s="707">
        <v>4.3504228806337402</v>
      </c>
      <c r="S412" s="697">
        <f t="shared" ca="1" si="96"/>
        <v>6.2754980846405033</v>
      </c>
      <c r="T412" s="1152">
        <v>271.6050252207333</v>
      </c>
      <c r="U412" s="697">
        <f t="shared" ca="1" si="97"/>
        <v>65.1084081344151</v>
      </c>
      <c r="V412" s="697">
        <f t="shared" ca="1" si="101"/>
        <v>41.021279401540347</v>
      </c>
      <c r="W412" s="697">
        <v>17.792387550845444</v>
      </c>
      <c r="X412" s="697">
        <f t="shared" ca="1" si="98"/>
        <v>20.684677803177475</v>
      </c>
      <c r="Y412" s="697">
        <v>19.054935663478098</v>
      </c>
      <c r="Z412" s="697">
        <f t="shared" ca="1" si="99"/>
        <v>15.366110393028141</v>
      </c>
    </row>
    <row r="413" spans="2:26" ht="13.2">
      <c r="B413" s="166">
        <f t="shared" si="100"/>
        <v>45023</v>
      </c>
      <c r="C413"/>
      <c r="G413" s="706">
        <v>17.325784460436932</v>
      </c>
      <c r="H413" s="706">
        <v>454.05426404011376</v>
      </c>
      <c r="I413" s="697">
        <f t="shared" ca="1" si="93"/>
        <v>342.53985194422665</v>
      </c>
      <c r="J413" s="706">
        <v>27.707268884985606</v>
      </c>
      <c r="K413" s="706">
        <v>7.7901205925269288</v>
      </c>
      <c r="L413" s="697">
        <f t="shared" ca="1" si="94"/>
        <v>15.420000037248862</v>
      </c>
      <c r="M413" s="1185">
        <v>6.308269792729738</v>
      </c>
      <c r="N413" s="697">
        <f t="shared" ca="1" si="95"/>
        <v>8.1842553963144997</v>
      </c>
      <c r="O413" s="697"/>
      <c r="P413" s="697"/>
      <c r="Q413" s="697"/>
      <c r="R413" s="706">
        <v>4.2358142963280487</v>
      </c>
      <c r="S413" s="697">
        <f t="shared" ca="1" si="96"/>
        <v>6.2754980846405033</v>
      </c>
      <c r="T413" s="1152">
        <v>251.43804737724423</v>
      </c>
      <c r="U413" s="697">
        <f t="shared" ca="1" si="97"/>
        <v>65.1084081344151</v>
      </c>
      <c r="V413" s="697">
        <f t="shared" ca="1" si="101"/>
        <v>41.021279401540347</v>
      </c>
      <c r="W413" s="697">
        <v>17.325784460436932</v>
      </c>
      <c r="X413" s="697">
        <f t="shared" ca="1" si="98"/>
        <v>20.684677803177475</v>
      </c>
      <c r="Y413" s="697">
        <v>18.258337963331833</v>
      </c>
      <c r="Z413" s="697">
        <f t="shared" ca="1" si="99"/>
        <v>15.366110393028141</v>
      </c>
    </row>
    <row r="414" spans="2:26" ht="13.2">
      <c r="B414" s="166">
        <f t="shared" si="100"/>
        <v>45030</v>
      </c>
      <c r="C414"/>
      <c r="G414" s="706">
        <v>17.46869225630185</v>
      </c>
      <c r="H414" s="706">
        <v>444.3107606578194</v>
      </c>
      <c r="I414" s="697">
        <f t="shared" ca="1" si="93"/>
        <v>342.53985194422665</v>
      </c>
      <c r="J414" s="706">
        <v>27.905688662025792</v>
      </c>
      <c r="K414" s="706">
        <v>7.7411913150839604</v>
      </c>
      <c r="L414" s="697">
        <f t="shared" ca="1" si="94"/>
        <v>15.420000037248862</v>
      </c>
      <c r="M414" s="1185">
        <v>6.2930246871851701</v>
      </c>
      <c r="N414" s="697">
        <f t="shared" ca="1" si="95"/>
        <v>8.1842553963144997</v>
      </c>
      <c r="O414" s="697"/>
      <c r="P414" s="697"/>
      <c r="Q414" s="697"/>
      <c r="R414" s="706">
        <v>4.2812917895193214</v>
      </c>
      <c r="S414" s="697">
        <f t="shared" ca="1" si="96"/>
        <v>6.2754980846405033</v>
      </c>
      <c r="T414" s="1152">
        <v>252.66050411549045</v>
      </c>
      <c r="U414" s="697">
        <f t="shared" ca="1" si="97"/>
        <v>65.1084081344151</v>
      </c>
      <c r="V414" s="697">
        <f t="shared" ca="1" si="101"/>
        <v>41.021279401540347</v>
      </c>
      <c r="W414" s="697">
        <v>17.46869225630185</v>
      </c>
      <c r="X414" s="697">
        <f t="shared" ca="1" si="98"/>
        <v>20.684677803177475</v>
      </c>
      <c r="Y414" s="697">
        <v>18.105168233225818</v>
      </c>
      <c r="Z414" s="697">
        <f t="shared" ca="1" si="99"/>
        <v>15.366110393028141</v>
      </c>
    </row>
    <row r="415" spans="2:26" ht="13.2">
      <c r="B415" s="166">
        <f t="shared" si="100"/>
        <v>45037</v>
      </c>
      <c r="C415"/>
      <c r="G415" s="706">
        <v>16.163612194466705</v>
      </c>
      <c r="H415" s="706">
        <v>430.97158731309111</v>
      </c>
      <c r="I415" s="697">
        <f t="shared" ca="1" si="93"/>
        <v>342.53985194422665</v>
      </c>
      <c r="J415" s="706">
        <v>27.948122496939728</v>
      </c>
      <c r="K415" s="706">
        <v>8.3735008568286613</v>
      </c>
      <c r="L415" s="697">
        <f t="shared" ca="1" si="94"/>
        <v>15.420000037248862</v>
      </c>
      <c r="M415" s="1185">
        <v>6.3325918522713209</v>
      </c>
      <c r="N415" s="697">
        <f t="shared" ca="1" si="95"/>
        <v>8.1842553963144997</v>
      </c>
      <c r="O415" s="697"/>
      <c r="P415" s="697"/>
      <c r="Q415" s="697"/>
      <c r="R415" s="706">
        <v>4.2661026190062632</v>
      </c>
      <c r="S415" s="697">
        <f t="shared" ca="1" si="96"/>
        <v>6.2754980846405033</v>
      </c>
      <c r="T415" s="1152">
        <v>259.53494437961211</v>
      </c>
      <c r="U415" s="697">
        <f t="shared" ca="1" si="97"/>
        <v>65.1084081344151</v>
      </c>
      <c r="V415" s="697">
        <f t="shared" ca="1" si="101"/>
        <v>41.021279401540347</v>
      </c>
      <c r="W415" s="697">
        <v>16.163612194466705</v>
      </c>
      <c r="X415" s="697">
        <f t="shared" ca="1" si="98"/>
        <v>20.684677803177475</v>
      </c>
      <c r="Y415" s="697">
        <v>18.179361330646309</v>
      </c>
      <c r="Z415" s="697">
        <f t="shared" ca="1" si="99"/>
        <v>15.366110393028141</v>
      </c>
    </row>
    <row r="416" spans="2:26" ht="13.2">
      <c r="B416" s="166">
        <f t="shared" si="100"/>
        <v>45044</v>
      </c>
      <c r="C416"/>
      <c r="G416" s="706">
        <v>16.854518757808172</v>
      </c>
      <c r="H416" s="706">
        <v>398.27882388238652</v>
      </c>
      <c r="I416" s="697">
        <f t="shared" ca="1" si="93"/>
        <v>342.53985194422665</v>
      </c>
      <c r="J416" s="706">
        <v>28.456841760002575</v>
      </c>
      <c r="K416" s="706">
        <v>8.0490111041033536</v>
      </c>
      <c r="L416" s="697">
        <f t="shared" ca="1" si="94"/>
        <v>15.420000037248862</v>
      </c>
      <c r="M416" s="1185">
        <v>6.2671705761134531</v>
      </c>
      <c r="N416" s="697">
        <f t="shared" ca="1" si="95"/>
        <v>8.1842553963144997</v>
      </c>
      <c r="O416" s="697"/>
      <c r="P416" s="697"/>
      <c r="Q416" s="697"/>
      <c r="R416" s="706">
        <v>4.2419114794106569</v>
      </c>
      <c r="S416" s="697">
        <f t="shared" ca="1" si="96"/>
        <v>6.2754980846405033</v>
      </c>
      <c r="T416" s="1152">
        <v>240.70467900062252</v>
      </c>
      <c r="U416" s="697">
        <f t="shared" ca="1" si="97"/>
        <v>65.1084081344151</v>
      </c>
      <c r="V416" s="697">
        <f t="shared" ca="1" si="101"/>
        <v>41.021279401540347</v>
      </c>
      <c r="W416" s="697">
        <v>16.854518757808172</v>
      </c>
      <c r="X416" s="697">
        <f t="shared" ca="1" si="98"/>
        <v>20.684677803177475</v>
      </c>
      <c r="Y416" s="697">
        <v>17.663500045241474</v>
      </c>
      <c r="Z416" s="697">
        <f t="shared" ca="1" si="99"/>
        <v>15.366110393028141</v>
      </c>
    </row>
    <row r="417" spans="2:26" ht="13.2">
      <c r="B417" s="166">
        <f t="shared" si="100"/>
        <v>45051</v>
      </c>
      <c r="C417"/>
      <c r="G417" s="706">
        <v>16.630217531023757</v>
      </c>
      <c r="H417" s="706">
        <v>173.8465019746418</v>
      </c>
      <c r="I417" s="697">
        <f t="shared" ca="1" si="93"/>
        <v>342.53985194422665</v>
      </c>
      <c r="J417" s="706">
        <v>27.56268432756767</v>
      </c>
      <c r="K417" s="706">
        <v>10.653581328744318</v>
      </c>
      <c r="L417" s="697">
        <f t="shared" ca="1" si="94"/>
        <v>15.420000037248862</v>
      </c>
      <c r="M417" s="1185">
        <v>6.0155560900566272</v>
      </c>
      <c r="N417" s="697">
        <f t="shared" ca="1" si="95"/>
        <v>8.1842553963144997</v>
      </c>
      <c r="O417" s="697"/>
      <c r="P417" s="697"/>
      <c r="Q417" s="697"/>
      <c r="R417" s="706">
        <v>4.283709497243307</v>
      </c>
      <c r="S417" s="697">
        <f t="shared" ca="1" si="96"/>
        <v>6.2754980846405033</v>
      </c>
      <c r="T417" s="1152">
        <v>134.14852857784823</v>
      </c>
      <c r="U417" s="697">
        <f t="shared" ca="1" si="97"/>
        <v>65.1084081344151</v>
      </c>
      <c r="V417" s="697">
        <f t="shared" ca="1" si="101"/>
        <v>41.021279401540347</v>
      </c>
      <c r="W417" s="697">
        <v>16.630217531023757</v>
      </c>
      <c r="X417" s="697">
        <f t="shared" ca="1" si="98"/>
        <v>20.684677803177475</v>
      </c>
      <c r="Y417" s="697">
        <v>16.281480793955687</v>
      </c>
      <c r="Z417" s="697">
        <f t="shared" ca="1" si="99"/>
        <v>15.366110393028141</v>
      </c>
    </row>
    <row r="418" spans="2:26" ht="13.2">
      <c r="B418" s="166">
        <f t="shared" si="100"/>
        <v>45058</v>
      </c>
      <c r="C418"/>
      <c r="G418" s="706">
        <v>16.499784885415909</v>
      </c>
      <c r="H418" s="706">
        <v>153.14468362088769</v>
      </c>
      <c r="I418" s="697">
        <f t="shared" ca="1" si="93"/>
        <v>342.53985194422665</v>
      </c>
      <c r="J418" s="706">
        <v>26.31603696758037</v>
      </c>
      <c r="K418" s="706">
        <v>10.491648187582877</v>
      </c>
      <c r="L418" s="697">
        <f t="shared" ca="1" si="94"/>
        <v>15.420000037248862</v>
      </c>
      <c r="M418" s="1185">
        <v>6.0031552654943914</v>
      </c>
      <c r="N418" s="697">
        <f t="shared" ca="1" si="95"/>
        <v>8.1842553963144997</v>
      </c>
      <c r="O418" s="697"/>
      <c r="P418" s="697"/>
      <c r="Q418" s="697"/>
      <c r="R418" s="706">
        <v>4.2216854838961329</v>
      </c>
      <c r="S418" s="697">
        <f t="shared" ca="1" si="96"/>
        <v>6.2754980846405033</v>
      </c>
      <c r="T418" s="1152">
        <v>131.6005907581559</v>
      </c>
      <c r="U418" s="697">
        <f t="shared" ca="1" si="97"/>
        <v>65.1084081344151</v>
      </c>
      <c r="V418" s="697">
        <f t="shared" ca="1" si="101"/>
        <v>41.021279401540347</v>
      </c>
      <c r="W418" s="697">
        <v>16.499784885415909</v>
      </c>
      <c r="X418" s="697">
        <f t="shared" ca="1" si="98"/>
        <v>20.684677803177475</v>
      </c>
      <c r="Y418" s="697">
        <v>16.131465491930772</v>
      </c>
      <c r="Z418" s="697">
        <f t="shared" ca="1" si="99"/>
        <v>15.366110393028141</v>
      </c>
    </row>
    <row r="419" spans="2:26" ht="13.2">
      <c r="B419" s="166">
        <f t="shared" si="100"/>
        <v>45065</v>
      </c>
      <c r="C419"/>
      <c r="G419" s="706">
        <v>17.918858560073918</v>
      </c>
      <c r="H419" s="706">
        <v>148.79354265684711</v>
      </c>
      <c r="I419" s="697">
        <f t="shared" ca="1" si="93"/>
        <v>342.53985194422665</v>
      </c>
      <c r="J419" s="706">
        <v>27.29447892982914</v>
      </c>
      <c r="K419" s="706">
        <v>10.255371107757506</v>
      </c>
      <c r="L419" s="697">
        <f t="shared" ca="1" si="94"/>
        <v>15.420000037248862</v>
      </c>
      <c r="M419" s="1185">
        <v>6.2365779000903698</v>
      </c>
      <c r="N419" s="697">
        <f t="shared" ca="1" si="95"/>
        <v>8.1842553963144997</v>
      </c>
      <c r="O419" s="697"/>
      <c r="P419" s="697"/>
      <c r="Q419" s="697"/>
      <c r="R419" s="706">
        <v>4.3854646421440338</v>
      </c>
      <c r="S419" s="697">
        <f t="shared" ca="1" si="96"/>
        <v>6.2754980846405033</v>
      </c>
      <c r="T419" s="1152">
        <v>127.16649898087444</v>
      </c>
      <c r="U419" s="697">
        <f t="shared" ca="1" si="97"/>
        <v>65.1084081344151</v>
      </c>
      <c r="V419" s="697">
        <f t="shared" ca="1" si="101"/>
        <v>41.021279401540347</v>
      </c>
      <c r="W419" s="697">
        <v>17.918858560073918</v>
      </c>
      <c r="X419" s="697">
        <f t="shared" ca="1" si="98"/>
        <v>20.684677803177475</v>
      </c>
      <c r="Y419" s="697">
        <v>16.226438317377109</v>
      </c>
      <c r="Z419" s="697">
        <f t="shared" ca="1" si="99"/>
        <v>15.366110393028141</v>
      </c>
    </row>
    <row r="420" spans="2:26" ht="13.2">
      <c r="B420" s="166">
        <f t="shared" si="100"/>
        <v>45072</v>
      </c>
      <c r="C420"/>
      <c r="G420" s="706">
        <v>18.226317763947581</v>
      </c>
      <c r="H420" s="706">
        <v>143.27598038874356</v>
      </c>
      <c r="I420" s="697">
        <f t="shared" ca="1" si="93"/>
        <v>342.53985194422665</v>
      </c>
      <c r="J420" s="706">
        <v>27.744749699729546</v>
      </c>
      <c r="K420" s="706">
        <v>10.049125901303366</v>
      </c>
      <c r="L420" s="697">
        <f t="shared" ca="1" si="94"/>
        <v>15.420000037248862</v>
      </c>
      <c r="M420" s="1185">
        <v>6.4182572108548896</v>
      </c>
      <c r="N420" s="697">
        <f t="shared" ca="1" si="95"/>
        <v>8.1842553963144997</v>
      </c>
      <c r="O420" s="697"/>
      <c r="P420" s="697"/>
      <c r="Q420" s="697"/>
      <c r="R420" s="706">
        <v>4.4303176431540585</v>
      </c>
      <c r="S420" s="697">
        <f t="shared" ca="1" si="96"/>
        <v>6.2754980846405033</v>
      </c>
      <c r="T420" s="1152">
        <v>126.39783056218418</v>
      </c>
      <c r="U420" s="697">
        <f t="shared" ca="1" si="97"/>
        <v>65.1084081344151</v>
      </c>
      <c r="V420" s="697">
        <f t="shared" ca="1" si="101"/>
        <v>41.021279401540347</v>
      </c>
      <c r="W420" s="697">
        <v>18.226317763947581</v>
      </c>
      <c r="X420" s="697">
        <f t="shared" ca="1" si="98"/>
        <v>20.684677803177475</v>
      </c>
      <c r="Y420" s="697">
        <v>16.79021560272982</v>
      </c>
      <c r="Z420" s="697">
        <f t="shared" ca="1" si="99"/>
        <v>15.366110393028141</v>
      </c>
    </row>
    <row r="421" spans="2:26" ht="13.2">
      <c r="B421" s="166">
        <f t="shared" si="100"/>
        <v>45079</v>
      </c>
      <c r="C421"/>
      <c r="G421" s="706">
        <v>19.205934497771196</v>
      </c>
      <c r="H421" s="706">
        <v>139.52105669308526</v>
      </c>
      <c r="I421" s="697">
        <f t="shared" ca="1" si="93"/>
        <v>342.53985194422665</v>
      </c>
      <c r="J421" s="706">
        <v>29.142535326573384</v>
      </c>
      <c r="K421" s="706">
        <v>9.8618654327488446</v>
      </c>
      <c r="L421" s="697">
        <f t="shared" ca="1" si="94"/>
        <v>15.420000037248862</v>
      </c>
      <c r="M421" s="1185">
        <v>6.5520776887087377</v>
      </c>
      <c r="N421" s="697">
        <f t="shared" ca="1" si="95"/>
        <v>8.1842553963144997</v>
      </c>
      <c r="O421" s="697"/>
      <c r="P421" s="697"/>
      <c r="Q421" s="697"/>
      <c r="R421" s="706">
        <v>4.615636474014801</v>
      </c>
      <c r="S421" s="697">
        <f t="shared" ca="1" si="96"/>
        <v>6.2754980846405033</v>
      </c>
      <c r="T421" s="1152">
        <v>122.70315688440188</v>
      </c>
      <c r="U421" s="697">
        <f t="shared" ca="1" si="97"/>
        <v>65.1084081344151</v>
      </c>
      <c r="V421" s="697">
        <f t="shared" ca="1" si="101"/>
        <v>41.021279401540347</v>
      </c>
      <c r="W421" s="697">
        <v>19.205934497771196</v>
      </c>
      <c r="X421" s="697">
        <f t="shared" ca="1" si="98"/>
        <v>20.684677803177475</v>
      </c>
      <c r="Y421" s="697">
        <v>16.303845724711742</v>
      </c>
      <c r="Z421" s="697">
        <f t="shared" ca="1" si="99"/>
        <v>15.366110393028141</v>
      </c>
    </row>
    <row r="422" spans="2:26" ht="13.2">
      <c r="B422" s="166">
        <f t="shared" si="100"/>
        <v>45086</v>
      </c>
      <c r="C422"/>
      <c r="G422" s="706">
        <v>19.186893580668581</v>
      </c>
      <c r="H422" s="706">
        <v>142.1116884385587</v>
      </c>
      <c r="I422" s="697">
        <f t="shared" ca="1" si="93"/>
        <v>342.53985194422665</v>
      </c>
      <c r="J422" s="706">
        <v>29.478183022616797</v>
      </c>
      <c r="K422" s="706">
        <v>10.3722082288291</v>
      </c>
      <c r="L422" s="697">
        <f t="shared" ca="1" si="94"/>
        <v>15.420000037248862</v>
      </c>
      <c r="M422" s="1185">
        <v>6.5068871045519536</v>
      </c>
      <c r="N422" s="697">
        <f t="shared" ca="1" si="95"/>
        <v>8.1842553963144997</v>
      </c>
      <c r="O422" s="697"/>
      <c r="P422" s="697"/>
      <c r="Q422" s="697"/>
      <c r="R422" s="706">
        <v>4.6552324805474061</v>
      </c>
      <c r="S422" s="697">
        <f t="shared" ca="1" si="96"/>
        <v>6.2754980846405033</v>
      </c>
      <c r="T422" s="1152">
        <v>128.38884839126624</v>
      </c>
      <c r="U422" s="697">
        <f t="shared" ca="1" si="97"/>
        <v>65.1084081344151</v>
      </c>
      <c r="V422" s="697">
        <f t="shared" ca="1" si="101"/>
        <v>41.021279401540347</v>
      </c>
      <c r="W422" s="697">
        <v>19.186893580668581</v>
      </c>
      <c r="X422" s="697">
        <f t="shared" ca="1" si="98"/>
        <v>20.684677803177475</v>
      </c>
      <c r="Y422" s="697">
        <v>16.239904410820149</v>
      </c>
      <c r="Z422" s="697">
        <f t="shared" ca="1" si="99"/>
        <v>15.366110393028141</v>
      </c>
    </row>
    <row r="423" spans="2:26" ht="13.2">
      <c r="B423" s="166">
        <f t="shared" si="100"/>
        <v>45093</v>
      </c>
      <c r="C423"/>
      <c r="G423" s="706">
        <v>19.802973441911664</v>
      </c>
      <c r="H423" s="706">
        <v>144.39650517167541</v>
      </c>
      <c r="I423" s="697">
        <f t="shared" ca="1" si="93"/>
        <v>342.53985194422665</v>
      </c>
      <c r="J423" s="706">
        <v>30.03697226216542</v>
      </c>
      <c r="K423" s="706">
        <v>10.962530509250097</v>
      </c>
      <c r="L423" s="697">
        <f t="shared" ca="1" si="94"/>
        <v>15.420000037248862</v>
      </c>
      <c r="M423" s="1185">
        <v>6.7492736017033907</v>
      </c>
      <c r="N423" s="697">
        <f t="shared" ca="1" si="95"/>
        <v>8.1842553963144997</v>
      </c>
      <c r="O423" s="697"/>
      <c r="P423" s="697"/>
      <c r="Q423" s="697"/>
      <c r="R423" s="706">
        <v>4.8278441166154566</v>
      </c>
      <c r="S423" s="697">
        <f t="shared" ca="1" si="96"/>
        <v>6.2754980846405033</v>
      </c>
      <c r="T423" s="1152">
        <v>129.65925412297412</v>
      </c>
      <c r="U423" s="697">
        <f t="shared" ca="1" si="97"/>
        <v>65.1084081344151</v>
      </c>
      <c r="V423" s="697">
        <f t="shared" ca="1" si="101"/>
        <v>41.021279401540347</v>
      </c>
      <c r="W423" s="697">
        <v>19.802973441911664</v>
      </c>
      <c r="X423" s="697">
        <f t="shared" ca="1" si="98"/>
        <v>20.684677803177475</v>
      </c>
      <c r="Y423" s="697">
        <v>17.240913073437088</v>
      </c>
      <c r="Z423" s="697">
        <f t="shared" ca="1" si="99"/>
        <v>15.366110393028141</v>
      </c>
    </row>
    <row r="424" spans="2:26" ht="13.2">
      <c r="B424" s="166">
        <f t="shared" si="100"/>
        <v>45100</v>
      </c>
      <c r="C424"/>
      <c r="G424" s="706">
        <v>19.660843331117679</v>
      </c>
      <c r="H424" s="706">
        <v>140.30221171183655</v>
      </c>
      <c r="I424" s="697">
        <f t="shared" ca="1" si="93"/>
        <v>342.53985194422665</v>
      </c>
      <c r="J424" s="706">
        <v>29.921319446542409</v>
      </c>
      <c r="K424" s="706">
        <v>10.744255877286239</v>
      </c>
      <c r="L424" s="697">
        <f t="shared" ca="1" si="94"/>
        <v>15.420000037248862</v>
      </c>
      <c r="M424" s="1185">
        <v>6.5892308041013017</v>
      </c>
      <c r="N424" s="697">
        <f t="shared" ca="1" si="95"/>
        <v>8.1842553963144997</v>
      </c>
      <c r="O424" s="697"/>
      <c r="P424" s="697"/>
      <c r="Q424" s="697"/>
      <c r="R424" s="706">
        <v>4.7791556058981435</v>
      </c>
      <c r="S424" s="697">
        <f t="shared" ca="1" si="96"/>
        <v>6.2754980846405033</v>
      </c>
      <c r="T424" s="1152">
        <v>125.95896013485959</v>
      </c>
      <c r="U424" s="697">
        <f t="shared" ca="1" si="97"/>
        <v>65.1084081344151</v>
      </c>
      <c r="V424" s="697">
        <f t="shared" ca="1" si="101"/>
        <v>41.021279401540347</v>
      </c>
      <c r="W424" s="697">
        <v>19.660843331117679</v>
      </c>
      <c r="X424" s="697">
        <f t="shared" ca="1" si="98"/>
        <v>20.684677803177475</v>
      </c>
      <c r="Y424" s="1240">
        <v>22466.803393863338</v>
      </c>
      <c r="Z424" s="697">
        <f t="shared" ca="1" si="99"/>
        <v>15.366110393028141</v>
      </c>
    </row>
    <row r="425" spans="2:26" ht="13.2">
      <c r="B425" s="166">
        <f t="shared" si="100"/>
        <v>45107</v>
      </c>
      <c r="C425"/>
      <c r="G425" s="706">
        <v>20.206083917149861</v>
      </c>
      <c r="H425" s="706">
        <v>140.77137308222973</v>
      </c>
      <c r="I425" s="697">
        <f t="shared" ca="1" si="93"/>
        <v>342.53985194422665</v>
      </c>
      <c r="J425" s="706">
        <v>30.135840991151497</v>
      </c>
      <c r="K425" s="706">
        <v>10.786980256570384</v>
      </c>
      <c r="L425" s="697">
        <f t="shared" ca="1" si="94"/>
        <v>15.420000037248862</v>
      </c>
      <c r="M425" s="1185">
        <v>6.7302950360686467</v>
      </c>
      <c r="N425" s="697">
        <f t="shared" ca="1" si="95"/>
        <v>8.1842553963144997</v>
      </c>
      <c r="O425" s="697"/>
      <c r="P425" s="697"/>
      <c r="Q425" s="697"/>
      <c r="R425" s="706">
        <v>4.8734365751930913</v>
      </c>
      <c r="S425" s="697">
        <f t="shared" ca="1" si="96"/>
        <v>6.2754980846405033</v>
      </c>
      <c r="T425" s="1152">
        <v>125.34922266054478</v>
      </c>
      <c r="U425" s="697">
        <f t="shared" ca="1" si="97"/>
        <v>65.1084081344151</v>
      </c>
      <c r="V425" s="697">
        <f t="shared" ca="1" si="101"/>
        <v>41.021279401540347</v>
      </c>
      <c r="W425" s="697">
        <v>20.206083917149861</v>
      </c>
      <c r="X425" s="697">
        <f t="shared" ca="1" si="98"/>
        <v>20.684677803177475</v>
      </c>
      <c r="Y425" s="1240">
        <v>417.32147168241755</v>
      </c>
      <c r="Z425" s="697">
        <f t="shared" ca="1" si="99"/>
        <v>15.366110393028141</v>
      </c>
    </row>
    <row r="426" spans="2:26" ht="13.2">
      <c r="B426" s="166">
        <f t="shared" si="100"/>
        <v>45114</v>
      </c>
      <c r="C426"/>
      <c r="G426" s="706">
        <v>19.962518444300478</v>
      </c>
      <c r="H426" s="706">
        <v>135.98317133835488</v>
      </c>
      <c r="I426" s="697">
        <f t="shared" ca="1" si="93"/>
        <v>342.53985194422665</v>
      </c>
      <c r="J426" s="706">
        <v>29.726739072337786</v>
      </c>
      <c r="K426" s="706">
        <v>10.307912078576676</v>
      </c>
      <c r="L426" s="697">
        <f t="shared" ca="1" si="94"/>
        <v>15.420000037248862</v>
      </c>
      <c r="M426" s="1185">
        <v>6.6343680925732533</v>
      </c>
      <c r="N426" s="697">
        <f t="shared" ca="1" si="95"/>
        <v>8.1842553963144997</v>
      </c>
      <c r="O426" s="697"/>
      <c r="P426" s="697"/>
      <c r="Q426" s="697"/>
      <c r="R426" s="706">
        <v>4.8029016180801909</v>
      </c>
      <c r="S426" s="697">
        <f t="shared" ca="1" si="96"/>
        <v>6.2754980846405033</v>
      </c>
      <c r="T426" s="1152">
        <v>117.62255867608317</v>
      </c>
      <c r="U426" s="697">
        <f t="shared" ca="1" si="97"/>
        <v>65.1084081344151</v>
      </c>
      <c r="V426" s="697">
        <f t="shared" ca="1" si="101"/>
        <v>41.021279401540347</v>
      </c>
      <c r="W426" s="697">
        <v>19.962518444300478</v>
      </c>
      <c r="X426" s="697">
        <f t="shared" ca="1" si="98"/>
        <v>20.684677803177475</v>
      </c>
      <c r="Y426" s="1240">
        <v>210.82626715859311</v>
      </c>
      <c r="Z426" s="697">
        <f t="shared" ca="1" si="99"/>
        <v>15.366110393028141</v>
      </c>
    </row>
    <row r="427" spans="2:26" ht="13.2">
      <c r="B427" s="166">
        <f t="shared" si="100"/>
        <v>45121</v>
      </c>
      <c r="C427"/>
      <c r="G427" s="706">
        <v>21.679232246168336</v>
      </c>
      <c r="H427" s="706">
        <v>145.79906771240988</v>
      </c>
      <c r="I427" s="697">
        <f t="shared" ca="1" si="93"/>
        <v>342.53985194422665</v>
      </c>
      <c r="J427" s="706">
        <v>32.025303718186812</v>
      </c>
      <c r="K427" s="706">
        <v>11.396780286732499</v>
      </c>
      <c r="L427" s="697">
        <f t="shared" ca="1" si="94"/>
        <v>15.420000037248862</v>
      </c>
      <c r="M427" s="1185">
        <v>6.8131573544443986</v>
      </c>
      <c r="N427" s="697">
        <f t="shared" ca="1" si="95"/>
        <v>8.1842553963144997</v>
      </c>
      <c r="O427" s="697"/>
      <c r="P427" s="697"/>
      <c r="Q427" s="697"/>
      <c r="R427" s="706">
        <v>5.2662719898093071</v>
      </c>
      <c r="S427" s="697">
        <f t="shared" ca="1" si="96"/>
        <v>6.2754980846405033</v>
      </c>
      <c r="T427" s="1152">
        <v>130.1316048973697</v>
      </c>
      <c r="U427" s="697">
        <f t="shared" ca="1" si="97"/>
        <v>65.1084081344151</v>
      </c>
      <c r="V427" s="697">
        <f t="shared" ca="1" si="101"/>
        <v>41.021279401540347</v>
      </c>
      <c r="W427" s="697">
        <v>21.679232246168336</v>
      </c>
      <c r="X427" s="697">
        <f t="shared" ca="1" si="98"/>
        <v>20.684677803177475</v>
      </c>
      <c r="Y427" s="1240">
        <v>155.5930387353344</v>
      </c>
      <c r="Z427" s="697">
        <f t="shared" ca="1" si="99"/>
        <v>15.366110393028141</v>
      </c>
    </row>
    <row r="428" spans="2:26" ht="13.2">
      <c r="B428" s="166">
        <f t="shared" si="100"/>
        <v>45128</v>
      </c>
      <c r="C428"/>
      <c r="G428" s="706">
        <v>21.111375346532196</v>
      </c>
      <c r="H428" s="706">
        <v>137.36144316452942</v>
      </c>
      <c r="I428" s="697">
        <f t="shared" ca="1" si="93"/>
        <v>342.53985194422665</v>
      </c>
      <c r="J428" s="706">
        <v>31.001045935750994</v>
      </c>
      <c r="K428" s="706">
        <v>10.897007607251492</v>
      </c>
      <c r="L428" s="697">
        <f t="shared" ca="1" si="94"/>
        <v>15.420000037248862</v>
      </c>
      <c r="M428" s="1185">
        <v>6.8182316313656388</v>
      </c>
      <c r="N428" s="697">
        <f t="shared" ca="1" si="95"/>
        <v>8.1842553963144997</v>
      </c>
      <c r="O428" s="697"/>
      <c r="P428" s="697"/>
      <c r="Q428" s="697"/>
      <c r="R428" s="706">
        <v>5.1348848297488248</v>
      </c>
      <c r="S428" s="697">
        <f t="shared" ca="1" si="96"/>
        <v>6.2754980846405033</v>
      </c>
      <c r="T428" s="1152">
        <v>121.13966991313082</v>
      </c>
      <c r="U428" s="697">
        <f t="shared" ca="1" si="97"/>
        <v>65.1084081344151</v>
      </c>
      <c r="V428" s="697">
        <f t="shared" ca="1" si="101"/>
        <v>41.021279401540347</v>
      </c>
      <c r="W428" s="697">
        <v>21.111375346532196</v>
      </c>
      <c r="X428" s="697">
        <f t="shared" ca="1" si="98"/>
        <v>20.684677803177475</v>
      </c>
      <c r="Y428" s="1240">
        <v>117.46434881917097</v>
      </c>
      <c r="Z428" s="697">
        <f t="shared" ca="1" si="99"/>
        <v>15.366110393028141</v>
      </c>
    </row>
    <row r="429" spans="2:26" ht="13.2">
      <c r="B429" s="166">
        <f t="shared" si="100"/>
        <v>45135</v>
      </c>
      <c r="C429"/>
      <c r="G429" s="706">
        <v>23.869823849939539</v>
      </c>
      <c r="H429" s="706">
        <v>138.59465855682248</v>
      </c>
      <c r="I429" s="697">
        <f t="shared" ca="1" si="93"/>
        <v>342.53985194422665</v>
      </c>
      <c r="J429" s="706">
        <v>31.850512299487523</v>
      </c>
      <c r="K429" s="706">
        <v>10.865265094858646</v>
      </c>
      <c r="L429" s="697">
        <f t="shared" ca="1" si="94"/>
        <v>15.420000037248862</v>
      </c>
      <c r="M429" s="1185">
        <v>6.80156594210536</v>
      </c>
      <c r="N429" s="697">
        <f t="shared" ca="1" si="95"/>
        <v>8.1842553963144997</v>
      </c>
      <c r="O429" s="697"/>
      <c r="P429" s="697"/>
      <c r="Q429" s="697"/>
      <c r="R429" s="706">
        <v>5.2514617947610978</v>
      </c>
      <c r="S429" s="697">
        <f t="shared" ca="1" si="96"/>
        <v>6.2754980846405033</v>
      </c>
      <c r="T429" s="1152">
        <v>102.13798689411222</v>
      </c>
      <c r="U429" s="697">
        <f t="shared" ca="1" si="97"/>
        <v>65.1084081344151</v>
      </c>
      <c r="V429" s="697">
        <f t="shared" ca="1" si="101"/>
        <v>41.021279401540347</v>
      </c>
      <c r="W429" s="697">
        <v>23.869823849939539</v>
      </c>
      <c r="X429" s="697">
        <f t="shared" ca="1" si="98"/>
        <v>20.684677803177475</v>
      </c>
      <c r="Y429" s="1240">
        <v>98.382769591403729</v>
      </c>
      <c r="Z429" s="697">
        <f t="shared" ca="1" si="99"/>
        <v>15.366110393028141</v>
      </c>
    </row>
    <row r="430" spans="2:26" ht="13.2">
      <c r="B430" s="166">
        <f t="shared" si="100"/>
        <v>45142</v>
      </c>
      <c r="C430"/>
      <c r="G430" s="706">
        <v>22.296192825072996</v>
      </c>
      <c r="H430" s="706">
        <v>88.093754260792124</v>
      </c>
      <c r="I430" s="697">
        <f t="shared" ca="1" si="93"/>
        <v>342.53985194422665</v>
      </c>
      <c r="J430" s="706">
        <v>28.999590764697562</v>
      </c>
      <c r="K430" s="706">
        <v>9.1484951206292617</v>
      </c>
      <c r="L430" s="697">
        <f t="shared" ca="1" si="94"/>
        <v>15.420000037248862</v>
      </c>
      <c r="M430" s="1185">
        <v>6.7764033239436792</v>
      </c>
      <c r="N430" s="697">
        <f t="shared" ca="1" si="95"/>
        <v>8.1842553963144997</v>
      </c>
      <c r="O430" s="697"/>
      <c r="P430" s="697"/>
      <c r="Q430" s="697"/>
      <c r="R430" s="706">
        <v>4.9184410913245484</v>
      </c>
      <c r="S430" s="697">
        <f t="shared" ca="1" si="96"/>
        <v>6.2754980846405033</v>
      </c>
      <c r="T430" s="1152">
        <v>83.136303875093617</v>
      </c>
      <c r="U430" s="697">
        <f t="shared" ca="1" si="97"/>
        <v>65.1084081344151</v>
      </c>
      <c r="V430" s="697">
        <f t="shared" ca="1" si="101"/>
        <v>41.021279401540347</v>
      </c>
      <c r="W430" s="697">
        <v>22.296192825072996</v>
      </c>
      <c r="X430" s="697">
        <f t="shared" ca="1" si="98"/>
        <v>20.684677803177475</v>
      </c>
      <c r="Y430" s="1240">
        <v>61.821831701075084</v>
      </c>
      <c r="Z430" s="697">
        <f t="shared" ca="1" si="99"/>
        <v>15.366110393028141</v>
      </c>
    </row>
    <row r="431" spans="2:26" ht="13.2">
      <c r="B431" s="166">
        <f t="shared" si="100"/>
        <v>45149</v>
      </c>
      <c r="C431"/>
      <c r="G431" s="706">
        <v>21.044601489661737</v>
      </c>
      <c r="H431" s="706">
        <v>82.593004923899969</v>
      </c>
      <c r="I431" s="697">
        <f t="shared" ca="1" si="93"/>
        <v>342.53985194422665</v>
      </c>
      <c r="J431" s="706">
        <v>27.51870099904389</v>
      </c>
      <c r="K431" s="706">
        <v>8.665860958103087</v>
      </c>
      <c r="L431" s="697">
        <f t="shared" ca="1" si="94"/>
        <v>15.420000037248862</v>
      </c>
      <c r="M431" s="1185">
        <v>6.6150204853765224</v>
      </c>
      <c r="N431" s="697">
        <f t="shared" ca="1" si="95"/>
        <v>8.1842553963144997</v>
      </c>
      <c r="O431" s="697"/>
      <c r="P431" s="697"/>
      <c r="Q431" s="697"/>
      <c r="R431" s="706">
        <v>4.691157606856617</v>
      </c>
      <c r="S431" s="697">
        <f t="shared" ca="1" si="96"/>
        <v>6.2754980846405033</v>
      </c>
      <c r="T431" s="1152">
        <v>79.570767289130501</v>
      </c>
      <c r="U431" s="697">
        <f t="shared" ca="1" si="97"/>
        <v>65.1084081344151</v>
      </c>
      <c r="V431" s="697">
        <f t="shared" ca="1" si="101"/>
        <v>41.021279401540347</v>
      </c>
      <c r="W431" s="697">
        <v>21.044601489661737</v>
      </c>
      <c r="X431" s="697">
        <f t="shared" ca="1" si="98"/>
        <v>20.684677803177475</v>
      </c>
      <c r="Y431" s="1240">
        <v>48.888996281318654</v>
      </c>
      <c r="Z431" s="697">
        <f t="shared" ca="1" si="99"/>
        <v>15.366110393028141</v>
      </c>
    </row>
    <row r="432" spans="2:26" ht="13.2">
      <c r="B432" s="166">
        <f t="shared" si="100"/>
        <v>45156</v>
      </c>
      <c r="C432"/>
      <c r="G432" s="706">
        <v>19.804777491551551</v>
      </c>
      <c r="H432" s="706">
        <v>77.907104940313246</v>
      </c>
      <c r="I432" s="697">
        <f t="shared" ca="1" si="93"/>
        <v>342.53985194422665</v>
      </c>
      <c r="J432" s="706">
        <v>26.202668697879808</v>
      </c>
      <c r="K432" s="706">
        <v>8.2610876517540426</v>
      </c>
      <c r="L432" s="697">
        <f t="shared" ca="1" si="94"/>
        <v>15.420000037248862</v>
      </c>
      <c r="M432" s="1185">
        <v>6.505065732250249</v>
      </c>
      <c r="N432" s="697">
        <f t="shared" ca="1" si="95"/>
        <v>8.1842553963144997</v>
      </c>
      <c r="O432" s="697"/>
      <c r="P432" s="697"/>
      <c r="Q432" s="697"/>
      <c r="R432" s="706">
        <v>4.4852821154494569</v>
      </c>
      <c r="S432" s="697">
        <f t="shared" ca="1" si="96"/>
        <v>6.2754980846405033</v>
      </c>
      <c r="T432" s="1152">
        <v>75.652861247320615</v>
      </c>
      <c r="U432" s="697">
        <f t="shared" ca="1" si="97"/>
        <v>65.1084081344151</v>
      </c>
      <c r="V432" s="697">
        <f t="shared" ca="1" si="101"/>
        <v>41.021279401540347</v>
      </c>
      <c r="W432" s="697">
        <v>19.804777491551551</v>
      </c>
      <c r="X432" s="697">
        <f t="shared" ca="1" si="98"/>
        <v>20.684677803177475</v>
      </c>
      <c r="Y432" s="697">
        <v>44.408965756662973</v>
      </c>
      <c r="Z432" s="697">
        <f t="shared" ca="1" si="99"/>
        <v>15.366110393028141</v>
      </c>
    </row>
    <row r="433" spans="2:26" ht="13.2">
      <c r="B433" s="166">
        <f t="shared" si="100"/>
        <v>45163</v>
      </c>
      <c r="C433"/>
      <c r="G433" s="706">
        <v>20.23055806213549</v>
      </c>
      <c r="H433" s="706">
        <v>80.810907336544958</v>
      </c>
      <c r="I433" s="697">
        <f t="shared" ca="1" si="93"/>
        <v>342.53985194422665</v>
      </c>
      <c r="J433" s="706">
        <v>26.165965204186534</v>
      </c>
      <c r="K433" s="706">
        <v>8.6213333150845024</v>
      </c>
      <c r="L433" s="697">
        <f t="shared" ca="1" si="94"/>
        <v>15.420000037248862</v>
      </c>
      <c r="M433" s="1185">
        <v>6.6566542650995402</v>
      </c>
      <c r="N433" s="697">
        <f t="shared" ca="1" si="95"/>
        <v>8.1842553963144997</v>
      </c>
      <c r="O433" s="697"/>
      <c r="P433" s="697"/>
      <c r="Q433" s="697"/>
      <c r="R433" s="706">
        <v>4.5565556074130464</v>
      </c>
      <c r="S433" s="697">
        <f t="shared" ca="1" si="96"/>
        <v>6.2754980846405033</v>
      </c>
      <c r="T433" s="1152">
        <v>78.581335739436724</v>
      </c>
      <c r="U433" s="697">
        <f t="shared" ca="1" si="97"/>
        <v>65.1084081344151</v>
      </c>
      <c r="V433" s="697">
        <f t="shared" ca="1" si="101"/>
        <v>41.021279401540347</v>
      </c>
      <c r="W433" s="697">
        <v>20.23055806213549</v>
      </c>
      <c r="X433" s="697">
        <f t="shared" ca="1" si="98"/>
        <v>20.684677803177475</v>
      </c>
      <c r="Y433" s="697">
        <v>42.22840641193757</v>
      </c>
      <c r="Z433" s="697">
        <f t="shared" ca="1" si="99"/>
        <v>15.366110393028141</v>
      </c>
    </row>
    <row r="434" spans="2:26" ht="13.2">
      <c r="B434" s="166">
        <f t="shared" si="100"/>
        <v>45170</v>
      </c>
      <c r="C434"/>
      <c r="G434" s="706">
        <v>21.593152697994984</v>
      </c>
      <c r="H434" s="706">
        <v>95.544731003842685</v>
      </c>
      <c r="I434" s="697">
        <f t="shared" ca="1" si="93"/>
        <v>342.53985194422665</v>
      </c>
      <c r="J434" s="706">
        <v>27.513559026360522</v>
      </c>
      <c r="K434" s="706">
        <v>10.444262297469185</v>
      </c>
      <c r="L434" s="697">
        <f t="shared" ca="1" si="94"/>
        <v>15.420000037248862</v>
      </c>
      <c r="M434" s="1185">
        <v>6.8712018094421188</v>
      </c>
      <c r="N434" s="697">
        <f t="shared" ca="1" si="95"/>
        <v>8.1842553963144997</v>
      </c>
      <c r="O434" s="697"/>
      <c r="P434" s="697"/>
      <c r="Q434" s="697"/>
      <c r="R434" s="706">
        <v>4.8799579722136315</v>
      </c>
      <c r="S434" s="697">
        <f t="shared" ca="1" si="96"/>
        <v>6.2754980846405033</v>
      </c>
      <c r="T434" s="1152">
        <v>93.672740498542325</v>
      </c>
      <c r="U434" s="697">
        <f t="shared" ca="1" si="97"/>
        <v>65.1084081344151</v>
      </c>
      <c r="V434" s="697">
        <f t="shared" ca="1" si="101"/>
        <v>41.021279401540347</v>
      </c>
      <c r="W434" s="697">
        <v>21.593152697994984</v>
      </c>
      <c r="X434" s="697">
        <f t="shared" ca="1" si="98"/>
        <v>20.684677803177475</v>
      </c>
      <c r="Y434" s="697">
        <v>41.921909786294464</v>
      </c>
      <c r="Z434" s="697">
        <f t="shared" ca="1" si="99"/>
        <v>15.366110393028141</v>
      </c>
    </row>
    <row r="435" spans="2:26" ht="13.2">
      <c r="B435" s="166">
        <f t="shared" si="100"/>
        <v>45177</v>
      </c>
      <c r="C435"/>
      <c r="G435" s="706">
        <v>20.808024415614987</v>
      </c>
      <c r="H435" s="706">
        <v>89.113891683273863</v>
      </c>
      <c r="I435" s="697">
        <f t="shared" ca="1" si="93"/>
        <v>342.53985194422665</v>
      </c>
      <c r="J435" s="706">
        <v>27.415601695910716</v>
      </c>
      <c r="K435" s="706">
        <v>9.8056864242339721</v>
      </c>
      <c r="L435" s="697">
        <f t="shared" ca="1" si="94"/>
        <v>15.420000037248862</v>
      </c>
      <c r="M435" s="1185">
        <v>6.8582980613600739</v>
      </c>
      <c r="N435" s="697">
        <f t="shared" ca="1" si="95"/>
        <v>8.1842553963144997</v>
      </c>
      <c r="O435" s="697"/>
      <c r="P435" s="697"/>
      <c r="Q435" s="697"/>
      <c r="R435" s="706">
        <v>4.8782992251883863</v>
      </c>
      <c r="S435" s="697">
        <f t="shared" ca="1" si="96"/>
        <v>6.2754980846405033</v>
      </c>
      <c r="T435" s="1152">
        <v>87.476500800849294</v>
      </c>
      <c r="U435" s="697">
        <f t="shared" ca="1" si="97"/>
        <v>65.1084081344151</v>
      </c>
      <c r="V435" s="697">
        <f t="shared" ca="1" si="101"/>
        <v>41.021279401540347</v>
      </c>
      <c r="W435" s="697">
        <v>20.808024415614987</v>
      </c>
      <c r="X435" s="697">
        <f t="shared" ca="1" si="98"/>
        <v>20.684677803177475</v>
      </c>
      <c r="Y435" s="697">
        <v>39.985364998893999</v>
      </c>
      <c r="Z435" s="697">
        <f t="shared" ca="1" si="99"/>
        <v>15.366110393028141</v>
      </c>
    </row>
    <row r="436" spans="2:26" ht="13.2">
      <c r="B436" s="166">
        <f t="shared" si="100"/>
        <v>45184</v>
      </c>
      <c r="C436"/>
      <c r="G436" s="706">
        <v>19.982579372471179</v>
      </c>
      <c r="H436" s="706">
        <v>87.667176161273872</v>
      </c>
      <c r="I436" s="697">
        <f t="shared" ca="1" si="93"/>
        <v>342.53985194422665</v>
      </c>
      <c r="J436" s="706">
        <v>26.777179342244406</v>
      </c>
      <c r="K436" s="706">
        <v>9.7318234821225715</v>
      </c>
      <c r="L436" s="697">
        <f t="shared" ca="1" si="94"/>
        <v>15.420000037248862</v>
      </c>
      <c r="M436" s="1185">
        <v>6.6265646801864628</v>
      </c>
      <c r="N436" s="697">
        <f t="shared" ca="1" si="95"/>
        <v>8.1842553963144997</v>
      </c>
      <c r="O436" s="697"/>
      <c r="P436" s="697"/>
      <c r="Q436" s="697"/>
      <c r="R436" s="706">
        <v>4.7735158041766326</v>
      </c>
      <c r="S436" s="697">
        <f t="shared" ca="1" si="96"/>
        <v>6.2754980846405033</v>
      </c>
      <c r="T436" s="1152">
        <v>86.45373982306802</v>
      </c>
      <c r="U436" s="697">
        <f t="shared" ca="1" si="97"/>
        <v>65.1084081344151</v>
      </c>
      <c r="V436" s="697">
        <f t="shared" ca="1" si="101"/>
        <v>41.021279401540347</v>
      </c>
      <c r="W436" s="697">
        <v>19.982579372471179</v>
      </c>
      <c r="X436" s="697">
        <f t="shared" ca="1" si="98"/>
        <v>20.684677803177475</v>
      </c>
      <c r="Y436" s="697">
        <v>37.585297843313654</v>
      </c>
      <c r="Z436" s="697">
        <f t="shared" ca="1" si="99"/>
        <v>15.366110393028141</v>
      </c>
    </row>
    <row r="437" spans="2:26" ht="13.2">
      <c r="B437" s="166">
        <f t="shared" si="100"/>
        <v>45191</v>
      </c>
      <c r="C437"/>
      <c r="G437" s="706">
        <v>18.65444194719506</v>
      </c>
      <c r="H437" s="706">
        <v>74.059263874915189</v>
      </c>
      <c r="I437" s="697">
        <f t="shared" ca="1" si="93"/>
        <v>342.53985194422665</v>
      </c>
      <c r="J437" s="706">
        <v>25.077661193428028</v>
      </c>
      <c r="K437" s="706">
        <v>8.1403373189467221</v>
      </c>
      <c r="L437" s="697">
        <f t="shared" ca="1" si="94"/>
        <v>15.420000037248862</v>
      </c>
      <c r="M437" s="1185">
        <v>6.4334986985651703</v>
      </c>
      <c r="N437" s="697">
        <f t="shared" ca="1" si="95"/>
        <v>8.1842553963144997</v>
      </c>
      <c r="O437" s="697"/>
      <c r="P437" s="697"/>
      <c r="Q437" s="697"/>
      <c r="R437" s="706">
        <v>4.4477107632139967</v>
      </c>
      <c r="S437" s="697">
        <f t="shared" ca="1" si="96"/>
        <v>6.2754980846405033</v>
      </c>
      <c r="T437" s="1152">
        <v>72.335495343877795</v>
      </c>
      <c r="U437" s="697">
        <f t="shared" ca="1" si="97"/>
        <v>65.1084081344151</v>
      </c>
      <c r="V437" s="697">
        <f t="shared" ca="1" si="101"/>
        <v>41.021279401540347</v>
      </c>
      <c r="W437" s="697">
        <v>18.65444194719506</v>
      </c>
      <c r="X437" s="697">
        <f t="shared" ca="1" si="98"/>
        <v>20.684677803177475</v>
      </c>
      <c r="Y437" s="697">
        <v>34.216853832543755</v>
      </c>
      <c r="Z437" s="697">
        <f t="shared" ca="1" si="99"/>
        <v>15.366110393028141</v>
      </c>
    </row>
    <row r="438" spans="2:26" ht="13.2">
      <c r="B438" s="166">
        <f t="shared" si="100"/>
        <v>45198</v>
      </c>
      <c r="C438"/>
      <c r="G438" s="706">
        <v>18.761328114975989</v>
      </c>
      <c r="H438" s="706">
        <v>75.593050127071677</v>
      </c>
      <c r="I438" s="697">
        <f t="shared" ca="1" si="93"/>
        <v>342.53985194422665</v>
      </c>
      <c r="J438" s="706">
        <v>25.194652075397617</v>
      </c>
      <c r="K438" s="706">
        <v>8.4725858841480655</v>
      </c>
      <c r="L438" s="697">
        <f t="shared" ca="1" si="94"/>
        <v>15.420000037248862</v>
      </c>
      <c r="M438" s="1185">
        <v>6.3943917851204617</v>
      </c>
      <c r="N438" s="697">
        <f t="shared" ca="1" si="95"/>
        <v>8.1842553963144997</v>
      </c>
      <c r="O438" s="697"/>
      <c r="P438" s="697"/>
      <c r="Q438" s="697"/>
      <c r="R438" s="706">
        <v>4.5106809940943187</v>
      </c>
      <c r="S438" s="697">
        <f t="shared" ca="1" si="96"/>
        <v>6.2754980846405033</v>
      </c>
      <c r="T438" s="1152">
        <v>76.14949279519422</v>
      </c>
      <c r="U438" s="697">
        <f t="shared" ca="1" si="97"/>
        <v>65.1084081344151</v>
      </c>
      <c r="V438" s="697">
        <f t="shared" ca="1" si="101"/>
        <v>41.021279401540347</v>
      </c>
      <c r="W438" s="697">
        <v>18.761328114975989</v>
      </c>
      <c r="X438" s="697">
        <f t="shared" ca="1" si="98"/>
        <v>20.684677803177475</v>
      </c>
      <c r="Y438" s="697">
        <v>34.207798554524416</v>
      </c>
      <c r="Z438" s="697">
        <f t="shared" ca="1" si="99"/>
        <v>15.366110393028141</v>
      </c>
    </row>
    <row r="439" spans="2:26" ht="13.2">
      <c r="B439" s="166">
        <f t="shared" si="100"/>
        <v>45205</v>
      </c>
      <c r="C439"/>
      <c r="G439" s="706">
        <v>18.437949087447052</v>
      </c>
      <c r="H439" s="706">
        <v>73.685004229505509</v>
      </c>
      <c r="I439" s="697">
        <f t="shared" ca="1" si="93"/>
        <v>342.53985194422665</v>
      </c>
      <c r="J439" s="706">
        <v>25.29696715812948</v>
      </c>
      <c r="K439" s="706">
        <v>8.2165129641122761</v>
      </c>
      <c r="L439" s="697">
        <f t="shared" ca="1" si="94"/>
        <v>15.420000037248862</v>
      </c>
      <c r="M439" s="1185">
        <v>6.5010989499591139</v>
      </c>
      <c r="N439" s="697">
        <f t="shared" ca="1" si="95"/>
        <v>8.1842553963144997</v>
      </c>
      <c r="O439" s="697"/>
      <c r="P439" s="697"/>
      <c r="Q439" s="697"/>
      <c r="R439" s="706">
        <v>4.5085845251656274</v>
      </c>
      <c r="S439" s="697">
        <f t="shared" ca="1" si="96"/>
        <v>6.2754980846405033</v>
      </c>
      <c r="T439" s="1152">
        <v>74.234028905983592</v>
      </c>
      <c r="U439" s="697">
        <f t="shared" ca="1" si="97"/>
        <v>65.1084081344151</v>
      </c>
      <c r="V439" s="697">
        <f t="shared" ca="1" si="101"/>
        <v>41.021279401540347</v>
      </c>
      <c r="W439" s="697">
        <v>18.437949087447052</v>
      </c>
      <c r="X439" s="697">
        <f t="shared" ca="1" si="98"/>
        <v>20.684677803177475</v>
      </c>
      <c r="Y439" s="697">
        <v>33.156148185168355</v>
      </c>
      <c r="Z439" s="697">
        <f t="shared" ca="1" si="99"/>
        <v>15.366110393028141</v>
      </c>
    </row>
    <row r="440" spans="2:26" ht="13.2">
      <c r="B440" s="166">
        <f t="shared" si="100"/>
        <v>45212</v>
      </c>
      <c r="C440"/>
      <c r="G440" s="706">
        <v>17.98260046343924</v>
      </c>
      <c r="H440" s="706">
        <v>70.249859193662431</v>
      </c>
      <c r="I440" s="697">
        <f t="shared" ca="1" si="93"/>
        <v>342.53985194422665</v>
      </c>
      <c r="J440" s="706">
        <v>24.511739951673764</v>
      </c>
      <c r="K440" s="706">
        <v>7.8894963614578844</v>
      </c>
      <c r="L440" s="697">
        <f t="shared" ca="1" si="94"/>
        <v>15.420000037248862</v>
      </c>
      <c r="M440" s="1185">
        <v>6.4875228576683668</v>
      </c>
      <c r="N440" s="697">
        <f t="shared" ca="1" si="95"/>
        <v>8.1842553963144997</v>
      </c>
      <c r="O440" s="697"/>
      <c r="P440" s="697"/>
      <c r="Q440" s="697"/>
      <c r="R440" s="706">
        <v>4.3739864303322822</v>
      </c>
      <c r="S440" s="697">
        <f t="shared" ca="1" si="96"/>
        <v>6.2754980846405033</v>
      </c>
      <c r="T440" s="1152">
        <v>70.394607738572347</v>
      </c>
      <c r="U440" s="697">
        <f t="shared" ca="1" si="97"/>
        <v>65.1084081344151</v>
      </c>
      <c r="V440" s="697">
        <f t="shared" ca="1" si="101"/>
        <v>41.021279401540347</v>
      </c>
      <c r="W440" s="697">
        <v>17.98260046343924</v>
      </c>
      <c r="X440" s="697">
        <f t="shared" ca="1" si="98"/>
        <v>20.684677803177475</v>
      </c>
      <c r="Y440" s="697">
        <v>30.639879551184642</v>
      </c>
      <c r="Z440" s="697">
        <f t="shared" ca="1" si="99"/>
        <v>15.366110393028141</v>
      </c>
    </row>
    <row r="441" spans="2:26" ht="13.2">
      <c r="B441" s="166">
        <f t="shared" si="100"/>
        <v>45219</v>
      </c>
      <c r="C441"/>
      <c r="G441" s="706">
        <v>17.781055284153204</v>
      </c>
      <c r="H441" s="706">
        <v>68.578791050052061</v>
      </c>
      <c r="I441" s="697">
        <f t="shared" ca="1" si="93"/>
        <v>342.53985194422665</v>
      </c>
      <c r="J441" s="706">
        <v>23.581828122207011</v>
      </c>
      <c r="K441" s="706">
        <v>7.7124409564025358</v>
      </c>
      <c r="L441" s="697">
        <f t="shared" ca="1" si="94"/>
        <v>15.420000037248862</v>
      </c>
      <c r="M441" s="1185">
        <v>6.4699583725201633</v>
      </c>
      <c r="N441" s="697">
        <f t="shared" ca="1" si="95"/>
        <v>8.1842553963144997</v>
      </c>
      <c r="O441" s="697"/>
      <c r="P441" s="697"/>
      <c r="Q441" s="697"/>
      <c r="R441" s="706">
        <v>4.2237742664425495</v>
      </c>
      <c r="S441" s="697">
        <f t="shared" ca="1" si="96"/>
        <v>6.2754980846405033</v>
      </c>
      <c r="T441" s="1152">
        <v>67.302596907713792</v>
      </c>
      <c r="U441" s="697">
        <f t="shared" ca="1" si="97"/>
        <v>65.1084081344151</v>
      </c>
      <c r="V441" s="697">
        <f t="shared" ca="1" si="101"/>
        <v>41.021279401540347</v>
      </c>
      <c r="W441" s="697">
        <v>17.781055284153204</v>
      </c>
      <c r="X441" s="697">
        <f t="shared" ca="1" si="98"/>
        <v>20.684677803177475</v>
      </c>
      <c r="Y441" s="697">
        <v>30.621257856390365</v>
      </c>
      <c r="Z441" s="697">
        <f t="shared" ca="1" si="99"/>
        <v>15.366110393028141</v>
      </c>
    </row>
    <row r="442" spans="2:26" ht="13.2">
      <c r="B442" s="166">
        <f t="shared" si="100"/>
        <v>45226</v>
      </c>
      <c r="C442"/>
      <c r="G442" s="706">
        <v>16.612662456628012</v>
      </c>
      <c r="H442" s="706">
        <v>61.782523811836846</v>
      </c>
      <c r="I442" s="697">
        <f t="shared" ca="1" si="93"/>
        <v>342.53985194422665</v>
      </c>
      <c r="J442" s="706">
        <v>22.287752585905171</v>
      </c>
      <c r="K442" s="706">
        <v>6.9188404367826024</v>
      </c>
      <c r="L442" s="697">
        <f t="shared" ca="1" si="94"/>
        <v>15.420000037248862</v>
      </c>
      <c r="M442" s="1185">
        <v>6.0872077022880751</v>
      </c>
      <c r="N442" s="697">
        <f t="shared" ca="1" si="95"/>
        <v>8.1842553963144997</v>
      </c>
      <c r="O442" s="697"/>
      <c r="P442" s="697"/>
      <c r="Q442" s="697"/>
      <c r="R442" s="706">
        <v>3.9912795199741384</v>
      </c>
      <c r="S442" s="697">
        <f t="shared" ca="1" si="96"/>
        <v>6.2754980846405033</v>
      </c>
      <c r="T442" s="1152">
        <v>60.210715159356745</v>
      </c>
      <c r="U442" s="697">
        <f t="shared" ca="1" si="97"/>
        <v>65.1084081344151</v>
      </c>
      <c r="V442" s="697">
        <f t="shared" ca="1" si="101"/>
        <v>41.021279401540347</v>
      </c>
      <c r="W442" s="697">
        <v>16.612662456628012</v>
      </c>
      <c r="X442" s="697">
        <f t="shared" ca="1" si="98"/>
        <v>20.684677803177475</v>
      </c>
      <c r="Y442" s="697">
        <v>28.360628315994887</v>
      </c>
      <c r="Z442" s="697">
        <f t="shared" ca="1" si="99"/>
        <v>15.366110393028141</v>
      </c>
    </row>
    <row r="443" spans="2:26" ht="13.2">
      <c r="B443" s="166">
        <f t="shared" si="100"/>
        <v>45233</v>
      </c>
      <c r="C443"/>
      <c r="G443" s="706">
        <v>18.588439056105344</v>
      </c>
      <c r="H443" s="706">
        <v>65.209068420511613</v>
      </c>
      <c r="I443" s="697">
        <f t="shared" ca="1" si="93"/>
        <v>342.53985194422665</v>
      </c>
      <c r="J443" s="706">
        <v>23.777395472699315</v>
      </c>
      <c r="K443" s="706">
        <v>9.3381701436686129</v>
      </c>
      <c r="L443" s="697">
        <f t="shared" ca="1" si="94"/>
        <v>15.420000037248862</v>
      </c>
      <c r="M443" s="1185">
        <v>6.5927804721105732</v>
      </c>
      <c r="N443" s="697">
        <f t="shared" ca="1" si="95"/>
        <v>8.1842553963144997</v>
      </c>
      <c r="O443" s="697"/>
      <c r="P443" s="697"/>
      <c r="Q443" s="697"/>
      <c r="R443" s="706">
        <v>4.5352236426164607</v>
      </c>
      <c r="S443" s="697">
        <f t="shared" ca="1" si="96"/>
        <v>6.2754980846405033</v>
      </c>
      <c r="T443" s="1152">
        <v>61.995610870895639</v>
      </c>
      <c r="U443" s="697">
        <f t="shared" ca="1" si="97"/>
        <v>65.1084081344151</v>
      </c>
      <c r="V443" s="697">
        <f t="shared" ca="1" si="101"/>
        <v>41.021279401540347</v>
      </c>
      <c r="W443" s="697">
        <v>18.588439056105344</v>
      </c>
      <c r="X443" s="697">
        <f t="shared" ca="1" si="98"/>
        <v>20.684677803177475</v>
      </c>
      <c r="Y443" s="697">
        <v>30.460947661506406</v>
      </c>
      <c r="Z443" s="697">
        <f t="shared" ca="1" si="99"/>
        <v>15.366110393028141</v>
      </c>
    </row>
    <row r="444" spans="2:26" ht="13.2">
      <c r="B444" s="166">
        <f t="shared" si="100"/>
        <v>45240</v>
      </c>
      <c r="C444"/>
      <c r="G444" s="706">
        <v>18.426970625133507</v>
      </c>
      <c r="H444" s="706">
        <v>63.941474224789367</v>
      </c>
      <c r="I444" s="697">
        <f t="shared" ca="1" si="93"/>
        <v>342.53985194422665</v>
      </c>
      <c r="J444" s="706">
        <v>23.325238069542721</v>
      </c>
      <c r="K444" s="706">
        <v>9.2585096036806931</v>
      </c>
      <c r="L444" s="697">
        <f t="shared" ca="1" si="94"/>
        <v>15.420000037248862</v>
      </c>
      <c r="M444" s="1185">
        <v>6.7521898571304417</v>
      </c>
      <c r="N444" s="697">
        <f t="shared" ca="1" si="95"/>
        <v>8.1842553963144997</v>
      </c>
      <c r="O444" s="697"/>
      <c r="P444" s="697"/>
      <c r="Q444" s="697"/>
      <c r="R444" s="706">
        <v>4.4175169622919874</v>
      </c>
      <c r="S444" s="697">
        <f t="shared" ca="1" si="96"/>
        <v>6.2754980846405033</v>
      </c>
      <c r="T444" s="1152">
        <v>61.373973287623016</v>
      </c>
      <c r="U444" s="697">
        <f t="shared" ca="1" si="97"/>
        <v>65.1084081344151</v>
      </c>
      <c r="V444" s="697">
        <f t="shared" ca="1" si="101"/>
        <v>41.021279401540347</v>
      </c>
      <c r="W444" s="697">
        <v>18.426970625133507</v>
      </c>
      <c r="X444" s="697">
        <f t="shared" ca="1" si="98"/>
        <v>20.684677803177475</v>
      </c>
      <c r="Y444" s="697">
        <v>21.825391844234286</v>
      </c>
      <c r="Z444" s="697">
        <f t="shared" ca="1" si="99"/>
        <v>15.366110393028141</v>
      </c>
    </row>
    <row r="445" spans="2:26" ht="13.2">
      <c r="B445" s="166">
        <f t="shared" si="100"/>
        <v>45247</v>
      </c>
      <c r="C445"/>
      <c r="G445" s="706">
        <v>19.103169970578154</v>
      </c>
      <c r="H445" s="706">
        <v>69.790187758991024</v>
      </c>
      <c r="I445" s="697">
        <f t="shared" ca="1" si="93"/>
        <v>342.53985194422665</v>
      </c>
      <c r="J445" s="706">
        <v>24.170458816138275</v>
      </c>
      <c r="K445" s="706">
        <v>10.374425442110146</v>
      </c>
      <c r="L445" s="697">
        <f t="shared" ca="1" si="94"/>
        <v>15.420000037248862</v>
      </c>
      <c r="M445" s="1185">
        <v>6.9210909953907453</v>
      </c>
      <c r="N445" s="697">
        <f t="shared" ca="1" si="95"/>
        <v>8.1842553963144997</v>
      </c>
      <c r="O445" s="697"/>
      <c r="P445" s="697"/>
      <c r="Q445" s="697"/>
      <c r="R445" s="706">
        <v>4.6375389487013798</v>
      </c>
      <c r="S445" s="697">
        <f t="shared" ca="1" si="96"/>
        <v>6.2754980846405033</v>
      </c>
      <c r="T445" s="1152">
        <v>67.300185532639034</v>
      </c>
      <c r="U445" s="697">
        <f t="shared" ca="1" si="97"/>
        <v>65.1084081344151</v>
      </c>
      <c r="V445" s="697">
        <f t="shared" ca="1" si="101"/>
        <v>41.021279401540347</v>
      </c>
      <c r="W445" s="697">
        <v>19.103169970578154</v>
      </c>
      <c r="X445" s="697">
        <f t="shared" ca="1" si="98"/>
        <v>20.684677803177475</v>
      </c>
      <c r="Y445" s="697">
        <v>22.812475428233125</v>
      </c>
      <c r="Z445" s="697">
        <f t="shared" ca="1" si="99"/>
        <v>15.366110393028141</v>
      </c>
    </row>
    <row r="446" spans="2:26" ht="13.2">
      <c r="B446" s="166">
        <f t="shared" si="100"/>
        <v>45254</v>
      </c>
      <c r="C446"/>
      <c r="G446" s="706">
        <v>19.352048378359328</v>
      </c>
      <c r="H446" s="706">
        <v>70.981450987989149</v>
      </c>
      <c r="I446" s="697">
        <f t="shared" ca="1" si="93"/>
        <v>342.53985194422665</v>
      </c>
      <c r="J446" s="706">
        <v>24.262429559437926</v>
      </c>
      <c r="K446" s="706">
        <v>10.731286762594038</v>
      </c>
      <c r="L446" s="697">
        <f t="shared" ca="1" si="94"/>
        <v>15.420000037248862</v>
      </c>
      <c r="M446" s="1185">
        <v>7.0055152024124068</v>
      </c>
      <c r="N446" s="697">
        <f t="shared" ca="1" si="95"/>
        <v>8.1842553963144997</v>
      </c>
      <c r="O446" s="697"/>
      <c r="P446" s="697"/>
      <c r="Q446" s="697"/>
      <c r="R446" s="706">
        <v>4.6976560152384383</v>
      </c>
      <c r="S446" s="697">
        <f t="shared" ca="1" si="96"/>
        <v>6.2754980846405033</v>
      </c>
      <c r="T446" s="1152">
        <v>69.234137822489586</v>
      </c>
      <c r="U446" s="697">
        <f t="shared" ca="1" si="97"/>
        <v>65.1084081344151</v>
      </c>
      <c r="V446" s="697">
        <f t="shared" ca="1" si="101"/>
        <v>41.021279401540347</v>
      </c>
      <c r="W446" s="697">
        <v>19.352048378359328</v>
      </c>
      <c r="X446" s="697">
        <f t="shared" ca="1" si="98"/>
        <v>20.684677803177475</v>
      </c>
      <c r="Y446" s="697">
        <v>22.347807384678937</v>
      </c>
      <c r="Z446" s="697">
        <f t="shared" ca="1" si="99"/>
        <v>15.366110393028141</v>
      </c>
    </row>
    <row r="447" spans="2:26" ht="13.2">
      <c r="B447" s="166">
        <f t="shared" si="100"/>
        <v>45261</v>
      </c>
      <c r="C447"/>
      <c r="G447" s="706">
        <v>20.500385615274471</v>
      </c>
      <c r="H447" s="706">
        <v>74.031434593087212</v>
      </c>
      <c r="I447" s="697">
        <f t="shared" ca="1" si="93"/>
        <v>342.53985194422665</v>
      </c>
      <c r="J447" s="706">
        <v>25.240029168056999</v>
      </c>
      <c r="K447" s="706">
        <v>11.171931148072625</v>
      </c>
      <c r="L447" s="697">
        <f t="shared" ca="1" si="94"/>
        <v>15.420000037248862</v>
      </c>
      <c r="M447" s="1185">
        <v>7.2843873539533988</v>
      </c>
      <c r="N447" s="697">
        <f t="shared" ca="1" si="95"/>
        <v>8.1842553963144997</v>
      </c>
      <c r="O447" s="697"/>
      <c r="P447" s="697"/>
      <c r="Q447" s="697"/>
      <c r="R447" s="706">
        <v>4.8749819814097268</v>
      </c>
      <c r="S447" s="697">
        <f t="shared" ca="1" si="96"/>
        <v>6.2754980846405033</v>
      </c>
      <c r="T447" s="1152">
        <v>71.748395164088734</v>
      </c>
      <c r="U447" s="697">
        <f t="shared" ca="1" si="97"/>
        <v>65.1084081344151</v>
      </c>
      <c r="V447" s="697">
        <f t="shared" ca="1" si="101"/>
        <v>41.021279401540347</v>
      </c>
      <c r="W447" s="697">
        <v>20.500385615274471</v>
      </c>
      <c r="X447" s="697">
        <f t="shared" ca="1" si="98"/>
        <v>20.684677803177475</v>
      </c>
      <c r="Y447" s="697">
        <v>23.402408381286961</v>
      </c>
      <c r="Z447" s="697">
        <f t="shared" ca="1" si="99"/>
        <v>15.366110393028141</v>
      </c>
    </row>
    <row r="448" spans="2:26" ht="13.2">
      <c r="B448" s="166">
        <f t="shared" si="100"/>
        <v>45268</v>
      </c>
      <c r="C448"/>
      <c r="G448" s="706">
        <v>20.803300807282529</v>
      </c>
      <c r="H448" s="706">
        <v>71.719999268163278</v>
      </c>
      <c r="I448" s="697">
        <f t="shared" ca="1" si="93"/>
        <v>342.53985194422665</v>
      </c>
      <c r="J448" s="706">
        <v>25.430343589826936</v>
      </c>
      <c r="K448" s="706">
        <v>10.92763022610997</v>
      </c>
      <c r="L448" s="697">
        <f t="shared" ca="1" si="94"/>
        <v>15.420000037248862</v>
      </c>
      <c r="M448" s="1185">
        <v>7.1606045864583239</v>
      </c>
      <c r="N448" s="697">
        <f t="shared" ca="1" si="95"/>
        <v>8.1842553963144997</v>
      </c>
      <c r="O448" s="697"/>
      <c r="P448" s="697"/>
      <c r="Q448" s="697"/>
      <c r="R448" s="706">
        <v>4.9400977191072677</v>
      </c>
      <c r="S448" s="697">
        <f t="shared" ca="1" si="96"/>
        <v>6.2754980846405033</v>
      </c>
      <c r="T448" s="1152">
        <v>68.007640694802674</v>
      </c>
      <c r="U448" s="697">
        <f t="shared" ca="1" si="97"/>
        <v>65.1084081344151</v>
      </c>
      <c r="V448" s="697">
        <f t="shared" ca="1" si="101"/>
        <v>41.021279401540347</v>
      </c>
      <c r="W448" s="697">
        <v>20.803300807282529</v>
      </c>
      <c r="X448" s="697">
        <f t="shared" ca="1" si="98"/>
        <v>20.684677803177475</v>
      </c>
      <c r="Y448" s="697">
        <v>22.581038281874552</v>
      </c>
      <c r="Z448" s="697">
        <f t="shared" ca="1" si="99"/>
        <v>15.366110393028141</v>
      </c>
    </row>
    <row r="449" spans="2:26" ht="13.2">
      <c r="B449" s="166">
        <f t="shared" si="100"/>
        <v>45275</v>
      </c>
      <c r="C449"/>
      <c r="G449" s="706">
        <v>21.832644823066438</v>
      </c>
      <c r="H449" s="706">
        <v>75.396395420233318</v>
      </c>
      <c r="I449" s="697">
        <f t="shared" ca="1" si="93"/>
        <v>342.53985194422665</v>
      </c>
      <c r="J449" s="706">
        <v>27.02740442795637</v>
      </c>
      <c r="K449" s="706">
        <v>11.55056282841354</v>
      </c>
      <c r="L449" s="697">
        <f t="shared" ca="1" si="94"/>
        <v>15.420000037248862</v>
      </c>
      <c r="M449" s="1185">
        <v>7.1271070943964387</v>
      </c>
      <c r="N449" s="697">
        <f t="shared" ca="1" si="95"/>
        <v>8.1842553963144997</v>
      </c>
      <c r="O449" s="697"/>
      <c r="P449" s="697"/>
      <c r="Q449" s="697"/>
      <c r="R449" s="706">
        <v>5.1987384974210853</v>
      </c>
      <c r="S449" s="697">
        <f t="shared" ca="1" si="96"/>
        <v>6.2754980846405033</v>
      </c>
      <c r="T449" s="1152">
        <v>71.441686396946096</v>
      </c>
      <c r="U449" s="697">
        <f t="shared" ca="1" si="97"/>
        <v>65.1084081344151</v>
      </c>
      <c r="V449" s="697">
        <f t="shared" ca="1" si="101"/>
        <v>41.021279401540347</v>
      </c>
      <c r="W449" s="697">
        <v>21.832644823066438</v>
      </c>
      <c r="X449" s="697">
        <f t="shared" ca="1" si="98"/>
        <v>20.684677803177475</v>
      </c>
      <c r="Y449" s="697">
        <v>22.822287189080846</v>
      </c>
      <c r="Z449" s="697">
        <f t="shared" ca="1" si="99"/>
        <v>15.366110393028141</v>
      </c>
    </row>
    <row r="450" spans="2:26" ht="13.2">
      <c r="B450" s="166">
        <f t="shared" si="100"/>
        <v>45282</v>
      </c>
      <c r="C450"/>
      <c r="G450" s="706">
        <v>21.875925231187193</v>
      </c>
      <c r="H450" s="706">
        <v>74.91236335782115</v>
      </c>
      <c r="I450" s="697">
        <f t="shared" ca="1" si="93"/>
        <v>342.53985194422665</v>
      </c>
      <c r="J450" s="706">
        <v>27.382597401368336</v>
      </c>
      <c r="K450" s="706">
        <v>11.505017161275783</v>
      </c>
      <c r="L450" s="697">
        <f t="shared" ca="1" si="94"/>
        <v>15.420000037248862</v>
      </c>
      <c r="M450" s="1185">
        <v>7.2623371436998037</v>
      </c>
      <c r="N450" s="697">
        <f t="shared" ca="1" si="95"/>
        <v>8.1842553963144997</v>
      </c>
      <c r="O450" s="697"/>
      <c r="P450" s="697"/>
      <c r="Q450" s="697"/>
      <c r="R450" s="706">
        <v>5.2302204027010752</v>
      </c>
      <c r="S450" s="697">
        <f t="shared" ca="1" si="96"/>
        <v>6.2754980846405033</v>
      </c>
      <c r="T450" s="1152">
        <v>70.874139505935133</v>
      </c>
      <c r="U450" s="697">
        <f t="shared" ca="1" si="97"/>
        <v>65.1084081344151</v>
      </c>
      <c r="V450" s="697">
        <f t="shared" ca="1" si="101"/>
        <v>41.021279401540347</v>
      </c>
      <c r="W450" s="697">
        <v>21.875925231187193</v>
      </c>
      <c r="X450" s="697">
        <f t="shared" ca="1" si="98"/>
        <v>20.684677803177475</v>
      </c>
      <c r="Y450" s="697">
        <v>23.395780352293638</v>
      </c>
      <c r="Z450" s="697">
        <f t="shared" ca="1" si="99"/>
        <v>15.366110393028141</v>
      </c>
    </row>
    <row r="451" spans="2:26" ht="13.2">
      <c r="B451" s="166">
        <f t="shared" si="100"/>
        <v>45289</v>
      </c>
      <c r="C451"/>
      <c r="G451" s="706">
        <v>21.507954920150212</v>
      </c>
      <c r="H451" s="706">
        <v>75.47299965547883</v>
      </c>
      <c r="I451" s="697">
        <f t="shared" ca="1" si="93"/>
        <v>342.53985194422665</v>
      </c>
      <c r="J451" s="706">
        <v>27.03944224465441</v>
      </c>
      <c r="K451" s="706">
        <v>11.674121732582423</v>
      </c>
      <c r="L451" s="697">
        <f t="shared" ca="1" si="94"/>
        <v>15.420000037248862</v>
      </c>
      <c r="M451" s="1185">
        <v>7.2415747775542378</v>
      </c>
      <c r="N451" s="697">
        <f t="shared" ca="1" si="95"/>
        <v>8.1842553963144997</v>
      </c>
      <c r="O451" s="697"/>
      <c r="P451" s="697"/>
      <c r="Q451" s="697"/>
      <c r="R451" s="706">
        <v>5.173550919851964</v>
      </c>
      <c r="S451" s="697">
        <f t="shared" ca="1" si="96"/>
        <v>6.2754980846405033</v>
      </c>
      <c r="T451" s="1152">
        <v>71.338598744677782</v>
      </c>
      <c r="U451" s="697">
        <f t="shared" ca="1" si="97"/>
        <v>65.1084081344151</v>
      </c>
      <c r="V451" s="697">
        <f t="shared" ca="1" si="101"/>
        <v>41.021279401540347</v>
      </c>
      <c r="W451" s="697">
        <v>21.507954920150212</v>
      </c>
      <c r="X451" s="697">
        <f t="shared" ca="1" si="98"/>
        <v>20.684677803177475</v>
      </c>
      <c r="Y451" s="697">
        <v>23.092185857477272</v>
      </c>
      <c r="Z451" s="697">
        <f t="shared" ca="1" si="99"/>
        <v>15.366110393028141</v>
      </c>
    </row>
    <row r="452" spans="2:26" ht="13.2">
      <c r="B452" s="166">
        <f t="shared" si="100"/>
        <v>45296</v>
      </c>
      <c r="C452"/>
      <c r="G452" s="706">
        <v>20.336770282624691</v>
      </c>
      <c r="H452" s="706">
        <v>71.384412100841061</v>
      </c>
      <c r="I452" s="697">
        <f t="shared" ca="1" si="93"/>
        <v>342.53985194422665</v>
      </c>
      <c r="J452" s="706">
        <v>25.941415507713632</v>
      </c>
      <c r="K452" s="706">
        <v>11.088020321351701</v>
      </c>
      <c r="L452" s="697">
        <f t="shared" ca="1" si="94"/>
        <v>15.420000037248862</v>
      </c>
      <c r="M452" s="1185">
        <v>6.8683338010905786</v>
      </c>
      <c r="N452" s="697">
        <f t="shared" ca="1" si="95"/>
        <v>8.1842553963144997</v>
      </c>
      <c r="O452" s="697"/>
      <c r="P452" s="697"/>
      <c r="Q452" s="697"/>
      <c r="R452" s="706">
        <v>4.9648540501127307</v>
      </c>
      <c r="S452" s="697">
        <f t="shared" ca="1" si="96"/>
        <v>6.2754980846405033</v>
      </c>
      <c r="T452" s="1152">
        <v>67.305004059332987</v>
      </c>
      <c r="U452" s="697">
        <f t="shared" ca="1" si="97"/>
        <v>65.1084081344151</v>
      </c>
      <c r="V452" s="697">
        <f t="shared" ca="1" si="101"/>
        <v>41.021279401540347</v>
      </c>
      <c r="W452" s="697">
        <v>20.336770282624691</v>
      </c>
      <c r="X452" s="697">
        <f t="shared" ca="1" si="98"/>
        <v>20.684677803177475</v>
      </c>
      <c r="Y452" s="697">
        <v>21.236163817091132</v>
      </c>
      <c r="Z452" s="697">
        <f t="shared" ca="1" si="99"/>
        <v>15.366110393028141</v>
      </c>
    </row>
    <row r="453" spans="2:26" ht="13.2">
      <c r="B453" s="166">
        <f t="shared" si="100"/>
        <v>45303</v>
      </c>
      <c r="C453"/>
      <c r="G453" s="706">
        <v>20.731352329240199</v>
      </c>
      <c r="H453" s="706">
        <v>77.307906946352873</v>
      </c>
      <c r="I453" s="697">
        <f t="shared" ca="1" si="93"/>
        <v>342.53985194422665</v>
      </c>
      <c r="J453" s="706">
        <v>26.379055014812636</v>
      </c>
      <c r="K453" s="706">
        <v>12.077489310333664</v>
      </c>
      <c r="L453" s="697">
        <f t="shared" ca="1" si="94"/>
        <v>15.420000037248862</v>
      </c>
      <c r="M453" s="1185">
        <v>7.201151088280672</v>
      </c>
      <c r="N453" s="697">
        <f t="shared" ca="1" si="95"/>
        <v>8.1842553963144997</v>
      </c>
      <c r="O453" s="697"/>
      <c r="P453" s="697"/>
      <c r="Q453" s="697"/>
      <c r="R453" s="706">
        <v>5.1187259105550407</v>
      </c>
      <c r="S453" s="697">
        <f t="shared" ca="1" si="96"/>
        <v>6.2754980846405033</v>
      </c>
      <c r="T453" s="1152">
        <v>72.766395366015175</v>
      </c>
      <c r="U453" s="697">
        <f t="shared" ca="1" si="97"/>
        <v>65.1084081344151</v>
      </c>
      <c r="V453" s="697">
        <f t="shared" ca="1" si="101"/>
        <v>41.021279401540347</v>
      </c>
      <c r="W453" s="697">
        <v>20.731352329240199</v>
      </c>
      <c r="X453" s="697">
        <f t="shared" ca="1" si="98"/>
        <v>20.684677803177475</v>
      </c>
      <c r="Y453" s="697">
        <v>21.981596307211106</v>
      </c>
      <c r="Z453" s="697">
        <f t="shared" ca="1" si="99"/>
        <v>15.366110393028141</v>
      </c>
    </row>
    <row r="454" spans="2:26" ht="13.2">
      <c r="B454" s="166">
        <f t="shared" si="100"/>
        <v>45310</v>
      </c>
      <c r="C454"/>
      <c r="G454" s="706">
        <v>20.577087345784452</v>
      </c>
      <c r="H454" s="706">
        <v>75.370969581912021</v>
      </c>
      <c r="I454" s="697">
        <f t="shared" ca="1" si="93"/>
        <v>342.53985194422665</v>
      </c>
      <c r="J454" s="706">
        <v>26.211717689911719</v>
      </c>
      <c r="K454" s="706">
        <v>11.791381365578376</v>
      </c>
      <c r="L454" s="697">
        <f t="shared" ca="1" si="94"/>
        <v>15.420000037248862</v>
      </c>
      <c r="M454" s="1185">
        <v>7.3159323691379434</v>
      </c>
      <c r="N454" s="697">
        <f t="shared" ca="1" si="95"/>
        <v>8.1842553963144997</v>
      </c>
      <c r="O454" s="697"/>
      <c r="P454" s="697"/>
      <c r="Q454" s="697"/>
      <c r="R454" s="706">
        <v>5.1471440165619988</v>
      </c>
      <c r="S454" s="697">
        <f t="shared" ca="1" si="96"/>
        <v>6.2754980846405033</v>
      </c>
      <c r="T454" s="1152">
        <v>70.817253312690013</v>
      </c>
      <c r="U454" s="697">
        <f t="shared" ca="1" si="97"/>
        <v>65.1084081344151</v>
      </c>
      <c r="V454" s="697">
        <f t="shared" ca="1" si="101"/>
        <v>41.021279401540347</v>
      </c>
      <c r="W454" s="697">
        <v>20.577087345784452</v>
      </c>
      <c r="X454" s="697">
        <f t="shared" ca="1" si="98"/>
        <v>20.684677803177475</v>
      </c>
      <c r="Y454" s="697">
        <v>22.161573208971099</v>
      </c>
      <c r="Z454" s="697">
        <f t="shared" ca="1" si="99"/>
        <v>15.366110393028141</v>
      </c>
    </row>
    <row r="455" spans="2:26" ht="13.2">
      <c r="B455" s="166">
        <f t="shared" si="100"/>
        <v>45317</v>
      </c>
      <c r="C455"/>
      <c r="G455" s="706">
        <v>20.631989599997276</v>
      </c>
      <c r="H455" s="706">
        <v>76.341073004439195</v>
      </c>
      <c r="I455" s="697">
        <f t="shared" ca="1" si="93"/>
        <v>342.53985194422665</v>
      </c>
      <c r="J455" s="706">
        <v>26.894587377237997</v>
      </c>
      <c r="K455" s="706">
        <v>12.010296207030912</v>
      </c>
      <c r="L455" s="697">
        <f t="shared" ca="1" si="94"/>
        <v>15.420000037248862</v>
      </c>
      <c r="M455" s="1185">
        <v>7.2889634019431435</v>
      </c>
      <c r="N455" s="697">
        <f t="shared" ca="1" si="95"/>
        <v>8.1842553963144997</v>
      </c>
      <c r="O455" s="697"/>
      <c r="P455" s="697"/>
      <c r="Q455" s="697"/>
      <c r="R455" s="706">
        <v>5.3068106803349719</v>
      </c>
      <c r="S455" s="697">
        <f t="shared" ca="1" si="96"/>
        <v>6.2754980846405033</v>
      </c>
      <c r="T455" s="1152">
        <v>71.90566509996836</v>
      </c>
      <c r="U455" s="697">
        <f t="shared" ca="1" si="97"/>
        <v>65.1084081344151</v>
      </c>
      <c r="V455" s="697">
        <f t="shared" ca="1" si="101"/>
        <v>41.021279401540347</v>
      </c>
      <c r="W455" s="697">
        <v>20.631989599997276</v>
      </c>
      <c r="X455" s="697">
        <f t="shared" ca="1" si="98"/>
        <v>20.684677803177475</v>
      </c>
      <c r="Y455" s="697">
        <v>22.071091363343292</v>
      </c>
      <c r="Z455" s="697">
        <f t="shared" ca="1" si="99"/>
        <v>15.366110393028141</v>
      </c>
    </row>
    <row r="456" spans="2:26" ht="13.2">
      <c r="B456" s="166">
        <f t="shared" si="100"/>
        <v>45324</v>
      </c>
      <c r="C456"/>
      <c r="G456" s="706">
        <v>20.837760528225981</v>
      </c>
      <c r="H456" s="706">
        <v>77.211226938813667</v>
      </c>
      <c r="I456" s="697">
        <f t="shared" ca="1" si="93"/>
        <v>342.53985194422665</v>
      </c>
      <c r="J456" s="706">
        <v>26.973539656038426</v>
      </c>
      <c r="K456" s="706">
        <v>12.182973418936552</v>
      </c>
      <c r="L456" s="697">
        <f t="shared" ca="1" si="94"/>
        <v>15.420000037248862</v>
      </c>
      <c r="M456" s="1185">
        <v>7.3321729608025157</v>
      </c>
      <c r="N456" s="697">
        <f t="shared" ca="1" si="95"/>
        <v>8.1842553963144997</v>
      </c>
      <c r="O456" s="697"/>
      <c r="P456" s="697"/>
      <c r="Q456" s="697"/>
      <c r="R456" s="706">
        <v>5.398815035115863</v>
      </c>
      <c r="S456" s="697">
        <f t="shared" ca="1" si="96"/>
        <v>6.2754980846405033</v>
      </c>
      <c r="T456" s="1152">
        <v>72.684428462246515</v>
      </c>
      <c r="U456" s="697">
        <f t="shared" ca="1" si="97"/>
        <v>65.1084081344151</v>
      </c>
      <c r="V456" s="697">
        <f t="shared" ca="1" si="101"/>
        <v>41.021279401540347</v>
      </c>
      <c r="W456" s="697">
        <v>20.837760528225981</v>
      </c>
      <c r="X456" s="697">
        <f t="shared" ca="1" si="98"/>
        <v>20.684677803177475</v>
      </c>
      <c r="Y456" s="697">
        <v>22.234745499703731</v>
      </c>
      <c r="Z456" s="697">
        <f t="shared" ca="1" si="99"/>
        <v>15.366110393028141</v>
      </c>
    </row>
    <row r="457" spans="2:26" ht="13.2">
      <c r="B457" s="166">
        <f t="shared" si="100"/>
        <v>45331</v>
      </c>
      <c r="C457"/>
      <c r="G457" s="706">
        <v>18.892593076754146</v>
      </c>
      <c r="H457" s="706">
        <v>83.094074546156321</v>
      </c>
      <c r="I457" s="697">
        <f t="shared" ca="1" si="93"/>
        <v>342.53985194422665</v>
      </c>
      <c r="J457" s="706">
        <v>26.42373563609241</v>
      </c>
      <c r="K457" s="706">
        <v>13.283877897512927</v>
      </c>
      <c r="L457" s="697">
        <f t="shared" ca="1" si="94"/>
        <v>15.420000037248862</v>
      </c>
      <c r="M457" s="1185">
        <v>7.3870233667415208</v>
      </c>
      <c r="N457" s="697">
        <f t="shared" ca="1" si="95"/>
        <v>8.1842553963144997</v>
      </c>
      <c r="O457" s="697"/>
      <c r="P457" s="697"/>
      <c r="Q457" s="697"/>
      <c r="R457" s="706">
        <v>5.3733636850595472</v>
      </c>
      <c r="S457" s="697">
        <f t="shared" ca="1" si="96"/>
        <v>6.2754980846405033</v>
      </c>
      <c r="T457" s="1152">
        <v>79.10343832373465</v>
      </c>
      <c r="U457" s="697">
        <f t="shared" ca="1" si="97"/>
        <v>65.1084081344151</v>
      </c>
      <c r="V457" s="697">
        <f t="shared" ca="1" si="101"/>
        <v>41.021279401540347</v>
      </c>
      <c r="W457" s="697">
        <v>18.892593076754146</v>
      </c>
      <c r="X457" s="697">
        <f t="shared" ca="1" si="98"/>
        <v>20.684677803177475</v>
      </c>
      <c r="Y457" s="697">
        <v>22.63662424988388</v>
      </c>
      <c r="Z457" s="697">
        <f t="shared" ca="1" si="99"/>
        <v>15.366110393028141</v>
      </c>
    </row>
    <row r="458" spans="2:26" ht="13.2">
      <c r="B458" s="166">
        <f t="shared" si="100"/>
        <v>45338</v>
      </c>
      <c r="C458"/>
      <c r="G458" s="706">
        <v>19.599660067011115</v>
      </c>
      <c r="H458" s="706">
        <v>75.508201125089855</v>
      </c>
      <c r="I458" s="697">
        <f t="shared" ca="1" si="93"/>
        <v>342.53985194422665</v>
      </c>
      <c r="J458" s="706">
        <v>27.520093644081506</v>
      </c>
      <c r="K458" s="706">
        <v>11.579545623600753</v>
      </c>
      <c r="L458" s="697">
        <f t="shared" ca="1" si="94"/>
        <v>15.420000037248862</v>
      </c>
      <c r="M458" s="1185">
        <v>6.9991739003297626</v>
      </c>
      <c r="N458" s="697">
        <f t="shared" ca="1" si="95"/>
        <v>8.1842553963144997</v>
      </c>
      <c r="O458" s="697"/>
      <c r="P458" s="697"/>
      <c r="Q458" s="697"/>
      <c r="R458" s="706">
        <v>5.4875222504397625</v>
      </c>
      <c r="S458" s="697">
        <f t="shared" ca="1" si="96"/>
        <v>6.2754980846405033</v>
      </c>
      <c r="T458" s="1152">
        <v>72.074744962479372</v>
      </c>
      <c r="U458" s="697">
        <f t="shared" ca="1" si="97"/>
        <v>65.1084081344151</v>
      </c>
      <c r="V458" s="697">
        <f t="shared" ca="1" si="101"/>
        <v>41.021279401540347</v>
      </c>
      <c r="W458" s="697">
        <v>19.599660067011115</v>
      </c>
      <c r="X458" s="697">
        <f t="shared" ca="1" si="98"/>
        <v>20.684677803177475</v>
      </c>
      <c r="Y458" s="697">
        <v>21.602927517793493</v>
      </c>
      <c r="Z458" s="697">
        <f t="shared" ca="1" si="99"/>
        <v>15.366110393028141</v>
      </c>
    </row>
    <row r="459" spans="2:26" ht="13.2">
      <c r="B459" s="166">
        <f t="shared" si="100"/>
        <v>45345</v>
      </c>
      <c r="C459"/>
      <c r="G459" s="706">
        <v>19.126646223440225</v>
      </c>
      <c r="H459" s="706">
        <v>71.035426123576116</v>
      </c>
      <c r="I459" s="697">
        <f t="shared" ca="1" si="93"/>
        <v>342.53985194422665</v>
      </c>
      <c r="J459" s="706">
        <v>26.823979269056522</v>
      </c>
      <c r="K459" s="706">
        <v>10.759339213518508</v>
      </c>
      <c r="L459" s="697">
        <f t="shared" ca="1" si="94"/>
        <v>15.420000037248862</v>
      </c>
      <c r="M459" s="1185">
        <v>7.1080357257752302</v>
      </c>
      <c r="N459" s="697">
        <f t="shared" ca="1" si="95"/>
        <v>8.1842553963144997</v>
      </c>
      <c r="O459" s="697"/>
      <c r="P459" s="697"/>
      <c r="Q459" s="697"/>
      <c r="R459" s="706">
        <v>5.3552783517203668</v>
      </c>
      <c r="S459" s="697">
        <f t="shared" ca="1" si="96"/>
        <v>6.2754980846405033</v>
      </c>
      <c r="T459" s="1152">
        <v>66.903121337312442</v>
      </c>
      <c r="U459" s="697">
        <f t="shared" ca="1" si="97"/>
        <v>65.1084081344151</v>
      </c>
      <c r="V459" s="697">
        <f t="shared" ca="1" si="101"/>
        <v>41.021279401540347</v>
      </c>
      <c r="W459" s="697">
        <v>19.126646223440225</v>
      </c>
      <c r="X459" s="697">
        <f t="shared" ca="1" si="98"/>
        <v>20.684677803177475</v>
      </c>
      <c r="Y459" s="697">
        <v>22.258523279589479</v>
      </c>
      <c r="Z459" s="697">
        <f t="shared" ca="1" si="99"/>
        <v>15.366110393028141</v>
      </c>
    </row>
    <row r="460" spans="2:26" ht="13.2">
      <c r="B460" s="166">
        <f t="shared" si="100"/>
        <v>45352</v>
      </c>
      <c r="C460"/>
      <c r="G460" s="706">
        <v>19.620605268982764</v>
      </c>
      <c r="H460" s="706">
        <v>70.889321767177591</v>
      </c>
      <c r="I460" s="697">
        <f t="shared" ca="1" si="93"/>
        <v>342.53985194422665</v>
      </c>
      <c r="J460" s="706">
        <v>27.281795376574564</v>
      </c>
      <c r="K460" s="706">
        <v>10.7797299680243</v>
      </c>
      <c r="L460" s="697">
        <f t="shared" ca="1" si="94"/>
        <v>15.420000037248862</v>
      </c>
      <c r="M460" s="1185">
        <v>7.2779527680467728</v>
      </c>
      <c r="N460" s="697">
        <f t="shared" ca="1" si="95"/>
        <v>8.1842553963144997</v>
      </c>
      <c r="O460" s="697"/>
      <c r="P460" s="697"/>
      <c r="Q460" s="697"/>
      <c r="R460" s="706">
        <v>5.4851468994303936</v>
      </c>
      <c r="S460" s="697">
        <f t="shared" ca="1" si="96"/>
        <v>6.2754980846405033</v>
      </c>
      <c r="T460" s="1152">
        <v>66.851847712851253</v>
      </c>
      <c r="U460" s="697">
        <f t="shared" ca="1" si="97"/>
        <v>65.1084081344151</v>
      </c>
      <c r="V460" s="697">
        <f t="shared" ca="1" si="101"/>
        <v>41.021279401540347</v>
      </c>
      <c r="W460" s="697">
        <v>19.620605268982764</v>
      </c>
      <c r="X460" s="697">
        <f t="shared" ca="1" si="98"/>
        <v>20.684677803177475</v>
      </c>
      <c r="Y460" s="697">
        <v>22.764976920887182</v>
      </c>
      <c r="Z460" s="697">
        <f t="shared" ca="1" si="99"/>
        <v>15.366110393028141</v>
      </c>
    </row>
    <row r="461" spans="2:26" ht="13.2">
      <c r="B461" s="166">
        <f t="shared" si="100"/>
        <v>45359</v>
      </c>
      <c r="C461"/>
      <c r="G461" s="706">
        <v>19.76348570027811</v>
      </c>
      <c r="H461" s="706">
        <v>70.058506580035484</v>
      </c>
      <c r="I461" s="697">
        <f t="shared" ca="1" si="93"/>
        <v>342.53985194422665</v>
      </c>
      <c r="J461" s="706">
        <v>27.159709886567228</v>
      </c>
      <c r="K461" s="706">
        <v>10.699737035503594</v>
      </c>
      <c r="L461" s="697">
        <f t="shared" ca="1" si="94"/>
        <v>15.420000037248862</v>
      </c>
      <c r="M461" s="1185">
        <v>7.0910023926318573</v>
      </c>
      <c r="N461" s="697">
        <f t="shared" ca="1" si="95"/>
        <v>8.1842553963144997</v>
      </c>
      <c r="O461" s="697"/>
      <c r="P461" s="697"/>
      <c r="Q461" s="697"/>
      <c r="R461" s="706">
        <v>5.4595426267380862</v>
      </c>
      <c r="S461" s="697">
        <f t="shared" ca="1" si="96"/>
        <v>6.2754980846405033</v>
      </c>
      <c r="T461" s="1152">
        <v>67.216157245298049</v>
      </c>
      <c r="U461" s="697">
        <f t="shared" ca="1" si="97"/>
        <v>65.1084081344151</v>
      </c>
      <c r="V461" s="697">
        <f t="shared" ca="1" si="101"/>
        <v>41.021279401540347</v>
      </c>
      <c r="W461" s="697">
        <v>19.76348570027811</v>
      </c>
      <c r="X461" s="697">
        <f t="shared" ca="1" si="98"/>
        <v>20.684677803177475</v>
      </c>
      <c r="Y461" s="697">
        <v>22.151387538975495</v>
      </c>
      <c r="Z461" s="697">
        <f t="shared" ca="1" si="99"/>
        <v>15.366110393028141</v>
      </c>
    </row>
    <row r="462" spans="2:26" ht="13.2">
      <c r="B462" s="166">
        <f t="shared" si="100"/>
        <v>45366</v>
      </c>
      <c r="C462"/>
      <c r="G462" s="706">
        <v>18.716052253420511</v>
      </c>
      <c r="H462" s="706">
        <v>70.743257177277115</v>
      </c>
      <c r="I462" s="697">
        <f t="shared" ca="1" si="93"/>
        <v>342.53985194422665</v>
      </c>
      <c r="J462" s="706">
        <v>25.971869644459463</v>
      </c>
      <c r="K462" s="706">
        <v>10.777106033667623</v>
      </c>
      <c r="L462" s="697">
        <f t="shared" ca="1" si="94"/>
        <v>15.420000037248862</v>
      </c>
      <c r="M462" s="1185">
        <v>6.8077204879850148</v>
      </c>
      <c r="N462" s="697">
        <f t="shared" ca="1" si="95"/>
        <v>8.1842553963144997</v>
      </c>
      <c r="O462" s="697"/>
      <c r="P462" s="697"/>
      <c r="Q462" s="697"/>
      <c r="R462" s="706">
        <v>5.2689376165118977</v>
      </c>
      <c r="S462" s="697">
        <f t="shared" ca="1" si="96"/>
        <v>6.2754980846405033</v>
      </c>
      <c r="T462" s="1152">
        <v>68.328915204904675</v>
      </c>
      <c r="U462" s="697">
        <f t="shared" ca="1" si="97"/>
        <v>65.1084081344151</v>
      </c>
      <c r="V462" s="697">
        <f t="shared" ca="1" si="101"/>
        <v>41.021279401540347</v>
      </c>
      <c r="W462" s="697">
        <v>18.716052253420511</v>
      </c>
      <c r="X462" s="697">
        <f t="shared" ca="1" si="98"/>
        <v>20.684677803177475</v>
      </c>
      <c r="Y462" s="697">
        <v>21.123585502047341</v>
      </c>
      <c r="Z462" s="697">
        <f t="shared" ca="1" si="99"/>
        <v>15.366110393028141</v>
      </c>
    </row>
    <row r="463" spans="2:26" ht="13.2">
      <c r="B463" s="166">
        <f t="shared" si="100"/>
        <v>45373</v>
      </c>
      <c r="C463"/>
      <c r="G463" s="706">
        <v>19.613826152221183</v>
      </c>
      <c r="H463" s="706">
        <v>71.722423288576977</v>
      </c>
      <c r="I463" s="697">
        <f t="shared" ca="1" si="93"/>
        <v>342.53985194422665</v>
      </c>
      <c r="J463" s="706">
        <v>27.420914176983953</v>
      </c>
      <c r="K463" s="706">
        <v>10.931743323166703</v>
      </c>
      <c r="L463" s="697">
        <f t="shared" ca="1" si="94"/>
        <v>15.420000037248862</v>
      </c>
      <c r="M463" s="1185">
        <v>6.9122138861753868</v>
      </c>
      <c r="N463" s="697">
        <f t="shared" ca="1" si="95"/>
        <v>8.1842553963144997</v>
      </c>
      <c r="O463" s="697"/>
      <c r="P463" s="697"/>
      <c r="Q463" s="697"/>
      <c r="R463" s="706">
        <v>5.5318250377926228</v>
      </c>
      <c r="S463" s="697">
        <f t="shared" ca="1" si="96"/>
        <v>6.2754980846405033</v>
      </c>
      <c r="T463" s="1152">
        <v>69.293704976932929</v>
      </c>
      <c r="U463" s="697">
        <f t="shared" ca="1" si="97"/>
        <v>65.1084081344151</v>
      </c>
      <c r="V463" s="697">
        <f t="shared" ca="1" si="101"/>
        <v>41.021279401540347</v>
      </c>
      <c r="W463" s="697">
        <v>19.613826152221183</v>
      </c>
      <c r="X463" s="697">
        <f t="shared" ca="1" si="98"/>
        <v>20.684677803177475</v>
      </c>
      <c r="Y463" s="697">
        <v>21.634963735193281</v>
      </c>
      <c r="Z463" s="697">
        <f t="shared" ca="1" si="99"/>
        <v>15.366110393028141</v>
      </c>
    </row>
    <row r="464" spans="2:26" ht="13.2">
      <c r="B464" s="166">
        <f t="shared" si="100"/>
        <v>45380</v>
      </c>
      <c r="C464"/>
      <c r="G464" s="706">
        <v>19.356153502368567</v>
      </c>
      <c r="H464" s="706">
        <v>69.8933919724129</v>
      </c>
      <c r="I464" s="697">
        <f t="shared" ca="1" si="93"/>
        <v>342.53985194422665</v>
      </c>
      <c r="J464" s="706">
        <v>27.142524142654789</v>
      </c>
      <c r="K464" s="706">
        <v>10.581071964738028</v>
      </c>
      <c r="L464" s="697">
        <f t="shared" ca="1" si="94"/>
        <v>15.420000037248862</v>
      </c>
      <c r="M464" s="1185">
        <v>6.793772032656169</v>
      </c>
      <c r="N464" s="697">
        <f t="shared" ca="1" si="95"/>
        <v>8.1842553963144997</v>
      </c>
      <c r="O464" s="697"/>
      <c r="P464" s="697"/>
      <c r="Q464" s="697"/>
      <c r="R464" s="706">
        <v>5.4377506968739819</v>
      </c>
      <c r="S464" s="697">
        <f t="shared" ca="1" si="96"/>
        <v>6.2754980846405033</v>
      </c>
      <c r="T464" s="1152">
        <v>67.44139487894239</v>
      </c>
      <c r="U464" s="697">
        <f t="shared" ca="1" si="97"/>
        <v>65.1084081344151</v>
      </c>
      <c r="V464" s="697">
        <f t="shared" ca="1" si="101"/>
        <v>41.021279401540347</v>
      </c>
      <c r="W464" s="697">
        <v>19.356153502368567</v>
      </c>
      <c r="X464" s="697">
        <f t="shared" ca="1" si="98"/>
        <v>20.684677803177475</v>
      </c>
      <c r="Y464" s="697">
        <v>21.172728310191292</v>
      </c>
      <c r="Z464" s="697">
        <f t="shared" ca="1" si="99"/>
        <v>15.366110393028141</v>
      </c>
    </row>
    <row r="465" spans="2:26" ht="13.2">
      <c r="B465" s="166">
        <f t="shared" si="100"/>
        <v>45387</v>
      </c>
      <c r="C465"/>
      <c r="G465" s="706">
        <v>19.003001624404263</v>
      </c>
      <c r="H465" s="706">
        <v>68.213157781709555</v>
      </c>
      <c r="I465" s="697">
        <f t="shared" ca="1" si="93"/>
        <v>342.53985194422665</v>
      </c>
      <c r="J465" s="706">
        <v>26.827704349700674</v>
      </c>
      <c r="K465" s="706">
        <v>10.241772838584804</v>
      </c>
      <c r="L465" s="697">
        <f t="shared" ca="1" si="94"/>
        <v>15.420000037248862</v>
      </c>
      <c r="M465" s="1185">
        <v>6.7103418142255178</v>
      </c>
      <c r="N465" s="697">
        <f t="shared" ca="1" si="95"/>
        <v>8.1842553963144997</v>
      </c>
      <c r="O465" s="697"/>
      <c r="P465" s="697"/>
      <c r="Q465" s="697"/>
      <c r="R465" s="706">
        <v>5.4272188436296283</v>
      </c>
      <c r="S465" s="697">
        <f t="shared" ca="1" si="96"/>
        <v>6.2754980846405033</v>
      </c>
      <c r="T465" s="1152">
        <v>65.014240614470651</v>
      </c>
      <c r="U465" s="697">
        <f t="shared" ca="1" si="97"/>
        <v>65.1084081344151</v>
      </c>
      <c r="V465" s="697">
        <f t="shared" ca="1" si="101"/>
        <v>41.021279401540347</v>
      </c>
      <c r="W465" s="697">
        <v>19.003001624404263</v>
      </c>
      <c r="X465" s="697">
        <f t="shared" ca="1" si="98"/>
        <v>20.684677803177475</v>
      </c>
      <c r="Y465" s="697">
        <v>20.649678881310848</v>
      </c>
      <c r="Z465" s="697">
        <f t="shared" ca="1" si="99"/>
        <v>15.366110393028141</v>
      </c>
    </row>
    <row r="466" spans="2:26" ht="13.2">
      <c r="B466" s="166">
        <f t="shared" si="100"/>
        <v>45394</v>
      </c>
      <c r="C466"/>
      <c r="G466" s="706">
        <v>18.672667802510638</v>
      </c>
      <c r="H466" s="706">
        <v>63.168526047270987</v>
      </c>
      <c r="I466" s="697">
        <f t="shared" ca="1" si="93"/>
        <v>342.53985194422665</v>
      </c>
      <c r="J466" s="706">
        <v>26.553290002722374</v>
      </c>
      <c r="K466" s="706">
        <v>9.4764356018297153</v>
      </c>
      <c r="L466" s="697">
        <f t="shared" ca="1" si="94"/>
        <v>15.420000037248862</v>
      </c>
      <c r="M466" s="1185">
        <v>6.5364282828259981</v>
      </c>
      <c r="N466" s="697">
        <f t="shared" ca="1" si="95"/>
        <v>8.1842553963144997</v>
      </c>
      <c r="O466" s="697"/>
      <c r="P466" s="697"/>
      <c r="Q466" s="697"/>
      <c r="R466" s="706">
        <v>5.3131936429745066</v>
      </c>
      <c r="S466" s="697">
        <f t="shared" ca="1" si="96"/>
        <v>6.2754980846405033</v>
      </c>
      <c r="T466" s="1152">
        <v>60.277883839867421</v>
      </c>
      <c r="U466" s="697">
        <f t="shared" ca="1" si="97"/>
        <v>65.1084081344151</v>
      </c>
      <c r="V466" s="697">
        <f t="shared" ca="1" si="101"/>
        <v>41.021279401540347</v>
      </c>
      <c r="W466" s="697">
        <v>18.672667802510638</v>
      </c>
      <c r="X466" s="697">
        <f t="shared" ca="1" si="98"/>
        <v>20.684677803177475</v>
      </c>
      <c r="Y466" s="697">
        <v>19.951295491216495</v>
      </c>
      <c r="Z466" s="697">
        <f t="shared" ca="1" si="99"/>
        <v>15.366110393028141</v>
      </c>
    </row>
    <row r="467" spans="2:26" ht="13.2">
      <c r="B467" s="166">
        <f t="shared" si="100"/>
        <v>45401</v>
      </c>
      <c r="C467"/>
      <c r="G467" s="706">
        <v>17.443197596944227</v>
      </c>
      <c r="H467" s="706">
        <v>62.44354022158987</v>
      </c>
      <c r="I467" s="697">
        <f t="shared" ca="1" si="93"/>
        <v>342.53985194422665</v>
      </c>
      <c r="J467" s="706">
        <v>24.605378605079402</v>
      </c>
      <c r="K467" s="706">
        <v>9.3909973058023137</v>
      </c>
      <c r="L467" s="697">
        <f t="shared" ca="1" si="94"/>
        <v>15.420000037248862</v>
      </c>
      <c r="M467" s="1185">
        <v>6.320474876319655</v>
      </c>
      <c r="N467" s="697">
        <f t="shared" ca="1" si="95"/>
        <v>8.1842553963144997</v>
      </c>
      <c r="O467" s="697"/>
      <c r="P467" s="697"/>
      <c r="Q467" s="697"/>
      <c r="R467" s="706">
        <v>4.9932932719310319</v>
      </c>
      <c r="S467" s="697">
        <f t="shared" ca="1" si="96"/>
        <v>6.2754980846405033</v>
      </c>
      <c r="T467" s="1152">
        <v>59.408767257233706</v>
      </c>
      <c r="U467" s="697">
        <f t="shared" ca="1" si="97"/>
        <v>65.1084081344151</v>
      </c>
      <c r="V467" s="697">
        <f t="shared" ca="1" si="101"/>
        <v>41.021279401540347</v>
      </c>
      <c r="W467" s="697">
        <v>17.443197596944227</v>
      </c>
      <c r="X467" s="697">
        <f t="shared" ca="1" si="98"/>
        <v>20.684677803177475</v>
      </c>
      <c r="Y467" s="697">
        <v>18.979644469511371</v>
      </c>
      <c r="Z467" s="697">
        <f t="shared" ca="1" si="99"/>
        <v>15.366110393028141</v>
      </c>
    </row>
    <row r="468" spans="2:26" ht="13.2">
      <c r="B468" s="166">
        <f t="shared" si="100"/>
        <v>45408</v>
      </c>
      <c r="C468"/>
      <c r="G468" s="706">
        <v>18.025047501054875</v>
      </c>
      <c r="H468" s="706">
        <v>63.494629394052225</v>
      </c>
      <c r="I468" s="697">
        <f t="shared" ca="1" si="93"/>
        <v>342.53985194422665</v>
      </c>
      <c r="J468" s="706">
        <v>25.333033260827044</v>
      </c>
      <c r="K468" s="706">
        <v>9.5574807540222508</v>
      </c>
      <c r="L468" s="697">
        <f t="shared" ca="1" si="94"/>
        <v>15.420000037248862</v>
      </c>
      <c r="M468" s="1185">
        <v>6.3241400246773907</v>
      </c>
      <c r="N468" s="697">
        <f t="shared" ca="1" si="95"/>
        <v>8.1842553963144997</v>
      </c>
      <c r="O468" s="697"/>
      <c r="P468" s="697"/>
      <c r="Q468" s="697"/>
      <c r="R468" s="706">
        <v>5.2177665836841376</v>
      </c>
      <c r="S468" s="697">
        <f t="shared" ca="1" si="96"/>
        <v>6.2754980846405033</v>
      </c>
      <c r="T468" s="1152">
        <v>58.868148659214462</v>
      </c>
      <c r="U468" s="697">
        <f t="shared" ca="1" si="97"/>
        <v>65.1084081344151</v>
      </c>
      <c r="V468" s="697">
        <f t="shared" ca="1" si="101"/>
        <v>41.021279401540347</v>
      </c>
      <c r="W468" s="697">
        <v>18.025047501054875</v>
      </c>
      <c r="X468" s="697">
        <f t="shared" ca="1" si="98"/>
        <v>20.684677803177475</v>
      </c>
      <c r="Y468" s="697">
        <v>19.124950416877404</v>
      </c>
      <c r="Z468" s="697">
        <f t="shared" ca="1" si="99"/>
        <v>15.366110393028141</v>
      </c>
    </row>
    <row r="469" spans="2:26" ht="13.2">
      <c r="B469" s="166">
        <f t="shared" si="100"/>
        <v>45415</v>
      </c>
      <c r="C469"/>
      <c r="G469" s="706">
        <v>18.214022552857408</v>
      </c>
      <c r="H469" s="706">
        <v>64.978545124615081</v>
      </c>
      <c r="I469" s="697">
        <f t="shared" ca="1" si="93"/>
        <v>342.53985194422665</v>
      </c>
      <c r="J469" s="706">
        <v>25.548138143485936</v>
      </c>
      <c r="K469" s="706">
        <v>9.9557522675126222</v>
      </c>
      <c r="L469" s="697">
        <f t="shared" ca="1" si="94"/>
        <v>15.420000037248862</v>
      </c>
      <c r="M469" s="1185">
        <v>6.2369584947872569</v>
      </c>
      <c r="N469" s="697">
        <f t="shared" ca="1" si="95"/>
        <v>8.1842553963144997</v>
      </c>
      <c r="O469" s="697"/>
      <c r="P469" s="697"/>
      <c r="Q469" s="697"/>
      <c r="R469" s="706">
        <v>5.2941039619980153</v>
      </c>
      <c r="S469" s="697">
        <f t="shared" ca="1" si="96"/>
        <v>6.2754980846405033</v>
      </c>
      <c r="T469" s="1152">
        <v>61.1753084265072</v>
      </c>
      <c r="U469" s="697">
        <f t="shared" ca="1" si="97"/>
        <v>65.1084081344151</v>
      </c>
      <c r="V469" s="697">
        <f t="shared" ca="1" si="101"/>
        <v>41.021279401540347</v>
      </c>
      <c r="W469" s="697">
        <v>18.214022552857408</v>
      </c>
      <c r="X469" s="697">
        <f t="shared" ca="1" si="98"/>
        <v>20.684677803177475</v>
      </c>
      <c r="Y469" s="697">
        <v>19.02407405667654</v>
      </c>
      <c r="Z469" s="697">
        <f t="shared" ca="1" si="99"/>
        <v>15.366110393028141</v>
      </c>
    </row>
    <row r="470" spans="2:26" ht="13.2">
      <c r="B470" s="166">
        <f t="shared" si="100"/>
        <v>45422</v>
      </c>
      <c r="C470"/>
      <c r="G470" s="706">
        <v>18.050483354122527</v>
      </c>
      <c r="H470" s="706">
        <v>54.28349652766137</v>
      </c>
      <c r="I470" s="697">
        <f t="shared" ca="1" si="93"/>
        <v>342.53985194422665</v>
      </c>
      <c r="J470" s="706">
        <v>25.357159273729753</v>
      </c>
      <c r="K470" s="706">
        <v>7.8024348869388955</v>
      </c>
      <c r="L470" s="697">
        <f t="shared" ca="1" si="94"/>
        <v>15.420000037248862</v>
      </c>
      <c r="M470" s="1185">
        <v>6.3831977326569875</v>
      </c>
      <c r="N470" s="697">
        <f t="shared" ca="1" si="95"/>
        <v>8.1842553963144997</v>
      </c>
      <c r="O470" s="697"/>
      <c r="P470" s="697"/>
      <c r="Q470" s="697"/>
      <c r="R470" s="706">
        <v>5.1699542826397966</v>
      </c>
      <c r="S470" s="697">
        <f t="shared" ca="1" si="96"/>
        <v>6.2754980846405033</v>
      </c>
      <c r="T470" s="1152">
        <v>51.823251328015729</v>
      </c>
      <c r="U470" s="697">
        <f t="shared" ca="1" si="97"/>
        <v>65.1084081344151</v>
      </c>
      <c r="V470" s="697">
        <f t="shared" ca="1" si="101"/>
        <v>41.021279401540347</v>
      </c>
      <c r="W470" s="697">
        <v>18.050483354122527</v>
      </c>
      <c r="X470" s="697">
        <f t="shared" ca="1" si="98"/>
        <v>20.684677803177475</v>
      </c>
      <c r="Y470" s="697">
        <v>20.386208646564089</v>
      </c>
      <c r="Z470" s="697">
        <f t="shared" ca="1" si="99"/>
        <v>15.366110393028141</v>
      </c>
    </row>
    <row r="471" spans="2:26" ht="13.2">
      <c r="B471" s="166">
        <f t="shared" si="100"/>
        <v>45429</v>
      </c>
      <c r="C471"/>
      <c r="G471" s="706">
        <v>18.257913904378821</v>
      </c>
      <c r="H471" s="706">
        <v>53.825005554468362</v>
      </c>
      <c r="I471" s="697">
        <f t="shared" ca="1" si="93"/>
        <v>342.53985194422665</v>
      </c>
      <c r="J471" s="706">
        <v>25.691548008747557</v>
      </c>
      <c r="K471" s="706">
        <v>7.7061428174451114</v>
      </c>
      <c r="L471" s="697">
        <f t="shared" ca="1" si="94"/>
        <v>15.420000037248862</v>
      </c>
      <c r="M471" s="1185">
        <v>6.5007318241582013</v>
      </c>
      <c r="N471" s="697">
        <f t="shared" ca="1" si="95"/>
        <v>8.1842553963144997</v>
      </c>
      <c r="O471" s="697"/>
      <c r="P471" s="697"/>
      <c r="Q471" s="697"/>
      <c r="R471" s="706">
        <v>5.2623733357836198</v>
      </c>
      <c r="S471" s="697">
        <f t="shared" ca="1" si="96"/>
        <v>6.2754980846405033</v>
      </c>
      <c r="T471" s="1152">
        <v>51.09528170170524</v>
      </c>
      <c r="U471" s="697">
        <f t="shared" ca="1" si="97"/>
        <v>65.1084081344151</v>
      </c>
      <c r="V471" s="697">
        <f t="shared" ca="1" si="101"/>
        <v>41.021279401540347</v>
      </c>
      <c r="W471" s="697">
        <v>18.257913904378821</v>
      </c>
      <c r="X471" s="697">
        <f t="shared" ca="1" si="98"/>
        <v>20.684677803177475</v>
      </c>
      <c r="Y471" s="697">
        <v>21.076371711499842</v>
      </c>
      <c r="Z471" s="697">
        <f t="shared" ca="1" si="99"/>
        <v>15.366110393028141</v>
      </c>
    </row>
    <row r="472" spans="2:26" ht="13.2">
      <c r="B472" s="166">
        <f t="shared" si="100"/>
        <v>45436</v>
      </c>
      <c r="C472"/>
      <c r="G472" s="706">
        <v>17.777980531636285</v>
      </c>
      <c r="H472" s="706">
        <v>51.781301305821344</v>
      </c>
      <c r="I472" s="697">
        <f t="shared" ref="I472:I535" ca="1" si="102">+I$87</f>
        <v>342.53985194422665</v>
      </c>
      <c r="J472" s="706">
        <v>25.282563627737243</v>
      </c>
      <c r="K472" s="706">
        <v>7.4864782985847702</v>
      </c>
      <c r="L472" s="697">
        <f t="shared" ref="L472:L535" ca="1" si="103">+L$87</f>
        <v>15.420000037248862</v>
      </c>
      <c r="M472" s="1185">
        <v>6.6268501097637014</v>
      </c>
      <c r="N472" s="697">
        <f t="shared" ref="N472:N535" ca="1" si="104">+N$87</f>
        <v>8.1842553963144997</v>
      </c>
      <c r="O472" s="697"/>
      <c r="P472" s="697"/>
      <c r="Q472" s="697"/>
      <c r="R472" s="706">
        <v>5.1887775508313529</v>
      </c>
      <c r="S472" s="697">
        <f t="shared" ref="S472:S535" ca="1" si="105">+S$87</f>
        <v>6.2754980846405033</v>
      </c>
      <c r="T472" s="1152">
        <v>49.723469887094026</v>
      </c>
      <c r="U472" s="697">
        <f t="shared" ref="U472:U535" ca="1" si="106">+U$87</f>
        <v>65.1084081344151</v>
      </c>
      <c r="V472" s="697">
        <f t="shared" ca="1" si="101"/>
        <v>41.021279401540347</v>
      </c>
      <c r="W472" s="697">
        <v>17.777980531636285</v>
      </c>
      <c r="X472" s="697">
        <f t="shared" ref="X472:X535" ca="1" si="107">+X$87</f>
        <v>20.684677803177475</v>
      </c>
      <c r="Y472" s="697">
        <v>21.638437951314142</v>
      </c>
      <c r="Z472" s="697">
        <f t="shared" ref="Z472:Z535" ca="1" si="108">+Z$87</f>
        <v>15.366110393028141</v>
      </c>
    </row>
    <row r="473" spans="2:26" ht="13.2">
      <c r="B473" s="166">
        <f t="shared" ref="B473:B536" si="109">B472+7</f>
        <v>45443</v>
      </c>
      <c r="C473"/>
      <c r="G473" s="706">
        <v>17.561490447825353</v>
      </c>
      <c r="H473" s="706">
        <v>53.597963802934558</v>
      </c>
      <c r="I473" s="697">
        <f t="shared" ca="1" si="102"/>
        <v>342.53985194422665</v>
      </c>
      <c r="J473" s="706">
        <v>25.053995663741105</v>
      </c>
      <c r="K473" s="706">
        <v>7.7663114664989896</v>
      </c>
      <c r="L473" s="697">
        <f t="shared" ca="1" si="103"/>
        <v>15.420000037248862</v>
      </c>
      <c r="M473" s="1185">
        <v>6.335105047253065</v>
      </c>
      <c r="N473" s="697">
        <f t="shared" ca="1" si="104"/>
        <v>8.1842553963144997</v>
      </c>
      <c r="O473" s="697"/>
      <c r="P473" s="697"/>
      <c r="Q473" s="697"/>
      <c r="R473" s="706">
        <v>5.1478861694609011</v>
      </c>
      <c r="S473" s="697">
        <f t="shared" ca="1" si="105"/>
        <v>6.2754980846405033</v>
      </c>
      <c r="T473" s="1152">
        <v>51.44285956199802</v>
      </c>
      <c r="U473" s="697">
        <f t="shared" ca="1" si="106"/>
        <v>65.1084081344151</v>
      </c>
      <c r="V473" s="697">
        <f t="shared" ref="V473:V509" ca="1" si="110">+V472</f>
        <v>41.021279401540347</v>
      </c>
      <c r="W473" s="697">
        <v>17.561490447825353</v>
      </c>
      <c r="X473" s="697">
        <f t="shared" ca="1" si="107"/>
        <v>20.684677803177475</v>
      </c>
      <c r="Y473" s="697">
        <v>20.388858151612546</v>
      </c>
      <c r="Z473" s="697">
        <f t="shared" ca="1" si="108"/>
        <v>15.366110393028141</v>
      </c>
    </row>
    <row r="474" spans="2:26" ht="13.2">
      <c r="B474" s="166">
        <f t="shared" si="109"/>
        <v>45450</v>
      </c>
      <c r="C474"/>
      <c r="G474" s="706">
        <v>17.987069933627772</v>
      </c>
      <c r="H474" s="706">
        <v>55.485236818990565</v>
      </c>
      <c r="I474" s="697">
        <f t="shared" ca="1" si="102"/>
        <v>342.53985194422665</v>
      </c>
      <c r="J474" s="706">
        <v>25.963695614549433</v>
      </c>
      <c r="K474" s="706">
        <v>8.0785826554604494</v>
      </c>
      <c r="L474" s="697">
        <f t="shared" ca="1" si="103"/>
        <v>15.420000037248862</v>
      </c>
      <c r="M474" s="1185">
        <v>6.524062009972682</v>
      </c>
      <c r="N474" s="697">
        <f t="shared" ca="1" si="104"/>
        <v>8.1842553963144997</v>
      </c>
      <c r="O474" s="697"/>
      <c r="P474" s="697"/>
      <c r="Q474" s="697"/>
      <c r="R474" s="706">
        <v>5.2864325568383537</v>
      </c>
      <c r="S474" s="697">
        <f t="shared" ca="1" si="105"/>
        <v>6.2754980846405033</v>
      </c>
      <c r="T474" s="1152">
        <v>53.414345274442574</v>
      </c>
      <c r="U474" s="697">
        <f t="shared" ca="1" si="106"/>
        <v>65.1084081344151</v>
      </c>
      <c r="V474" s="697">
        <f t="shared" ca="1" si="110"/>
        <v>41.021279401540347</v>
      </c>
      <c r="W474" s="697">
        <v>17.987069933627772</v>
      </c>
      <c r="X474" s="697">
        <f t="shared" ca="1" si="107"/>
        <v>20.684677803177475</v>
      </c>
      <c r="Y474" s="697">
        <v>20.562686002199467</v>
      </c>
      <c r="Z474" s="697">
        <f t="shared" ca="1" si="108"/>
        <v>15.366110393028141</v>
      </c>
    </row>
    <row r="475" spans="2:26" ht="13.2">
      <c r="B475" s="166">
        <f t="shared" si="109"/>
        <v>45457</v>
      </c>
      <c r="C475"/>
      <c r="G475" s="706">
        <v>18.04837962176606</v>
      </c>
      <c r="H475" s="706">
        <v>60.657117578434466</v>
      </c>
      <c r="I475" s="697">
        <f t="shared" ca="1" si="102"/>
        <v>342.53985194422665</v>
      </c>
      <c r="J475" s="706">
        <v>26.112838850962223</v>
      </c>
      <c r="K475" s="706">
        <v>8.8591764914367541</v>
      </c>
      <c r="L475" s="697">
        <f t="shared" ca="1" si="103"/>
        <v>15.420000037248862</v>
      </c>
      <c r="M475" s="1185">
        <v>6.6264222376774606</v>
      </c>
      <c r="N475" s="697">
        <f t="shared" ca="1" si="104"/>
        <v>8.1842553963144997</v>
      </c>
      <c r="O475" s="697"/>
      <c r="P475" s="697"/>
      <c r="Q475" s="697"/>
      <c r="R475" s="706">
        <v>5.3844866721864539</v>
      </c>
      <c r="S475" s="697">
        <f t="shared" ca="1" si="105"/>
        <v>6.2754980846405033</v>
      </c>
      <c r="T475" s="1152">
        <v>58.700931725283624</v>
      </c>
      <c r="U475" s="697">
        <f t="shared" ca="1" si="106"/>
        <v>65.1084081344151</v>
      </c>
      <c r="V475" s="697">
        <f t="shared" ca="1" si="110"/>
        <v>41.021279401540347</v>
      </c>
      <c r="W475" s="697">
        <v>18.04837962176606</v>
      </c>
      <c r="X475" s="697">
        <f t="shared" ca="1" si="107"/>
        <v>20.684677803177475</v>
      </c>
      <c r="Y475" s="697">
        <v>20.628127852028619</v>
      </c>
      <c r="Z475" s="697">
        <f t="shared" ca="1" si="108"/>
        <v>15.366110393028141</v>
      </c>
    </row>
    <row r="476" spans="2:26" ht="13.2">
      <c r="B476" s="166">
        <f t="shared" si="109"/>
        <v>45464</v>
      </c>
      <c r="C476"/>
      <c r="G476" s="706">
        <v>18.154900254045931</v>
      </c>
      <c r="H476" s="706">
        <v>58.066123948271418</v>
      </c>
      <c r="I476" s="697">
        <f t="shared" ca="1" si="102"/>
        <v>342.53985194422665</v>
      </c>
      <c r="J476" s="706">
        <v>26.353500924017574</v>
      </c>
      <c r="K476" s="706">
        <v>8.4760033843315163</v>
      </c>
      <c r="L476" s="697">
        <f t="shared" ca="1" si="103"/>
        <v>15.420000037248862</v>
      </c>
      <c r="M476" s="1185">
        <v>6.6605590565271813</v>
      </c>
      <c r="N476" s="697">
        <f t="shared" ca="1" si="104"/>
        <v>8.1842553963144997</v>
      </c>
      <c r="O476" s="697"/>
      <c r="P476" s="697"/>
      <c r="Q476" s="697"/>
      <c r="R476" s="706">
        <v>5.4195078027610739</v>
      </c>
      <c r="S476" s="697">
        <f t="shared" ca="1" si="105"/>
        <v>6.2754980846405033</v>
      </c>
      <c r="T476" s="1152">
        <v>56.009575617355772</v>
      </c>
      <c r="U476" s="697">
        <f t="shared" ca="1" si="106"/>
        <v>65.1084081344151</v>
      </c>
      <c r="V476" s="697">
        <f t="shared" ca="1" si="110"/>
        <v>41.021279401540347</v>
      </c>
      <c r="W476" s="697">
        <v>18.154900254045899</v>
      </c>
      <c r="X476" s="697">
        <f t="shared" ca="1" si="107"/>
        <v>20.684677803177475</v>
      </c>
      <c r="Y476" s="697">
        <v>20.165687290191137</v>
      </c>
      <c r="Z476" s="697">
        <f t="shared" ca="1" si="108"/>
        <v>15.366110393028141</v>
      </c>
    </row>
    <row r="477" spans="2:26" ht="13.2">
      <c r="B477" s="166">
        <f t="shared" si="109"/>
        <v>45471</v>
      </c>
      <c r="C477"/>
      <c r="G477" s="706">
        <v>18.222858832659377</v>
      </c>
      <c r="H477" s="706">
        <v>58.754051183006816</v>
      </c>
      <c r="I477" s="697">
        <f t="shared" ca="1" si="102"/>
        <v>342.53985194422665</v>
      </c>
      <c r="J477" s="706">
        <v>31.213150841157567</v>
      </c>
      <c r="K477" s="706">
        <v>8.5925478274947089</v>
      </c>
      <c r="L477" s="697">
        <f t="shared" ca="1" si="103"/>
        <v>15.420000037248862</v>
      </c>
      <c r="M477" s="1185">
        <v>6.7816548518916173</v>
      </c>
      <c r="N477" s="697">
        <f t="shared" ca="1" si="104"/>
        <v>8.1842553963144997</v>
      </c>
      <c r="O477" s="697"/>
      <c r="P477" s="697"/>
      <c r="Q477" s="697"/>
      <c r="R477" s="706">
        <v>5.424403758165858</v>
      </c>
      <c r="S477" s="697">
        <f t="shared" ca="1" si="105"/>
        <v>6.2754980846405033</v>
      </c>
      <c r="T477" s="1152">
        <v>55.670248254025651</v>
      </c>
      <c r="U477" s="697">
        <f t="shared" ca="1" si="106"/>
        <v>65.1084081344151</v>
      </c>
      <c r="V477" s="697">
        <f t="shared" ca="1" si="110"/>
        <v>41.021279401540347</v>
      </c>
      <c r="W477" s="697">
        <v>18.373892160427403</v>
      </c>
      <c r="X477" s="697">
        <f t="shared" ca="1" si="107"/>
        <v>20.684677803177475</v>
      </c>
      <c r="Y477" s="697">
        <v>20.965885332154066</v>
      </c>
      <c r="Z477" s="697">
        <f t="shared" ca="1" si="108"/>
        <v>15.366110393028141</v>
      </c>
    </row>
    <row r="478" spans="2:26" ht="13.2">
      <c r="B478" s="166">
        <f t="shared" si="109"/>
        <v>45478</v>
      </c>
      <c r="C478"/>
      <c r="G478" s="706">
        <v>18.223922034685522</v>
      </c>
      <c r="H478" s="706">
        <v>59.856862178136602</v>
      </c>
      <c r="I478" s="697">
        <f t="shared" ca="1" si="102"/>
        <v>342.53985194422665</v>
      </c>
      <c r="J478" s="706">
        <v>31.271573256722995</v>
      </c>
      <c r="K478" s="706">
        <v>8.7730763722258889</v>
      </c>
      <c r="L478" s="697">
        <f t="shared" ca="1" si="103"/>
        <v>15.420000037248862</v>
      </c>
      <c r="M478" s="1185">
        <v>6.8499134169702032</v>
      </c>
      <c r="N478" s="697">
        <f t="shared" ca="1" si="104"/>
        <v>8.1842553963144997</v>
      </c>
      <c r="O478" s="697"/>
      <c r="P478" s="697"/>
      <c r="Q478" s="697"/>
      <c r="R478" s="706">
        <v>5.4869529585915782</v>
      </c>
      <c r="S478" s="697">
        <f t="shared" ca="1" si="105"/>
        <v>6.2754980846405033</v>
      </c>
      <c r="T478" s="1152">
        <v>56.664010738252493</v>
      </c>
      <c r="U478" s="697">
        <f t="shared" ca="1" si="106"/>
        <v>65.1084081344151</v>
      </c>
      <c r="V478" s="697">
        <f t="shared" ca="1" si="110"/>
        <v>41.021279401540347</v>
      </c>
      <c r="W478" s="697">
        <v>18.360524325129088</v>
      </c>
      <c r="X478" s="697">
        <f t="shared" ca="1" si="107"/>
        <v>20.684677803177475</v>
      </c>
      <c r="Y478" s="697">
        <v>20.959971416353607</v>
      </c>
      <c r="Z478" s="697">
        <f t="shared" ca="1" si="108"/>
        <v>15.366110393028141</v>
      </c>
    </row>
    <row r="479" spans="2:26" ht="13.2">
      <c r="B479" s="166">
        <f t="shared" si="109"/>
        <v>45485</v>
      </c>
      <c r="C479"/>
      <c r="G479" s="706">
        <v>17.87572943629748</v>
      </c>
      <c r="H479" s="706">
        <v>57.068073003160514</v>
      </c>
      <c r="I479" s="697">
        <f t="shared" ca="1" si="102"/>
        <v>342.53985194422665</v>
      </c>
      <c r="J479" s="706">
        <v>30.70957204966976</v>
      </c>
      <c r="K479" s="706">
        <v>8.3800693406357745</v>
      </c>
      <c r="L479" s="697">
        <f t="shared" ca="1" si="103"/>
        <v>15.420000037248862</v>
      </c>
      <c r="M479" s="1185">
        <v>6.81190329439585</v>
      </c>
      <c r="N479" s="697">
        <f t="shared" ca="1" si="104"/>
        <v>8.1842553963144997</v>
      </c>
      <c r="O479" s="697"/>
      <c r="P479" s="697"/>
      <c r="Q479" s="697"/>
      <c r="R479" s="706">
        <v>5.3594279953285886</v>
      </c>
      <c r="S479" s="697">
        <f t="shared" ca="1" si="105"/>
        <v>6.2754980846405033</v>
      </c>
      <c r="T479" s="1152">
        <v>53.993029993186809</v>
      </c>
      <c r="U479" s="697">
        <f t="shared" ca="1" si="106"/>
        <v>65.1084081344151</v>
      </c>
      <c r="V479" s="697">
        <f t="shared" ca="1" si="110"/>
        <v>41.021279401540347</v>
      </c>
      <c r="W479" s="697">
        <v>18.008796829550732</v>
      </c>
      <c r="X479" s="697">
        <f t="shared" ca="1" si="107"/>
        <v>20.684677803177475</v>
      </c>
      <c r="Y479" s="697">
        <v>20.771138411601886</v>
      </c>
      <c r="Z479" s="697">
        <f t="shared" ca="1" si="108"/>
        <v>15.366110393028141</v>
      </c>
    </row>
    <row r="480" spans="2:26" ht="13.2">
      <c r="B480" s="166">
        <f t="shared" si="109"/>
        <v>45492</v>
      </c>
      <c r="C480"/>
      <c r="G480" s="1572">
        <v>17.27397627247127</v>
      </c>
      <c r="H480" s="1572">
        <v>55.477137639691975</v>
      </c>
      <c r="I480" s="697">
        <f t="shared" ca="1" si="102"/>
        <v>342.53985194422665</v>
      </c>
      <c r="J480" s="706">
        <v>29.391172232792456</v>
      </c>
      <c r="K480" s="706">
        <v>8.212681081545929</v>
      </c>
      <c r="L480" s="697">
        <f t="shared" ca="1" si="103"/>
        <v>15.420000037248862</v>
      </c>
      <c r="M480" s="1185">
        <v>6.7397337547461476</v>
      </c>
      <c r="N480" s="697">
        <f t="shared" ca="1" si="104"/>
        <v>8.1842553963144997</v>
      </c>
      <c r="O480" s="697"/>
      <c r="P480" s="697"/>
      <c r="Q480" s="697"/>
      <c r="R480" s="706">
        <v>5.2372423944119255</v>
      </c>
      <c r="S480" s="697">
        <f t="shared" ca="1" si="105"/>
        <v>6.2754980846405033</v>
      </c>
      <c r="T480" s="1152">
        <v>52.123318349796605</v>
      </c>
      <c r="U480" s="697">
        <f t="shared" ca="1" si="106"/>
        <v>65.1084081344151</v>
      </c>
      <c r="V480" s="697">
        <f t="shared" ca="1" si="110"/>
        <v>41.021279401540347</v>
      </c>
      <c r="W480" s="697">
        <v>17.27397627247127</v>
      </c>
      <c r="X480" s="697">
        <f t="shared" ca="1" si="107"/>
        <v>20.684677803177475</v>
      </c>
      <c r="Y480" s="697">
        <v>20.598787257700739</v>
      </c>
      <c r="Z480" s="697">
        <f t="shared" ca="1" si="108"/>
        <v>15.366110393028141</v>
      </c>
    </row>
    <row r="481" spans="2:26" ht="13.2">
      <c r="B481" s="166">
        <f t="shared" si="109"/>
        <v>45499</v>
      </c>
      <c r="C481"/>
      <c r="G481" s="1572">
        <v>16.462455429983617</v>
      </c>
      <c r="H481" s="1572">
        <v>51.801663408969461</v>
      </c>
      <c r="I481" s="697">
        <f t="shared" ca="1" si="102"/>
        <v>342.53985194422665</v>
      </c>
      <c r="J481" s="706">
        <v>27.916438403172265</v>
      </c>
      <c r="K481" s="706">
        <v>7.730764687697417</v>
      </c>
      <c r="L481" s="697">
        <f t="shared" ca="1" si="103"/>
        <v>15.420000037248862</v>
      </c>
      <c r="M481" s="1185">
        <v>6.8103658460285414</v>
      </c>
      <c r="N481" s="697">
        <f t="shared" ca="1" si="104"/>
        <v>8.1842553963144997</v>
      </c>
      <c r="O481" s="697"/>
      <c r="P481" s="697"/>
      <c r="Q481" s="697"/>
      <c r="R481" s="706">
        <v>5.0272462726182514</v>
      </c>
      <c r="S481" s="697">
        <f t="shared" ca="1" si="105"/>
        <v>6.2754980846405033</v>
      </c>
      <c r="T481" s="1152">
        <v>48.946119349629079</v>
      </c>
      <c r="U481" s="697">
        <f t="shared" ca="1" si="106"/>
        <v>65.1084081344151</v>
      </c>
      <c r="V481" s="697">
        <f t="shared" ca="1" si="110"/>
        <v>41.021279401540347</v>
      </c>
      <c r="W481" s="697">
        <v>16.462455429983617</v>
      </c>
      <c r="X481" s="697">
        <f t="shared" ca="1" si="107"/>
        <v>20.684677803177475</v>
      </c>
      <c r="Y481" s="697">
        <v>20.678779077368475</v>
      </c>
      <c r="Z481" s="697">
        <f t="shared" ca="1" si="108"/>
        <v>15.366110393028141</v>
      </c>
    </row>
    <row r="482" spans="2:26" ht="13.2">
      <c r="B482" s="166">
        <f t="shared" si="109"/>
        <v>45506</v>
      </c>
      <c r="C482"/>
      <c r="G482" s="1572">
        <v>14.952876021633061</v>
      </c>
      <c r="H482" s="1572">
        <v>46.825388359086297</v>
      </c>
      <c r="I482" s="697">
        <f t="shared" ca="1" si="102"/>
        <v>342.53985194422665</v>
      </c>
      <c r="J482" s="706">
        <v>25.921593246589207</v>
      </c>
      <c r="K482" s="706">
        <v>6.9559028894843156</v>
      </c>
      <c r="L482" s="697">
        <f t="shared" ca="1" si="103"/>
        <v>15.420000037248862</v>
      </c>
      <c r="M482" s="1185">
        <v>6.6287629762954845</v>
      </c>
      <c r="N482" s="697">
        <f t="shared" ca="1" si="104"/>
        <v>8.1842553963144997</v>
      </c>
      <c r="O482" s="697"/>
      <c r="P482" s="697"/>
      <c r="Q482" s="697"/>
      <c r="R482" s="706">
        <v>4.6581507897633729</v>
      </c>
      <c r="S482" s="697">
        <f t="shared" ca="1" si="105"/>
        <v>6.2754980846405033</v>
      </c>
      <c r="T482" s="1152">
        <v>43.886477770547486</v>
      </c>
      <c r="U482" s="697">
        <f t="shared" ca="1" si="106"/>
        <v>65.1084081344151</v>
      </c>
      <c r="V482" s="697">
        <f t="shared" ca="1" si="110"/>
        <v>41.021279401540347</v>
      </c>
      <c r="W482" s="697">
        <v>14.952876021633061</v>
      </c>
      <c r="X482" s="697">
        <f t="shared" ca="1" si="107"/>
        <v>20.684677803177475</v>
      </c>
      <c r="Y482" s="697">
        <v>18.773921093702636</v>
      </c>
      <c r="Z482" s="697">
        <f t="shared" ca="1" si="108"/>
        <v>15.366110393028141</v>
      </c>
    </row>
    <row r="483" spans="2:26" ht="13.2">
      <c r="B483" s="166">
        <f t="shared" si="109"/>
        <v>45513</v>
      </c>
      <c r="C483"/>
      <c r="G483" s="1572">
        <v>15.609636238446493</v>
      </c>
      <c r="H483" s="1572">
        <v>55.366008865751809</v>
      </c>
      <c r="I483" s="697">
        <f t="shared" ca="1" si="102"/>
        <v>342.53985194422665</v>
      </c>
      <c r="J483" s="706">
        <v>27.265888405047324</v>
      </c>
      <c r="K483" s="706">
        <v>8.8467015699941225</v>
      </c>
      <c r="L483" s="697">
        <f t="shared" ca="1" si="103"/>
        <v>15.420000037248862</v>
      </c>
      <c r="M483" s="1185">
        <v>6.6337464907713466</v>
      </c>
      <c r="N483" s="697">
        <f t="shared" ca="1" si="104"/>
        <v>8.1842553963144997</v>
      </c>
      <c r="O483" s="697"/>
      <c r="P483" s="697"/>
      <c r="Q483" s="697"/>
      <c r="R483" s="706">
        <v>4.9877783085967762</v>
      </c>
      <c r="S483" s="697">
        <f t="shared" ca="1" si="105"/>
        <v>6.2754980846405033</v>
      </c>
      <c r="T483" s="1152">
        <v>52.616420126659413</v>
      </c>
      <c r="U483" s="697">
        <f t="shared" ca="1" si="106"/>
        <v>65.1084081344151</v>
      </c>
      <c r="V483" s="697">
        <f t="shared" ca="1" si="110"/>
        <v>41.021279401540347</v>
      </c>
      <c r="W483" s="697">
        <v>15.609636238446493</v>
      </c>
      <c r="X483" s="697">
        <f t="shared" ca="1" si="107"/>
        <v>20.684677803177475</v>
      </c>
      <c r="Y483" s="697">
        <v>19.037751738698329</v>
      </c>
      <c r="Z483" s="697">
        <f t="shared" ca="1" si="108"/>
        <v>15.366110393028141</v>
      </c>
    </row>
    <row r="484" spans="2:26" ht="13.2">
      <c r="B484" s="166">
        <f t="shared" si="109"/>
        <v>45520</v>
      </c>
      <c r="C484"/>
      <c r="G484" s="1572">
        <v>16.136391544065532</v>
      </c>
      <c r="H484" s="1572">
        <v>58.948757438475241</v>
      </c>
      <c r="I484" s="697">
        <f t="shared" ca="1" si="102"/>
        <v>342.53985194422665</v>
      </c>
      <c r="J484" s="706">
        <v>28.098825258603686</v>
      </c>
      <c r="K484" s="706">
        <v>9.4811784175415852</v>
      </c>
      <c r="L484" s="697">
        <f t="shared" ca="1" si="103"/>
        <v>15.420000037248862</v>
      </c>
      <c r="M484" s="1185">
        <v>6.8404871316523943</v>
      </c>
      <c r="N484" s="697">
        <f t="shared" ca="1" si="104"/>
        <v>8.1842553963144997</v>
      </c>
      <c r="O484" s="697"/>
      <c r="P484" s="697"/>
      <c r="Q484" s="697"/>
      <c r="R484" s="706">
        <v>5.1440823723973494</v>
      </c>
      <c r="S484" s="697">
        <f t="shared" ca="1" si="105"/>
        <v>6.2754980846405033</v>
      </c>
      <c r="T484" s="1152">
        <v>56.798958296328344</v>
      </c>
      <c r="U484" s="697">
        <f t="shared" ca="1" si="106"/>
        <v>65.1084081344151</v>
      </c>
      <c r="V484" s="697">
        <f t="shared" ca="1" si="110"/>
        <v>41.021279401540347</v>
      </c>
      <c r="W484" s="697">
        <v>16.136391544065532</v>
      </c>
      <c r="X484" s="697">
        <f t="shared" ca="1" si="107"/>
        <v>20.684677803177475</v>
      </c>
      <c r="Y484" s="697">
        <v>19.693891373130398</v>
      </c>
      <c r="Z484" s="697">
        <f t="shared" ca="1" si="108"/>
        <v>15.366110393028141</v>
      </c>
    </row>
    <row r="485" spans="2:26" ht="13.2">
      <c r="B485" s="166">
        <f t="shared" si="109"/>
        <v>45527</v>
      </c>
      <c r="C485"/>
      <c r="G485" s="1572">
        <v>16.543106083646339</v>
      </c>
      <c r="H485" s="1572">
        <v>59.97891993830379</v>
      </c>
      <c r="I485" s="697">
        <f t="shared" ca="1" si="102"/>
        <v>342.53985194422665</v>
      </c>
      <c r="J485" s="706">
        <v>28.725447770378679</v>
      </c>
      <c r="K485" s="706">
        <v>9.6760731944477492</v>
      </c>
      <c r="L485" s="697">
        <f t="shared" ca="1" si="103"/>
        <v>15.420000037248862</v>
      </c>
      <c r="M485" s="1185">
        <v>6.8555017962756741</v>
      </c>
      <c r="N485" s="697">
        <f t="shared" ca="1" si="104"/>
        <v>8.1842553963144997</v>
      </c>
      <c r="O485" s="697"/>
      <c r="P485" s="697"/>
      <c r="Q485" s="697"/>
      <c r="R485" s="706">
        <v>5.269791484552603</v>
      </c>
      <c r="S485" s="697">
        <f t="shared" ca="1" si="105"/>
        <v>6.2754980846405033</v>
      </c>
      <c r="T485" s="1152">
        <v>57.865370987423908</v>
      </c>
      <c r="U485" s="697">
        <f t="shared" ca="1" si="106"/>
        <v>65.1084081344151</v>
      </c>
      <c r="V485" s="697">
        <f t="shared" ca="1" si="110"/>
        <v>41.021279401540347</v>
      </c>
      <c r="W485" s="697">
        <v>16.543106083646339</v>
      </c>
      <c r="X485" s="697">
        <f t="shared" ca="1" si="107"/>
        <v>20.684677803177475</v>
      </c>
      <c r="Y485" s="697">
        <v>19.675981966808557</v>
      </c>
      <c r="Z485" s="697">
        <f t="shared" ca="1" si="108"/>
        <v>15.366110393028141</v>
      </c>
    </row>
    <row r="486" spans="2:26" ht="13.2">
      <c r="B486" s="166">
        <f t="shared" si="109"/>
        <v>45534</v>
      </c>
      <c r="C486"/>
      <c r="G486" s="1572">
        <v>16.433139190044013</v>
      </c>
      <c r="H486" s="1572">
        <v>58.126755250261688</v>
      </c>
      <c r="I486" s="697">
        <f t="shared" ca="1" si="102"/>
        <v>342.53985194422665</v>
      </c>
      <c r="J486" s="706">
        <v>28.476060702577609</v>
      </c>
      <c r="K486" s="706">
        <v>9.3705909433122745</v>
      </c>
      <c r="L486" s="697">
        <f t="shared" ca="1" si="103"/>
        <v>15.420000037248862</v>
      </c>
      <c r="M486" s="1185">
        <v>6.9100932989351342</v>
      </c>
      <c r="N486" s="697">
        <f t="shared" ca="1" si="104"/>
        <v>8.1842553963144997</v>
      </c>
      <c r="O486" s="697"/>
      <c r="P486" s="697"/>
      <c r="Q486" s="697"/>
      <c r="R486" s="706">
        <v>5.2333837588218968</v>
      </c>
      <c r="S486" s="697">
        <f t="shared" ca="1" si="105"/>
        <v>6.2754980846405033</v>
      </c>
      <c r="T486" s="1152">
        <v>55.941536217827732</v>
      </c>
      <c r="U486" s="697">
        <f t="shared" ca="1" si="106"/>
        <v>65.1084081344151</v>
      </c>
      <c r="V486" s="697">
        <f t="shared" ca="1" si="110"/>
        <v>41.021279401540347</v>
      </c>
      <c r="W486" s="697">
        <v>16.433139190044013</v>
      </c>
      <c r="X486" s="697">
        <f t="shared" ca="1" si="107"/>
        <v>20.684677803177475</v>
      </c>
      <c r="Y486" s="697">
        <v>19.550433776088948</v>
      </c>
      <c r="Z486" s="697">
        <f t="shared" ca="1" si="108"/>
        <v>15.366110393028141</v>
      </c>
    </row>
    <row r="487" spans="2:26" ht="13.2">
      <c r="B487" s="166">
        <f t="shared" si="109"/>
        <v>45541</v>
      </c>
      <c r="C487"/>
      <c r="G487" s="1572">
        <v>15.557931816227615</v>
      </c>
      <c r="H487" s="1572">
        <v>52.515299459854951</v>
      </c>
      <c r="I487" s="697">
        <f t="shared" ca="1" si="102"/>
        <v>342.53985194422665</v>
      </c>
      <c r="J487" s="706">
        <v>26.834831671016847</v>
      </c>
      <c r="K487" s="706">
        <v>8.4274792487429693</v>
      </c>
      <c r="L487" s="697">
        <f t="shared" ca="1" si="103"/>
        <v>15.420000037248862</v>
      </c>
      <c r="M487" s="1185">
        <v>6.6650620816417474</v>
      </c>
      <c r="N487" s="697">
        <f t="shared" ca="1" si="104"/>
        <v>8.1842553963144997</v>
      </c>
      <c r="O487" s="697"/>
      <c r="P487" s="697"/>
      <c r="Q487" s="697"/>
      <c r="R487" s="706">
        <v>4.9443711983077403</v>
      </c>
      <c r="S487" s="697">
        <f t="shared" ca="1" si="105"/>
        <v>6.2754980846405033</v>
      </c>
      <c r="T487" s="1152">
        <v>49.818687058623105</v>
      </c>
      <c r="U487" s="697">
        <f t="shared" ca="1" si="106"/>
        <v>65.1084081344151</v>
      </c>
      <c r="V487" s="697">
        <f t="shared" ca="1" si="110"/>
        <v>41.021279401540347</v>
      </c>
      <c r="W487" s="697">
        <v>15.557931816227615</v>
      </c>
      <c r="X487" s="697">
        <f t="shared" ca="1" si="107"/>
        <v>20.684677803177475</v>
      </c>
      <c r="Y487" s="697">
        <v>18.683149148653317</v>
      </c>
      <c r="Z487" s="697">
        <f t="shared" ca="1" si="108"/>
        <v>15.366110393028141</v>
      </c>
    </row>
    <row r="488" spans="2:26" ht="13.2">
      <c r="B488" s="166">
        <f t="shared" si="109"/>
        <v>45548</v>
      </c>
      <c r="C488"/>
      <c r="G488" s="1572">
        <v>16.356599091501693</v>
      </c>
      <c r="H488" s="1572">
        <v>56.463104381225172</v>
      </c>
      <c r="I488" s="697">
        <f t="shared" ca="1" si="102"/>
        <v>342.53985194422665</v>
      </c>
      <c r="J488" s="706">
        <v>28.182459269165619</v>
      </c>
      <c r="K488" s="706">
        <v>9.0937310346167095</v>
      </c>
      <c r="L488" s="697">
        <f t="shared" ca="1" si="103"/>
        <v>15.420000037248862</v>
      </c>
      <c r="M488" s="1185">
        <v>6.6428982562588601</v>
      </c>
      <c r="N488" s="697">
        <f t="shared" ca="1" si="104"/>
        <v>8.1842553963144997</v>
      </c>
      <c r="O488" s="697"/>
      <c r="P488" s="697"/>
      <c r="Q488" s="697"/>
      <c r="R488" s="706">
        <v>5.2041101885141385</v>
      </c>
      <c r="S488" s="697">
        <f t="shared" ca="1" si="105"/>
        <v>6.2754980846405033</v>
      </c>
      <c r="T488" s="1152">
        <v>53.429504698035949</v>
      </c>
      <c r="U488" s="697">
        <f t="shared" ca="1" si="106"/>
        <v>65.1084081344151</v>
      </c>
      <c r="V488" s="697">
        <f t="shared" ca="1" si="110"/>
        <v>41.021279401540347</v>
      </c>
      <c r="W488" s="697">
        <v>16.356599091501693</v>
      </c>
      <c r="X488" s="697">
        <f t="shared" ca="1" si="107"/>
        <v>20.684677803177475</v>
      </c>
      <c r="Y488" s="697">
        <v>18.572933526103412</v>
      </c>
      <c r="Z488" s="697">
        <f t="shared" ca="1" si="108"/>
        <v>15.366110393028141</v>
      </c>
    </row>
    <row r="489" spans="2:26" ht="13.2">
      <c r="B489" s="166">
        <f t="shared" si="109"/>
        <v>45555</v>
      </c>
      <c r="C489"/>
      <c r="G489" s="1572">
        <v>17.139080314728261</v>
      </c>
      <c r="H489" s="1572">
        <v>60.830874636237631</v>
      </c>
      <c r="I489" s="697">
        <f t="shared" ca="1" si="102"/>
        <v>342.53985194422665</v>
      </c>
      <c r="J489" s="706">
        <v>29.589860389103713</v>
      </c>
      <c r="K489" s="706">
        <v>9.8657536300652549</v>
      </c>
      <c r="L489" s="697">
        <f t="shared" ca="1" si="103"/>
        <v>15.420000037248862</v>
      </c>
      <c r="M489" s="1185">
        <v>6.6899551299963411</v>
      </c>
      <c r="N489" s="697">
        <f t="shared" ca="1" si="104"/>
        <v>8.1842553963144997</v>
      </c>
      <c r="O489" s="697"/>
      <c r="P489" s="697"/>
      <c r="Q489" s="697"/>
      <c r="R489" s="706">
        <v>5.478045014280454</v>
      </c>
      <c r="S489" s="697">
        <f t="shared" ca="1" si="105"/>
        <v>6.2754980846405033</v>
      </c>
      <c r="T489" s="1152">
        <v>57.870559270481465</v>
      </c>
      <c r="U489" s="697">
        <f t="shared" ca="1" si="106"/>
        <v>65.1084081344151</v>
      </c>
      <c r="V489" s="697">
        <f t="shared" ca="1" si="110"/>
        <v>41.021279401540347</v>
      </c>
      <c r="W489" s="697">
        <v>17.139080314728261</v>
      </c>
      <c r="X489" s="697">
        <f t="shared" ca="1" si="107"/>
        <v>20.684677803177475</v>
      </c>
      <c r="Y489" s="697">
        <v>18.936543484311414</v>
      </c>
      <c r="Z489" s="697">
        <f t="shared" ca="1" si="108"/>
        <v>15.366110393028141</v>
      </c>
    </row>
    <row r="490" spans="2:26" ht="13.2">
      <c r="B490" s="166">
        <f t="shared" si="109"/>
        <v>45562</v>
      </c>
      <c r="C490"/>
      <c r="G490" s="1572">
        <v>17.363958546292857</v>
      </c>
      <c r="H490" s="1572">
        <v>60.609098098208769</v>
      </c>
      <c r="I490" s="697">
        <f t="shared" ca="1" si="102"/>
        <v>342.53985194422665</v>
      </c>
      <c r="J490" s="706">
        <v>29.655631078978914</v>
      </c>
      <c r="K490" s="706">
        <v>9.9345660848643149</v>
      </c>
      <c r="L490" s="697">
        <f t="shared" ca="1" si="103"/>
        <v>15.420000037248862</v>
      </c>
      <c r="M490" s="1185">
        <v>6.8136026221555825</v>
      </c>
      <c r="N490" s="697">
        <f t="shared" ca="1" si="104"/>
        <v>8.1842553963144997</v>
      </c>
      <c r="O490" s="697"/>
      <c r="P490" s="697"/>
      <c r="Q490" s="697"/>
      <c r="R490" s="706">
        <v>5.5290566514321142</v>
      </c>
      <c r="S490" s="697">
        <f t="shared" ca="1" si="105"/>
        <v>6.2754980846405033</v>
      </c>
      <c r="T490" s="1152">
        <v>58.178181510712143</v>
      </c>
      <c r="U490" s="697">
        <f t="shared" ca="1" si="106"/>
        <v>65.1084081344151</v>
      </c>
      <c r="V490" s="697">
        <f t="shared" ca="1" si="110"/>
        <v>41.021279401540347</v>
      </c>
      <c r="W490" s="697">
        <v>17.363958546292857</v>
      </c>
      <c r="X490" s="697">
        <f t="shared" ca="1" si="107"/>
        <v>20.684677803177475</v>
      </c>
      <c r="Y490" s="697">
        <v>19.081509551250566</v>
      </c>
      <c r="Z490" s="697">
        <f t="shared" ca="1" si="108"/>
        <v>15.366110393028141</v>
      </c>
    </row>
    <row r="491" spans="2:26" ht="13.2">
      <c r="B491" s="166">
        <f t="shared" si="109"/>
        <v>45569</v>
      </c>
      <c r="C491"/>
      <c r="G491" s="1572">
        <v>17.397879041049578</v>
      </c>
      <c r="H491" s="1572">
        <v>62.818464772505408</v>
      </c>
      <c r="I491" s="697">
        <f t="shared" ca="1" si="102"/>
        <v>342.53985194422665</v>
      </c>
      <c r="J491" s="706">
        <v>29.863853272837602</v>
      </c>
      <c r="K491" s="706">
        <v>10.316801439211275</v>
      </c>
      <c r="L491" s="697">
        <f t="shared" ca="1" si="103"/>
        <v>15.420000037248862</v>
      </c>
      <c r="M491" s="1185">
        <v>6.6503733072033349</v>
      </c>
      <c r="N491" s="697">
        <f t="shared" ca="1" si="104"/>
        <v>8.1842553963144997</v>
      </c>
      <c r="O491" s="697"/>
      <c r="P491" s="697"/>
      <c r="Q491" s="697"/>
      <c r="R491" s="706">
        <v>5.5967487661162583</v>
      </c>
      <c r="S491" s="697">
        <f t="shared" ca="1" si="105"/>
        <v>6.2754980846405033</v>
      </c>
      <c r="T491" s="1152">
        <v>60.260516103974822</v>
      </c>
      <c r="U491" s="697">
        <f t="shared" ca="1" si="106"/>
        <v>65.1084081344151</v>
      </c>
      <c r="V491" s="697">
        <f t="shared" ca="1" si="110"/>
        <v>41.021279401540347</v>
      </c>
      <c r="W491" s="697">
        <v>17.397879041049578</v>
      </c>
      <c r="X491" s="697">
        <f t="shared" ca="1" si="107"/>
        <v>20.684677803177475</v>
      </c>
      <c r="Y491" s="697">
        <v>18.39449391373012</v>
      </c>
      <c r="Z491" s="697">
        <f t="shared" ca="1" si="108"/>
        <v>15.366110393028141</v>
      </c>
    </row>
    <row r="492" spans="2:26" ht="13.2">
      <c r="B492" s="166">
        <f t="shared" si="109"/>
        <v>45576</v>
      </c>
      <c r="C492"/>
      <c r="G492" s="1572">
        <v>17.859013210372694</v>
      </c>
      <c r="H492" s="1572">
        <v>63.064031584139833</v>
      </c>
      <c r="I492" s="697">
        <f t="shared" ca="1" si="102"/>
        <v>342.53985194422665</v>
      </c>
      <c r="J492" s="706">
        <v>30.466405171536817</v>
      </c>
      <c r="K492" s="706">
        <v>10.36692980812372</v>
      </c>
      <c r="L492" s="697">
        <f t="shared" ca="1" si="103"/>
        <v>15.420000037248862</v>
      </c>
      <c r="M492" s="1185">
        <v>6.6837434863490204</v>
      </c>
      <c r="N492" s="697">
        <f t="shared" ca="1" si="104"/>
        <v>8.1842553963144997</v>
      </c>
      <c r="O492" s="697"/>
      <c r="P492" s="697"/>
      <c r="Q492" s="697"/>
      <c r="R492" s="706">
        <v>5.7043084882175261</v>
      </c>
      <c r="S492" s="697">
        <f t="shared" ca="1" si="105"/>
        <v>6.2754980846405033</v>
      </c>
      <c r="T492" s="1152">
        <v>60.459288124105946</v>
      </c>
      <c r="U492" s="697">
        <f t="shared" ca="1" si="106"/>
        <v>65.1084081344151</v>
      </c>
      <c r="V492" s="697">
        <f t="shared" ca="1" si="110"/>
        <v>41.021279401540347</v>
      </c>
      <c r="W492" s="697">
        <v>17.859013210372694</v>
      </c>
      <c r="X492" s="697">
        <f t="shared" ca="1" si="107"/>
        <v>20.684677803177475</v>
      </c>
      <c r="Y492" s="697">
        <v>18.456183721871128</v>
      </c>
      <c r="Z492" s="697">
        <f t="shared" ca="1" si="108"/>
        <v>15.366110393028141</v>
      </c>
    </row>
    <row r="493" spans="2:26" ht="13.2">
      <c r="B493" s="166">
        <f t="shared" si="109"/>
        <v>45583</v>
      </c>
      <c r="C493"/>
      <c r="G493" s="1572">
        <v>17.751248900030006</v>
      </c>
      <c r="H493" s="1572">
        <v>62.410348342287399</v>
      </c>
      <c r="I493" s="697">
        <f t="shared" ca="1" si="102"/>
        <v>342.53985194422665</v>
      </c>
      <c r="J493" s="706">
        <v>30.29686060759596</v>
      </c>
      <c r="K493" s="706">
        <v>10.269653606433442</v>
      </c>
      <c r="L493" s="697">
        <f t="shared" ca="1" si="103"/>
        <v>15.420000037248862</v>
      </c>
      <c r="M493" s="1185">
        <v>6.7298110344248938</v>
      </c>
      <c r="N493" s="697">
        <f t="shared" ca="1" si="104"/>
        <v>8.1842553963144997</v>
      </c>
      <c r="O493" s="697"/>
      <c r="P493" s="697"/>
      <c r="Q493" s="697"/>
      <c r="R493" s="706">
        <v>5.7006435760267902</v>
      </c>
      <c r="S493" s="697">
        <f t="shared" ca="1" si="105"/>
        <v>6.2754980846405033</v>
      </c>
      <c r="T493" s="1152">
        <v>59.79353899832207</v>
      </c>
      <c r="U493" s="697">
        <f t="shared" ca="1" si="106"/>
        <v>65.1084081344151</v>
      </c>
      <c r="V493" s="697">
        <f t="shared" ca="1" si="110"/>
        <v>41.021279401540347</v>
      </c>
      <c r="W493" s="697">
        <v>17.751248900030006</v>
      </c>
      <c r="X493" s="697">
        <f t="shared" ca="1" si="107"/>
        <v>20.684677803177475</v>
      </c>
      <c r="Y493" s="697">
        <v>18.704502210635383</v>
      </c>
      <c r="Z493" s="697">
        <f t="shared" ca="1" si="108"/>
        <v>15.366110393028141</v>
      </c>
    </row>
    <row r="494" spans="2:26" ht="13.2">
      <c r="B494" s="166">
        <f t="shared" si="109"/>
        <v>45590</v>
      </c>
      <c r="C494"/>
      <c r="G494" s="1572">
        <v>17.429711577545273</v>
      </c>
      <c r="H494" s="1572">
        <v>59.324951842097917</v>
      </c>
      <c r="I494" s="697">
        <f t="shared" ca="1" si="102"/>
        <v>342.53985194422665</v>
      </c>
      <c r="J494" s="706">
        <v>29.622981094161208</v>
      </c>
      <c r="K494" s="706">
        <v>9.7839203008245015</v>
      </c>
      <c r="L494" s="697">
        <f t="shared" ca="1" si="103"/>
        <v>15.420000037248862</v>
      </c>
      <c r="M494" s="1185">
        <v>6.5253461220662814</v>
      </c>
      <c r="N494" s="697">
        <f t="shared" ca="1" si="104"/>
        <v>8.1842553963144997</v>
      </c>
      <c r="O494" s="697"/>
      <c r="P494" s="697"/>
      <c r="Q494" s="697"/>
      <c r="R494" s="706">
        <v>5.6128940042527073</v>
      </c>
      <c r="S494" s="697">
        <f t="shared" ca="1" si="105"/>
        <v>6.2754980846405033</v>
      </c>
      <c r="T494" s="1152">
        <v>56.723246501818728</v>
      </c>
      <c r="U494" s="697">
        <f t="shared" ca="1" si="106"/>
        <v>65.1084081344151</v>
      </c>
      <c r="V494" s="697">
        <f t="shared" ca="1" si="110"/>
        <v>41.021279401540347</v>
      </c>
      <c r="W494" s="697">
        <v>17.429711577545273</v>
      </c>
      <c r="X494" s="697">
        <f t="shared" ca="1" si="107"/>
        <v>20.684677803177475</v>
      </c>
      <c r="Y494" s="697">
        <v>17.88581485440282</v>
      </c>
      <c r="Z494" s="697">
        <f t="shared" ca="1" si="108"/>
        <v>15.366110393028141</v>
      </c>
    </row>
    <row r="495" spans="2:26" ht="13.2">
      <c r="B495" s="166">
        <f t="shared" si="109"/>
        <v>45597</v>
      </c>
      <c r="C495"/>
      <c r="G495" s="1572">
        <v>17.489150271109565</v>
      </c>
      <c r="H495" s="1572">
        <v>58.948245097534375</v>
      </c>
      <c r="I495" s="697">
        <f t="shared" ca="1" si="102"/>
        <v>342.53985194422665</v>
      </c>
      <c r="J495" s="706">
        <v>29.236248732916408</v>
      </c>
      <c r="K495" s="706">
        <v>9.7448339505667843</v>
      </c>
      <c r="L495" s="697">
        <f t="shared" ca="1" si="103"/>
        <v>15.420000037248862</v>
      </c>
      <c r="M495" s="1185">
        <v>6.4910671894268708</v>
      </c>
      <c r="N495" s="697">
        <f t="shared" ca="1" si="104"/>
        <v>8.1842553963144997</v>
      </c>
      <c r="O495" s="697"/>
      <c r="P495" s="697"/>
      <c r="Q495" s="697"/>
      <c r="R495" s="706">
        <v>5.6345769738028268</v>
      </c>
      <c r="S495" s="697">
        <f t="shared" ca="1" si="105"/>
        <v>6.2754980846405033</v>
      </c>
      <c r="T495" s="1152">
        <v>56.408281750104436</v>
      </c>
      <c r="U495" s="697">
        <f t="shared" ca="1" si="106"/>
        <v>65.1084081344151</v>
      </c>
      <c r="V495" s="697">
        <f t="shared" ca="1" si="110"/>
        <v>41.021279401540347</v>
      </c>
      <c r="W495" s="697">
        <v>17.489150271109565</v>
      </c>
      <c r="X495" s="697">
        <f t="shared" ca="1" si="107"/>
        <v>20.684677803177475</v>
      </c>
      <c r="Y495" s="697">
        <v>17.829597799790896</v>
      </c>
      <c r="Z495" s="697">
        <f t="shared" ca="1" si="108"/>
        <v>15.366110393028141</v>
      </c>
    </row>
    <row r="496" spans="2:26" ht="13.2">
      <c r="B496" s="166">
        <f t="shared" si="109"/>
        <v>45604</v>
      </c>
      <c r="C496"/>
      <c r="G496" s="1572">
        <v>18.215374504508244</v>
      </c>
      <c r="H496" s="1572">
        <v>64.77204952236562</v>
      </c>
      <c r="I496" s="697">
        <f t="shared" ca="1" si="102"/>
        <v>342.53985194422665</v>
      </c>
      <c r="J496" s="706">
        <v>30.629676575938035</v>
      </c>
      <c r="K496" s="706">
        <v>10.739521818136966</v>
      </c>
      <c r="L496" s="697">
        <f t="shared" ca="1" si="103"/>
        <v>15.420000037248862</v>
      </c>
      <c r="M496" s="1185">
        <v>6.8520294427035466</v>
      </c>
      <c r="N496" s="697">
        <f t="shared" ca="1" si="104"/>
        <v>8.1842553963144997</v>
      </c>
      <c r="O496" s="697"/>
      <c r="P496" s="697"/>
      <c r="Q496" s="697"/>
      <c r="R496" s="706">
        <v>5.8902328224671621</v>
      </c>
      <c r="S496" s="697">
        <f t="shared" ca="1" si="105"/>
        <v>6.2754980846405033</v>
      </c>
      <c r="T496" s="1152">
        <v>62.073674949433908</v>
      </c>
      <c r="U496" s="697">
        <f t="shared" ca="1" si="106"/>
        <v>65.1084081344151</v>
      </c>
      <c r="V496" s="697">
        <f t="shared" ca="1" si="110"/>
        <v>41.021279401540347</v>
      </c>
      <c r="W496" s="697">
        <v>18.215374504508244</v>
      </c>
      <c r="X496" s="697">
        <f t="shared" ca="1" si="107"/>
        <v>20.684677803177475</v>
      </c>
      <c r="Y496" s="697">
        <v>18.645556353414214</v>
      </c>
      <c r="Z496" s="697">
        <f t="shared" ca="1" si="108"/>
        <v>15.366110393028141</v>
      </c>
    </row>
    <row r="497" spans="2:26" ht="13.2">
      <c r="B497" s="166">
        <f t="shared" si="109"/>
        <v>45611</v>
      </c>
      <c r="C497"/>
      <c r="G497" s="1572">
        <v>17.70239025793953</v>
      </c>
      <c r="H497" s="1572">
        <v>73.831721384984817</v>
      </c>
      <c r="I497" s="697">
        <f t="shared" ca="1" si="102"/>
        <v>342.53985194422665</v>
      </c>
      <c r="J497" s="706">
        <v>30.987110138004368</v>
      </c>
      <c r="K497" s="706">
        <v>13.016785279640747</v>
      </c>
      <c r="L497" s="697">
        <f t="shared" ca="1" si="103"/>
        <v>15.420000037248862</v>
      </c>
      <c r="M497" s="1185">
        <v>6.9103179354272726</v>
      </c>
      <c r="N497" s="697">
        <f t="shared" ca="1" si="104"/>
        <v>8.1842553963144997</v>
      </c>
      <c r="O497" s="697"/>
      <c r="P497" s="697"/>
      <c r="Q497" s="697"/>
      <c r="R497" s="706">
        <v>5.9150772359168506</v>
      </c>
      <c r="S497" s="697">
        <f t="shared" ca="1" si="105"/>
        <v>6.2754980846405033</v>
      </c>
      <c r="T497" s="1152">
        <v>72.084186383960031</v>
      </c>
      <c r="U497" s="697">
        <f t="shared" ca="1" si="106"/>
        <v>65.1084081344151</v>
      </c>
      <c r="V497" s="697">
        <f t="shared" ca="1" si="110"/>
        <v>41.021279401540347</v>
      </c>
      <c r="W497" s="697">
        <v>17.70239025793953</v>
      </c>
      <c r="X497" s="697">
        <f t="shared" ca="1" si="107"/>
        <v>20.684677803177475</v>
      </c>
      <c r="Y497" s="697">
        <v>18.986763488675653</v>
      </c>
      <c r="Z497" s="697">
        <f t="shared" ca="1" si="108"/>
        <v>15.366110393028141</v>
      </c>
    </row>
    <row r="498" spans="2:26" ht="13.2">
      <c r="B498" s="166">
        <f t="shared" si="109"/>
        <v>45618</v>
      </c>
      <c r="C498"/>
      <c r="G498" s="1572">
        <v>18.524121244291713</v>
      </c>
      <c r="H498" s="1572">
        <v>72.387053085575957</v>
      </c>
      <c r="I498" s="697">
        <f t="shared" ca="1" si="102"/>
        <v>342.53985194422665</v>
      </c>
      <c r="J498" s="706">
        <v>27.82617350873042</v>
      </c>
      <c r="K498" s="706">
        <v>12.766625690224409</v>
      </c>
      <c r="L498" s="697">
        <f t="shared" ca="1" si="103"/>
        <v>15.420000037248862</v>
      </c>
      <c r="M498" s="1185">
        <v>7.2641419773110938</v>
      </c>
      <c r="N498" s="697">
        <f t="shared" ca="1" si="104"/>
        <v>8.1842553963144997</v>
      </c>
      <c r="O498" s="697"/>
      <c r="P498" s="697"/>
      <c r="Q498" s="697"/>
      <c r="R498" s="706">
        <v>6.1696800204002731</v>
      </c>
      <c r="S498" s="697">
        <f t="shared" ca="1" si="105"/>
        <v>6.2754980846405033</v>
      </c>
      <c r="T498" s="1152">
        <v>70.612422587144465</v>
      </c>
      <c r="U498" s="697">
        <f t="shared" ca="1" si="106"/>
        <v>65.1084081344151</v>
      </c>
      <c r="V498" s="697">
        <f t="shared" ca="1" si="110"/>
        <v>41.021279401540347</v>
      </c>
      <c r="W498" s="697">
        <v>18.524121244291713</v>
      </c>
      <c r="X498" s="697">
        <f t="shared" ca="1" si="107"/>
        <v>20.684677803177475</v>
      </c>
      <c r="Y498" s="697">
        <v>20.436754660313717</v>
      </c>
      <c r="Z498" s="697">
        <f t="shared" ca="1" si="108"/>
        <v>15.366110393028141</v>
      </c>
    </row>
    <row r="499" spans="2:26" ht="13.2">
      <c r="B499" s="166">
        <f t="shared" si="109"/>
        <v>45625</v>
      </c>
      <c r="C499"/>
      <c r="G499" s="1572">
        <v>18.637116058461775</v>
      </c>
      <c r="H499" s="1572">
        <v>77.984902500657398</v>
      </c>
      <c r="I499" s="697">
        <f t="shared" ca="1" si="102"/>
        <v>342.53985194422665</v>
      </c>
      <c r="J499" s="706">
        <v>28.134465823206341</v>
      </c>
      <c r="K499" s="706">
        <v>13.779833089360157</v>
      </c>
      <c r="L499" s="697">
        <f t="shared" ca="1" si="103"/>
        <v>15.420000037248862</v>
      </c>
      <c r="M499" s="1185">
        <v>7.3465545209136387</v>
      </c>
      <c r="N499" s="697">
        <f t="shared" ca="1" si="104"/>
        <v>8.1842553963144997</v>
      </c>
      <c r="O499" s="697"/>
      <c r="P499" s="697"/>
      <c r="Q499" s="697"/>
      <c r="R499" s="706">
        <v>6.2467746223524259</v>
      </c>
      <c r="S499" s="697">
        <f t="shared" ca="1" si="105"/>
        <v>6.2754980846405033</v>
      </c>
      <c r="T499" s="1152">
        <v>76.121280904885992</v>
      </c>
      <c r="U499" s="697">
        <f t="shared" ca="1" si="106"/>
        <v>65.1084081344151</v>
      </c>
      <c r="V499" s="697">
        <f t="shared" ca="1" si="110"/>
        <v>41.021279401540347</v>
      </c>
      <c r="W499" s="697">
        <v>18.637116058461775</v>
      </c>
      <c r="X499" s="697">
        <f t="shared" ca="1" si="107"/>
        <v>20.684677803177475</v>
      </c>
      <c r="Y499" s="697">
        <v>20.701783172671277</v>
      </c>
      <c r="Z499" s="697">
        <f t="shared" ca="1" si="108"/>
        <v>15.366110393028141</v>
      </c>
    </row>
    <row r="500" spans="2:26">
      <c r="B500" s="166">
        <f t="shared" si="109"/>
        <v>45632</v>
      </c>
      <c r="G500" s="1572">
        <v>19.058117331862629</v>
      </c>
      <c r="H500" s="1572">
        <v>79.778493869382984</v>
      </c>
      <c r="I500" s="697">
        <f t="shared" ca="1" si="102"/>
        <v>342.53985194422665</v>
      </c>
      <c r="J500" s="706">
        <v>28.759797746735892</v>
      </c>
      <c r="K500" s="706">
        <v>14.075546544159135</v>
      </c>
      <c r="L500" s="697">
        <f t="shared" ca="1" si="103"/>
        <v>15.420000037248862</v>
      </c>
      <c r="M500" s="1185">
        <v>7.6541481463884447</v>
      </c>
      <c r="N500" s="697">
        <f t="shared" ca="1" si="104"/>
        <v>8.1842553963144997</v>
      </c>
      <c r="O500" s="697"/>
      <c r="P500" s="697"/>
      <c r="Q500" s="697"/>
      <c r="R500" s="706">
        <v>6.4628700203443135</v>
      </c>
      <c r="S500" s="697">
        <f t="shared" ca="1" si="105"/>
        <v>6.2754980846405033</v>
      </c>
      <c r="T500" s="1152">
        <v>77.409336996695814</v>
      </c>
      <c r="U500" s="697">
        <f t="shared" ca="1" si="106"/>
        <v>65.1084081344151</v>
      </c>
      <c r="V500" s="697">
        <f t="shared" ca="1" si="110"/>
        <v>41.021279401540347</v>
      </c>
      <c r="W500" s="697">
        <v>19.058117331862629</v>
      </c>
      <c r="X500" s="697">
        <f t="shared" ca="1" si="107"/>
        <v>20.684677803177475</v>
      </c>
      <c r="Y500" s="697">
        <v>21.537852242759506</v>
      </c>
      <c r="Z500" s="697">
        <f t="shared" ca="1" si="108"/>
        <v>15.366110393028141</v>
      </c>
    </row>
    <row r="501" spans="2:26">
      <c r="B501" s="166">
        <f t="shared" si="109"/>
        <v>45639</v>
      </c>
      <c r="G501" s="1572">
        <v>18.296082509915038</v>
      </c>
      <c r="H501" s="1572">
        <v>76.77067308049709</v>
      </c>
      <c r="I501" s="697">
        <f t="shared" ca="1" si="102"/>
        <v>342.53985194422665</v>
      </c>
      <c r="J501" s="706">
        <v>27.918939424431073</v>
      </c>
      <c r="K501" s="706">
        <v>13.529299203777072</v>
      </c>
      <c r="L501" s="697">
        <f t="shared" ca="1" si="103"/>
        <v>15.420000037248862</v>
      </c>
      <c r="M501" s="1185">
        <v>7.3890597621028791</v>
      </c>
      <c r="N501" s="697">
        <f t="shared" ca="1" si="104"/>
        <v>8.1842553963144997</v>
      </c>
      <c r="O501" s="697"/>
      <c r="P501" s="697"/>
      <c r="Q501" s="697"/>
      <c r="R501" s="706">
        <v>6.2638407051272758</v>
      </c>
      <c r="S501" s="697">
        <f t="shared" ca="1" si="105"/>
        <v>6.2754980846405033</v>
      </c>
      <c r="T501" s="1152">
        <v>73.983688975038916</v>
      </c>
      <c r="U501" s="697">
        <f t="shared" ca="1" si="106"/>
        <v>65.1084081344151</v>
      </c>
      <c r="V501" s="697">
        <f t="shared" ca="1" si="110"/>
        <v>41.021279401540347</v>
      </c>
      <c r="W501" s="697">
        <v>18.296082509915038</v>
      </c>
      <c r="X501" s="697">
        <f t="shared" ca="1" si="107"/>
        <v>20.684677803177475</v>
      </c>
      <c r="Y501" s="697">
        <v>20.402672040583745</v>
      </c>
      <c r="Z501" s="697">
        <f t="shared" ca="1" si="108"/>
        <v>15.366110393028141</v>
      </c>
    </row>
    <row r="502" spans="2:26">
      <c r="B502" s="166">
        <f t="shared" si="109"/>
        <v>45646</v>
      </c>
      <c r="G502" s="1572">
        <v>17.855812916243558</v>
      </c>
      <c r="H502" s="1572">
        <v>71.952623143661953</v>
      </c>
      <c r="I502" s="697">
        <f t="shared" ca="1" si="102"/>
        <v>342.53985194422665</v>
      </c>
      <c r="J502" s="706">
        <v>26.973532958518945</v>
      </c>
      <c r="K502" s="706">
        <v>12.795455591574513</v>
      </c>
      <c r="L502" s="697">
        <f t="shared" ca="1" si="103"/>
        <v>15.420000037248862</v>
      </c>
      <c r="M502" s="1185">
        <v>7.2623163065352374</v>
      </c>
      <c r="N502" s="697">
        <f t="shared" ca="1" si="104"/>
        <v>8.1842553963144997</v>
      </c>
      <c r="O502" s="697"/>
      <c r="P502" s="697"/>
      <c r="Q502" s="697"/>
      <c r="R502" s="706">
        <v>6.0729290795643465</v>
      </c>
      <c r="S502" s="697">
        <f t="shared" ca="1" si="105"/>
        <v>6.2754980846405033</v>
      </c>
      <c r="T502" s="1152">
        <v>69.953381197804944</v>
      </c>
      <c r="U502" s="697">
        <f t="shared" ca="1" si="106"/>
        <v>65.1084081344151</v>
      </c>
      <c r="V502" s="697">
        <f t="shared" ca="1" si="110"/>
        <v>41.021279401540347</v>
      </c>
      <c r="W502" s="697">
        <v>17.855812916243558</v>
      </c>
      <c r="X502" s="697">
        <f t="shared" ca="1" si="107"/>
        <v>20.684677803177475</v>
      </c>
      <c r="Y502" s="697">
        <v>19.666228025585024</v>
      </c>
      <c r="Z502" s="697">
        <f t="shared" ca="1" si="108"/>
        <v>15.366110393028141</v>
      </c>
    </row>
    <row r="503" spans="2:26">
      <c r="B503" s="166">
        <f t="shared" si="109"/>
        <v>45653</v>
      </c>
      <c r="G503" s="1572">
        <v>17.738524592571846</v>
      </c>
      <c r="H503" s="1572">
        <v>70.996191813623255</v>
      </c>
      <c r="I503" s="697">
        <f t="shared" ca="1" si="102"/>
        <v>342.53985194422665</v>
      </c>
      <c r="J503" s="706">
        <v>26.841523407721951</v>
      </c>
      <c r="K503" s="706">
        <v>12.653174049413897</v>
      </c>
      <c r="L503" s="697">
        <f t="shared" ca="1" si="103"/>
        <v>15.420000037248862</v>
      </c>
      <c r="M503" s="1185">
        <v>7.2561708438504526</v>
      </c>
      <c r="N503" s="697">
        <f t="shared" ca="1" si="104"/>
        <v>8.1842553963144997</v>
      </c>
      <c r="O503" s="697"/>
      <c r="P503" s="697"/>
      <c r="Q503" s="697"/>
      <c r="R503" s="706">
        <v>6.0326070850995404</v>
      </c>
      <c r="S503" s="697">
        <f t="shared" ca="1" si="105"/>
        <v>6.2754980846405033</v>
      </c>
      <c r="T503" s="1152">
        <v>69.09056039322212</v>
      </c>
      <c r="U503" s="697">
        <f t="shared" ca="1" si="106"/>
        <v>65.1084081344151</v>
      </c>
      <c r="V503" s="697">
        <f t="shared" ca="1" si="110"/>
        <v>41.021279401540347</v>
      </c>
      <c r="W503" s="697">
        <v>17.738524592571846</v>
      </c>
      <c r="X503" s="697">
        <f t="shared" ca="1" si="107"/>
        <v>20.684677803177475</v>
      </c>
      <c r="Y503" s="697">
        <v>19.403665399945943</v>
      </c>
      <c r="Z503" s="697">
        <f t="shared" ca="1" si="108"/>
        <v>15.366110393028141</v>
      </c>
    </row>
    <row r="504" spans="2:26">
      <c r="B504" s="166">
        <f t="shared" si="109"/>
        <v>45660</v>
      </c>
      <c r="G504" s="1572">
        <v>17.750737542875392</v>
      </c>
      <c r="H504" s="1572">
        <v>71.312336283520878</v>
      </c>
      <c r="I504" s="697">
        <f t="shared" ca="1" si="102"/>
        <v>342.53985194422665</v>
      </c>
      <c r="J504" s="706">
        <v>26.411512326001144</v>
      </c>
      <c r="K504" s="706">
        <v>12.722069493260292</v>
      </c>
      <c r="L504" s="697">
        <f t="shared" ca="1" si="103"/>
        <v>15.420000037248862</v>
      </c>
      <c r="M504" s="1185">
        <v>7.2062751641775904</v>
      </c>
      <c r="N504" s="697">
        <f t="shared" ca="1" si="104"/>
        <v>8.1842553963144997</v>
      </c>
      <c r="O504" s="697"/>
      <c r="P504" s="697"/>
      <c r="Q504" s="697"/>
      <c r="R504" s="706">
        <v>6.0289722301362714</v>
      </c>
      <c r="S504" s="697">
        <f t="shared" ca="1" si="105"/>
        <v>6.2754980846405033</v>
      </c>
      <c r="T504" s="1152">
        <v>69.133369488306357</v>
      </c>
      <c r="U504" s="697">
        <f t="shared" ca="1" si="106"/>
        <v>65.1084081344151</v>
      </c>
      <c r="V504" s="697">
        <f t="shared" ca="1" si="110"/>
        <v>41.021279401540347</v>
      </c>
      <c r="W504" s="697">
        <v>17.750737542875392</v>
      </c>
      <c r="X504" s="697">
        <f t="shared" ca="1" si="107"/>
        <v>20.684677803177475</v>
      </c>
      <c r="Y504" s="697">
        <v>19.296198365529978</v>
      </c>
      <c r="Z504" s="697">
        <f t="shared" ca="1" si="108"/>
        <v>15.366110393028141</v>
      </c>
    </row>
    <row r="505" spans="2:26">
      <c r="B505" s="166">
        <f t="shared" si="109"/>
        <v>45667</v>
      </c>
      <c r="G505" s="1572">
        <v>17.324821871768656</v>
      </c>
      <c r="H505" s="1572">
        <v>67.132518400271763</v>
      </c>
      <c r="I505" s="697">
        <f t="shared" ca="1" si="102"/>
        <v>342.53985194422665</v>
      </c>
      <c r="J505" s="706">
        <v>25.434292555434052</v>
      </c>
      <c r="K505" s="706">
        <v>12.008094428844167</v>
      </c>
      <c r="L505" s="697">
        <f t="shared" ca="1" si="103"/>
        <v>15.420000037248862</v>
      </c>
      <c r="M505" s="1185">
        <v>7.0075476706168205</v>
      </c>
      <c r="N505" s="697">
        <f t="shared" ca="1" si="104"/>
        <v>8.1842553963144997</v>
      </c>
      <c r="O505" s="697"/>
      <c r="P505" s="697"/>
      <c r="Q505" s="697"/>
      <c r="R505" s="706">
        <v>5.8744708823090699</v>
      </c>
      <c r="S505" s="697">
        <f t="shared" ca="1" si="105"/>
        <v>6.2754980846405033</v>
      </c>
      <c r="T505" s="1152">
        <v>65.149715174674441</v>
      </c>
      <c r="U505" s="697">
        <f t="shared" ca="1" si="106"/>
        <v>65.1084081344151</v>
      </c>
      <c r="V505" s="697">
        <f t="shared" ca="1" si="110"/>
        <v>41.021279401540347</v>
      </c>
      <c r="W505" s="697">
        <v>17.324821871768656</v>
      </c>
      <c r="X505" s="697">
        <f t="shared" ca="1" si="107"/>
        <v>20.684677803177475</v>
      </c>
      <c r="Y505" s="697">
        <v>18.518433428803014</v>
      </c>
      <c r="Z505" s="697">
        <f t="shared" ca="1" si="108"/>
        <v>15.366110393028141</v>
      </c>
    </row>
    <row r="506" spans="2:26">
      <c r="B506" s="166">
        <f t="shared" si="109"/>
        <v>45674</v>
      </c>
      <c r="G506" s="1572">
        <v>17.621426607121656</v>
      </c>
      <c r="H506" s="1572">
        <v>66.156693617117696</v>
      </c>
      <c r="I506" s="697">
        <f t="shared" ca="1" si="102"/>
        <v>342.53985194422665</v>
      </c>
      <c r="J506" s="706">
        <v>26.51183962669187</v>
      </c>
      <c r="K506" s="706">
        <v>11.967545577859317</v>
      </c>
      <c r="L506" s="697">
        <f t="shared" ca="1" si="103"/>
        <v>15.420000037248862</v>
      </c>
      <c r="M506" s="1185">
        <v>7.274664243338349</v>
      </c>
      <c r="N506" s="697">
        <f t="shared" ca="1" si="104"/>
        <v>8.1842553963144997</v>
      </c>
      <c r="O506" s="697"/>
      <c r="P506" s="697"/>
      <c r="Q506" s="697"/>
      <c r="R506" s="706">
        <v>6.014159732342347</v>
      </c>
      <c r="S506" s="697">
        <f t="shared" ca="1" si="105"/>
        <v>6.2754980846405033</v>
      </c>
      <c r="T506" s="1152">
        <v>64.674560728492267</v>
      </c>
      <c r="U506" s="697">
        <f t="shared" ca="1" si="106"/>
        <v>65.1084081344151</v>
      </c>
      <c r="V506" s="697">
        <f t="shared" ca="1" si="110"/>
        <v>41.021279401540347</v>
      </c>
      <c r="W506" s="697">
        <v>17.621426607121656</v>
      </c>
      <c r="X506" s="697">
        <f t="shared" ca="1" si="107"/>
        <v>20.684677803177475</v>
      </c>
      <c r="Y506" s="697">
        <v>19.401236543462691</v>
      </c>
      <c r="Z506" s="697">
        <f t="shared" ca="1" si="108"/>
        <v>15.366110393028141</v>
      </c>
    </row>
    <row r="507" spans="2:26">
      <c r="B507" s="166">
        <f t="shared" si="109"/>
        <v>45681</v>
      </c>
      <c r="G507" s="1572">
        <v>17.795395674925015</v>
      </c>
      <c r="H507" s="1572">
        <v>68.491996174676231</v>
      </c>
      <c r="I507" s="697">
        <f t="shared" ca="1" si="102"/>
        <v>342.53985194422665</v>
      </c>
      <c r="J507" s="706">
        <v>26.834090307003205</v>
      </c>
      <c r="K507" s="706">
        <v>12.390491630722181</v>
      </c>
      <c r="L507" s="697">
        <f t="shared" ca="1" si="103"/>
        <v>15.420000037248862</v>
      </c>
      <c r="M507" s="1185">
        <v>7.3329061857291933</v>
      </c>
      <c r="N507" s="697">
        <f t="shared" ca="1" si="104"/>
        <v>8.1842553963144997</v>
      </c>
      <c r="O507" s="697"/>
      <c r="P507" s="697"/>
      <c r="Q507" s="697"/>
      <c r="R507" s="706">
        <v>6.0996928528545222</v>
      </c>
      <c r="S507" s="697">
        <f t="shared" ca="1" si="105"/>
        <v>6.2754980846405033</v>
      </c>
      <c r="T507" s="1152">
        <v>66.646972063156937</v>
      </c>
      <c r="U507" s="697">
        <f t="shared" ca="1" si="106"/>
        <v>65.1084081344151</v>
      </c>
      <c r="V507" s="697">
        <f t="shared" ca="1" si="110"/>
        <v>41.021279401540347</v>
      </c>
      <c r="W507" s="697">
        <v>17.795395674925015</v>
      </c>
      <c r="X507" s="697">
        <f t="shared" ca="1" si="107"/>
        <v>20.684677803177475</v>
      </c>
      <c r="Y507" s="697">
        <v>19.49353309255288</v>
      </c>
      <c r="Z507" s="697">
        <f t="shared" ca="1" si="108"/>
        <v>15.366110393028141</v>
      </c>
    </row>
    <row r="508" spans="2:26">
      <c r="B508" s="166">
        <f t="shared" si="109"/>
        <v>45688</v>
      </c>
      <c r="G508" s="1572">
        <v>17.968006861784716</v>
      </c>
      <c r="H508" s="1572">
        <v>73.518766798219929</v>
      </c>
      <c r="I508" s="697">
        <f t="shared" ca="1" si="102"/>
        <v>342.53985194422665</v>
      </c>
      <c r="J508" s="706">
        <v>27.431066287361638</v>
      </c>
      <c r="K508" s="706">
        <v>13.437659367543587</v>
      </c>
      <c r="L508" s="697">
        <f t="shared" ca="1" si="103"/>
        <v>15.420000037248862</v>
      </c>
      <c r="M508" s="1185">
        <v>7.4640261681961055</v>
      </c>
      <c r="N508" s="697">
        <f t="shared" ca="1" si="104"/>
        <v>8.1842553963144997</v>
      </c>
      <c r="O508" s="697"/>
      <c r="P508" s="697"/>
      <c r="Q508" s="697"/>
      <c r="R508" s="706">
        <v>6.243907039679871</v>
      </c>
      <c r="S508" s="697">
        <f t="shared" ca="1" si="105"/>
        <v>6.2754980846405033</v>
      </c>
      <c r="T508" s="1152">
        <v>72.417885668778183</v>
      </c>
      <c r="U508" s="697">
        <f t="shared" ca="1" si="106"/>
        <v>65.1084081344151</v>
      </c>
      <c r="V508" s="697">
        <f t="shared" ca="1" si="110"/>
        <v>41.021279401540347</v>
      </c>
      <c r="W508" s="697">
        <v>17.968006861784716</v>
      </c>
      <c r="X508" s="697">
        <f t="shared" ca="1" si="107"/>
        <v>20.684677803177475</v>
      </c>
      <c r="Y508" s="697">
        <v>19.689145008239642</v>
      </c>
      <c r="Z508" s="697">
        <f t="shared" ca="1" si="108"/>
        <v>15.366110393028141</v>
      </c>
    </row>
    <row r="509" spans="2:26">
      <c r="B509" s="166">
        <f t="shared" si="109"/>
        <v>45695</v>
      </c>
      <c r="G509" s="1572">
        <v>18.587287709954929</v>
      </c>
      <c r="H509" s="1572">
        <v>73.524130361583289</v>
      </c>
      <c r="I509" s="697">
        <f t="shared" ca="1" si="102"/>
        <v>342.53985194422665</v>
      </c>
      <c r="J509" s="706">
        <v>28.492163172163313</v>
      </c>
      <c r="K509" s="706">
        <v>13.396037720417684</v>
      </c>
      <c r="L509" s="697">
        <f t="shared" ca="1" si="103"/>
        <v>15.420000037248862</v>
      </c>
      <c r="M509" s="1185">
        <v>7.3667518083159775</v>
      </c>
      <c r="N509" s="697">
        <f t="shared" ca="1" si="104"/>
        <v>8.1842553963144997</v>
      </c>
      <c r="O509" s="697"/>
      <c r="P509" s="697"/>
      <c r="Q509" s="697"/>
      <c r="R509" s="706">
        <v>6.4037895425755345</v>
      </c>
      <c r="S509" s="697">
        <f t="shared" ca="1" si="105"/>
        <v>6.2754980846405033</v>
      </c>
      <c r="T509" s="1152">
        <v>71.734107805066955</v>
      </c>
      <c r="U509" s="697">
        <f t="shared" ca="1" si="106"/>
        <v>65.1084081344151</v>
      </c>
      <c r="V509" s="697">
        <f t="shared" ca="1" si="110"/>
        <v>41.021279401540347</v>
      </c>
      <c r="W509" s="697">
        <v>18.587287709954929</v>
      </c>
      <c r="X509" s="697">
        <f t="shared" ca="1" si="107"/>
        <v>20.684677803177475</v>
      </c>
      <c r="Y509" s="697">
        <v>19.205815264189631</v>
      </c>
      <c r="Z509" s="697">
        <f t="shared" ca="1" si="108"/>
        <v>15.366110393028141</v>
      </c>
    </row>
    <row r="510" spans="2:26">
      <c r="B510" s="166">
        <f t="shared" si="109"/>
        <v>45702</v>
      </c>
      <c r="G510" s="1572">
        <v>18.283645440915631</v>
      </c>
      <c r="H510" s="1572">
        <v>82.052982892832077</v>
      </c>
      <c r="I510" s="697">
        <f t="shared" ca="1" si="102"/>
        <v>342.53985194422665</v>
      </c>
      <c r="J510" s="706">
        <v>28.578774232938336</v>
      </c>
      <c r="K510" s="706">
        <v>14.432351517830444</v>
      </c>
      <c r="L510" s="697">
        <f t="shared" ca="1" si="103"/>
        <v>15.420000037248862</v>
      </c>
      <c r="M510" s="1185">
        <v>7.4099304376567217</v>
      </c>
      <c r="N510" s="697">
        <f t="shared" ca="1" si="104"/>
        <v>8.1842553963144997</v>
      </c>
      <c r="O510" s="697"/>
      <c r="P510" s="697"/>
      <c r="Q510" s="697"/>
      <c r="R510" s="706">
        <v>6.255104258603196</v>
      </c>
      <c r="S510" s="697">
        <f t="shared" ca="1" si="105"/>
        <v>6.2754980846405033</v>
      </c>
      <c r="T510" s="1152">
        <v>77.496448400630129</v>
      </c>
      <c r="U510" s="697">
        <f t="shared" ca="1" si="106"/>
        <v>65.1084081344151</v>
      </c>
      <c r="V510" s="697">
        <f t="shared" ref="V510:V514" ca="1" si="111">+V509</f>
        <v>41.021279401540347</v>
      </c>
      <c r="W510" s="697">
        <v>18.283645440915631</v>
      </c>
      <c r="X510" s="697">
        <f t="shared" ca="1" si="107"/>
        <v>20.684677803177475</v>
      </c>
      <c r="Y510" s="697">
        <v>19.259813741046774</v>
      </c>
      <c r="Z510" s="697">
        <f t="shared" ca="1" si="108"/>
        <v>15.366110393028141</v>
      </c>
    </row>
    <row r="511" spans="2:26">
      <c r="B511" s="166">
        <f t="shared" si="109"/>
        <v>45709</v>
      </c>
      <c r="G511" s="1572">
        <v>17.212715956912124</v>
      </c>
      <c r="H511" s="1572">
        <v>73.615575210866012</v>
      </c>
      <c r="I511" s="697">
        <f t="shared" ca="1" si="102"/>
        <v>342.53985194422665</v>
      </c>
      <c r="J511" s="706">
        <v>26.705687271864949</v>
      </c>
      <c r="K511" s="706">
        <v>12.940054589371055</v>
      </c>
      <c r="L511" s="697">
        <f t="shared" ca="1" si="103"/>
        <v>15.420000037248862</v>
      </c>
      <c r="M511" s="1185">
        <v>7.1331674346556726</v>
      </c>
      <c r="N511" s="697">
        <f t="shared" ca="1" si="104"/>
        <v>8.1842553963144997</v>
      </c>
      <c r="O511" s="697"/>
      <c r="P511" s="697"/>
      <c r="Q511" s="697"/>
      <c r="R511" s="706">
        <v>5.8456498682863396</v>
      </c>
      <c r="S511" s="697">
        <f t="shared" ca="1" si="105"/>
        <v>6.2754980846405033</v>
      </c>
      <c r="T511" s="1152">
        <v>69.291508718189192</v>
      </c>
      <c r="U511" s="697">
        <f t="shared" ca="1" si="106"/>
        <v>65.1084081344151</v>
      </c>
      <c r="V511" s="697">
        <f t="shared" ca="1" si="111"/>
        <v>41.021279401540347</v>
      </c>
      <c r="W511" s="697">
        <v>17.212715956912124</v>
      </c>
      <c r="X511" s="697">
        <f t="shared" ca="1" si="107"/>
        <v>20.684677803177475</v>
      </c>
      <c r="Y511" s="697">
        <v>18.091633231293134</v>
      </c>
      <c r="Z511" s="697">
        <f t="shared" ca="1" si="108"/>
        <v>15.366110393028141</v>
      </c>
    </row>
    <row r="512" spans="2:26">
      <c r="B512" s="166">
        <f t="shared" si="109"/>
        <v>45716</v>
      </c>
      <c r="G512" s="1572">
        <v>16.845921607508448</v>
      </c>
      <c r="H512" s="1572">
        <v>71.003640901875571</v>
      </c>
      <c r="I512" s="697">
        <f t="shared" ca="1" si="102"/>
        <v>342.53985194422665</v>
      </c>
      <c r="J512" s="706">
        <v>26.055845492500556</v>
      </c>
      <c r="K512" s="706">
        <v>12.506429195453164</v>
      </c>
      <c r="L512" s="697">
        <f t="shared" ca="1" si="103"/>
        <v>15.420000037248862</v>
      </c>
      <c r="M512" s="1185">
        <v>7.1760096115171601</v>
      </c>
      <c r="N512" s="697">
        <f t="shared" ca="1" si="104"/>
        <v>8.1842553963144997</v>
      </c>
      <c r="O512" s="697"/>
      <c r="P512" s="697"/>
      <c r="Q512" s="697"/>
      <c r="R512" s="706">
        <v>5.7068993718473404</v>
      </c>
      <c r="S512" s="697">
        <f t="shared" ca="1" si="105"/>
        <v>6.2754980846405033</v>
      </c>
      <c r="T512" s="1152">
        <v>66.875294751164702</v>
      </c>
      <c r="U512" s="697">
        <f t="shared" ca="1" si="106"/>
        <v>65.1084081344151</v>
      </c>
      <c r="V512" s="697">
        <f t="shared" ca="1" si="111"/>
        <v>41.021279401540347</v>
      </c>
      <c r="W512" s="697">
        <v>16.845921607508448</v>
      </c>
      <c r="X512" s="697">
        <f t="shared" ca="1" si="107"/>
        <v>20.684677803177475</v>
      </c>
      <c r="Y512" s="697">
        <v>18.328937025019666</v>
      </c>
      <c r="Z512" s="697">
        <f t="shared" ca="1" si="108"/>
        <v>15.366110393028141</v>
      </c>
    </row>
    <row r="513" spans="2:26">
      <c r="B513" s="166">
        <f t="shared" si="109"/>
        <v>45723</v>
      </c>
      <c r="G513" s="1572">
        <v>15.904301469279861</v>
      </c>
      <c r="H513" s="1572">
        <v>63.273097824455661</v>
      </c>
      <c r="I513" s="697">
        <f t="shared" ca="1" si="102"/>
        <v>342.53985194422665</v>
      </c>
      <c r="J513" s="706">
        <v>24.221046341513265</v>
      </c>
      <c r="K513" s="706">
        <v>11.043698192510668</v>
      </c>
      <c r="L513" s="697">
        <f t="shared" ca="1" si="103"/>
        <v>15.420000037248862</v>
      </c>
      <c r="M513" s="1185">
        <v>7.0402214616592538</v>
      </c>
      <c r="N513" s="697">
        <f t="shared" ca="1" si="104"/>
        <v>8.1842553963144997</v>
      </c>
      <c r="O513" s="697"/>
      <c r="P513" s="697"/>
      <c r="Q513" s="697"/>
      <c r="R513" s="706">
        <v>5.3178710561396274</v>
      </c>
      <c r="S513" s="697">
        <f t="shared" ca="1" si="105"/>
        <v>6.2754980846405033</v>
      </c>
      <c r="T513" s="1152">
        <v>58.984324447624147</v>
      </c>
      <c r="U513" s="697">
        <f t="shared" ca="1" si="106"/>
        <v>65.1084081344151</v>
      </c>
      <c r="V513" s="697">
        <f t="shared" ca="1" si="111"/>
        <v>41.021279401540347</v>
      </c>
      <c r="W513" s="697">
        <v>15.904301469279861</v>
      </c>
      <c r="X513" s="697">
        <f t="shared" ca="1" si="107"/>
        <v>20.684677803177475</v>
      </c>
      <c r="Y513" s="697">
        <v>17.296160222154022</v>
      </c>
      <c r="Z513" s="697">
        <f t="shared" ca="1" si="108"/>
        <v>15.366110393028141</v>
      </c>
    </row>
    <row r="514" spans="2:26">
      <c r="B514" s="166">
        <f t="shared" si="109"/>
        <v>45730</v>
      </c>
      <c r="G514" s="1572">
        <v>14.917196354315372</v>
      </c>
      <c r="H514" s="1572">
        <v>59.62611252833576</v>
      </c>
      <c r="I514" s="697">
        <f t="shared" ca="1" si="102"/>
        <v>342.53985194422665</v>
      </c>
      <c r="J514" s="706">
        <v>23.176458890790389</v>
      </c>
      <c r="K514" s="706">
        <v>10.391356558226661</v>
      </c>
      <c r="L514" s="697">
        <f t="shared" ca="1" si="103"/>
        <v>15.420000037248862</v>
      </c>
      <c r="M514" s="1185">
        <v>6.765976148706617</v>
      </c>
      <c r="N514" s="697">
        <f t="shared" ca="1" si="104"/>
        <v>8.1842553963144997</v>
      </c>
      <c r="O514" s="697"/>
      <c r="P514" s="697"/>
      <c r="Q514" s="697"/>
      <c r="R514" s="706">
        <v>5.0320903696992918</v>
      </c>
      <c r="S514" s="697">
        <f t="shared" ca="1" si="105"/>
        <v>6.2754980846405033</v>
      </c>
      <c r="T514" s="1152">
        <v>55.415957647565101</v>
      </c>
      <c r="U514" s="697">
        <f t="shared" ca="1" si="106"/>
        <v>65.1084081344151</v>
      </c>
      <c r="V514" s="697">
        <f t="shared" ca="1" si="111"/>
        <v>41.021279401540347</v>
      </c>
      <c r="W514" s="697">
        <v>14.917196354315372</v>
      </c>
      <c r="X514" s="697">
        <f t="shared" ca="1" si="107"/>
        <v>20.684677803177475</v>
      </c>
      <c r="Y514" s="697">
        <v>16.440089262622035</v>
      </c>
      <c r="Z514" s="697">
        <f t="shared" ca="1" si="108"/>
        <v>15.366110393028141</v>
      </c>
    </row>
    <row r="515" spans="2:26">
      <c r="B515" s="166">
        <f t="shared" si="109"/>
        <v>45737</v>
      </c>
      <c r="G515" s="1572">
        <v>15.322174025320109</v>
      </c>
      <c r="H515" s="1572">
        <v>65.310482373157683</v>
      </c>
      <c r="I515" s="697">
        <f t="shared" ca="1" si="102"/>
        <v>342.53985194422665</v>
      </c>
      <c r="J515" s="706">
        <v>23.836997794599341</v>
      </c>
      <c r="K515" s="706">
        <v>11.423556000103408</v>
      </c>
      <c r="L515" s="697">
        <f t="shared" ca="1" si="103"/>
        <v>15.420000037248862</v>
      </c>
      <c r="M515" s="1185">
        <v>6.8222199752738808</v>
      </c>
      <c r="N515" s="697">
        <f t="shared" ca="1" si="104"/>
        <v>8.1842553963144997</v>
      </c>
      <c r="O515" s="697"/>
      <c r="P515" s="697"/>
      <c r="Q515" s="697"/>
      <c r="R515" s="706">
        <v>5.2012321098490757</v>
      </c>
      <c r="S515" s="697">
        <f t="shared" ca="1" si="105"/>
        <v>6.2754980846405033</v>
      </c>
      <c r="T515" s="1152">
        <v>61.072499964305329</v>
      </c>
      <c r="U515" s="697">
        <f t="shared" ca="1" si="106"/>
        <v>65.1084081344151</v>
      </c>
      <c r="V515" s="697">
        <f t="shared" ref="V515:V516" ca="1" si="112">+V514</f>
        <v>41.021279401540347</v>
      </c>
      <c r="W515" s="697">
        <v>15.322174025320109</v>
      </c>
      <c r="X515" s="697">
        <f t="shared" ca="1" si="107"/>
        <v>20.684677803177475</v>
      </c>
      <c r="Y515" s="697">
        <v>16.427863284429087</v>
      </c>
      <c r="Z515" s="697">
        <f t="shared" ca="1" si="108"/>
        <v>15.366110393028141</v>
      </c>
    </row>
    <row r="516" spans="2:26">
      <c r="B516" s="166">
        <f t="shared" si="109"/>
        <v>45744</v>
      </c>
      <c r="G516" s="1572">
        <v>14.788800313334438</v>
      </c>
      <c r="H516" s="1572">
        <v>60.302709873296322</v>
      </c>
      <c r="I516" s="697">
        <f t="shared" ca="1" si="102"/>
        <v>342.53985194422665</v>
      </c>
      <c r="J516" s="706">
        <v>22.81617508850114</v>
      </c>
      <c r="K516" s="706">
        <v>10.545529294408816</v>
      </c>
      <c r="L516" s="697">
        <f t="shared" ca="1" si="103"/>
        <v>15.420000037248862</v>
      </c>
      <c r="M516" s="1185">
        <v>6.7918561514664937</v>
      </c>
      <c r="N516" s="697">
        <f t="shared" ca="1" si="104"/>
        <v>8.1842553963144997</v>
      </c>
      <c r="O516" s="697"/>
      <c r="P516" s="697"/>
      <c r="Q516" s="697"/>
      <c r="R516" s="706">
        <v>4.9961599356617903</v>
      </c>
      <c r="S516" s="697">
        <f t="shared" ca="1" si="105"/>
        <v>6.2754980846405033</v>
      </c>
      <c r="T516" s="1152">
        <v>56.284494778297152</v>
      </c>
      <c r="U516" s="697">
        <f t="shared" ca="1" si="106"/>
        <v>65.1084081344151</v>
      </c>
      <c r="V516" s="697">
        <f t="shared" ca="1" si="112"/>
        <v>41.021279401540347</v>
      </c>
      <c r="W516" s="697">
        <v>14.788800313334438</v>
      </c>
      <c r="X516" s="697">
        <f t="shared" ca="1" si="107"/>
        <v>20.684677803177475</v>
      </c>
      <c r="Y516" s="697">
        <v>16.026254782868829</v>
      </c>
      <c r="Z516" s="697">
        <f t="shared" ca="1" si="108"/>
        <v>15.366110393028141</v>
      </c>
    </row>
    <row r="517" spans="2:26">
      <c r="B517" s="166">
        <f t="shared" si="109"/>
        <v>45751</v>
      </c>
      <c r="G517" s="1572">
        <v>13.198773467392973</v>
      </c>
      <c r="H517" s="1572">
        <v>47.731671649553562</v>
      </c>
      <c r="I517" s="697">
        <f t="shared" ca="1" si="102"/>
        <v>342.53985194422665</v>
      </c>
      <c r="J517" s="706">
        <v>20.03053305214258</v>
      </c>
      <c r="K517" s="706">
        <v>8.2734257194512395</v>
      </c>
      <c r="L517" s="697">
        <f t="shared" ca="1" si="103"/>
        <v>15.420000037248862</v>
      </c>
      <c r="M517" s="1185">
        <v>6.2866253097557383</v>
      </c>
      <c r="N517" s="697">
        <f t="shared" ca="1" si="104"/>
        <v>8.1842553963144997</v>
      </c>
      <c r="O517" s="697"/>
      <c r="P517" s="697"/>
      <c r="Q517" s="697"/>
      <c r="R517" s="706">
        <v>4.3788147803358211</v>
      </c>
      <c r="S517" s="697">
        <f t="shared" ca="1" si="105"/>
        <v>6.2754980846405033</v>
      </c>
      <c r="T517" s="1152">
        <v>44.118067826595528</v>
      </c>
      <c r="U517" s="697">
        <f t="shared" ca="1" si="106"/>
        <v>65.1084081344151</v>
      </c>
      <c r="V517" s="697">
        <f t="shared" ref="V517:V580" ca="1" si="113">+V516</f>
        <v>41.021279401540347</v>
      </c>
      <c r="W517" s="697">
        <v>13.198773467392973</v>
      </c>
      <c r="X517" s="697">
        <f t="shared" ca="1" si="107"/>
        <v>20.684677803177475</v>
      </c>
      <c r="Y517" s="697">
        <v>14.518028859953478</v>
      </c>
      <c r="Z517" s="697">
        <f t="shared" ca="1" si="108"/>
        <v>15.366110393028141</v>
      </c>
    </row>
    <row r="518" spans="2:26">
      <c r="B518" s="166">
        <f t="shared" si="109"/>
        <v>45758</v>
      </c>
      <c r="G518" s="1572">
        <v>13.907216420443872</v>
      </c>
      <c r="H518" s="1572">
        <v>51.875329410820569</v>
      </c>
      <c r="I518" s="697">
        <f t="shared" ca="1" si="102"/>
        <v>342.53985194422665</v>
      </c>
      <c r="J518" s="706">
        <v>21.273776570356603</v>
      </c>
      <c r="K518" s="706">
        <v>9.0268138848139436</v>
      </c>
      <c r="L518" s="697">
        <f t="shared" ca="1" si="103"/>
        <v>15.420000037248862</v>
      </c>
      <c r="M518" s="1185">
        <v>6.490328338480194</v>
      </c>
      <c r="N518" s="697">
        <f t="shared" ca="1" si="104"/>
        <v>8.1842553963144997</v>
      </c>
      <c r="O518" s="697"/>
      <c r="P518" s="697"/>
      <c r="Q518" s="697"/>
      <c r="R518" s="706">
        <v>4.6431617308487736</v>
      </c>
      <c r="S518" s="697">
        <f t="shared" ca="1" si="105"/>
        <v>6.2754980846405033</v>
      </c>
      <c r="T518" s="1152">
        <v>48.024033271069392</v>
      </c>
      <c r="U518" s="697">
        <f t="shared" ca="1" si="106"/>
        <v>65.1084081344151</v>
      </c>
      <c r="V518" s="697">
        <f t="shared" ca="1" si="113"/>
        <v>41.021279401540347</v>
      </c>
      <c r="W518" s="697">
        <v>13.907216420443872</v>
      </c>
      <c r="X518" s="697">
        <f t="shared" ca="1" si="107"/>
        <v>20.684677803177475</v>
      </c>
      <c r="Y518" s="697">
        <v>14.953835805385575</v>
      </c>
      <c r="Z518" s="697">
        <f t="shared" ca="1" si="108"/>
        <v>15.366110393028141</v>
      </c>
    </row>
    <row r="519" spans="2:26">
      <c r="B519" s="166">
        <f t="shared" si="109"/>
        <v>45765</v>
      </c>
      <c r="G519" s="1572">
        <v>13.936677819225531</v>
      </c>
      <c r="H519" s="1572">
        <v>52.09998438557551</v>
      </c>
      <c r="I519" s="697">
        <f t="shared" ca="1" si="102"/>
        <v>342.53985194422665</v>
      </c>
      <c r="J519" s="706">
        <v>21.436030300370568</v>
      </c>
      <c r="K519" s="706">
        <v>9.0316987645370528</v>
      </c>
      <c r="L519" s="697">
        <f t="shared" ca="1" si="103"/>
        <v>15.420000037248862</v>
      </c>
      <c r="M519" s="1185">
        <v>6.4389764418589301</v>
      </c>
      <c r="N519" s="697">
        <f t="shared" ca="1" si="104"/>
        <v>8.1842553963144997</v>
      </c>
      <c r="O519" s="697"/>
      <c r="P519" s="697"/>
      <c r="Q519" s="697"/>
      <c r="R519" s="706">
        <v>4.6469023469122117</v>
      </c>
      <c r="S519" s="697">
        <f t="shared" ca="1" si="105"/>
        <v>6.2754980846405033</v>
      </c>
      <c r="T519" s="1152">
        <v>48.342916724229717</v>
      </c>
      <c r="U519" s="697">
        <f t="shared" ca="1" si="106"/>
        <v>65.1084081344151</v>
      </c>
      <c r="V519" s="697">
        <f t="shared" ca="1" si="113"/>
        <v>41.021279401540347</v>
      </c>
      <c r="W519" s="697">
        <v>13.936677819225531</v>
      </c>
      <c r="X519" s="697">
        <f t="shared" ca="1" si="107"/>
        <v>20.684677803177475</v>
      </c>
      <c r="Y519" s="697">
        <v>14.715286924627758</v>
      </c>
      <c r="Z519" s="697">
        <f t="shared" ca="1" si="108"/>
        <v>15.366110393028141</v>
      </c>
    </row>
    <row r="520" spans="2:26">
      <c r="B520" s="166">
        <f t="shared" si="109"/>
        <v>45772</v>
      </c>
      <c r="G520" s="1572">
        <v>14.881560394102806</v>
      </c>
      <c r="H520" s="1572">
        <v>60.307743360249098</v>
      </c>
      <c r="I520" s="697">
        <f t="shared" ca="1" si="102"/>
        <v>342.53985194422665</v>
      </c>
      <c r="J520" s="706">
        <v>23.133598921774691</v>
      </c>
      <c r="K520" s="706">
        <v>10.549573611405551</v>
      </c>
      <c r="L520" s="697">
        <f t="shared" ca="1" si="103"/>
        <v>15.420000037248862</v>
      </c>
      <c r="M520" s="1185">
        <v>6.7901402431636066</v>
      </c>
      <c r="N520" s="697">
        <f t="shared" ca="1" si="104"/>
        <v>8.1842553963144997</v>
      </c>
      <c r="O520" s="697"/>
      <c r="P520" s="697"/>
      <c r="Q520" s="697"/>
      <c r="R520" s="706">
        <v>5.0302708706937507</v>
      </c>
      <c r="S520" s="697">
        <f t="shared" ca="1" si="105"/>
        <v>6.2754980846405033</v>
      </c>
      <c r="T520" s="1152">
        <v>56.311246886807538</v>
      </c>
      <c r="U520" s="697">
        <f t="shared" ca="1" si="106"/>
        <v>65.1084081344151</v>
      </c>
      <c r="V520" s="697">
        <f t="shared" ca="1" si="113"/>
        <v>41.021279401540347</v>
      </c>
      <c r="W520" s="697">
        <v>14.881560394102806</v>
      </c>
      <c r="X520" s="697">
        <f t="shared" ca="1" si="107"/>
        <v>20.684677803177475</v>
      </c>
      <c r="Y520" s="697">
        <v>15.527757131665206</v>
      </c>
      <c r="Z520" s="697">
        <f t="shared" ca="1" si="108"/>
        <v>15.366110393028141</v>
      </c>
    </row>
    <row r="521" spans="2:26">
      <c r="B521" s="166">
        <f t="shared" si="109"/>
        <v>45779</v>
      </c>
      <c r="G521" s="1572">
        <v>15.654394689436034</v>
      </c>
      <c r="H521" s="1572">
        <v>61.589144694937374</v>
      </c>
      <c r="I521" s="697">
        <f t="shared" ca="1" si="102"/>
        <v>342.53985194422665</v>
      </c>
      <c r="J521" s="706">
        <v>24.517120932076953</v>
      </c>
      <c r="K521" s="706">
        <v>10.855531230436968</v>
      </c>
      <c r="L521" s="697">
        <f t="shared" ca="1" si="103"/>
        <v>15.420000037248862</v>
      </c>
      <c r="M521" s="1185">
        <v>6.9094223854449801</v>
      </c>
      <c r="N521" s="697">
        <f t="shared" ca="1" si="104"/>
        <v>8.1842553963144997</v>
      </c>
      <c r="O521" s="697"/>
      <c r="P521" s="697"/>
      <c r="Q521" s="697"/>
      <c r="R521" s="706">
        <v>5.2307125881501486</v>
      </c>
      <c r="S521" s="697">
        <f t="shared" ca="1" si="105"/>
        <v>6.2754980846405033</v>
      </c>
      <c r="T521" s="1152">
        <v>57.779648118824475</v>
      </c>
      <c r="U521" s="697">
        <f t="shared" ca="1" si="106"/>
        <v>65.1084081344151</v>
      </c>
      <c r="V521" s="697">
        <f t="shared" ca="1" si="113"/>
        <v>41.021279401540347</v>
      </c>
      <c r="W521" s="697">
        <v>15.654394689436034</v>
      </c>
      <c r="X521" s="697">
        <f t="shared" ca="1" si="107"/>
        <v>20.684677803177475</v>
      </c>
      <c r="Y521" s="697">
        <v>15.524954373636429</v>
      </c>
      <c r="Z521" s="697">
        <f t="shared" ca="1" si="108"/>
        <v>15.366110393028141</v>
      </c>
    </row>
    <row r="522" spans="2:26">
      <c r="B522" s="166">
        <f t="shared" si="109"/>
        <v>45786</v>
      </c>
      <c r="G522" s="1572">
        <v>15.846718806716263</v>
      </c>
      <c r="H522" s="1572">
        <v>59.019371627946811</v>
      </c>
      <c r="I522" s="697">
        <f t="shared" ca="1" si="102"/>
        <v>342.53985194422665</v>
      </c>
      <c r="J522" s="706">
        <v>26.846447908498696</v>
      </c>
      <c r="K522" s="706">
        <v>9.8016066397451276</v>
      </c>
      <c r="L522" s="697">
        <f t="shared" ca="1" si="103"/>
        <v>15.420000037248862</v>
      </c>
      <c r="M522" s="1185">
        <v>6.9506010000487564</v>
      </c>
      <c r="N522" s="697">
        <f t="shared" ca="1" si="104"/>
        <v>8.1842553963144997</v>
      </c>
      <c r="O522" s="697"/>
      <c r="P522" s="697"/>
      <c r="Q522" s="697"/>
      <c r="R522" s="706">
        <v>5.2502540468255656</v>
      </c>
      <c r="S522" s="697">
        <f t="shared" ca="1" si="105"/>
        <v>6.2754980846405033</v>
      </c>
      <c r="T522" s="1152">
        <v>55.174380109881163</v>
      </c>
      <c r="U522" s="697">
        <f t="shared" ca="1" si="106"/>
        <v>65.1084081344151</v>
      </c>
      <c r="V522" s="697">
        <f t="shared" ca="1" si="113"/>
        <v>41.021279401540347</v>
      </c>
      <c r="W522" s="697">
        <v>15.846718806716263</v>
      </c>
      <c r="X522" s="697">
        <f t="shared" ca="1" si="107"/>
        <v>20.684677803177475</v>
      </c>
      <c r="Y522" s="697">
        <v>16.050049964489922</v>
      </c>
      <c r="Z522" s="697">
        <f t="shared" ca="1" si="108"/>
        <v>15.366110393028141</v>
      </c>
    </row>
    <row r="523" spans="2:26">
      <c r="B523" s="166">
        <f t="shared" si="109"/>
        <v>45793</v>
      </c>
      <c r="G523" s="1572">
        <v>16.897710973034865</v>
      </c>
      <c r="H523" s="1572">
        <v>71.661400497352773</v>
      </c>
      <c r="I523" s="697">
        <f t="shared" ca="1" si="102"/>
        <v>342.53985194422665</v>
      </c>
      <c r="J523" s="706">
        <v>28.928726072904777</v>
      </c>
      <c r="K523" s="706">
        <v>11.845130849200629</v>
      </c>
      <c r="L523" s="697">
        <f t="shared" ca="1" si="103"/>
        <v>15.420000037248862</v>
      </c>
      <c r="M523" s="1185">
        <v>7.209891035946363</v>
      </c>
      <c r="N523" s="697">
        <f t="shared" ca="1" si="104"/>
        <v>8.1842553963144997</v>
      </c>
      <c r="O523" s="697"/>
      <c r="P523" s="697"/>
      <c r="Q523" s="697"/>
      <c r="R523" s="706">
        <v>5.6718635560594057</v>
      </c>
      <c r="S523" s="697">
        <f t="shared" ca="1" si="105"/>
        <v>6.2754980846405033</v>
      </c>
      <c r="T523" s="1152">
        <v>66.888943787471405</v>
      </c>
      <c r="U523" s="697">
        <f t="shared" ca="1" si="106"/>
        <v>65.1084081344151</v>
      </c>
      <c r="V523" s="697">
        <f t="shared" ca="1" si="113"/>
        <v>41.021279401540347</v>
      </c>
      <c r="W523" s="697">
        <v>16.897710973034865</v>
      </c>
      <c r="X523" s="697">
        <f t="shared" ca="1" si="107"/>
        <v>20.684677803177475</v>
      </c>
      <c r="Y523" s="697">
        <v>16.804364150958222</v>
      </c>
      <c r="Z523" s="697">
        <f t="shared" ca="1" si="108"/>
        <v>15.366110393028141</v>
      </c>
    </row>
    <row r="524" spans="2:26">
      <c r="B524" s="166">
        <f t="shared" si="109"/>
        <v>45800</v>
      </c>
      <c r="G524" s="1572">
        <v>16.361050227991349</v>
      </c>
      <c r="H524" s="1572">
        <v>65.36172023342202</v>
      </c>
      <c r="I524" s="697">
        <f t="shared" ca="1" si="102"/>
        <v>342.53985194422665</v>
      </c>
      <c r="J524" s="706">
        <v>27.903826851513504</v>
      </c>
      <c r="K524" s="706">
        <v>10.770445281107634</v>
      </c>
      <c r="L524" s="697">
        <f t="shared" ca="1" si="103"/>
        <v>15.420000037248862</v>
      </c>
      <c r="M524" s="1185">
        <v>6.8772704537071752</v>
      </c>
      <c r="N524" s="697">
        <f t="shared" ca="1" si="104"/>
        <v>8.1842553963144997</v>
      </c>
      <c r="O524" s="697"/>
      <c r="P524" s="697"/>
      <c r="Q524" s="697"/>
      <c r="R524" s="706">
        <v>5.4776325936114594</v>
      </c>
      <c r="S524" s="697">
        <f t="shared" ca="1" si="105"/>
        <v>6.2754980846405033</v>
      </c>
      <c r="T524" s="1152">
        <v>60.697448157333447</v>
      </c>
      <c r="U524" s="697">
        <f t="shared" ca="1" si="106"/>
        <v>65.1084081344151</v>
      </c>
      <c r="V524" s="697">
        <f t="shared" ca="1" si="113"/>
        <v>41.021279401540347</v>
      </c>
      <c r="W524" s="697">
        <v>16.361050227991349</v>
      </c>
      <c r="X524" s="697">
        <f t="shared" ca="1" si="107"/>
        <v>20.684677803177475</v>
      </c>
      <c r="Y524" s="697">
        <v>15.591421342106411</v>
      </c>
      <c r="Z524" s="697">
        <f t="shared" ca="1" si="108"/>
        <v>15.366110393028141</v>
      </c>
    </row>
    <row r="525" spans="2:26">
      <c r="B525" s="166">
        <f t="shared" si="109"/>
        <v>45807</v>
      </c>
      <c r="G525" s="1572">
        <v>16.499302732757243</v>
      </c>
      <c r="H525" s="1572">
        <v>68.705088501855499</v>
      </c>
      <c r="I525" s="697">
        <f t="shared" ca="1" si="102"/>
        <v>342.53985194422665</v>
      </c>
      <c r="J525" s="706">
        <v>28.344532354904647</v>
      </c>
      <c r="K525" s="706">
        <v>11.304923132140235</v>
      </c>
      <c r="L525" s="697">
        <f t="shared" ca="1" si="103"/>
        <v>15.420000037248862</v>
      </c>
      <c r="M525" s="1185">
        <v>6.7592807993200319</v>
      </c>
      <c r="N525" s="697">
        <f t="shared" ca="1" si="104"/>
        <v>8.1842553963144997</v>
      </c>
      <c r="O525" s="697"/>
      <c r="P525" s="697"/>
      <c r="Q525" s="697"/>
      <c r="R525" s="706">
        <v>5.5814692196109634</v>
      </c>
      <c r="S525" s="697">
        <f t="shared" ca="1" si="105"/>
        <v>6.2754980846405033</v>
      </c>
      <c r="T525" s="1152">
        <v>63.582079492876211</v>
      </c>
      <c r="U525" s="697">
        <f t="shared" ca="1" si="106"/>
        <v>65.1084081344151</v>
      </c>
      <c r="V525" s="697">
        <f t="shared" ca="1" si="113"/>
        <v>41.021279401540347</v>
      </c>
      <c r="W525" s="697">
        <v>16.499302732757243</v>
      </c>
      <c r="X525" s="697">
        <f t="shared" ca="1" si="107"/>
        <v>20.684677803177475</v>
      </c>
      <c r="Y525" s="697">
        <v>15.405377445916375</v>
      </c>
      <c r="Z525" s="697">
        <f t="shared" ca="1" si="108"/>
        <v>15.366110393028141</v>
      </c>
    </row>
    <row r="526" spans="2:26">
      <c r="B526" s="166">
        <f t="shared" si="109"/>
        <v>45814</v>
      </c>
      <c r="G526" s="1572">
        <v>16.991023184663533</v>
      </c>
      <c r="H526" s="1572">
        <v>71.005101073763342</v>
      </c>
      <c r="I526" s="697">
        <f t="shared" ca="1" si="102"/>
        <v>342.53985194422665</v>
      </c>
      <c r="J526" s="706">
        <v>29.155996459667797</v>
      </c>
      <c r="K526" s="706">
        <v>11.789293590921847</v>
      </c>
      <c r="L526" s="697">
        <f t="shared" ca="1" si="103"/>
        <v>15.420000037248862</v>
      </c>
      <c r="M526" s="1185">
        <v>6.939283706190448</v>
      </c>
      <c r="N526" s="697">
        <f t="shared" ca="1" si="104"/>
        <v>8.1842553963144997</v>
      </c>
      <c r="O526" s="697"/>
      <c r="P526" s="697"/>
      <c r="Q526" s="697"/>
      <c r="R526" s="706">
        <v>5.7812256224476553</v>
      </c>
      <c r="S526" s="697">
        <f t="shared" ca="1" si="105"/>
        <v>6.2754980846405033</v>
      </c>
      <c r="T526" s="1152">
        <v>66.105726637859618</v>
      </c>
      <c r="U526" s="697">
        <f t="shared" ca="1" si="106"/>
        <v>65.1084081344151</v>
      </c>
      <c r="V526" s="697">
        <f t="shared" ca="1" si="113"/>
        <v>41.021279401540347</v>
      </c>
      <c r="W526" s="697">
        <v>16.991023184663533</v>
      </c>
      <c r="X526" s="697">
        <f t="shared" ca="1" si="107"/>
        <v>20.684677803177475</v>
      </c>
      <c r="Y526" s="697">
        <v>15.680396667436492</v>
      </c>
      <c r="Z526" s="697">
        <f t="shared" ca="1" si="108"/>
        <v>15.366110393028141</v>
      </c>
    </row>
    <row r="527" spans="2:26">
      <c r="B527" s="166">
        <f t="shared" si="109"/>
        <v>45821</v>
      </c>
      <c r="G527" s="1572">
        <v>16.492968855681141</v>
      </c>
      <c r="H527" s="1572">
        <v>66.743826940492497</v>
      </c>
      <c r="I527" s="697">
        <f t="shared" ca="1" si="102"/>
        <v>342.53985194422665</v>
      </c>
      <c r="J527" s="706">
        <v>28.120085450025751</v>
      </c>
      <c r="K527" s="706">
        <v>11.067703542272554</v>
      </c>
      <c r="L527" s="697">
        <f t="shared" ca="1" si="103"/>
        <v>15.420000037248862</v>
      </c>
      <c r="M527" s="1185">
        <v>6.6748416811201237</v>
      </c>
      <c r="N527" s="697">
        <f t="shared" ca="1" si="104"/>
        <v>8.1842553963144997</v>
      </c>
      <c r="O527" s="697"/>
      <c r="P527" s="697"/>
      <c r="Q527" s="697"/>
      <c r="R527" s="706">
        <v>5.6014616189135706</v>
      </c>
      <c r="S527" s="697">
        <f t="shared" ca="1" si="105"/>
        <v>6.2754980846405033</v>
      </c>
      <c r="T527" s="1152">
        <v>62.00408713106372</v>
      </c>
      <c r="U527" s="697">
        <f t="shared" ca="1" si="106"/>
        <v>65.1084081344151</v>
      </c>
      <c r="V527" s="697">
        <f t="shared" ca="1" si="113"/>
        <v>41.021279401540347</v>
      </c>
      <c r="W527" s="697">
        <v>16.492968855681141</v>
      </c>
      <c r="X527" s="697">
        <f t="shared" ca="1" si="107"/>
        <v>20.684677803177475</v>
      </c>
      <c r="Y527" s="697">
        <v>14.777785286518561</v>
      </c>
      <c r="Z527" s="697">
        <f t="shared" ca="1" si="108"/>
        <v>15.366110393028141</v>
      </c>
    </row>
    <row r="528" spans="2:26">
      <c r="B528" s="166">
        <f t="shared" si="109"/>
        <v>45828</v>
      </c>
      <c r="G528" s="1572">
        <v>16.373619178820391</v>
      </c>
      <c r="H528" s="1572">
        <v>67.372089592215232</v>
      </c>
      <c r="I528" s="697">
        <f t="shared" ca="1" si="102"/>
        <v>342.53985194422665</v>
      </c>
      <c r="J528" s="706">
        <v>27.943413081922305</v>
      </c>
      <c r="K528" s="706">
        <v>11.159184395808348</v>
      </c>
      <c r="L528" s="697">
        <f t="shared" ca="1" si="103"/>
        <v>15.420000037248862</v>
      </c>
      <c r="M528" s="1185">
        <v>6.6807611750485689</v>
      </c>
      <c r="N528" s="697">
        <f t="shared" ca="1" si="104"/>
        <v>8.1842553963144997</v>
      </c>
      <c r="O528" s="697"/>
      <c r="P528" s="697"/>
      <c r="Q528" s="697"/>
      <c r="R528" s="706">
        <v>5.5776505119848645</v>
      </c>
      <c r="S528" s="697">
        <f t="shared" ca="1" si="105"/>
        <v>6.2754980846405033</v>
      </c>
      <c r="T528" s="1152">
        <v>62.383439014318185</v>
      </c>
      <c r="U528" s="697">
        <f t="shared" ca="1" si="106"/>
        <v>65.1084081344151</v>
      </c>
      <c r="V528" s="697">
        <f t="shared" ca="1" si="113"/>
        <v>41.021279401540347</v>
      </c>
      <c r="W528" s="697">
        <v>16.373619178820391</v>
      </c>
      <c r="X528" s="697">
        <f t="shared" ca="1" si="107"/>
        <v>20.684677803177475</v>
      </c>
      <c r="Y528" s="697">
        <v>14.866483378043464</v>
      </c>
      <c r="Z528" s="697">
        <f t="shared" ca="1" si="108"/>
        <v>15.366110393028141</v>
      </c>
    </row>
    <row r="529" spans="2:26">
      <c r="B529" s="166">
        <f t="shared" si="109"/>
        <v>45835</v>
      </c>
      <c r="G529" s="1572">
        <v>17.242421064872453</v>
      </c>
      <c r="H529" s="1572">
        <v>72.267190593730447</v>
      </c>
      <c r="I529" s="697">
        <f t="shared" ca="1" si="102"/>
        <v>342.53985194422665</v>
      </c>
      <c r="J529" s="706">
        <v>29.281798621079293</v>
      </c>
      <c r="K529" s="706">
        <v>11.95605706427917</v>
      </c>
      <c r="L529" s="697">
        <f t="shared" ca="1" si="103"/>
        <v>15.420000037248862</v>
      </c>
      <c r="M529" s="1185">
        <v>6.8439913916154014</v>
      </c>
      <c r="N529" s="697">
        <f t="shared" ca="1" si="104"/>
        <v>8.1842553963144997</v>
      </c>
      <c r="O529" s="697"/>
      <c r="P529" s="697"/>
      <c r="Q529" s="697"/>
      <c r="R529" s="706">
        <v>5.8838769363104655</v>
      </c>
      <c r="S529" s="697">
        <f t="shared" ca="1" si="105"/>
        <v>6.2754980846405033</v>
      </c>
      <c r="T529" s="1152">
        <v>67.550164768789514</v>
      </c>
      <c r="U529" s="697">
        <f t="shared" ca="1" si="106"/>
        <v>65.1084081344151</v>
      </c>
      <c r="V529" s="697">
        <f t="shared" ca="1" si="113"/>
        <v>41.021279401540347</v>
      </c>
      <c r="W529" s="697">
        <v>17.242421064872453</v>
      </c>
      <c r="X529" s="697">
        <f t="shared" ca="1" si="107"/>
        <v>20.684677803177475</v>
      </c>
      <c r="Y529" s="697">
        <v>15.198311730505029</v>
      </c>
      <c r="Z529" s="697">
        <f t="shared" ca="1" si="108"/>
        <v>15.366110393028141</v>
      </c>
    </row>
    <row r="530" spans="2:26">
      <c r="B530" s="166">
        <f t="shared" si="109"/>
        <v>45842</v>
      </c>
      <c r="G530" s="1572">
        <v>17.430259542319977</v>
      </c>
      <c r="H530" s="1572">
        <v>73.791773699147669</v>
      </c>
      <c r="I530" s="697">
        <f t="shared" ca="1" si="102"/>
        <v>342.53985194422665</v>
      </c>
      <c r="J530" s="706">
        <v>29.394800875493843</v>
      </c>
      <c r="K530" s="706">
        <v>12.167248873954788</v>
      </c>
      <c r="L530" s="697">
        <f t="shared" ca="1" si="103"/>
        <v>15.420000037248862</v>
      </c>
      <c r="M530" s="1185">
        <v>6.8021873706986655</v>
      </c>
      <c r="N530" s="697">
        <f t="shared" ca="1" si="104"/>
        <v>8.1842553963144997</v>
      </c>
      <c r="O530" s="697"/>
      <c r="P530" s="697"/>
      <c r="Q530" s="697"/>
      <c r="R530" s="706">
        <v>5.9121231156968275</v>
      </c>
      <c r="S530" s="697">
        <f t="shared" ca="1" si="105"/>
        <v>6.2754980846405033</v>
      </c>
      <c r="T530" s="1152">
        <v>67.649249986176386</v>
      </c>
      <c r="U530" s="697">
        <f t="shared" ca="1" si="106"/>
        <v>65.1084081344151</v>
      </c>
      <c r="V530" s="697">
        <f t="shared" ca="1" si="113"/>
        <v>41.021279401540347</v>
      </c>
      <c r="W530" s="697">
        <v>17.459471991358644</v>
      </c>
      <c r="X530" s="697">
        <f t="shared" ca="1" si="107"/>
        <v>20.684677803177475</v>
      </c>
      <c r="Y530" s="697">
        <v>15.230901618600504</v>
      </c>
      <c r="Z530" s="697">
        <f t="shared" ca="1" si="108"/>
        <v>15.366110393028141</v>
      </c>
    </row>
    <row r="531" spans="2:26">
      <c r="B531" s="166">
        <f t="shared" si="109"/>
        <v>45849</v>
      </c>
      <c r="G531" s="1572">
        <v>17.346087791225145</v>
      </c>
      <c r="H531" s="1572">
        <v>70.669921353473669</v>
      </c>
      <c r="I531" s="697">
        <f t="shared" ca="1" si="102"/>
        <v>342.53985194422665</v>
      </c>
      <c r="J531" s="706">
        <v>29.120918002278867</v>
      </c>
      <c r="K531" s="706">
        <v>11.652756664600822</v>
      </c>
      <c r="L531" s="697">
        <f t="shared" ca="1" si="103"/>
        <v>15.420000037248862</v>
      </c>
      <c r="M531" s="1185">
        <v>6.5347522238831219</v>
      </c>
      <c r="N531" s="697">
        <f t="shared" ca="1" si="104"/>
        <v>8.1842553963144997</v>
      </c>
      <c r="O531" s="697"/>
      <c r="P531" s="697"/>
      <c r="Q531" s="697"/>
      <c r="R531" s="706">
        <v>5.8713574151372798</v>
      </c>
      <c r="S531" s="697">
        <f t="shared" ca="1" si="105"/>
        <v>6.2754980846405033</v>
      </c>
      <c r="T531" s="1152">
        <v>65.071327802735809</v>
      </c>
      <c r="U531" s="697">
        <f t="shared" ca="1" si="106"/>
        <v>65.1084081344151</v>
      </c>
      <c r="V531" s="697">
        <f t="shared" ca="1" si="113"/>
        <v>41.021279401540347</v>
      </c>
      <c r="W531" s="697">
        <v>17.376414130583989</v>
      </c>
      <c r="X531" s="697">
        <f t="shared" ca="1" si="107"/>
        <v>20.684677803177475</v>
      </c>
      <c r="Y531" s="697">
        <v>14.369240581214674</v>
      </c>
      <c r="Z531" s="697">
        <f t="shared" ca="1" si="108"/>
        <v>15.366110393028141</v>
      </c>
    </row>
    <row r="532" spans="2:26">
      <c r="B532" s="166">
        <f t="shared" si="109"/>
        <v>45856</v>
      </c>
      <c r="G532" s="1572">
        <v>17.384962112312294</v>
      </c>
      <c r="H532" s="1572">
        <v>79.700256286469823</v>
      </c>
      <c r="I532" s="697">
        <f t="shared" ca="1" si="102"/>
        <v>342.53985194422665</v>
      </c>
      <c r="J532" s="706">
        <v>29.450261094874072</v>
      </c>
      <c r="K532" s="706">
        <v>13.213440296931754</v>
      </c>
      <c r="L532" s="697">
        <f t="shared" ca="1" si="103"/>
        <v>15.420000037248862</v>
      </c>
      <c r="M532" s="1185">
        <v>6.5878316621147706</v>
      </c>
      <c r="N532" s="697">
        <f t="shared" ca="1" si="104"/>
        <v>8.1842553963144997</v>
      </c>
      <c r="O532" s="697"/>
      <c r="P532" s="697"/>
      <c r="Q532" s="697"/>
      <c r="R532" s="706">
        <v>5.9796510575634327</v>
      </c>
      <c r="S532" s="697">
        <f t="shared" ca="1" si="105"/>
        <v>6.2754980846405033</v>
      </c>
      <c r="T532" s="1152">
        <v>73.661546374180659</v>
      </c>
      <c r="U532" s="697">
        <f t="shared" ca="1" si="106"/>
        <v>65.1084081344151</v>
      </c>
      <c r="V532" s="697">
        <f t="shared" ca="1" si="113"/>
        <v>41.021279401540347</v>
      </c>
      <c r="W532" s="697">
        <v>17.418978030876687</v>
      </c>
      <c r="X532" s="697">
        <f t="shared" ca="1" si="107"/>
        <v>20.684677803177475</v>
      </c>
      <c r="Y532" s="697">
        <v>14.495615355781396</v>
      </c>
      <c r="Z532" s="697">
        <f t="shared" ca="1" si="108"/>
        <v>15.366110393028141</v>
      </c>
    </row>
    <row r="533" spans="2:26">
      <c r="B533" s="166">
        <f t="shared" si="109"/>
        <v>45863</v>
      </c>
      <c r="G533" s="1572">
        <v>17.615718654378266</v>
      </c>
      <c r="H533" s="1572">
        <v>76.878288009557295</v>
      </c>
      <c r="I533" s="697">
        <f t="shared" ca="1" si="102"/>
        <v>342.53985194422665</v>
      </c>
      <c r="J533" s="1572">
        <v>29.711869784586032</v>
      </c>
      <c r="K533" s="1572">
        <v>12.988375671309125</v>
      </c>
      <c r="L533" s="697">
        <f t="shared" ca="1" si="103"/>
        <v>15.420000037248862</v>
      </c>
      <c r="M533" s="1573">
        <v>6.7345777300834344</v>
      </c>
      <c r="N533" s="697">
        <f t="shared" ca="1" si="104"/>
        <v>8.1842553963144997</v>
      </c>
      <c r="O533" s="697"/>
      <c r="P533" s="697"/>
      <c r="Q533" s="697"/>
      <c r="R533" s="706">
        <v>6.0466164072619675</v>
      </c>
      <c r="S533" s="697">
        <f t="shared" ca="1" si="105"/>
        <v>6.2754980846405033</v>
      </c>
      <c r="T533" s="1152">
        <v>71.950706088943079</v>
      </c>
      <c r="U533" s="697">
        <f t="shared" ca="1" si="106"/>
        <v>65.1084081344151</v>
      </c>
      <c r="V533" s="697">
        <f t="shared" ca="1" si="113"/>
        <v>41.021279401540347</v>
      </c>
      <c r="W533" s="697">
        <v>17.615718654378266</v>
      </c>
      <c r="X533" s="697">
        <f t="shared" ca="1" si="107"/>
        <v>20.684677803177475</v>
      </c>
      <c r="Y533" s="697">
        <v>14.400743587806309</v>
      </c>
      <c r="Z533" s="697">
        <f t="shared" ca="1" si="108"/>
        <v>15.366110393028141</v>
      </c>
    </row>
    <row r="534" spans="2:26">
      <c r="B534" s="166">
        <f t="shared" si="109"/>
        <v>45870</v>
      </c>
      <c r="G534" s="1572">
        <v>17.060631117535809</v>
      </c>
      <c r="H534" s="1572">
        <v>72.960760583324358</v>
      </c>
      <c r="I534" s="697">
        <f t="shared" ca="1" si="102"/>
        <v>342.53985194422665</v>
      </c>
      <c r="J534" s="1572">
        <v>29.066008260049347</v>
      </c>
      <c r="K534" s="1572">
        <v>12.316206781931863</v>
      </c>
      <c r="L534" s="697">
        <f t="shared" ca="1" si="103"/>
        <v>15.420000037248862</v>
      </c>
      <c r="M534" s="1573">
        <v>6.03787246774574</v>
      </c>
      <c r="N534" s="697">
        <f t="shared" ca="1" si="104"/>
        <v>8.1842553963144997</v>
      </c>
      <c r="O534" s="697"/>
      <c r="P534" s="697"/>
      <c r="Q534" s="697"/>
      <c r="R534" s="706">
        <v>5.8633088270160059</v>
      </c>
      <c r="S534" s="697">
        <f t="shared" ca="1" si="105"/>
        <v>6.2754980846405033</v>
      </c>
      <c r="T534" s="1152">
        <v>68.121785869714003</v>
      </c>
      <c r="U534" s="697">
        <f t="shared" ca="1" si="106"/>
        <v>65.1084081344151</v>
      </c>
      <c r="V534" s="697">
        <f t="shared" ca="1" si="113"/>
        <v>41.021279401540347</v>
      </c>
      <c r="W534" s="697">
        <v>17.060631117535809</v>
      </c>
      <c r="X534" s="697">
        <f t="shared" ca="1" si="107"/>
        <v>20.684677803177475</v>
      </c>
      <c r="Y534" s="697">
        <v>13.032929843461634</v>
      </c>
      <c r="Z534" s="697">
        <f t="shared" ca="1" si="108"/>
        <v>15.366110393028141</v>
      </c>
    </row>
    <row r="535" spans="2:26">
      <c r="B535" s="166">
        <f t="shared" si="109"/>
        <v>45877</v>
      </c>
      <c r="G535" s="1572">
        <v>16.249347936820723</v>
      </c>
      <c r="H535" s="1572">
        <v>89.855175870741164</v>
      </c>
      <c r="I535" s="697">
        <f t="shared" ca="1" si="102"/>
        <v>342.53985194422665</v>
      </c>
      <c r="J535" s="1572">
        <v>29.122227857168607</v>
      </c>
      <c r="K535" s="1572">
        <v>14.962606416946967</v>
      </c>
      <c r="L535" s="697">
        <f t="shared" ca="1" si="103"/>
        <v>15.420000037248862</v>
      </c>
      <c r="M535" s="1573">
        <v>5.8898512492101167</v>
      </c>
      <c r="N535" s="697">
        <f t="shared" ca="1" si="104"/>
        <v>8.1842553963144997</v>
      </c>
      <c r="O535" s="697"/>
      <c r="P535" s="697"/>
      <c r="Q535" s="697"/>
      <c r="R535" s="706">
        <v>5.781636990616418</v>
      </c>
      <c r="S535" s="697">
        <f t="shared" ca="1" si="105"/>
        <v>6.2754980846405033</v>
      </c>
      <c r="T535" s="1152">
        <v>84.404703871906392</v>
      </c>
      <c r="U535" s="697">
        <f t="shared" ca="1" si="106"/>
        <v>65.1084081344151</v>
      </c>
      <c r="V535" s="697">
        <f t="shared" ca="1" si="113"/>
        <v>41.021279401540347</v>
      </c>
      <c r="W535" s="697">
        <v>16.249347936820723</v>
      </c>
      <c r="X535" s="697">
        <f t="shared" ca="1" si="107"/>
        <v>20.684677803177475</v>
      </c>
      <c r="Y535" s="697">
        <v>12.462611119546372</v>
      </c>
      <c r="Z535" s="697">
        <f t="shared" ca="1" si="108"/>
        <v>15.366110393028141</v>
      </c>
    </row>
    <row r="536" spans="2:26">
      <c r="B536" s="166">
        <f t="shared" si="109"/>
        <v>45884</v>
      </c>
      <c r="G536" s="1572">
        <v>16.496570521040141</v>
      </c>
      <c r="H536" s="1572">
        <v>84.333251962803232</v>
      </c>
      <c r="I536" s="697">
        <f t="shared" ref="I536:I586" ca="1" si="114">+I$87</f>
        <v>342.53985194422665</v>
      </c>
      <c r="J536" s="1572">
        <v>29.404108364626516</v>
      </c>
      <c r="K536" s="1572">
        <v>14.059169204471166</v>
      </c>
      <c r="L536" s="697">
        <f t="shared" ref="L536:L586" ca="1" si="115">+L$87</f>
        <v>15.420000037248862</v>
      </c>
      <c r="M536" s="1573">
        <v>5.9864633090236703</v>
      </c>
      <c r="N536" s="697">
        <f t="shared" ref="N536:N586" ca="1" si="116">+N$87</f>
        <v>8.1842553963144997</v>
      </c>
      <c r="O536" s="697"/>
      <c r="P536" s="697"/>
      <c r="Q536" s="697"/>
      <c r="R536" s="706">
        <v>5.8075031536921617</v>
      </c>
      <c r="S536" s="697">
        <f t="shared" ref="S536:S586" ca="1" si="117">+S$87</f>
        <v>6.2754980846405033</v>
      </c>
      <c r="T536" s="1152">
        <v>79.397053193440712</v>
      </c>
      <c r="U536" s="697">
        <f t="shared" ref="U536:U586" ca="1" si="118">+U$87</f>
        <v>65.1084081344151</v>
      </c>
      <c r="V536" s="697">
        <f t="shared" ca="1" si="113"/>
        <v>41.021279401540347</v>
      </c>
      <c r="W536" s="697">
        <v>16.496570521040141</v>
      </c>
      <c r="X536" s="697">
        <f t="shared" ref="X536:X586" ca="1" si="119">+X$87</f>
        <v>20.684677803177475</v>
      </c>
      <c r="Y536" s="697">
        <v>12.941085686144969</v>
      </c>
      <c r="Z536" s="697">
        <f t="shared" ref="Z536:Z586" ca="1" si="120">+Z$87</f>
        <v>15.366110393028141</v>
      </c>
    </row>
    <row r="537" spans="2:26">
      <c r="B537" s="166">
        <f t="shared" ref="B537:B586" si="121">B536+7</f>
        <v>45891</v>
      </c>
      <c r="G537" s="1572">
        <v>16.607883509868305</v>
      </c>
      <c r="H537" s="1572">
        <v>84.350718785530105</v>
      </c>
      <c r="I537" s="697">
        <f t="shared" ca="1" si="114"/>
        <v>342.53985194422665</v>
      </c>
      <c r="J537" s="1572">
        <v>29.284313063598383</v>
      </c>
      <c r="K537" s="1572">
        <v>14.023376672844954</v>
      </c>
      <c r="L537" s="697">
        <f t="shared" ca="1" si="115"/>
        <v>15.420000037248862</v>
      </c>
      <c r="M537" s="1573">
        <v>6.0651157722912901</v>
      </c>
      <c r="N537" s="697">
        <f t="shared" ca="1" si="116"/>
        <v>8.1842553963144997</v>
      </c>
      <c r="O537" s="697"/>
      <c r="P537" s="697"/>
      <c r="Q537" s="697"/>
      <c r="R537" s="706">
        <v>5.7967136012996683</v>
      </c>
      <c r="S537" s="697">
        <f t="shared" ca="1" si="117"/>
        <v>6.2754980846405033</v>
      </c>
      <c r="T537" s="1152">
        <v>79.453036599657977</v>
      </c>
      <c r="U537" s="697">
        <f t="shared" ca="1" si="118"/>
        <v>65.1084081344151</v>
      </c>
      <c r="V537" s="697">
        <f t="shared" ca="1" si="113"/>
        <v>41.021279401540347</v>
      </c>
      <c r="W537" s="697">
        <v>16.607883509868305</v>
      </c>
      <c r="X537" s="697">
        <f t="shared" ca="1" si="119"/>
        <v>20.684677803177475</v>
      </c>
      <c r="Y537" s="697">
        <v>13.310555927529526</v>
      </c>
      <c r="Z537" s="697">
        <f t="shared" ca="1" si="120"/>
        <v>15.366110393028141</v>
      </c>
    </row>
    <row r="538" spans="2:26">
      <c r="B538" s="166">
        <f t="shared" si="121"/>
        <v>45898</v>
      </c>
      <c r="G538" s="1572">
        <v>16.355948414064219</v>
      </c>
      <c r="H538" s="1572">
        <v>83.4992325020999</v>
      </c>
      <c r="I538" s="697">
        <f t="shared" ca="1" si="114"/>
        <v>342.53985194422665</v>
      </c>
      <c r="J538" s="1572">
        <v>28.911568184232401</v>
      </c>
      <c r="K538" s="1572">
        <v>13.892872915841028</v>
      </c>
      <c r="L538" s="697">
        <f t="shared" ca="1" si="115"/>
        <v>15.420000037248862</v>
      </c>
      <c r="M538" s="1573">
        <v>6.1350452947804577</v>
      </c>
      <c r="N538" s="697">
        <f t="shared" ca="1" si="116"/>
        <v>8.1842553963144997</v>
      </c>
      <c r="O538" s="697"/>
      <c r="P538" s="697"/>
      <c r="Q538" s="697"/>
      <c r="R538" s="706">
        <v>5.7403500212916336</v>
      </c>
      <c r="S538" s="697">
        <f t="shared" ca="1" si="117"/>
        <v>6.2754980846405033</v>
      </c>
      <c r="T538" s="1152">
        <v>78.614763169443663</v>
      </c>
      <c r="U538" s="697">
        <f t="shared" ca="1" si="118"/>
        <v>65.1084081344151</v>
      </c>
      <c r="V538" s="697">
        <f t="shared" ca="1" si="113"/>
        <v>41.021279401540347</v>
      </c>
      <c r="W538" s="697">
        <v>16.355948414064219</v>
      </c>
      <c r="X538" s="697">
        <f t="shared" ca="1" si="119"/>
        <v>20.684677803177475</v>
      </c>
      <c r="Y538" s="697">
        <v>13.394508063321386</v>
      </c>
      <c r="Z538" s="697">
        <f t="shared" ca="1" si="120"/>
        <v>15.366110393028141</v>
      </c>
    </row>
    <row r="539" spans="2:26">
      <c r="B539" s="166">
        <f t="shared" si="121"/>
        <v>45905</v>
      </c>
      <c r="G539" s="1572">
        <v>16.478753339748607</v>
      </c>
      <c r="H539" s="1572">
        <v>86.403760382045618</v>
      </c>
      <c r="I539" s="697">
        <f t="shared" ca="1" si="114"/>
        <v>342.53985194422665</v>
      </c>
      <c r="J539" s="1572">
        <v>29.170523648046668</v>
      </c>
      <c r="K539" s="1572">
        <v>14.417903484470763</v>
      </c>
      <c r="L539" s="697">
        <f t="shared" ca="1" si="115"/>
        <v>15.420000037248862</v>
      </c>
      <c r="M539" s="1573">
        <v>6.1821725060592412</v>
      </c>
      <c r="N539" s="697">
        <f t="shared" ca="1" si="116"/>
        <v>8.1842553963144997</v>
      </c>
      <c r="O539" s="697"/>
      <c r="P539" s="697"/>
      <c r="Q539" s="697"/>
      <c r="R539" s="706">
        <v>5.8250048726291803</v>
      </c>
      <c r="S539" s="697">
        <f t="shared" ca="1" si="117"/>
        <v>6.2754980846405033</v>
      </c>
      <c r="T539" s="1152">
        <v>81.483792366001921</v>
      </c>
      <c r="U539" s="697">
        <f t="shared" ca="1" si="118"/>
        <v>65.1084081344151</v>
      </c>
      <c r="V539" s="697">
        <f t="shared" ca="1" si="113"/>
        <v>41.021279401540347</v>
      </c>
      <c r="W539" s="697">
        <v>16.478753339748607</v>
      </c>
      <c r="X539" s="697">
        <f t="shared" ca="1" si="119"/>
        <v>20.684677803177475</v>
      </c>
      <c r="Y539" s="697">
        <v>13.40832631681052</v>
      </c>
      <c r="Z539" s="697">
        <f t="shared" ca="1" si="120"/>
        <v>15.366110393028141</v>
      </c>
    </row>
    <row r="540" spans="2:26">
      <c r="B540" s="166">
        <f t="shared" si="121"/>
        <v>45912</v>
      </c>
      <c r="G540" s="1572">
        <v>16.296588790470679</v>
      </c>
      <c r="H540" s="1572">
        <v>84.021317200865383</v>
      </c>
      <c r="I540" s="697">
        <f t="shared" ca="1" si="114"/>
        <v>342.53985194422665</v>
      </c>
      <c r="J540" s="1572">
        <v>28.395534023919833</v>
      </c>
      <c r="K540" s="1572">
        <v>13.991648375569824</v>
      </c>
      <c r="L540" s="697">
        <f t="shared" ca="1" si="115"/>
        <v>15.420000037248862</v>
      </c>
      <c r="M540" s="1573">
        <v>6.2812421708448385</v>
      </c>
      <c r="N540" s="697">
        <f t="shared" ca="1" si="116"/>
        <v>8.1842553963144997</v>
      </c>
      <c r="O540" s="697"/>
      <c r="P540" s="697"/>
      <c r="Q540" s="697"/>
      <c r="R540" s="706">
        <v>5.7081864162893829</v>
      </c>
      <c r="S540" s="697">
        <f t="shared" ca="1" si="117"/>
        <v>6.2754980846405033</v>
      </c>
      <c r="T540" s="1152">
        <v>78.977197166084466</v>
      </c>
      <c r="U540" s="697">
        <f t="shared" ca="1" si="118"/>
        <v>65.1084081344151</v>
      </c>
      <c r="V540" s="697">
        <f t="shared" ca="1" si="113"/>
        <v>41.021279401540347</v>
      </c>
      <c r="W540" s="697">
        <v>16.296588790470679</v>
      </c>
      <c r="X540" s="697">
        <f t="shared" ca="1" si="119"/>
        <v>20.684677803177475</v>
      </c>
      <c r="Y540" s="697">
        <v>13.748205829246874</v>
      </c>
      <c r="Z540" s="697">
        <f t="shared" ca="1" si="120"/>
        <v>15.366110393028141</v>
      </c>
    </row>
    <row r="541" spans="2:26">
      <c r="B541" s="166">
        <f t="shared" si="121"/>
        <v>45919</v>
      </c>
      <c r="G541" s="1572">
        <v>16.773127947895567</v>
      </c>
      <c r="H541" s="1572">
        <v>89.439123928320356</v>
      </c>
      <c r="I541" s="697">
        <f t="shared" ca="1" si="114"/>
        <v>342.53985194422665</v>
      </c>
      <c r="J541" s="1572">
        <v>29.188311860636581</v>
      </c>
      <c r="K541" s="1572">
        <v>14.967427641209762</v>
      </c>
      <c r="L541" s="697">
        <f t="shared" ca="1" si="115"/>
        <v>15.420000037248862</v>
      </c>
      <c r="M541" s="1573">
        <v>6.367572547131676</v>
      </c>
      <c r="N541" s="697">
        <f t="shared" ca="1" si="116"/>
        <v>8.1842553963144997</v>
      </c>
      <c r="O541" s="697"/>
      <c r="P541" s="697"/>
      <c r="Q541" s="697"/>
      <c r="R541" s="706">
        <v>5.8800811721762454</v>
      </c>
      <c r="S541" s="697">
        <f t="shared" ca="1" si="117"/>
        <v>6.2754980846405033</v>
      </c>
      <c r="T541" s="1152">
        <v>84.593055023967963</v>
      </c>
      <c r="U541" s="697">
        <f t="shared" ca="1" si="118"/>
        <v>65.1084081344151</v>
      </c>
      <c r="V541" s="697">
        <f t="shared" ca="1" si="113"/>
        <v>41.021279401540347</v>
      </c>
      <c r="W541" s="697">
        <v>16.773127947895567</v>
      </c>
      <c r="X541" s="697">
        <f t="shared" ca="1" si="119"/>
        <v>20.684677803177475</v>
      </c>
      <c r="Y541" s="697">
        <v>14.318253879419586</v>
      </c>
      <c r="Z541" s="697">
        <f t="shared" ca="1" si="120"/>
        <v>15.366110393028141</v>
      </c>
    </row>
    <row r="542" spans="2:26">
      <c r="B542" s="166">
        <f t="shared" si="121"/>
        <v>45926</v>
      </c>
      <c r="G542" s="1572">
        <v>16.352849133314766</v>
      </c>
      <c r="H542" s="1572">
        <v>81.480899221460902</v>
      </c>
      <c r="I542" s="697">
        <f t="shared" ca="1" si="114"/>
        <v>342.53985194422665</v>
      </c>
      <c r="J542" s="1572">
        <v>28.105448695031907</v>
      </c>
      <c r="K542" s="1572">
        <v>13.5695044260969</v>
      </c>
      <c r="L542" s="697">
        <f t="shared" ca="1" si="115"/>
        <v>15.420000037248862</v>
      </c>
      <c r="M542" s="1573">
        <v>6.315906480120816</v>
      </c>
      <c r="N542" s="697">
        <f t="shared" ca="1" si="116"/>
        <v>8.1842553963144997</v>
      </c>
      <c r="O542" s="697"/>
      <c r="P542" s="697"/>
      <c r="Q542" s="697"/>
      <c r="R542" s="706">
        <v>5.6832280367148202</v>
      </c>
      <c r="S542" s="697">
        <f t="shared" ca="1" si="117"/>
        <v>6.2754980846405033</v>
      </c>
      <c r="T542" s="1152">
        <v>76.606840559028541</v>
      </c>
      <c r="U542" s="697">
        <f t="shared" ca="1" si="118"/>
        <v>65.1084081344151</v>
      </c>
      <c r="V542" s="697">
        <f t="shared" ca="1" si="113"/>
        <v>41.021279401540347</v>
      </c>
      <c r="W542" s="697">
        <v>16.352849133314766</v>
      </c>
      <c r="X542" s="697">
        <f t="shared" ca="1" si="119"/>
        <v>20.684677803177475</v>
      </c>
      <c r="Y542" s="697">
        <v>14.149786642849557</v>
      </c>
      <c r="Z542" s="697">
        <f t="shared" ca="1" si="120"/>
        <v>15.366110393028141</v>
      </c>
    </row>
    <row r="543" spans="2:26">
      <c r="B543" s="166">
        <f t="shared" si="121"/>
        <v>45933</v>
      </c>
      <c r="G543" s="1572">
        <v>16.186589330959244</v>
      </c>
      <c r="H543" s="1572">
        <v>92.810428680622636</v>
      </c>
      <c r="I543" s="697">
        <f t="shared" ca="1" si="114"/>
        <v>342.53985194422665</v>
      </c>
      <c r="J543" s="1572">
        <v>28.227114799277068</v>
      </c>
      <c r="K543" s="1572">
        <v>15.592102191247401</v>
      </c>
      <c r="L543" s="697">
        <f t="shared" ca="1" si="115"/>
        <v>15.420000037248862</v>
      </c>
      <c r="M543" s="1573">
        <v>5.9390018994931539</v>
      </c>
      <c r="N543" s="697">
        <f t="shared" ca="1" si="116"/>
        <v>8.1842553963144997</v>
      </c>
      <c r="O543" s="697"/>
      <c r="P543" s="697"/>
      <c r="Q543" s="697"/>
      <c r="R543" s="706">
        <v>5.7306618945818526</v>
      </c>
      <c r="S543" s="697">
        <f t="shared" ca="1" si="117"/>
        <v>6.2754980846405033</v>
      </c>
      <c r="T543" s="1152">
        <v>88.037325905647293</v>
      </c>
      <c r="U543" s="697">
        <f t="shared" ca="1" si="118"/>
        <v>65.1084081344151</v>
      </c>
      <c r="V543" s="697">
        <f t="shared" ca="1" si="113"/>
        <v>41.021279401540347</v>
      </c>
      <c r="W543" s="697">
        <v>16.186589330959244</v>
      </c>
      <c r="X543" s="697">
        <f t="shared" ca="1" si="119"/>
        <v>20.684677803177475</v>
      </c>
      <c r="Y543" s="697">
        <v>12.940707819206645</v>
      </c>
      <c r="Z543" s="697">
        <f t="shared" ca="1" si="120"/>
        <v>15.366110393028141</v>
      </c>
    </row>
    <row r="544" spans="2:26">
      <c r="B544" s="166">
        <f t="shared" si="121"/>
        <v>45940</v>
      </c>
      <c r="G544" s="1572">
        <v>15.577583707770728</v>
      </c>
      <c r="H544" s="1572">
        <v>86.444414501368215</v>
      </c>
      <c r="I544" s="697">
        <f t="shared" ca="1" si="114"/>
        <v>342.53985194422665</v>
      </c>
      <c r="J544" s="1572">
        <v>27.363729723524585</v>
      </c>
      <c r="K544" s="1572">
        <v>14.521277951144759</v>
      </c>
      <c r="L544" s="697">
        <f t="shared" ca="1" si="115"/>
        <v>15.420000037248862</v>
      </c>
      <c r="M544" s="1573">
        <v>5.6968360416579715</v>
      </c>
      <c r="N544" s="697">
        <f t="shared" ca="1" si="116"/>
        <v>8.1842553963144997</v>
      </c>
      <c r="O544" s="697"/>
      <c r="P544" s="697"/>
      <c r="Q544" s="697"/>
      <c r="R544" s="706">
        <v>5.557812816181734</v>
      </c>
      <c r="S544" s="697">
        <f t="shared" ca="1" si="117"/>
        <v>6.2754980846405033</v>
      </c>
      <c r="T544" s="1152">
        <v>81.894213933862275</v>
      </c>
      <c r="U544" s="697">
        <f t="shared" ca="1" si="118"/>
        <v>65.1084081344151</v>
      </c>
      <c r="V544" s="697">
        <f t="shared" ca="1" si="113"/>
        <v>41.021279401540347</v>
      </c>
      <c r="W544" s="697">
        <v>15.577583707770728</v>
      </c>
      <c r="X544" s="697">
        <f t="shared" ca="1" si="119"/>
        <v>20.684677803177475</v>
      </c>
      <c r="Y544" s="697">
        <v>12.492467170302671</v>
      </c>
      <c r="Z544" s="697">
        <f t="shared" ca="1" si="120"/>
        <v>15.366110393028141</v>
      </c>
    </row>
    <row r="545" spans="2:26">
      <c r="B545" s="166">
        <f t="shared" si="121"/>
        <v>45947</v>
      </c>
      <c r="G545" s="1572">
        <v>15.633135242190031</v>
      </c>
      <c r="H545" s="1572">
        <v>89.922398611583574</v>
      </c>
      <c r="I545" s="697">
        <f t="shared" ca="1" si="114"/>
        <v>342.53985194422665</v>
      </c>
      <c r="J545" s="1572">
        <v>27.604430099554627</v>
      </c>
      <c r="K545" s="1572">
        <v>15.075323496804275</v>
      </c>
      <c r="L545" s="697">
        <f t="shared" ca="1" si="115"/>
        <v>15.420000037248862</v>
      </c>
      <c r="M545" s="1573">
        <v>5.6865888187720017</v>
      </c>
      <c r="N545" s="697">
        <f t="shared" ca="1" si="116"/>
        <v>8.1842553963144997</v>
      </c>
      <c r="O545" s="697"/>
      <c r="P545" s="697"/>
      <c r="Q545" s="697"/>
      <c r="R545" s="706">
        <v>5.6174603840446631</v>
      </c>
      <c r="S545" s="697">
        <f t="shared" ca="1" si="117"/>
        <v>6.2754980846405033</v>
      </c>
      <c r="T545" s="1152">
        <v>84.925096687611116</v>
      </c>
      <c r="U545" s="697">
        <f t="shared" ca="1" si="118"/>
        <v>65.1084081344151</v>
      </c>
      <c r="V545" s="697">
        <f t="shared" ca="1" si="113"/>
        <v>41.021279401540347</v>
      </c>
      <c r="W545" s="697">
        <v>15.633135242190031</v>
      </c>
      <c r="X545" s="697">
        <f t="shared" ca="1" si="119"/>
        <v>20.684677803177475</v>
      </c>
      <c r="Y545" s="697">
        <v>12.239327495832555</v>
      </c>
      <c r="Z545" s="697">
        <f t="shared" ca="1" si="120"/>
        <v>15.366110393028141</v>
      </c>
    </row>
    <row r="546" spans="2:26">
      <c r="B546" s="166">
        <f t="shared" si="121"/>
        <v>45954</v>
      </c>
      <c r="G546" s="1572">
        <v>15.81933986295444</v>
      </c>
      <c r="H546" s="1572">
        <v>98.133611621607002</v>
      </c>
      <c r="I546" s="697">
        <f t="shared" ca="1" si="114"/>
        <v>342.53985194422665</v>
      </c>
      <c r="J546" s="1572">
        <v>28.300170996789369</v>
      </c>
      <c r="K546" s="1572">
        <v>16.530290045225023</v>
      </c>
      <c r="L546" s="697">
        <f t="shared" ca="1" si="115"/>
        <v>15.420000037248862</v>
      </c>
      <c r="M546" s="1573">
        <v>5.6839330210656165</v>
      </c>
      <c r="N546" s="697">
        <f t="shared" ca="1" si="116"/>
        <v>8.1842553963144997</v>
      </c>
      <c r="O546" s="697"/>
      <c r="P546" s="697"/>
      <c r="Q546" s="697"/>
      <c r="R546" s="706">
        <v>5.7329571768867966</v>
      </c>
      <c r="S546" s="697">
        <f t="shared" ca="1" si="117"/>
        <v>6.2754980846405033</v>
      </c>
      <c r="T546" s="1152">
        <v>92.89889339522253</v>
      </c>
      <c r="U546" s="697">
        <f t="shared" ca="1" si="118"/>
        <v>65.1084081344151</v>
      </c>
      <c r="V546" s="697">
        <f t="shared" ca="1" si="113"/>
        <v>41.021279401540347</v>
      </c>
      <c r="W546" s="697">
        <v>15.81933986295444</v>
      </c>
      <c r="X546" s="697">
        <f t="shared" ca="1" si="119"/>
        <v>20.684677803177475</v>
      </c>
      <c r="Y546" s="697">
        <v>13.026968781313821</v>
      </c>
      <c r="Z546" s="697">
        <f t="shared" ca="1" si="120"/>
        <v>15.366110393028141</v>
      </c>
    </row>
    <row r="547" spans="2:26">
      <c r="B547" s="166">
        <f t="shared" si="121"/>
        <v>45961</v>
      </c>
      <c r="G547" s="1572">
        <v>15.515945660482419</v>
      </c>
      <c r="H547" s="1572">
        <v>98.585485966453035</v>
      </c>
      <c r="I547" s="697">
        <f t="shared" ca="1" si="114"/>
        <v>342.53985194422665</v>
      </c>
      <c r="J547" s="1572">
        <v>28.0700801805461</v>
      </c>
      <c r="K547" s="1572">
        <v>16.610195792151796</v>
      </c>
      <c r="L547" s="697">
        <f t="shared" ca="1" si="115"/>
        <v>15.420000037248862</v>
      </c>
      <c r="M547" s="1573">
        <v>5.5858743203528931</v>
      </c>
      <c r="N547" s="697">
        <f t="shared" ca="1" si="116"/>
        <v>8.1842553963144997</v>
      </c>
      <c r="O547" s="697"/>
      <c r="P547" s="697"/>
      <c r="Q547" s="697"/>
      <c r="R547" s="706">
        <v>5.6294972273584465</v>
      </c>
      <c r="S547" s="697">
        <f t="shared" ca="1" si="117"/>
        <v>6.2754980846405033</v>
      </c>
      <c r="T547" s="1152">
        <v>93.904573368514946</v>
      </c>
      <c r="U547" s="697">
        <f t="shared" ca="1" si="118"/>
        <v>65.1084081344151</v>
      </c>
      <c r="V547" s="697">
        <f t="shared" ca="1" si="113"/>
        <v>41.021279401540347</v>
      </c>
      <c r="W547" s="697">
        <v>15.515945660482419</v>
      </c>
      <c r="X547" s="697">
        <f t="shared" ca="1" si="119"/>
        <v>20.684677803177475</v>
      </c>
      <c r="Y547" s="697">
        <v>12.938879518210006</v>
      </c>
      <c r="Z547" s="697">
        <f t="shared" ca="1" si="120"/>
        <v>15.366110393028141</v>
      </c>
    </row>
    <row r="548" spans="2:26">
      <c r="B548" s="166">
        <f t="shared" si="121"/>
        <v>45968</v>
      </c>
      <c r="G548" s="1572">
        <v>14.581324840233</v>
      </c>
      <c r="H548" s="1572">
        <v>86.004294966799108</v>
      </c>
      <c r="I548" s="697">
        <f t="shared" ca="1" si="114"/>
        <v>342.53985194422665</v>
      </c>
      <c r="J548" s="1572">
        <v>25.970947570369031</v>
      </c>
      <c r="K548" s="1572">
        <v>14.106630161712745</v>
      </c>
      <c r="L548" s="697">
        <f t="shared" ca="1" si="115"/>
        <v>15.420000037248862</v>
      </c>
      <c r="M548" s="1573">
        <v>5.4418194154164423</v>
      </c>
      <c r="N548" s="697">
        <f t="shared" ca="1" si="116"/>
        <v>8.1842553963144997</v>
      </c>
      <c r="O548" s="697"/>
      <c r="P548" s="697"/>
      <c r="Q548" s="697"/>
      <c r="R548" s="706">
        <v>5.2039967016555249</v>
      </c>
      <c r="S548" s="697">
        <f t="shared" ca="1" si="117"/>
        <v>6.2754980846405033</v>
      </c>
      <c r="T548" s="1152">
        <v>79.478311010550641</v>
      </c>
      <c r="U548" s="697">
        <f t="shared" ca="1" si="118"/>
        <v>65.1084081344151</v>
      </c>
      <c r="V548" s="697">
        <f t="shared" ca="1" si="113"/>
        <v>41.021279401540347</v>
      </c>
      <c r="W548" s="697">
        <v>14.581324840233</v>
      </c>
      <c r="X548" s="697">
        <f t="shared" ca="1" si="119"/>
        <v>20.684677803177475</v>
      </c>
      <c r="Y548" s="697">
        <v>12.038309193584814</v>
      </c>
      <c r="Z548" s="697">
        <f t="shared" ca="1" si="120"/>
        <v>15.366110393028141</v>
      </c>
    </row>
    <row r="549" spans="2:26">
      <c r="B549" s="166">
        <f t="shared" si="121"/>
        <v>45975</v>
      </c>
      <c r="G549" s="1572">
        <v>14.490582021136529</v>
      </c>
      <c r="H549" s="1572">
        <v>82.516348593942098</v>
      </c>
      <c r="I549" s="697">
        <f t="shared" ca="1" si="114"/>
        <v>342.53985194422665</v>
      </c>
      <c r="J549" s="1572">
        <v>25.445624980636779</v>
      </c>
      <c r="K549" s="1572">
        <v>13.448135983220398</v>
      </c>
      <c r="L549" s="697">
        <f t="shared" ca="1" si="115"/>
        <v>15.420000037248862</v>
      </c>
      <c r="M549" s="1573">
        <v>5.5144659540030352</v>
      </c>
      <c r="N549" s="697">
        <f t="shared" ca="1" si="116"/>
        <v>8.1842553963144997</v>
      </c>
      <c r="O549" s="697"/>
      <c r="P549" s="697"/>
      <c r="Q549" s="697"/>
      <c r="R549" s="706">
        <v>5.1381699768182179</v>
      </c>
      <c r="S549" s="697">
        <f t="shared" ca="1" si="117"/>
        <v>6.2754980846405033</v>
      </c>
      <c r="T549" s="1152">
        <v>75.836631806689311</v>
      </c>
      <c r="U549" s="697">
        <f t="shared" ca="1" si="118"/>
        <v>65.1084081344151</v>
      </c>
      <c r="V549" s="697">
        <f t="shared" ca="1" si="113"/>
        <v>41.021279401540347</v>
      </c>
      <c r="W549" s="697">
        <v>14.490582021136529</v>
      </c>
      <c r="X549" s="697">
        <f t="shared" ca="1" si="119"/>
        <v>20.684677803177475</v>
      </c>
      <c r="Y549" s="697">
        <v>12.088560806401713</v>
      </c>
      <c r="Z549" s="697">
        <f t="shared" ca="1" si="120"/>
        <v>15.366110393028141</v>
      </c>
    </row>
    <row r="550" spans="2:26">
      <c r="B550" s="166">
        <f t="shared" si="121"/>
        <v>45982</v>
      </c>
      <c r="G550" s="1572">
        <v>13.674453633593483</v>
      </c>
      <c r="H550" s="1572">
        <v>82.808413155489106</v>
      </c>
      <c r="I550" s="697">
        <f t="shared" ca="1" si="114"/>
        <v>342.53985194422665</v>
      </c>
      <c r="J550" s="1572">
        <v>24.355101166145868</v>
      </c>
      <c r="K550" s="1572">
        <v>13.531353657222924</v>
      </c>
      <c r="L550" s="697">
        <f t="shared" ca="1" si="115"/>
        <v>15.420000037248862</v>
      </c>
      <c r="M550" s="1573">
        <v>5.2584067506421048</v>
      </c>
      <c r="N550" s="697">
        <f t="shared" ca="1" si="116"/>
        <v>8.1842553963144997</v>
      </c>
      <c r="O550" s="697"/>
      <c r="P550" s="697"/>
      <c r="Q550" s="697"/>
      <c r="R550" s="706">
        <v>4.9530472857992969</v>
      </c>
      <c r="S550" s="697">
        <f t="shared" ca="1" si="117"/>
        <v>6.2754980846405033</v>
      </c>
      <c r="T550" s="1152">
        <v>76.357446718046418</v>
      </c>
      <c r="U550" s="697">
        <f t="shared" ca="1" si="118"/>
        <v>65.1084081344151</v>
      </c>
      <c r="V550" s="697">
        <f t="shared" ca="1" si="113"/>
        <v>41.021279401540347</v>
      </c>
      <c r="W550" s="697">
        <v>13.674453633593483</v>
      </c>
      <c r="X550" s="697">
        <f t="shared" ca="1" si="119"/>
        <v>20.684677803177475</v>
      </c>
      <c r="Y550" s="697">
        <v>11.019279648911857</v>
      </c>
      <c r="Z550" s="697">
        <f t="shared" ca="1" si="120"/>
        <v>15.366110393028141</v>
      </c>
    </row>
    <row r="551" spans="2:26">
      <c r="B551" s="166">
        <f t="shared" si="121"/>
        <v>45989</v>
      </c>
      <c r="G551" s="1572">
        <v>14.184927346193559</v>
      </c>
      <c r="H551" s="1572">
        <v>88.960014032623491</v>
      </c>
      <c r="I551" s="697">
        <f t="shared" ca="1" si="114"/>
        <v>342.53985194422665</v>
      </c>
      <c r="J551" s="1572">
        <v>25.358182184508429</v>
      </c>
      <c r="K551" s="1572">
        <v>14.667892450591056</v>
      </c>
      <c r="L551" s="697">
        <f t="shared" ca="1" si="115"/>
        <v>15.420000037248862</v>
      </c>
      <c r="M551" s="1573">
        <v>5.2775145588584564</v>
      </c>
      <c r="N551" s="697">
        <f t="shared" ca="1" si="116"/>
        <v>8.1842553963144997</v>
      </c>
      <c r="O551" s="697"/>
      <c r="P551" s="697"/>
      <c r="Q551" s="697"/>
      <c r="R551" s="706">
        <v>5.1762428941791025</v>
      </c>
      <c r="S551" s="697">
        <f t="shared" ca="1" si="117"/>
        <v>6.2754980846405033</v>
      </c>
      <c r="T551" s="1152">
        <v>82.733179304619114</v>
      </c>
      <c r="U551" s="697">
        <f t="shared" ca="1" si="118"/>
        <v>65.1084081344151</v>
      </c>
      <c r="V551" s="697">
        <f t="shared" ca="1" si="113"/>
        <v>41.021279401540347</v>
      </c>
      <c r="W551" s="697">
        <v>14.184927346193559</v>
      </c>
      <c r="X551" s="697">
        <f t="shared" ca="1" si="119"/>
        <v>20.684677803177475</v>
      </c>
      <c r="Y551" s="697">
        <v>11.133535014817209</v>
      </c>
      <c r="Z551" s="697">
        <f t="shared" ca="1" si="120"/>
        <v>15.366110393028141</v>
      </c>
    </row>
    <row r="552" spans="2:26">
      <c r="B552" s="166">
        <f t="shared" si="121"/>
        <v>45996</v>
      </c>
      <c r="G552" s="1572">
        <v>14.531351640081741</v>
      </c>
      <c r="H552" s="1572">
        <v>89.966395529427501</v>
      </c>
      <c r="I552" s="697">
        <f t="shared" ca="1" si="114"/>
        <v>342.53985194422665</v>
      </c>
      <c r="J552" s="1572">
        <v>25.501788540775983</v>
      </c>
      <c r="K552" s="1572">
        <v>14.670782904196162</v>
      </c>
      <c r="L552" s="697">
        <f t="shared" ca="1" si="115"/>
        <v>15.420000037248862</v>
      </c>
      <c r="M552" s="1573">
        <v>5.4330718945741587</v>
      </c>
      <c r="N552" s="697">
        <f t="shared" ca="1" si="116"/>
        <v>8.1842553963144997</v>
      </c>
      <c r="O552" s="697"/>
      <c r="P552" s="697"/>
      <c r="Q552" s="697"/>
      <c r="R552" s="706">
        <v>5.2322041485468302</v>
      </c>
      <c r="S552" s="697">
        <f t="shared" ca="1" si="117"/>
        <v>6.2754980846405033</v>
      </c>
      <c r="T552" s="1152">
        <v>82.512398065429721</v>
      </c>
      <c r="U552" s="697">
        <f t="shared" ca="1" si="118"/>
        <v>65.1084081344151</v>
      </c>
      <c r="V552" s="697">
        <f t="shared" ca="1" si="113"/>
        <v>41.021279401540347</v>
      </c>
      <c r="W552" s="697">
        <v>14.531351640081741</v>
      </c>
      <c r="X552" s="697">
        <f t="shared" ca="1" si="119"/>
        <v>20.684677803177475</v>
      </c>
      <c r="Y552" s="697">
        <v>11.675032634206669</v>
      </c>
      <c r="Z552" s="697">
        <f t="shared" ca="1" si="120"/>
        <v>15.366110393028141</v>
      </c>
    </row>
    <row r="553" spans="2:26">
      <c r="B553" s="166">
        <f t="shared" si="121"/>
        <v>46003</v>
      </c>
      <c r="G553" s="1572">
        <v>14.107534273116432</v>
      </c>
      <c r="H553" s="1572">
        <v>91.291596780602035</v>
      </c>
      <c r="I553" s="697">
        <f t="shared" ca="1" si="114"/>
        <v>342.53985194422665</v>
      </c>
      <c r="J553" s="1572">
        <v>25.116344806805216</v>
      </c>
      <c r="K553" s="1572">
        <v>14.926675013213226</v>
      </c>
      <c r="L553" s="697">
        <f t="shared" ca="1" si="115"/>
        <v>15.420000037248862</v>
      </c>
      <c r="M553" s="1573">
        <v>5.3911546750134747</v>
      </c>
      <c r="N553" s="697">
        <f t="shared" ca="1" si="116"/>
        <v>8.1842553963144997</v>
      </c>
      <c r="O553" s="697"/>
      <c r="P553" s="697"/>
      <c r="Q553" s="697"/>
      <c r="R553" s="706">
        <v>5.1556735903281048</v>
      </c>
      <c r="S553" s="697">
        <f t="shared" ca="1" si="117"/>
        <v>6.2754980846405033</v>
      </c>
      <c r="T553" s="1152">
        <v>83.879496977305834</v>
      </c>
      <c r="U553" s="697">
        <f t="shared" ca="1" si="118"/>
        <v>65.1084081344151</v>
      </c>
      <c r="V553" s="697">
        <f t="shared" ca="1" si="113"/>
        <v>41.021279401540347</v>
      </c>
      <c r="W553" s="697">
        <v>14.107534273116432</v>
      </c>
      <c r="X553" s="697">
        <f t="shared" ca="1" si="119"/>
        <v>20.684677803177475</v>
      </c>
      <c r="Y553" s="697">
        <v>11.614170607380741</v>
      </c>
      <c r="Z553" s="697">
        <f t="shared" ca="1" si="120"/>
        <v>15.366110393028141</v>
      </c>
    </row>
    <row r="554" spans="2:26">
      <c r="B554" s="166">
        <f t="shared" si="121"/>
        <v>46010</v>
      </c>
      <c r="G554" s="1572">
        <v>14.029157762251014</v>
      </c>
      <c r="H554" s="1572">
        <v>93.362620760395799</v>
      </c>
      <c r="I554" s="697">
        <f t="shared" ca="1" si="114"/>
        <v>342.53985194422665</v>
      </c>
      <c r="J554" s="1572">
        <v>24.848510755926647</v>
      </c>
      <c r="K554" s="1572">
        <v>15.365045079606016</v>
      </c>
      <c r="L554" s="697">
        <f t="shared" ca="1" si="115"/>
        <v>15.420000037248862</v>
      </c>
      <c r="M554" s="1573">
        <v>5.4097780267206117</v>
      </c>
      <c r="N554" s="697">
        <f t="shared" ca="1" si="116"/>
        <v>8.1842553963144997</v>
      </c>
      <c r="O554" s="697"/>
      <c r="P554" s="697"/>
      <c r="Q554" s="697"/>
      <c r="R554" s="706">
        <v>5.169403795033344</v>
      </c>
      <c r="S554" s="697">
        <f t="shared" ca="1" si="117"/>
        <v>6.2754980846405033</v>
      </c>
      <c r="T554" s="1152">
        <v>85.711130609962225</v>
      </c>
      <c r="U554" s="697">
        <f t="shared" ca="1" si="118"/>
        <v>65.1084081344151</v>
      </c>
      <c r="V554" s="697">
        <f t="shared" ca="1" si="113"/>
        <v>41.021279401540347</v>
      </c>
      <c r="W554" s="697">
        <v>14.029157762251014</v>
      </c>
      <c r="X554" s="697">
        <f t="shared" ca="1" si="119"/>
        <v>20.684677803177475</v>
      </c>
      <c r="Y554" s="697">
        <v>11.619575302422904</v>
      </c>
      <c r="Z554" s="697">
        <f t="shared" ca="1" si="120"/>
        <v>15.366110393028141</v>
      </c>
    </row>
    <row r="555" spans="2:26">
      <c r="B555" s="166">
        <f t="shared" si="121"/>
        <v>46017</v>
      </c>
      <c r="G555" s="1572">
        <v>14.139422041852589</v>
      </c>
      <c r="H555" s="1572">
        <v>93.686815008054126</v>
      </c>
      <c r="I555" s="697">
        <f t="shared" ca="1" si="114"/>
        <v>342.53985194422665</v>
      </c>
      <c r="J555" s="1572">
        <v>24.914089685520402</v>
      </c>
      <c r="K555" s="1572">
        <v>15.303465267786207</v>
      </c>
      <c r="L555" s="697">
        <f t="shared" ca="1" si="115"/>
        <v>15.420000037248862</v>
      </c>
      <c r="M555" s="1573">
        <v>5.4427361723865495</v>
      </c>
      <c r="N555" s="697">
        <f t="shared" ca="1" si="116"/>
        <v>8.1842553963144997</v>
      </c>
      <c r="O555" s="697"/>
      <c r="P555" s="697"/>
      <c r="Q555" s="697"/>
      <c r="R555" s="706">
        <v>5.1988838560126274</v>
      </c>
      <c r="S555" s="697">
        <f t="shared" ca="1" si="117"/>
        <v>6.2754980846405033</v>
      </c>
      <c r="T555" s="1152">
        <v>85.293503960229472</v>
      </c>
      <c r="U555" s="697">
        <f t="shared" ca="1" si="118"/>
        <v>65.1084081344151</v>
      </c>
      <c r="V555" s="697">
        <f t="shared" ca="1" si="113"/>
        <v>41.021279401540347</v>
      </c>
      <c r="W555" s="697">
        <v>14.139422041852589</v>
      </c>
      <c r="X555" s="697">
        <f t="shared" ca="1" si="119"/>
        <v>20.684677803177475</v>
      </c>
      <c r="Y555" s="697">
        <v>11.669093414752233</v>
      </c>
      <c r="Z555" s="697">
        <f t="shared" ca="1" si="120"/>
        <v>15.366110393028141</v>
      </c>
    </row>
    <row r="556" spans="2:26">
      <c r="B556" s="166">
        <f t="shared" si="121"/>
        <v>46024</v>
      </c>
      <c r="G556" s="1572">
        <v>13.82374810506245</v>
      </c>
      <c r="H556" s="1572">
        <v>85.846064572295731</v>
      </c>
      <c r="I556" s="697">
        <f t="shared" ca="1" si="114"/>
        <v>342.53985194422665</v>
      </c>
      <c r="J556" s="1572">
        <v>23.948702200580186</v>
      </c>
      <c r="K556" s="1572">
        <v>14.130397258380988</v>
      </c>
      <c r="L556" s="697">
        <f t="shared" ca="1" si="115"/>
        <v>15.420000037248862</v>
      </c>
      <c r="M556" s="1573">
        <v>5.2211358645213437</v>
      </c>
      <c r="N556" s="697">
        <f t="shared" ca="1" si="116"/>
        <v>8.1842553963144997</v>
      </c>
      <c r="O556" s="697"/>
      <c r="P556" s="697"/>
      <c r="Q556" s="697"/>
      <c r="R556" s="706">
        <v>5.0422262644822542</v>
      </c>
      <c r="S556" s="697">
        <f t="shared" ca="1" si="117"/>
        <v>6.2754980846405033</v>
      </c>
      <c r="T556" s="1152">
        <v>78.917304008941656</v>
      </c>
      <c r="U556" s="697">
        <f t="shared" ca="1" si="118"/>
        <v>65.1084081344151</v>
      </c>
      <c r="V556" s="697">
        <f t="shared" ca="1" si="113"/>
        <v>41.021279401540347</v>
      </c>
      <c r="W556" s="697">
        <v>13.82374810506245</v>
      </c>
      <c r="X556" s="697">
        <f t="shared" ca="1" si="119"/>
        <v>20.684677803177475</v>
      </c>
      <c r="Y556" s="697">
        <v>11.081884294711058</v>
      </c>
      <c r="Z556" s="697">
        <f t="shared" ca="1" si="120"/>
        <v>15.366110393028141</v>
      </c>
    </row>
    <row r="557" spans="2:26">
      <c r="B557" s="166">
        <f t="shared" si="121"/>
        <v>46031</v>
      </c>
      <c r="G557" s="1572">
        <v>14.037338556748232</v>
      </c>
      <c r="H557" s="1572">
        <v>88.956995988011357</v>
      </c>
      <c r="I557" s="697">
        <f t="shared" ca="1" si="114"/>
        <v>342.53985194422665</v>
      </c>
      <c r="J557" s="1572">
        <v>24.204484423847827</v>
      </c>
      <c r="K557" s="1572">
        <v>14.732713421065069</v>
      </c>
      <c r="L557" s="697">
        <f t="shared" ca="1" si="115"/>
        <v>15.420000037248862</v>
      </c>
      <c r="M557" s="1573">
        <v>5.2708406365642544</v>
      </c>
      <c r="N557" s="697">
        <f t="shared" ca="1" si="116"/>
        <v>8.1842553963144997</v>
      </c>
      <c r="O557" s="697"/>
      <c r="P557" s="697"/>
      <c r="Q557" s="697"/>
      <c r="R557" s="706">
        <v>5.135662192122501</v>
      </c>
      <c r="S557" s="697">
        <f t="shared" ca="1" si="117"/>
        <v>6.2754980846405033</v>
      </c>
      <c r="T557" s="1152">
        <v>81.875320788554404</v>
      </c>
      <c r="U557" s="697">
        <f t="shared" ca="1" si="118"/>
        <v>65.1084081344151</v>
      </c>
      <c r="V557" s="697">
        <f t="shared" ca="1" si="113"/>
        <v>41.021279401540347</v>
      </c>
      <c r="W557" s="697">
        <v>14.037338556748232</v>
      </c>
      <c r="X557" s="697">
        <f t="shared" ca="1" si="119"/>
        <v>20.684677803177475</v>
      </c>
      <c r="Y557" s="697">
        <v>10.955300929253504</v>
      </c>
      <c r="Z557" s="697">
        <f t="shared" ca="1" si="120"/>
        <v>15.366110393028141</v>
      </c>
    </row>
    <row r="558" spans="2:26">
      <c r="B558" s="166">
        <f t="shared" si="121"/>
        <v>46038</v>
      </c>
      <c r="G558" s="708">
        <v>13.594897191960607</v>
      </c>
      <c r="H558" s="708">
        <v>83.71227091549558</v>
      </c>
      <c r="I558" s="697">
        <f t="shared" ca="1" si="114"/>
        <v>342.53985194422665</v>
      </c>
      <c r="J558" s="708">
        <v>23.462758425871158</v>
      </c>
      <c r="K558" s="708">
        <v>13.746314997271734</v>
      </c>
      <c r="L558" s="697">
        <f t="shared" ca="1" si="115"/>
        <v>15.420000037248862</v>
      </c>
      <c r="M558" s="1184">
        <v>4.9864551134696109</v>
      </c>
      <c r="N558" s="697">
        <f t="shared" ca="1" si="116"/>
        <v>8.1842553963144997</v>
      </c>
      <c r="O558" s="697"/>
      <c r="P558" s="697"/>
      <c r="Q558" s="697"/>
      <c r="R558" s="708">
        <v>4.9355285112077194</v>
      </c>
      <c r="S558" s="697">
        <f t="shared" ca="1" si="117"/>
        <v>6.2754980846405033</v>
      </c>
      <c r="T558" s="1153">
        <v>76.074822714829281</v>
      </c>
      <c r="U558" s="697">
        <f t="shared" ca="1" si="118"/>
        <v>65.1084081344151</v>
      </c>
      <c r="V558" s="697">
        <f t="shared" ca="1" si="113"/>
        <v>41.021279401540347</v>
      </c>
      <c r="W558" s="1154">
        <v>13.594897191960607</v>
      </c>
      <c r="X558" s="697">
        <f t="shared" ca="1" si="119"/>
        <v>20.684677803177475</v>
      </c>
      <c r="Y558" s="1154">
        <v>9.9213840584656339</v>
      </c>
      <c r="Z558" s="697">
        <f t="shared" ca="1" si="120"/>
        <v>15.366110393028141</v>
      </c>
    </row>
    <row r="559" spans="2:26">
      <c r="B559" s="166">
        <f t="shared" si="121"/>
        <v>46045</v>
      </c>
      <c r="G559" s="708">
        <v>13.564793402882582</v>
      </c>
      <c r="H559" s="708">
        <v>73.26782746412286</v>
      </c>
      <c r="I559" s="697">
        <f t="shared" ca="1" si="114"/>
        <v>342.53985194422665</v>
      </c>
      <c r="J559" s="708">
        <v>22.697145980231895</v>
      </c>
      <c r="K559" s="708">
        <v>12.030370658847046</v>
      </c>
      <c r="L559" s="697">
        <f t="shared" ca="1" si="115"/>
        <v>15.420000037248862</v>
      </c>
      <c r="M559" s="1184">
        <v>5.0203405694617604</v>
      </c>
      <c r="N559" s="697">
        <f t="shared" ca="1" si="116"/>
        <v>8.1842553963144997</v>
      </c>
      <c r="O559" s="697"/>
      <c r="P559" s="697"/>
      <c r="Q559" s="697"/>
      <c r="R559" s="708">
        <v>4.8410152624057572</v>
      </c>
      <c r="S559" s="697">
        <f t="shared" ca="1" si="117"/>
        <v>6.2754980846405033</v>
      </c>
      <c r="T559" s="1153">
        <v>66.669956759396712</v>
      </c>
      <c r="U559" s="697">
        <f t="shared" ca="1" si="118"/>
        <v>65.1084081344151</v>
      </c>
      <c r="V559" s="697">
        <f t="shared" ca="1" si="113"/>
        <v>41.021279401540347</v>
      </c>
      <c r="W559" s="1154">
        <v>13.564793402882582</v>
      </c>
      <c r="X559" s="697">
        <f t="shared" ca="1" si="119"/>
        <v>20.684677803177475</v>
      </c>
      <c r="Y559" s="1154">
        <v>9.9241112672387111</v>
      </c>
      <c r="Z559" s="697">
        <f t="shared" ca="1" si="120"/>
        <v>15.366110393028141</v>
      </c>
    </row>
    <row r="560" spans="2:26">
      <c r="B560" s="166">
        <f t="shared" si="121"/>
        <v>46052</v>
      </c>
      <c r="G560" s="708">
        <v>13.006650399259629</v>
      </c>
      <c r="H560" s="708">
        <v>69.15397179510758</v>
      </c>
      <c r="I560" s="697">
        <f t="shared" ca="1" si="114"/>
        <v>342.53985194422665</v>
      </c>
      <c r="J560" s="708">
        <v>21.676469017673313</v>
      </c>
      <c r="K560" s="708">
        <v>11.460265751221003</v>
      </c>
      <c r="L560" s="697">
        <f t="shared" ca="1" si="115"/>
        <v>15.420000037248862</v>
      </c>
      <c r="M560" s="1184">
        <v>4.8848126980249207</v>
      </c>
      <c r="N560" s="697">
        <f t="shared" ca="1" si="116"/>
        <v>8.1842553963144997</v>
      </c>
      <c r="O560" s="697"/>
      <c r="P560" s="697"/>
      <c r="Q560" s="697"/>
      <c r="R560" s="708">
        <v>4.6595300787364602</v>
      </c>
      <c r="S560" s="697">
        <f t="shared" ca="1" si="117"/>
        <v>6.2754980846405033</v>
      </c>
      <c r="T560" s="1153">
        <v>63.441518189146947</v>
      </c>
      <c r="U560" s="697">
        <f t="shared" ca="1" si="118"/>
        <v>65.1084081344151</v>
      </c>
      <c r="V560" s="697">
        <f t="shared" ca="1" si="113"/>
        <v>41.021279401540347</v>
      </c>
      <c r="W560" s="1154">
        <v>13.006650399259629</v>
      </c>
      <c r="X560" s="697">
        <f t="shared" ca="1" si="119"/>
        <v>20.684677803177475</v>
      </c>
      <c r="Y560" s="1154">
        <v>9.6781734212856332</v>
      </c>
      <c r="Z560" s="697">
        <f t="shared" ca="1" si="120"/>
        <v>15.366110393028141</v>
      </c>
    </row>
    <row r="561" spans="2:26">
      <c r="B561" s="166">
        <f t="shared" si="121"/>
        <v>46059</v>
      </c>
      <c r="G561" s="708">
        <v>11.792681887628868</v>
      </c>
      <c r="H561" s="708">
        <v>58.710239008046891</v>
      </c>
      <c r="I561" s="697">
        <f t="shared" ca="1" si="114"/>
        <v>342.53985194422665</v>
      </c>
      <c r="J561" s="708">
        <v>20.065690734851113</v>
      </c>
      <c r="K561" s="708">
        <v>9.6490587611910961</v>
      </c>
      <c r="L561" s="697">
        <f t="shared" ca="1" si="115"/>
        <v>15.420000037248862</v>
      </c>
      <c r="M561" s="1184">
        <v>4.4785327761522371</v>
      </c>
      <c r="N561" s="697">
        <f t="shared" ca="1" si="116"/>
        <v>8.1842553963144997</v>
      </c>
      <c r="O561" s="697"/>
      <c r="P561" s="697"/>
      <c r="Q561" s="697"/>
      <c r="R561" s="708">
        <v>4.2048268329015013</v>
      </c>
      <c r="S561" s="697">
        <f t="shared" ca="1" si="117"/>
        <v>6.2754980846405033</v>
      </c>
      <c r="T561" s="1153">
        <v>53.325518223540683</v>
      </c>
      <c r="U561" s="697">
        <f t="shared" ca="1" si="118"/>
        <v>65.1084081344151</v>
      </c>
      <c r="V561" s="697">
        <f t="shared" ca="1" si="113"/>
        <v>41.021279401540347</v>
      </c>
      <c r="W561" s="1154">
        <v>11.792681887628868</v>
      </c>
      <c r="X561" s="697">
        <f t="shared" ca="1" si="119"/>
        <v>20.684677803177475</v>
      </c>
      <c r="Y561" s="1154">
        <v>8.8752977642441504</v>
      </c>
      <c r="Z561" s="697">
        <f t="shared" ca="1" si="120"/>
        <v>15.366110393028141</v>
      </c>
    </row>
    <row r="562" spans="2:26">
      <c r="B562" s="166">
        <f t="shared" si="121"/>
        <v>46066</v>
      </c>
      <c r="G562" s="708">
        <v>10.715871043699904</v>
      </c>
      <c r="H562" s="708">
        <v>58.421291849758063</v>
      </c>
      <c r="I562" s="697">
        <f t="shared" ca="1" si="114"/>
        <v>342.53985194422665</v>
      </c>
      <c r="J562" s="708">
        <v>18.816410875725225</v>
      </c>
      <c r="K562" s="708">
        <v>9.3858543703676389</v>
      </c>
      <c r="L562" s="697">
        <f t="shared" ca="1" si="115"/>
        <v>15.420000037248862</v>
      </c>
      <c r="M562" s="1184">
        <v>4.3359231737450106</v>
      </c>
      <c r="N562" s="697">
        <f t="shared" ca="1" si="116"/>
        <v>8.1842553963144997</v>
      </c>
      <c r="O562" s="697"/>
      <c r="P562" s="697"/>
      <c r="Q562" s="697"/>
      <c r="R562" s="708">
        <v>3.923751039120015</v>
      </c>
      <c r="S562" s="697">
        <f t="shared" ca="1" si="117"/>
        <v>6.2754980846405033</v>
      </c>
      <c r="T562" s="1153">
        <v>51.436137359569258</v>
      </c>
      <c r="U562" s="697">
        <f t="shared" ca="1" si="118"/>
        <v>65.1084081344151</v>
      </c>
      <c r="V562" s="697">
        <f t="shared" ca="1" si="113"/>
        <v>41.021279401540347</v>
      </c>
      <c r="W562" s="1154">
        <v>10.715871043699904</v>
      </c>
      <c r="X562" s="697">
        <f t="shared" ca="1" si="119"/>
        <v>20.684677803177475</v>
      </c>
      <c r="Y562" s="1154">
        <v>8.2123919964804415</v>
      </c>
      <c r="Z562" s="697">
        <f t="shared" ca="1" si="120"/>
        <v>15.366110393028141</v>
      </c>
    </row>
    <row r="563" spans="2:26">
      <c r="B563" s="166">
        <f t="shared" si="121"/>
        <v>46073</v>
      </c>
      <c r="G563" s="708">
        <v>11.128403215416267</v>
      </c>
      <c r="H563" s="708">
        <v>65.70556741703605</v>
      </c>
      <c r="I563" s="697">
        <f t="shared" ca="1" si="114"/>
        <v>342.53985194422665</v>
      </c>
      <c r="J563" s="708">
        <v>19.664769342097124</v>
      </c>
      <c r="K563" s="708">
        <v>10.492679989010918</v>
      </c>
      <c r="L563" s="697">
        <f t="shared" ca="1" si="115"/>
        <v>15.420000037248862</v>
      </c>
      <c r="M563" s="1184">
        <v>4.2786241146728194</v>
      </c>
      <c r="N563" s="697">
        <f t="shared" ca="1" si="116"/>
        <v>8.1842553963144997</v>
      </c>
      <c r="O563" s="697"/>
      <c r="P563" s="697"/>
      <c r="Q563" s="697"/>
      <c r="R563" s="708">
        <v>4.103235624315877</v>
      </c>
      <c r="S563" s="697">
        <f t="shared" ca="1" si="117"/>
        <v>6.2754980846405033</v>
      </c>
      <c r="T563" s="1153">
        <v>57.521660294938741</v>
      </c>
      <c r="U563" s="697">
        <f t="shared" ca="1" si="118"/>
        <v>65.1084081344151</v>
      </c>
      <c r="V563" s="697">
        <f t="shared" ca="1" si="113"/>
        <v>41.021279401540347</v>
      </c>
      <c r="W563" s="1154">
        <v>11.128403215416267</v>
      </c>
      <c r="X563" s="697">
        <f t="shared" ca="1" si="119"/>
        <v>20.684677803177475</v>
      </c>
      <c r="Y563" s="1154">
        <v>8.0963986437612316</v>
      </c>
      <c r="Z563" s="697">
        <f t="shared" ca="1" si="120"/>
        <v>15.366110393028141</v>
      </c>
    </row>
    <row r="564" spans="2:26">
      <c r="B564" s="166">
        <f t="shared" si="121"/>
        <v>46080</v>
      </c>
      <c r="G564" s="708">
        <v>11.419531124091129</v>
      </c>
      <c r="H564" s="708">
        <v>62.505161089411168</v>
      </c>
      <c r="I564" s="697">
        <f t="shared" ca="1" si="114"/>
        <v>342.53985194422665</v>
      </c>
      <c r="J564" s="708">
        <v>19.792412232874071</v>
      </c>
      <c r="K564" s="708">
        <v>9.9617634835612154</v>
      </c>
      <c r="L564" s="697">
        <f t="shared" ca="1" si="115"/>
        <v>15.420000037248862</v>
      </c>
      <c r="M564" s="1184">
        <v>4.3903044846211481</v>
      </c>
      <c r="N564" s="697">
        <f t="shared" ca="1" si="116"/>
        <v>8.1842553963144997</v>
      </c>
      <c r="O564" s="697"/>
      <c r="P564" s="697"/>
      <c r="Q564" s="697"/>
      <c r="R564" s="708">
        <v>4.1770744332944245</v>
      </c>
      <c r="S564" s="697">
        <f t="shared" ca="1" si="117"/>
        <v>6.2754980846405033</v>
      </c>
      <c r="T564" s="1153">
        <v>54.527826560016592</v>
      </c>
      <c r="U564" s="697">
        <f t="shared" ca="1" si="118"/>
        <v>65.1084081344151</v>
      </c>
      <c r="V564" s="697">
        <f t="shared" ca="1" si="113"/>
        <v>41.021279401540347</v>
      </c>
      <c r="W564" s="1154">
        <v>11.419531124091129</v>
      </c>
      <c r="X564" s="697">
        <f t="shared" ca="1" si="119"/>
        <v>20.684677803177475</v>
      </c>
      <c r="Y564" s="1154">
        <v>8.136465854316933</v>
      </c>
      <c r="Z564" s="697">
        <f t="shared" ca="1" si="120"/>
        <v>15.366110393028141</v>
      </c>
    </row>
    <row r="565" spans="2:26">
      <c r="B565" s="166">
        <f t="shared" si="121"/>
        <v>46087</v>
      </c>
      <c r="G565" s="708">
        <v>11.699906697106073</v>
      </c>
      <c r="H565" s="708">
        <v>66.801699821072006</v>
      </c>
      <c r="I565" s="697">
        <f t="shared" ca="1" si="114"/>
        <v>342.53985194422665</v>
      </c>
      <c r="J565" s="708">
        <v>20.695857745973459</v>
      </c>
      <c r="K565" s="708">
        <v>10.67555700698076</v>
      </c>
      <c r="L565" s="697">
        <f t="shared" ca="1" si="115"/>
        <v>15.420000037248862</v>
      </c>
      <c r="M565" s="1184">
        <v>4.738336251119553</v>
      </c>
      <c r="N565" s="697">
        <f t="shared" ca="1" si="116"/>
        <v>8.1842553963144997</v>
      </c>
      <c r="O565" s="697"/>
      <c r="P565" s="697"/>
      <c r="Q565" s="697"/>
      <c r="R565" s="708">
        <v>4.3344040562768598</v>
      </c>
      <c r="S565" s="697">
        <f t="shared" ca="1" si="117"/>
        <v>6.2754980846405033</v>
      </c>
      <c r="T565" s="1153">
        <v>58.40118364964777</v>
      </c>
      <c r="U565" s="697">
        <f t="shared" ca="1" si="118"/>
        <v>65.1084081344151</v>
      </c>
      <c r="V565" s="697">
        <f t="shared" ca="1" si="113"/>
        <v>41.021279401540347</v>
      </c>
      <c r="W565" s="1154">
        <v>11.699906697106073</v>
      </c>
      <c r="X565" s="697">
        <f t="shared" ca="1" si="119"/>
        <v>20.684677803177475</v>
      </c>
      <c r="Y565" s="1154">
        <v>9.2826469345153413</v>
      </c>
      <c r="Z565" s="697">
        <f t="shared" ca="1" si="120"/>
        <v>15.366110393028141</v>
      </c>
    </row>
    <row r="566" spans="2:26">
      <c r="B566" s="166">
        <f t="shared" si="121"/>
        <v>46094</v>
      </c>
      <c r="G566" s="708">
        <v>11.072560036812938</v>
      </c>
      <c r="H566" s="708">
        <v>62.653343625412084</v>
      </c>
      <c r="I566" s="697">
        <f t="shared" ca="1" si="114"/>
        <v>342.53985194422665</v>
      </c>
      <c r="J566" s="708">
        <v>19.816106788626254</v>
      </c>
      <c r="K566" s="708">
        <v>10.048152637576766</v>
      </c>
      <c r="L566" s="697">
        <f t="shared" ca="1" si="115"/>
        <v>15.420000037248862</v>
      </c>
      <c r="M566" s="1184">
        <v>4.474702585796507</v>
      </c>
      <c r="N566" s="697">
        <f t="shared" ca="1" si="116"/>
        <v>8.1842553963144997</v>
      </c>
      <c r="O566" s="697"/>
      <c r="P566" s="697"/>
      <c r="Q566" s="697"/>
      <c r="R566" s="708">
        <v>4.1091705182350715</v>
      </c>
      <c r="S566" s="697">
        <f t="shared" ca="1" si="117"/>
        <v>6.2754980846405033</v>
      </c>
      <c r="T566" s="1153">
        <v>54.890893744782019</v>
      </c>
      <c r="U566" s="697">
        <f t="shared" ca="1" si="118"/>
        <v>65.1084081344151</v>
      </c>
      <c r="V566" s="697">
        <f t="shared" ca="1" si="113"/>
        <v>41.021279401540347</v>
      </c>
      <c r="W566" s="1154">
        <v>11.072560036812938</v>
      </c>
      <c r="X566" s="697">
        <f t="shared" ca="1" si="119"/>
        <v>20.684677803177475</v>
      </c>
      <c r="Y566" s="1154">
        <v>8.4944034841877052</v>
      </c>
      <c r="Z566" s="697">
        <f t="shared" ca="1" si="120"/>
        <v>15.366110393028141</v>
      </c>
    </row>
    <row r="567" spans="2:26">
      <c r="B567" s="166">
        <f t="shared" si="121"/>
        <v>46101</v>
      </c>
      <c r="G567" s="708">
        <v>10.929297965617419</v>
      </c>
      <c r="H567" s="708">
        <v>59.178425283285421</v>
      </c>
      <c r="I567" s="697">
        <f t="shared" ca="1" si="114"/>
        <v>342.53985194422665</v>
      </c>
      <c r="J567" s="708">
        <v>19.223135703028671</v>
      </c>
      <c r="K567" s="708">
        <v>9.5029887059981881</v>
      </c>
      <c r="L567" s="697">
        <f t="shared" ca="1" si="115"/>
        <v>15.420000037248862</v>
      </c>
      <c r="M567" s="1184">
        <v>4.5089743089916698</v>
      </c>
      <c r="N567" s="697">
        <f t="shared" ca="1" si="116"/>
        <v>8.1842553963144997</v>
      </c>
      <c r="O567" s="697"/>
      <c r="P567" s="697"/>
      <c r="Q567" s="697"/>
      <c r="R567" s="708">
        <v>4.0042051647579964</v>
      </c>
      <c r="S567" s="697">
        <f t="shared" ca="1" si="117"/>
        <v>6.2754980846405033</v>
      </c>
      <c r="T567" s="1153">
        <v>51.837760848228832</v>
      </c>
      <c r="U567" s="697">
        <f t="shared" ca="1" si="118"/>
        <v>65.1084081344151</v>
      </c>
      <c r="V567" s="697">
        <f t="shared" ca="1" si="113"/>
        <v>41.021279401540347</v>
      </c>
      <c r="W567" s="1154">
        <v>10.929297965617419</v>
      </c>
      <c r="X567" s="697">
        <f t="shared" ca="1" si="119"/>
        <v>20.684677803177475</v>
      </c>
      <c r="Y567" s="1154">
        <v>8.5177518900989089</v>
      </c>
      <c r="Z567" s="697">
        <f t="shared" ca="1" si="120"/>
        <v>15.366110393028141</v>
      </c>
    </row>
    <row r="568" spans="2:26">
      <c r="B568" s="166">
        <f t="shared" si="121"/>
        <v>46108</v>
      </c>
      <c r="G568" s="708">
        <v>10.281832743928494</v>
      </c>
      <c r="H568" s="708">
        <v>56.286242288696741</v>
      </c>
      <c r="I568" s="697">
        <f t="shared" ca="1" si="114"/>
        <v>342.53985194422665</v>
      </c>
      <c r="J568" s="708">
        <v>18.337837557431296</v>
      </c>
      <c r="K568" s="708">
        <v>9.0322157322685079</v>
      </c>
      <c r="L568" s="697">
        <f t="shared" ca="1" si="115"/>
        <v>15.420000037248862</v>
      </c>
      <c r="M568" s="1184">
        <v>4.4395583450865344</v>
      </c>
      <c r="N568" s="697">
        <f t="shared" ca="1" si="116"/>
        <v>8.1842553963144997</v>
      </c>
      <c r="O568" s="697"/>
      <c r="P568" s="697"/>
      <c r="Q568" s="697"/>
      <c r="R568" s="708">
        <v>3.7782743353154919</v>
      </c>
      <c r="S568" s="697">
        <f t="shared" ca="1" si="117"/>
        <v>6.2754980846405033</v>
      </c>
      <c r="T568" s="1153">
        <v>49.240138146135443</v>
      </c>
      <c r="U568" s="697">
        <f t="shared" ca="1" si="118"/>
        <v>65.1084081344151</v>
      </c>
      <c r="V568" s="697">
        <f t="shared" ca="1" si="113"/>
        <v>41.021279401540347</v>
      </c>
      <c r="W568" s="1154">
        <v>10.281832743928494</v>
      </c>
      <c r="X568" s="697">
        <f t="shared" ca="1" si="119"/>
        <v>20.684677803177475</v>
      </c>
      <c r="Y568" s="1154">
        <v>8.0855828755355876</v>
      </c>
      <c r="Z568" s="697">
        <f t="shared" ca="1" si="120"/>
        <v>15.366110393028141</v>
      </c>
    </row>
    <row r="569" spans="2:26">
      <c r="B569" s="166">
        <f t="shared" si="121"/>
        <v>46115</v>
      </c>
      <c r="G569" s="708">
        <v>10.75712043473902</v>
      </c>
      <c r="H569" s="708">
        <v>59.327065017094974</v>
      </c>
      <c r="I569" s="697">
        <f t="shared" ca="1" si="114"/>
        <v>342.53985194422665</v>
      </c>
      <c r="J569" s="708">
        <v>18.915855287611908</v>
      </c>
      <c r="K569" s="708">
        <v>9.5227193978332512</v>
      </c>
      <c r="L569" s="697">
        <f t="shared" ca="1" si="115"/>
        <v>15.420000037248862</v>
      </c>
      <c r="M569" s="1184">
        <v>4.5363202755459193</v>
      </c>
      <c r="N569" s="697">
        <f t="shared" ca="1" si="116"/>
        <v>8.1842553963144997</v>
      </c>
      <c r="O569" s="697"/>
      <c r="P569" s="697"/>
      <c r="Q569" s="697"/>
      <c r="R569" s="708">
        <v>3.9595263993069185</v>
      </c>
      <c r="S569" s="697">
        <f t="shared" ca="1" si="117"/>
        <v>6.2754980846405033</v>
      </c>
      <c r="T569" s="1153">
        <v>51.887623001467318</v>
      </c>
      <c r="U569" s="697">
        <f t="shared" ca="1" si="118"/>
        <v>65.1084081344151</v>
      </c>
      <c r="V569" s="697">
        <f t="shared" ca="1" si="113"/>
        <v>41.021279401540347</v>
      </c>
      <c r="W569" s="1154">
        <v>10.75712043473902</v>
      </c>
      <c r="X569" s="697">
        <f t="shared" ca="1" si="119"/>
        <v>20.684677803177475</v>
      </c>
      <c r="Y569" s="1154">
        <v>8.0756432252721613</v>
      </c>
      <c r="Z569" s="697">
        <f t="shared" ca="1" si="120"/>
        <v>15.366110393028141</v>
      </c>
    </row>
    <row r="570" spans="2:26">
      <c r="B570" s="166">
        <f t="shared" si="121"/>
        <v>46122</v>
      </c>
      <c r="G570" s="708">
        <v>10.954428339781723</v>
      </c>
      <c r="H570" s="708">
        <v>55.363650332998937</v>
      </c>
      <c r="I570" s="697">
        <f t="shared" ca="1" si="114"/>
        <v>342.53985194422665</v>
      </c>
      <c r="J570" s="708">
        <v>18.870754365606427</v>
      </c>
      <c r="K570" s="708">
        <v>8.8717542633298816</v>
      </c>
      <c r="L570" s="697">
        <f t="shared" ca="1" si="115"/>
        <v>15.420000037248862</v>
      </c>
      <c r="M570" s="1184">
        <v>4.3261883216582389</v>
      </c>
      <c r="N570" s="697">
        <f t="shared" ca="1" si="116"/>
        <v>8.1842553963144997</v>
      </c>
      <c r="O570" s="697"/>
      <c r="P570" s="697"/>
      <c r="Q570" s="697"/>
      <c r="R570" s="708">
        <v>3.9984166137115844</v>
      </c>
      <c r="S570" s="697">
        <f t="shared" ca="1" si="117"/>
        <v>6.2754980846405033</v>
      </c>
      <c r="T570" s="1153">
        <v>48.143212334735672</v>
      </c>
      <c r="U570" s="697">
        <f t="shared" ca="1" si="118"/>
        <v>65.1084081344151</v>
      </c>
      <c r="V570" s="697">
        <f t="shared" ca="1" si="113"/>
        <v>41.021279401540347</v>
      </c>
      <c r="W570" s="1154">
        <v>10.954428339781723</v>
      </c>
      <c r="X570" s="697">
        <f t="shared" ca="1" si="119"/>
        <v>20.684677803177475</v>
      </c>
      <c r="Y570" s="1154">
        <v>7.2268217909610026</v>
      </c>
      <c r="Z570" s="697">
        <f t="shared" ca="1" si="120"/>
        <v>15.366110393028141</v>
      </c>
    </row>
    <row r="571" spans="2:26">
      <c r="B571" s="166">
        <f t="shared" si="121"/>
        <v>46129</v>
      </c>
      <c r="G571" s="708">
        <v>11.999748647277928</v>
      </c>
      <c r="H571" s="708">
        <v>65.485546743148859</v>
      </c>
      <c r="I571" s="697">
        <f t="shared" ca="1" si="114"/>
        <v>342.53985194422665</v>
      </c>
      <c r="J571" s="708">
        <v>19.165799712442567</v>
      </c>
      <c r="K571" s="708">
        <v>10.517910581593997</v>
      </c>
      <c r="L571" s="697">
        <f t="shared" ca="1" si="115"/>
        <v>15.420000037248862</v>
      </c>
      <c r="M571" s="1184">
        <v>4.6038282840856022</v>
      </c>
      <c r="N571" s="697">
        <f t="shared" ca="1" si="116"/>
        <v>8.1842553963144997</v>
      </c>
      <c r="O571" s="697"/>
      <c r="P571" s="697"/>
      <c r="Q571" s="697"/>
      <c r="R571" s="708">
        <v>4.4136355914793679</v>
      </c>
      <c r="S571" s="697">
        <f t="shared" ca="1" si="117"/>
        <v>6.2754980846405033</v>
      </c>
      <c r="T571" s="1153">
        <v>56.890085951513043</v>
      </c>
      <c r="U571" s="697">
        <f t="shared" ca="1" si="118"/>
        <v>65.1084081344151</v>
      </c>
      <c r="V571" s="697">
        <f t="shared" ca="1" si="113"/>
        <v>41.021279401540347</v>
      </c>
      <c r="W571" s="1154">
        <v>11.999748647277928</v>
      </c>
      <c r="X571" s="697">
        <f t="shared" ca="1" si="119"/>
        <v>20.684677803177475</v>
      </c>
      <c r="Y571" s="1154">
        <v>7.7766427550740929</v>
      </c>
      <c r="Z571" s="697">
        <f t="shared" ca="1" si="120"/>
        <v>15.366110393028141</v>
      </c>
    </row>
    <row r="572" spans="2:26">
      <c r="B572" s="166">
        <f t="shared" si="121"/>
        <v>46136</v>
      </c>
      <c r="G572" s="708">
        <v>11.689440225885267</v>
      </c>
      <c r="H572" s="708">
        <v>62.537128779916671</v>
      </c>
      <c r="I572" s="697">
        <f t="shared" ca="1" si="114"/>
        <v>342.53985194422665</v>
      </c>
      <c r="J572" s="708">
        <v>18.389796636060488</v>
      </c>
      <c r="K572" s="708">
        <v>10.007756698283835</v>
      </c>
      <c r="L572" s="697">
        <f t="shared" ca="1" si="115"/>
        <v>15.420000037248862</v>
      </c>
      <c r="M572" s="1184">
        <v>4.5587797313087313</v>
      </c>
      <c r="N572" s="697">
        <f t="shared" ca="1" si="116"/>
        <v>8.1842553963144997</v>
      </c>
      <c r="O572" s="697"/>
      <c r="P572" s="697"/>
      <c r="Q572" s="697"/>
      <c r="R572" s="708">
        <v>4.3051946680047699</v>
      </c>
      <c r="S572" s="697">
        <f t="shared" ca="1" si="117"/>
        <v>6.2754980846405033</v>
      </c>
      <c r="T572" s="1153">
        <v>53.931269106167306</v>
      </c>
      <c r="U572" s="697">
        <f t="shared" ca="1" si="118"/>
        <v>65.1084081344151</v>
      </c>
      <c r="V572" s="697">
        <f t="shared" ca="1" si="113"/>
        <v>41.021279401540347</v>
      </c>
      <c r="W572" s="1154">
        <v>11.689440225885267</v>
      </c>
      <c r="X572" s="697">
        <f t="shared" ca="1" si="119"/>
        <v>20.684677803177475</v>
      </c>
      <c r="Y572" s="1154">
        <v>7.9218782932143181</v>
      </c>
      <c r="Z572" s="697">
        <f t="shared" ca="1" si="120"/>
        <v>15.366110393028141</v>
      </c>
    </row>
    <row r="573" spans="2:26">
      <c r="B573" s="166">
        <f t="shared" si="121"/>
        <v>46143</v>
      </c>
      <c r="G573" s="708">
        <v>11.714562549353468</v>
      </c>
      <c r="H573" s="708">
        <v>63.109755313883916</v>
      </c>
      <c r="I573" s="697">
        <f t="shared" ca="1" si="114"/>
        <v>342.53985194422665</v>
      </c>
      <c r="J573" s="708">
        <v>22.967890392389247</v>
      </c>
      <c r="K573" s="708">
        <v>10.147994680359748</v>
      </c>
      <c r="L573" s="697">
        <f t="shared" ca="1" si="115"/>
        <v>15.420000037248862</v>
      </c>
      <c r="M573" s="1184">
        <v>4.6401075896132644</v>
      </c>
      <c r="N573" s="697">
        <f t="shared" ca="1" si="116"/>
        <v>8.1842553963144997</v>
      </c>
      <c r="O573" s="697"/>
      <c r="P573" s="697"/>
      <c r="Q573" s="697"/>
      <c r="R573" s="708">
        <v>4.2756641283957144</v>
      </c>
      <c r="S573" s="697">
        <f t="shared" ca="1" si="117"/>
        <v>6.2754980846405033</v>
      </c>
      <c r="T573" s="1153">
        <v>54.628140214114246</v>
      </c>
      <c r="U573" s="697">
        <f t="shared" ca="1" si="118"/>
        <v>65.1084081344151</v>
      </c>
      <c r="V573" s="697">
        <f t="shared" ca="1" si="113"/>
        <v>41.021279401540347</v>
      </c>
      <c r="W573" s="1154">
        <v>11.714562549353468</v>
      </c>
      <c r="X573" s="697">
        <f t="shared" ca="1" si="119"/>
        <v>20.684677803177475</v>
      </c>
      <c r="Y573" s="1154">
        <v>8.1618225316145931</v>
      </c>
      <c r="Z573" s="697">
        <f t="shared" ca="1" si="120"/>
        <v>15.366110393028141</v>
      </c>
    </row>
    <row r="574" spans="2:26">
      <c r="B574" s="166">
        <f t="shared" si="121"/>
        <v>46150</v>
      </c>
      <c r="G574" s="708">
        <v>11.282570303473946</v>
      </c>
      <c r="H574" s="708">
        <v>54.22569213391531</v>
      </c>
      <c r="I574" s="697">
        <f t="shared" ca="1" si="114"/>
        <v>342.53985194422665</v>
      </c>
      <c r="J574" s="708">
        <v>21.935124588130108</v>
      </c>
      <c r="K574" s="708">
        <v>8.5675206589998911</v>
      </c>
      <c r="L574" s="697">
        <f t="shared" ca="1" si="115"/>
        <v>15.420000037248862</v>
      </c>
      <c r="M574" s="1184">
        <v>4.7154731950429696</v>
      </c>
      <c r="N574" s="697">
        <f t="shared" ca="1" si="116"/>
        <v>8.1842553963144997</v>
      </c>
      <c r="O574" s="697"/>
      <c r="P574" s="697"/>
      <c r="Q574" s="697"/>
      <c r="R574" s="708">
        <v>4.0773961800979528</v>
      </c>
      <c r="S574" s="697">
        <f t="shared" ca="1" si="117"/>
        <v>6.2754980846405033</v>
      </c>
      <c r="T574" s="1153">
        <v>45.486906356642741</v>
      </c>
      <c r="U574" s="697">
        <f t="shared" ca="1" si="118"/>
        <v>65.1084081344151</v>
      </c>
      <c r="V574" s="697">
        <f t="shared" ca="1" si="113"/>
        <v>41.021279401540347</v>
      </c>
      <c r="W574" s="1154">
        <v>11.282570303473946</v>
      </c>
      <c r="X574" s="697">
        <f t="shared" ca="1" si="119"/>
        <v>20.684677803177475</v>
      </c>
      <c r="Y574" s="1154">
        <v>7.7389023959930112</v>
      </c>
      <c r="Z574" s="697">
        <f t="shared" ca="1" si="120"/>
        <v>15.366110393028141</v>
      </c>
    </row>
    <row r="575" spans="2:26">
      <c r="B575" s="166">
        <f t="shared" si="121"/>
        <v>46157</v>
      </c>
      <c r="G575" s="708">
        <v>10.842412255153771</v>
      </c>
      <c r="H575" s="708">
        <v>49.08545303552998</v>
      </c>
      <c r="I575" s="697">
        <f t="shared" ca="1" si="114"/>
        <v>342.53985194422665</v>
      </c>
      <c r="J575" s="708">
        <v>21.00263445234005</v>
      </c>
      <c r="K575" s="708">
        <v>7.7408889065251349</v>
      </c>
      <c r="L575" s="697">
        <f t="shared" ca="1" si="115"/>
        <v>15.420000037248862</v>
      </c>
      <c r="M575" s="1184">
        <v>4.6200526666815964</v>
      </c>
      <c r="N575" s="697">
        <f t="shared" ca="1" si="116"/>
        <v>8.1842553963144997</v>
      </c>
      <c r="O575" s="697"/>
      <c r="P575" s="697"/>
      <c r="Q575" s="697"/>
      <c r="R575" s="708">
        <v>3.9282495901013479</v>
      </c>
      <c r="S575" s="697">
        <f t="shared" ca="1" si="117"/>
        <v>6.2754980846405033</v>
      </c>
      <c r="T575" s="1153">
        <v>41.021279401540347</v>
      </c>
      <c r="U575" s="697">
        <f t="shared" ca="1" si="118"/>
        <v>65.1084081344151</v>
      </c>
      <c r="V575" s="697">
        <f t="shared" ca="1" si="113"/>
        <v>41.021279401540347</v>
      </c>
      <c r="W575" s="1154">
        <v>10.842412255153771</v>
      </c>
      <c r="X575" s="697">
        <f t="shared" ca="1" si="119"/>
        <v>20.684677803177475</v>
      </c>
      <c r="Y575" s="1154">
        <v>6.9509908925856738</v>
      </c>
      <c r="Z575" s="697">
        <f t="shared" ca="1" si="120"/>
        <v>15.366110393028141</v>
      </c>
    </row>
    <row r="576" spans="2:26">
      <c r="B576" s="166">
        <f t="shared" si="121"/>
        <v>46164</v>
      </c>
      <c r="G576" s="708">
        <v>10.821603629473911</v>
      </c>
      <c r="H576" s="708">
        <v>50.190842149703982</v>
      </c>
      <c r="I576" s="697">
        <f t="shared" ca="1" si="114"/>
        <v>342.53985194422665</v>
      </c>
      <c r="J576" s="708">
        <v>21.379268268561695</v>
      </c>
      <c r="K576" s="708">
        <v>7.9397363734980138</v>
      </c>
      <c r="L576" s="697">
        <f t="shared" ca="1" si="115"/>
        <v>15.420000037248862</v>
      </c>
      <c r="M576" s="1184">
        <v>4.75103811288625</v>
      </c>
      <c r="N576" s="697">
        <f t="shared" ca="1" si="116"/>
        <v>8.1842553963144997</v>
      </c>
      <c r="O576" s="697"/>
      <c r="P576" s="697"/>
      <c r="Q576" s="697"/>
      <c r="R576" s="708">
        <v>3.9694918222425111</v>
      </c>
      <c r="S576" s="697">
        <f t="shared" ca="1" si="117"/>
        <v>6.2754980846405033</v>
      </c>
      <c r="T576" s="1153">
        <v>42.360708808213417</v>
      </c>
      <c r="U576" s="697">
        <f t="shared" ca="1" si="118"/>
        <v>65.1084081344151</v>
      </c>
      <c r="V576" s="697">
        <f t="shared" ca="1" si="113"/>
        <v>41.021279401540347</v>
      </c>
      <c r="W576" s="1154">
        <v>10.821603629473911</v>
      </c>
      <c r="X576" s="697">
        <f t="shared" ca="1" si="119"/>
        <v>20.684677803177475</v>
      </c>
      <c r="Y576" s="1154">
        <v>7.181513515544637</v>
      </c>
      <c r="Z576" s="697">
        <f t="shared" ca="1" si="120"/>
        <v>15.366110393028141</v>
      </c>
    </row>
    <row r="577" spans="2:26">
      <c r="B577" s="166">
        <f t="shared" si="121"/>
        <v>46171</v>
      </c>
      <c r="G577" s="708">
        <v>10.747464892998615</v>
      </c>
      <c r="H577" s="708">
        <v>57.58177779021694</v>
      </c>
      <c r="I577" s="697">
        <f t="shared" ca="1" si="114"/>
        <v>342.53985194422665</v>
      </c>
      <c r="J577" s="708">
        <v>21.644531251057909</v>
      </c>
      <c r="K577" s="708">
        <v>9.2058992818501242</v>
      </c>
      <c r="L577" s="697">
        <f t="shared" ca="1" si="115"/>
        <v>15.420000037248862</v>
      </c>
      <c r="M577" s="1184">
        <v>4.5905946849353132</v>
      </c>
      <c r="N577" s="697">
        <f t="shared" ca="1" si="116"/>
        <v>8.1842553963144997</v>
      </c>
      <c r="O577" s="697"/>
      <c r="P577" s="697"/>
      <c r="Q577" s="697"/>
      <c r="R577" s="708">
        <v>4.0125576686397029</v>
      </c>
      <c r="S577" s="697">
        <f t="shared" ca="1" si="117"/>
        <v>6.2754980846405033</v>
      </c>
      <c r="T577" s="1153">
        <v>49.089703294669228</v>
      </c>
      <c r="U577" s="697">
        <f t="shared" ca="1" si="118"/>
        <v>65.1084081344151</v>
      </c>
      <c r="V577" s="697">
        <f t="shared" ca="1" si="113"/>
        <v>41.021279401540347</v>
      </c>
      <c r="W577" s="1154">
        <v>10.747464892998615</v>
      </c>
      <c r="X577" s="697">
        <f t="shared" ca="1" si="119"/>
        <v>20.684677803177475</v>
      </c>
      <c r="Y577" s="1154">
        <v>7.4105808851598995</v>
      </c>
      <c r="Z577" s="697">
        <f t="shared" ca="1" si="120"/>
        <v>15.366110393028141</v>
      </c>
    </row>
    <row r="578" spans="2:26">
      <c r="B578" s="166">
        <f t="shared" si="121"/>
        <v>46178</v>
      </c>
      <c r="G578" s="708">
        <v>10.476549256151047</v>
      </c>
      <c r="H578" s="708">
        <v>52.876913946129172</v>
      </c>
      <c r="I578" s="697">
        <f t="shared" ca="1" si="114"/>
        <v>342.53985194422665</v>
      </c>
      <c r="J578" s="708">
        <v>20.835917191143512</v>
      </c>
      <c r="K578" s="708">
        <v>8.4040000184688051</v>
      </c>
      <c r="L578" s="697">
        <f t="shared" ca="1" si="115"/>
        <v>15.420000037248862</v>
      </c>
      <c r="M578" s="1184">
        <v>4.5981790754878835</v>
      </c>
      <c r="N578" s="697">
        <f t="shared" ca="1" si="116"/>
        <v>8.1842553963144997</v>
      </c>
      <c r="O578" s="697"/>
      <c r="P578" s="697"/>
      <c r="Q578" s="697"/>
      <c r="R578" s="708">
        <v>3.8775404717732775</v>
      </c>
      <c r="S578" s="697">
        <f t="shared" ca="1" si="117"/>
        <v>6.2754980846405033</v>
      </c>
      <c r="T578" s="1153">
        <v>44.770554008634456</v>
      </c>
      <c r="U578" s="697">
        <f t="shared" ca="1" si="118"/>
        <v>65.1084081344151</v>
      </c>
      <c r="V578" s="697">
        <f t="shared" ca="1" si="113"/>
        <v>41.021279401540347</v>
      </c>
      <c r="W578" s="1154">
        <v>10.476549256151047</v>
      </c>
      <c r="X578" s="697">
        <f t="shared" ca="1" si="119"/>
        <v>20.684677803177475</v>
      </c>
      <c r="Y578" s="1154">
        <v>7.064098316546449</v>
      </c>
      <c r="Z578" s="697">
        <f t="shared" ca="1" si="120"/>
        <v>15.366110393028141</v>
      </c>
    </row>
    <row r="579" spans="2:26">
      <c r="B579" s="166">
        <f t="shared" si="121"/>
        <v>46185</v>
      </c>
      <c r="G579" s="708">
        <v>10.130333025471593</v>
      </c>
      <c r="H579" s="708">
        <v>52.275455331096715</v>
      </c>
      <c r="I579" s="697">
        <f t="shared" ca="1" si="114"/>
        <v>342.53985194422665</v>
      </c>
      <c r="J579" s="708">
        <v>20.285647872734653</v>
      </c>
      <c r="K579" s="708">
        <v>8.2620537378352079</v>
      </c>
      <c r="L579" s="697">
        <f t="shared" ca="1" si="115"/>
        <v>15.420000037248862</v>
      </c>
      <c r="M579" s="1184">
        <v>4.2079027798450577</v>
      </c>
      <c r="N579" s="697">
        <f t="shared" ca="1" si="116"/>
        <v>8.1842553963144997</v>
      </c>
      <c r="O579" s="697"/>
      <c r="P579" s="697"/>
      <c r="Q579" s="697"/>
      <c r="R579" s="708">
        <v>3.764421334153111</v>
      </c>
      <c r="S579" s="697">
        <f t="shared" ca="1" si="117"/>
        <v>6.2754980846405033</v>
      </c>
      <c r="T579" s="1153">
        <v>44.251776086332534</v>
      </c>
      <c r="U579" s="697">
        <f t="shared" ca="1" si="118"/>
        <v>65.1084081344151</v>
      </c>
      <c r="V579" s="697">
        <f t="shared" ca="1" si="113"/>
        <v>41.021279401540347</v>
      </c>
      <c r="W579" s="1154">
        <v>10.130333025471593</v>
      </c>
      <c r="X579" s="697">
        <f t="shared" ca="1" si="119"/>
        <v>20.684677803177475</v>
      </c>
      <c r="Y579" s="1154">
        <v>6.1926277243825201</v>
      </c>
      <c r="Z579" s="697">
        <f t="shared" ca="1" si="120"/>
        <v>15.366110393028141</v>
      </c>
    </row>
    <row r="580" spans="2:26">
      <c r="B580" s="166">
        <f t="shared" si="121"/>
        <v>46192</v>
      </c>
      <c r="G580" s="708">
        <v>10.373503539359273</v>
      </c>
      <c r="H580" s="708">
        <v>52.352344504879561</v>
      </c>
      <c r="I580" s="697">
        <f t="shared" ca="1" si="114"/>
        <v>342.53985194422665</v>
      </c>
      <c r="J580" s="708">
        <v>20.530653196247041</v>
      </c>
      <c r="K580" s="708">
        <v>8.1124956505913772</v>
      </c>
      <c r="L580" s="697">
        <f t="shared" ca="1" si="115"/>
        <v>15.420000037248862</v>
      </c>
      <c r="M580" s="1184">
        <v>4.0013890051405561</v>
      </c>
      <c r="N580" s="697">
        <f t="shared" ca="1" si="116"/>
        <v>8.1842553963144997</v>
      </c>
      <c r="O580" s="697"/>
      <c r="P580" s="697"/>
      <c r="Q580" s="697"/>
      <c r="R580" s="708">
        <v>3.8153734499336687</v>
      </c>
      <c r="S580" s="697">
        <f t="shared" ca="1" si="117"/>
        <v>6.2754980846405033</v>
      </c>
      <c r="T580" s="1153">
        <v>43.420515867836798</v>
      </c>
      <c r="U580" s="697">
        <f t="shared" ca="1" si="118"/>
        <v>65.1084081344151</v>
      </c>
      <c r="V580" s="697">
        <f t="shared" ca="1" si="113"/>
        <v>41.021279401540347</v>
      </c>
      <c r="W580" s="1154">
        <v>10.373503539359273</v>
      </c>
      <c r="X580" s="697">
        <f t="shared" ca="1" si="119"/>
        <v>20.684677803177475</v>
      </c>
      <c r="Y580" s="1154">
        <v>5.9365972773783335</v>
      </c>
      <c r="Z580" s="697">
        <f t="shared" ca="1" si="120"/>
        <v>15.366110393028141</v>
      </c>
    </row>
    <row r="581" spans="2:26">
      <c r="B581" s="166">
        <f t="shared" si="121"/>
        <v>46199</v>
      </c>
      <c r="G581" s="708">
        <v>10.33384729734332</v>
      </c>
      <c r="H581" s="708">
        <v>55.897654580142181</v>
      </c>
      <c r="I581" s="697">
        <f t="shared" ca="1" si="114"/>
        <v>342.53985194422665</v>
      </c>
      <c r="J581" s="708">
        <v>20.581948351219559</v>
      </c>
      <c r="K581" s="708">
        <v>8.8432903714987905</v>
      </c>
      <c r="L581" s="697">
        <f t="shared" ca="1" si="115"/>
        <v>15.420000037248862</v>
      </c>
      <c r="M581" s="1184">
        <v>3.999981304885845</v>
      </c>
      <c r="N581" s="697">
        <f t="shared" ca="1" si="116"/>
        <v>8.1842553963144997</v>
      </c>
      <c r="O581" s="697"/>
      <c r="P581" s="697"/>
      <c r="Q581" s="697"/>
      <c r="R581" s="708">
        <v>3.8199108535236466</v>
      </c>
      <c r="S581" s="697">
        <f t="shared" ca="1" si="117"/>
        <v>6.2754980846405033</v>
      </c>
      <c r="T581" s="1153">
        <v>47.290127064675005</v>
      </c>
      <c r="U581" s="697">
        <f t="shared" ca="1" si="118"/>
        <v>65.1084081344151</v>
      </c>
      <c r="V581" s="697">
        <f t="shared" ref="V581:V586" ca="1" si="122">+V580</f>
        <v>41.021279401540347</v>
      </c>
      <c r="W581" s="1154">
        <v>10.33384729734332</v>
      </c>
      <c r="X581" s="697">
        <f t="shared" ca="1" si="119"/>
        <v>20.684677803177475</v>
      </c>
      <c r="Y581" s="1154">
        <v>6.2177463350401796</v>
      </c>
      <c r="Z581" s="697">
        <f t="shared" ca="1" si="120"/>
        <v>15.366110393028141</v>
      </c>
    </row>
    <row r="582" spans="2:26">
      <c r="B582" s="166">
        <f t="shared" si="121"/>
        <v>46206</v>
      </c>
      <c r="G582" s="708">
        <v>10.760827539978019</v>
      </c>
      <c r="H582" s="708">
        <v>56.908052051097961</v>
      </c>
      <c r="I582" s="697">
        <f t="shared" ca="1" si="114"/>
        <v>342.53985194422665</v>
      </c>
      <c r="J582" s="708">
        <v>21.316434902155102</v>
      </c>
      <c r="K582" s="708">
        <v>9.1296133210705861</v>
      </c>
      <c r="L582" s="697">
        <f t="shared" ca="1" si="115"/>
        <v>15.420000037248862</v>
      </c>
      <c r="M582" s="1184">
        <v>4.1125632185412995</v>
      </c>
      <c r="N582" s="697">
        <f t="shared" ca="1" si="116"/>
        <v>8.1842553963144997</v>
      </c>
      <c r="O582" s="697"/>
      <c r="P582" s="697"/>
      <c r="Q582" s="697"/>
      <c r="R582" s="708">
        <v>3.9816504101020112</v>
      </c>
      <c r="S582" s="697">
        <f t="shared" ca="1" si="117"/>
        <v>6.2754980846405033</v>
      </c>
      <c r="T582" s="1153">
        <v>48.787041154029581</v>
      </c>
      <c r="U582" s="697">
        <f t="shared" ca="1" si="118"/>
        <v>65.1084081344151</v>
      </c>
      <c r="V582" s="697">
        <f t="shared" ca="1" si="122"/>
        <v>41.021279401540347</v>
      </c>
      <c r="W582" s="1154">
        <v>10.760827539978019</v>
      </c>
      <c r="X582" s="697">
        <f t="shared" ca="1" si="119"/>
        <v>20.684677803177475</v>
      </c>
      <c r="Y582" s="1154">
        <v>6.6696255151071453</v>
      </c>
      <c r="Z582" s="697">
        <f t="shared" ca="1" si="120"/>
        <v>15.366110393028141</v>
      </c>
    </row>
    <row r="583" spans="2:26">
      <c r="B583" s="166">
        <f t="shared" si="121"/>
        <v>46213</v>
      </c>
      <c r="G583" s="708">
        <v>10.725652751136019</v>
      </c>
      <c r="H583" s="708">
        <v>57.997746824926274</v>
      </c>
      <c r="I583" s="697">
        <f t="shared" ca="1" si="114"/>
        <v>342.53985194422665</v>
      </c>
      <c r="J583" s="708">
        <v>21.403532668978283</v>
      </c>
      <c r="K583" s="708">
        <v>9.2265257174375304</v>
      </c>
      <c r="L583" s="697">
        <f t="shared" ca="1" si="115"/>
        <v>15.420000037248862</v>
      </c>
      <c r="M583" s="1184">
        <v>4.2258290313934213</v>
      </c>
      <c r="N583" s="697">
        <f t="shared" ca="1" si="116"/>
        <v>8.1842553963144997</v>
      </c>
      <c r="O583" s="697"/>
      <c r="P583" s="697"/>
      <c r="Q583" s="697"/>
      <c r="R583" s="708">
        <v>3.9912476772597136</v>
      </c>
      <c r="S583" s="697">
        <f t="shared" ca="1" si="117"/>
        <v>6.2754980846405033</v>
      </c>
      <c r="T583" s="1153">
        <v>49.420976802633106</v>
      </c>
      <c r="U583" s="697">
        <f t="shared" ca="1" si="118"/>
        <v>65.1084081344151</v>
      </c>
      <c r="V583" s="697">
        <f t="shared" ca="1" si="122"/>
        <v>41.021279401540347</v>
      </c>
      <c r="W583" s="1154">
        <v>10.725652751136019</v>
      </c>
      <c r="X583" s="697">
        <f t="shared" ca="1" si="119"/>
        <v>20.684677803177475</v>
      </c>
      <c r="Y583" s="1154">
        <v>6.6542918678776406</v>
      </c>
      <c r="Z583" s="697">
        <f t="shared" ca="1" si="120"/>
        <v>15.366110393028141</v>
      </c>
    </row>
    <row r="584" spans="2:26">
      <c r="B584" s="166">
        <f t="shared" si="121"/>
        <v>46220</v>
      </c>
      <c r="G584" s="708">
        <v>10.471048016489368</v>
      </c>
      <c r="H584" s="708">
        <v>57.758919337911507</v>
      </c>
      <c r="I584" s="697">
        <f t="shared" ca="1" si="114"/>
        <v>342.53985194422665</v>
      </c>
      <c r="J584" s="708">
        <v>21.080285341301334</v>
      </c>
      <c r="K584" s="708">
        <v>9.2642526073285261</v>
      </c>
      <c r="L584" s="697">
        <f t="shared" ca="1" si="115"/>
        <v>15.420000037248862</v>
      </c>
      <c r="M584" s="1184">
        <v>4.3631407504498716</v>
      </c>
      <c r="N584" s="697">
        <f t="shared" ca="1" si="116"/>
        <v>8.1842553963144997</v>
      </c>
      <c r="O584" s="697"/>
      <c r="P584" s="697"/>
      <c r="Q584" s="697"/>
      <c r="R584" s="708">
        <v>3.9204700113494138</v>
      </c>
      <c r="S584" s="697">
        <f t="shared" ca="1" si="117"/>
        <v>6.2754980846405033</v>
      </c>
      <c r="T584" s="1153">
        <v>49.457647393045342</v>
      </c>
      <c r="U584" s="697">
        <f t="shared" ca="1" si="118"/>
        <v>65.1084081344151</v>
      </c>
      <c r="V584" s="697">
        <f t="shared" ca="1" si="122"/>
        <v>41.021279401540347</v>
      </c>
      <c r="W584" s="1154">
        <v>10.471048016489368</v>
      </c>
      <c r="X584" s="697">
        <f t="shared" ca="1" si="119"/>
        <v>20.684677803177475</v>
      </c>
      <c r="Y584" s="1154">
        <v>6.8904483956002309</v>
      </c>
      <c r="Z584" s="697">
        <f t="shared" ca="1" si="120"/>
        <v>15.366110393028141</v>
      </c>
    </row>
    <row r="585" spans="2:26">
      <c r="B585" s="166">
        <f t="shared" si="121"/>
        <v>46227</v>
      </c>
      <c r="G585" s="708">
        <v>9.8987233414895215</v>
      </c>
      <c r="H585" s="708">
        <v>53.032325428540815</v>
      </c>
      <c r="I585" s="697">
        <f t="shared" ca="1" si="114"/>
        <v>342.53985194422665</v>
      </c>
      <c r="J585" s="708">
        <v>19.730085914383782</v>
      </c>
      <c r="K585" s="708">
        <v>8.4847907888010106</v>
      </c>
      <c r="L585" s="697">
        <f t="shared" ca="1" si="115"/>
        <v>15.420000037248862</v>
      </c>
      <c r="M585" s="1184">
        <v>4.2484115819908022</v>
      </c>
      <c r="N585" s="697">
        <f t="shared" ca="1" si="116"/>
        <v>8.1842553963144997</v>
      </c>
      <c r="O585" s="697"/>
      <c r="P585" s="697"/>
      <c r="Q585" s="697"/>
      <c r="R585" s="708">
        <v>3.7086946311038296</v>
      </c>
      <c r="S585" s="697">
        <f t="shared" ca="1" si="117"/>
        <v>6.2754980846405033</v>
      </c>
      <c r="T585" s="1153">
        <v>45.224875027596745</v>
      </c>
      <c r="U585" s="697">
        <f t="shared" ca="1" si="118"/>
        <v>65.1084081344151</v>
      </c>
      <c r="V585" s="697">
        <f t="shared" ca="1" si="122"/>
        <v>41.021279401540347</v>
      </c>
      <c r="W585" s="1154">
        <v>9.8987233414895215</v>
      </c>
      <c r="X585" s="697">
        <f t="shared" ca="1" si="119"/>
        <v>20.684677803177475</v>
      </c>
      <c r="Y585" s="1154">
        <v>6.5939302296847746</v>
      </c>
      <c r="Z585" s="697">
        <f t="shared" ca="1" si="120"/>
        <v>15.366110393028141</v>
      </c>
    </row>
    <row r="586" spans="2:26">
      <c r="B586" s="166">
        <f t="shared" si="121"/>
        <v>46234</v>
      </c>
      <c r="G586" s="708">
        <v>10.651758851442262</v>
      </c>
      <c r="H586" s="708">
        <v>54.366479916377251</v>
      </c>
      <c r="I586" s="697">
        <f t="shared" ca="1" si="114"/>
        <v>342.53985194422665</v>
      </c>
      <c r="J586" s="708">
        <v>20.727991020345161</v>
      </c>
      <c r="K586" s="708">
        <v>8.6912887870744981</v>
      </c>
      <c r="L586" s="697">
        <f t="shared" ca="1" si="115"/>
        <v>15.420000037248862</v>
      </c>
      <c r="M586" s="1184">
        <v>4.4346726707762789</v>
      </c>
      <c r="N586" s="697">
        <f t="shared" ca="1" si="116"/>
        <v>8.1842553963144997</v>
      </c>
      <c r="O586" s="697"/>
      <c r="P586" s="697"/>
      <c r="Q586" s="697"/>
      <c r="R586" s="708">
        <v>3.9293215439869229</v>
      </c>
      <c r="S586" s="697">
        <f t="shared" ca="1" si="117"/>
        <v>6.2754980846405033</v>
      </c>
      <c r="T586" s="1153">
        <v>46.27391833538654</v>
      </c>
      <c r="U586" s="697">
        <f t="shared" ca="1" si="118"/>
        <v>65.1084081344151</v>
      </c>
      <c r="V586" s="697">
        <f t="shared" ca="1" si="122"/>
        <v>41.021279401540347</v>
      </c>
      <c r="W586" s="1154">
        <v>10.651758851442262</v>
      </c>
      <c r="X586" s="697">
        <f t="shared" ca="1" si="119"/>
        <v>20.684677803177475</v>
      </c>
      <c r="Y586" s="1154">
        <v>7.0116563149456113</v>
      </c>
      <c r="Z586" s="697">
        <f t="shared" ca="1" si="120"/>
        <v>15.366110393028141</v>
      </c>
    </row>
    <row r="587" spans="2:26">
      <c r="B587" s="166"/>
      <c r="G587" s="708"/>
      <c r="H587" s="708"/>
      <c r="I587" s="697"/>
      <c r="J587" s="708"/>
      <c r="K587" s="708"/>
      <c r="L587" s="697"/>
      <c r="M587" s="1184"/>
      <c r="N587" s="697"/>
      <c r="O587" s="697"/>
      <c r="P587" s="697"/>
      <c r="Q587" s="697"/>
      <c r="R587" s="708"/>
      <c r="S587" s="697"/>
      <c r="T587" s="1153"/>
      <c r="U587" s="697"/>
      <c r="V587" s="697"/>
      <c r="W587" s="1154"/>
      <c r="X587" s="697"/>
      <c r="Y587" s="1154"/>
      <c r="Z587" s="697"/>
    </row>
    <row r="588" spans="2:26">
      <c r="B588" s="166"/>
      <c r="G588" s="708"/>
      <c r="H588" s="708"/>
      <c r="I588" s="697"/>
      <c r="J588" s="708"/>
      <c r="K588" s="708"/>
      <c r="L588" s="697"/>
      <c r="M588" s="1184"/>
      <c r="N588" s="697"/>
      <c r="O588" s="697"/>
      <c r="P588" s="697"/>
      <c r="Q588" s="697"/>
      <c r="R588" s="708"/>
      <c r="S588" s="697"/>
      <c r="T588" s="1153"/>
      <c r="U588" s="697"/>
      <c r="V588" s="697"/>
      <c r="W588" s="1154"/>
      <c r="X588" s="697"/>
      <c r="Y588" s="1154"/>
      <c r="Z588" s="697"/>
    </row>
    <row r="589" spans="2:26">
      <c r="B589" s="166"/>
      <c r="G589" s="708"/>
      <c r="H589" s="708"/>
      <c r="I589" s="697"/>
      <c r="J589" s="708"/>
      <c r="K589" s="708"/>
      <c r="L589" s="697"/>
      <c r="M589" s="1184"/>
      <c r="N589" s="697"/>
      <c r="O589" s="697"/>
      <c r="P589" s="697"/>
      <c r="Q589" s="697"/>
      <c r="R589" s="708"/>
      <c r="S589" s="697"/>
      <c r="T589" s="1153"/>
      <c r="U589" s="697"/>
      <c r="V589" s="697"/>
      <c r="W589" s="1154"/>
      <c r="X589" s="697"/>
      <c r="Y589" s="1154"/>
      <c r="Z589" s="697"/>
    </row>
    <row r="590" spans="2:26">
      <c r="B590" s="166"/>
      <c r="G590" s="708"/>
      <c r="H590" s="708"/>
      <c r="I590" s="697"/>
      <c r="J590" s="708"/>
      <c r="K590" s="708"/>
      <c r="L590" s="697"/>
      <c r="M590" s="1184"/>
      <c r="N590" s="697"/>
      <c r="O590" s="697"/>
      <c r="P590" s="697"/>
      <c r="Q590" s="697"/>
      <c r="R590" s="708"/>
      <c r="S590" s="697"/>
      <c r="T590" s="1153"/>
      <c r="U590" s="697"/>
      <c r="V590" s="697"/>
      <c r="W590" s="1154"/>
      <c r="X590" s="697"/>
      <c r="Y590" s="1154"/>
      <c r="Z590" s="697"/>
    </row>
    <row r="591" spans="2:26">
      <c r="B591" s="166"/>
      <c r="G591" s="708"/>
      <c r="H591" s="708"/>
      <c r="I591" s="697"/>
      <c r="J591" s="708"/>
      <c r="K591" s="708"/>
      <c r="L591" s="697"/>
      <c r="M591" s="1184"/>
      <c r="N591" s="697"/>
      <c r="O591" s="697"/>
      <c r="P591" s="697"/>
      <c r="Q591" s="697"/>
      <c r="R591" s="708"/>
      <c r="S591" s="697"/>
      <c r="T591" s="1153"/>
      <c r="U591" s="697"/>
      <c r="V591" s="697"/>
      <c r="W591" s="1154"/>
      <c r="X591" s="697"/>
      <c r="Y591" s="1154"/>
      <c r="Z591" s="697"/>
    </row>
    <row r="592" spans="2:26">
      <c r="P592" s="594"/>
    </row>
    <row r="593" spans="16:16">
      <c r="P593" s="594"/>
    </row>
    <row r="594" spans="16:16">
      <c r="P594" s="594"/>
    </row>
    <row r="595" spans="16:16">
      <c r="P595" s="594"/>
    </row>
    <row r="596" spans="16:16">
      <c r="P596" s="594"/>
    </row>
    <row r="597" spans="16:16">
      <c r="P597" s="594"/>
    </row>
    <row r="598" spans="16:16">
      <c r="P598" s="594"/>
    </row>
    <row r="599" spans="16:16">
      <c r="P599" s="594"/>
    </row>
    <row r="600" spans="16:16">
      <c r="P600" s="594"/>
    </row>
    <row r="601" spans="16:16">
      <c r="P601" s="594"/>
    </row>
    <row r="602" spans="16:16">
      <c r="P602" s="594"/>
    </row>
    <row r="603" spans="16:16">
      <c r="P603" s="594"/>
    </row>
    <row r="604" spans="16:16">
      <c r="P604" s="594"/>
    </row>
    <row r="605" spans="16:16">
      <c r="P605" s="594"/>
    </row>
    <row r="606" spans="16:16">
      <c r="P606" s="594"/>
    </row>
    <row r="607" spans="16:16">
      <c r="P607" s="594"/>
    </row>
    <row r="608" spans="16:16">
      <c r="P608" s="594"/>
    </row>
    <row r="609" spans="16:16">
      <c r="P609" s="594"/>
    </row>
    <row r="610" spans="16:16">
      <c r="P610" s="594"/>
    </row>
    <row r="611" spans="16:16">
      <c r="P611" s="594"/>
    </row>
    <row r="612" spans="16:16">
      <c r="P612" s="594"/>
    </row>
    <row r="613" spans="16:16">
      <c r="P613" s="594"/>
    </row>
    <row r="614" spans="16:16">
      <c r="P614" s="594"/>
    </row>
    <row r="615" spans="16:16">
      <c r="P615" s="594"/>
    </row>
    <row r="616" spans="16:16">
      <c r="P616" s="594"/>
    </row>
    <row r="617" spans="16:16">
      <c r="P617" s="594"/>
    </row>
    <row r="618" spans="16:16">
      <c r="P618" s="594"/>
    </row>
    <row r="619" spans="16:16">
      <c r="P619" s="594"/>
    </row>
    <row r="620" spans="16:16">
      <c r="P620" s="594"/>
    </row>
    <row r="621" spans="16:16">
      <c r="P621" s="594"/>
    </row>
    <row r="622" spans="16:16">
      <c r="P622" s="594"/>
    </row>
    <row r="623" spans="16:16">
      <c r="P623" s="594"/>
    </row>
    <row r="624" spans="16:16">
      <c r="P624" s="594"/>
    </row>
    <row r="625" spans="16:16">
      <c r="P625" s="594"/>
    </row>
    <row r="626" spans="16:16">
      <c r="P626" s="594"/>
    </row>
    <row r="627" spans="16:16">
      <c r="P627" s="594"/>
    </row>
    <row r="628" spans="16:16">
      <c r="P628" s="594"/>
    </row>
    <row r="629" spans="16:16">
      <c r="P629" s="594"/>
    </row>
    <row r="630" spans="16:16">
      <c r="P630" s="594"/>
    </row>
    <row r="631" spans="16:16">
      <c r="P631" s="594"/>
    </row>
    <row r="632" spans="16:16">
      <c r="P632" s="594"/>
    </row>
    <row r="633" spans="16:16">
      <c r="P633" s="594"/>
    </row>
    <row r="634" spans="16:16">
      <c r="P634" s="594"/>
    </row>
    <row r="635" spans="16:16">
      <c r="P635" s="594"/>
    </row>
    <row r="636" spans="16:16">
      <c r="P636" s="594"/>
    </row>
    <row r="637" spans="16:16">
      <c r="P637" s="594"/>
    </row>
    <row r="638" spans="16:16">
      <c r="P638" s="594"/>
    </row>
    <row r="639" spans="16:16">
      <c r="P639" s="594"/>
    </row>
    <row r="640" spans="16:16">
      <c r="P640" s="594"/>
    </row>
    <row r="641" spans="16:16">
      <c r="P641" s="594"/>
    </row>
    <row r="642" spans="16:16">
      <c r="P642" s="594"/>
    </row>
    <row r="643" spans="16:16">
      <c r="P643" s="594"/>
    </row>
    <row r="644" spans="16:16">
      <c r="P644" s="594"/>
    </row>
    <row r="645" spans="16:16">
      <c r="P645" s="594"/>
    </row>
    <row r="646" spans="16:16">
      <c r="P646" s="594"/>
    </row>
    <row r="647" spans="16:16">
      <c r="P647" s="594"/>
    </row>
    <row r="648" spans="16:16">
      <c r="P648" s="594"/>
    </row>
    <row r="649" spans="16:16">
      <c r="P649" s="594"/>
    </row>
    <row r="650" spans="16:16">
      <c r="P650" s="594"/>
    </row>
    <row r="651" spans="16:16">
      <c r="P651" s="594"/>
    </row>
    <row r="652" spans="16:16">
      <c r="P652" s="594"/>
    </row>
    <row r="653" spans="16:16">
      <c r="P653" s="594"/>
    </row>
    <row r="654" spans="16:16">
      <c r="P654" s="594"/>
    </row>
    <row r="655" spans="16:16">
      <c r="P655" s="594"/>
    </row>
    <row r="656" spans="16:16">
      <c r="P656" s="594"/>
    </row>
    <row r="657" spans="16:16">
      <c r="P657" s="594"/>
    </row>
    <row r="658" spans="16:16">
      <c r="P658" s="594"/>
    </row>
    <row r="659" spans="16:16">
      <c r="P659" s="594"/>
    </row>
    <row r="660" spans="16:16">
      <c r="P660" s="594"/>
    </row>
    <row r="661" spans="16:16">
      <c r="P661" s="594"/>
    </row>
    <row r="662" spans="16:16">
      <c r="P662" s="594"/>
    </row>
    <row r="663" spans="16:16">
      <c r="P663" s="594"/>
    </row>
    <row r="664" spans="16:16">
      <c r="P664" s="594"/>
    </row>
    <row r="665" spans="16:16">
      <c r="P665" s="594"/>
    </row>
    <row r="666" spans="16:16">
      <c r="P666" s="594"/>
    </row>
    <row r="667" spans="16:16">
      <c r="P667" s="594"/>
    </row>
    <row r="668" spans="16:16">
      <c r="P668" s="594"/>
    </row>
    <row r="669" spans="16:16">
      <c r="P669" s="594"/>
    </row>
    <row r="670" spans="16:16">
      <c r="P670" s="594"/>
    </row>
    <row r="671" spans="16:16">
      <c r="P671" s="594"/>
    </row>
    <row r="672" spans="16:16">
      <c r="P672" s="594"/>
    </row>
    <row r="673" spans="16:16">
      <c r="P673" s="594"/>
    </row>
    <row r="674" spans="16:16">
      <c r="P674" s="594"/>
    </row>
    <row r="675" spans="16:16">
      <c r="P675" s="594"/>
    </row>
    <row r="676" spans="16:16">
      <c r="P676" s="594"/>
    </row>
    <row r="677" spans="16:16">
      <c r="P677" s="594"/>
    </row>
    <row r="678" spans="16:16">
      <c r="P678" s="594"/>
    </row>
    <row r="679" spans="16:16">
      <c r="P679" s="594"/>
    </row>
    <row r="680" spans="16:16">
      <c r="P680" s="594"/>
    </row>
    <row r="681" spans="16:16">
      <c r="P681" s="594"/>
    </row>
    <row r="682" spans="16:16">
      <c r="P682" s="594"/>
    </row>
    <row r="683" spans="16:16">
      <c r="P683" s="594"/>
    </row>
    <row r="684" spans="16:16">
      <c r="P684" s="594"/>
    </row>
    <row r="685" spans="16:16">
      <c r="P685" s="594"/>
    </row>
    <row r="686" spans="16:16">
      <c r="P686" s="594"/>
    </row>
    <row r="687" spans="16:16">
      <c r="P687" s="594"/>
    </row>
    <row r="688" spans="16:16">
      <c r="P688" s="594"/>
    </row>
    <row r="689" spans="16:16">
      <c r="P689" s="594"/>
    </row>
    <row r="690" spans="16:16">
      <c r="P690" s="594"/>
    </row>
    <row r="691" spans="16:16">
      <c r="P691" s="594"/>
    </row>
    <row r="692" spans="16:16">
      <c r="P692" s="594"/>
    </row>
    <row r="693" spans="16:16">
      <c r="P693" s="594"/>
    </row>
    <row r="694" spans="16:16">
      <c r="P694" s="594"/>
    </row>
    <row r="695" spans="16:16">
      <c r="P695" s="594"/>
    </row>
    <row r="696" spans="16:16">
      <c r="P696" s="594"/>
    </row>
    <row r="697" spans="16:16">
      <c r="P697" s="594"/>
    </row>
    <row r="698" spans="16:16">
      <c r="P698" s="594"/>
    </row>
    <row r="699" spans="16:16">
      <c r="P699" s="594"/>
    </row>
    <row r="700" spans="16:16">
      <c r="P700" s="594"/>
    </row>
    <row r="701" spans="16:16">
      <c r="P701" s="594"/>
    </row>
    <row r="702" spans="16:16">
      <c r="P702" s="594"/>
    </row>
    <row r="703" spans="16:16">
      <c r="P703" s="594"/>
    </row>
    <row r="704" spans="16:16">
      <c r="P704" s="594"/>
    </row>
    <row r="705" spans="16:16">
      <c r="P705" s="594"/>
    </row>
    <row r="706" spans="16:16">
      <c r="P706" s="594"/>
    </row>
    <row r="707" spans="16:16">
      <c r="P707" s="594"/>
    </row>
    <row r="708" spans="16:16">
      <c r="P708" s="594"/>
    </row>
    <row r="709" spans="16:16">
      <c r="P709" s="594"/>
    </row>
    <row r="710" spans="16:16">
      <c r="P710" s="594"/>
    </row>
    <row r="711" spans="16:16">
      <c r="P711" s="594"/>
    </row>
    <row r="712" spans="16:16">
      <c r="P712" s="594"/>
    </row>
    <row r="713" spans="16:16">
      <c r="P713" s="594"/>
    </row>
    <row r="714" spans="16:16">
      <c r="P714" s="594"/>
    </row>
    <row r="715" spans="16:16">
      <c r="P715" s="594"/>
    </row>
    <row r="716" spans="16:16">
      <c r="P716" s="594"/>
    </row>
    <row r="717" spans="16:16">
      <c r="P717" s="594"/>
    </row>
    <row r="718" spans="16:16">
      <c r="P718" s="594"/>
    </row>
    <row r="719" spans="16:16">
      <c r="P719" s="594"/>
    </row>
    <row r="720" spans="16:16">
      <c r="P720" s="594"/>
    </row>
    <row r="721" spans="16:16">
      <c r="P721" s="594"/>
    </row>
    <row r="722" spans="16:16">
      <c r="P722" s="594"/>
    </row>
    <row r="723" spans="16:16">
      <c r="P723" s="594"/>
    </row>
    <row r="724" spans="16:16">
      <c r="P724" s="594"/>
    </row>
    <row r="725" spans="16:16">
      <c r="P725" s="594"/>
    </row>
    <row r="726" spans="16:16">
      <c r="P726" s="594"/>
    </row>
    <row r="727" spans="16:16">
      <c r="P727" s="594"/>
    </row>
    <row r="728" spans="16:16">
      <c r="P728" s="594"/>
    </row>
    <row r="729" spans="16:16">
      <c r="P729" s="594"/>
    </row>
    <row r="730" spans="16:16">
      <c r="P730" s="594"/>
    </row>
    <row r="731" spans="16:16">
      <c r="P731" s="594"/>
    </row>
    <row r="732" spans="16:16">
      <c r="P732" s="594"/>
    </row>
    <row r="733" spans="16:16">
      <c r="P733" s="594"/>
    </row>
    <row r="734" spans="16:16">
      <c r="P734" s="594"/>
    </row>
    <row r="735" spans="16:16">
      <c r="P735" s="594"/>
    </row>
    <row r="736" spans="16:16">
      <c r="P736" s="594"/>
    </row>
    <row r="737" spans="16:16">
      <c r="P737" s="594"/>
    </row>
    <row r="738" spans="16:16">
      <c r="P738" s="594"/>
    </row>
    <row r="739" spans="16:16">
      <c r="P739" s="594"/>
    </row>
    <row r="740" spans="16:16">
      <c r="P740" s="594"/>
    </row>
    <row r="741" spans="16:16">
      <c r="P741" s="594"/>
    </row>
    <row r="742" spans="16:16">
      <c r="P742" s="594"/>
    </row>
    <row r="743" spans="16:16">
      <c r="P743" s="594"/>
    </row>
    <row r="744" spans="16:16">
      <c r="P744" s="594"/>
    </row>
    <row r="745" spans="16:16">
      <c r="P745" s="594"/>
    </row>
    <row r="746" spans="16:16">
      <c r="P746" s="594"/>
    </row>
    <row r="747" spans="16:16">
      <c r="P747" s="594"/>
    </row>
    <row r="748" spans="16:16">
      <c r="P748" s="594"/>
    </row>
    <row r="749" spans="16:16">
      <c r="P749" s="594"/>
    </row>
    <row r="750" spans="16:16">
      <c r="P750" s="594"/>
    </row>
    <row r="751" spans="16:16">
      <c r="P751" s="594"/>
    </row>
    <row r="752" spans="16:16">
      <c r="P752" s="594"/>
    </row>
    <row r="753" spans="16:16">
      <c r="P753" s="594"/>
    </row>
    <row r="754" spans="16:16">
      <c r="P754" s="594"/>
    </row>
    <row r="755" spans="16:16">
      <c r="P755" s="594"/>
    </row>
    <row r="756" spans="16:16">
      <c r="P756" s="594"/>
    </row>
    <row r="757" spans="16:16">
      <c r="P757" s="594"/>
    </row>
    <row r="758" spans="16:16">
      <c r="P758" s="594"/>
    </row>
    <row r="759" spans="16:16">
      <c r="P759" s="594"/>
    </row>
    <row r="760" spans="16:16">
      <c r="P760" s="594"/>
    </row>
    <row r="761" spans="16:16">
      <c r="P761" s="594"/>
    </row>
    <row r="762" spans="16:16">
      <c r="P762" s="594"/>
    </row>
    <row r="763" spans="16:16">
      <c r="P763" s="594"/>
    </row>
    <row r="764" spans="16:16">
      <c r="P764" s="594"/>
    </row>
    <row r="765" spans="16:16">
      <c r="P765" s="594"/>
    </row>
    <row r="766" spans="16:16">
      <c r="P766" s="594"/>
    </row>
    <row r="767" spans="16:16">
      <c r="P767" s="594"/>
    </row>
    <row r="768" spans="16:16">
      <c r="P768" s="594"/>
    </row>
    <row r="769" spans="16:16">
      <c r="P769" s="594"/>
    </row>
    <row r="770" spans="16:16">
      <c r="P770" s="594"/>
    </row>
    <row r="771" spans="16:16">
      <c r="P771" s="594"/>
    </row>
    <row r="772" spans="16:16">
      <c r="P772" s="594"/>
    </row>
    <row r="773" spans="16:16">
      <c r="P773" s="594"/>
    </row>
    <row r="774" spans="16:16">
      <c r="P774" s="594"/>
    </row>
    <row r="775" spans="16:16">
      <c r="P775" s="594"/>
    </row>
    <row r="776" spans="16:16">
      <c r="P776" s="594"/>
    </row>
    <row r="777" spans="16:16">
      <c r="P777" s="594"/>
    </row>
    <row r="778" spans="16:16">
      <c r="P778" s="594"/>
    </row>
    <row r="779" spans="16:16">
      <c r="P779" s="594"/>
    </row>
    <row r="780" spans="16:16">
      <c r="P780" s="594"/>
    </row>
    <row r="781" spans="16:16">
      <c r="P781" s="594"/>
    </row>
    <row r="782" spans="16:16">
      <c r="P782" s="594"/>
    </row>
    <row r="783" spans="16:16">
      <c r="P783" s="594"/>
    </row>
    <row r="784" spans="16:16">
      <c r="P784" s="594"/>
    </row>
    <row r="785" spans="16:16">
      <c r="P785" s="594"/>
    </row>
    <row r="786" spans="16:16">
      <c r="P786" s="594"/>
    </row>
    <row r="787" spans="16:16">
      <c r="P787" s="594"/>
    </row>
    <row r="788" spans="16:16">
      <c r="P788" s="594"/>
    </row>
    <row r="789" spans="16:16">
      <c r="P789" s="594"/>
    </row>
    <row r="790" spans="16:16">
      <c r="P790" s="594"/>
    </row>
    <row r="791" spans="16:16">
      <c r="P791" s="594"/>
    </row>
    <row r="792" spans="16:16">
      <c r="P792" s="594"/>
    </row>
    <row r="793" spans="16:16">
      <c r="P793" s="594"/>
    </row>
    <row r="794" spans="16:16">
      <c r="P794" s="594"/>
    </row>
    <row r="795" spans="16:16">
      <c r="P795" s="594"/>
    </row>
    <row r="796" spans="16:16">
      <c r="P796" s="594"/>
    </row>
    <row r="797" spans="16:16">
      <c r="P797" s="594"/>
    </row>
    <row r="798" spans="16:16">
      <c r="P798" s="594"/>
    </row>
    <row r="799" spans="16:16">
      <c r="P799" s="594"/>
    </row>
    <row r="800" spans="16:16">
      <c r="P800" s="594"/>
    </row>
    <row r="801" spans="16:16">
      <c r="P801" s="594"/>
    </row>
    <row r="802" spans="16:16">
      <c r="P802" s="594"/>
    </row>
    <row r="803" spans="16:16">
      <c r="P803" s="594"/>
    </row>
    <row r="804" spans="16:16">
      <c r="P804" s="594"/>
    </row>
    <row r="805" spans="16:16">
      <c r="P805" s="594"/>
    </row>
    <row r="806" spans="16:16">
      <c r="P806" s="594"/>
    </row>
    <row r="807" spans="16:16">
      <c r="P807" s="594"/>
    </row>
    <row r="808" spans="16:16">
      <c r="P808" s="594"/>
    </row>
    <row r="809" spans="16:16">
      <c r="P809" s="594"/>
    </row>
    <row r="810" spans="16:16">
      <c r="P810" s="594"/>
    </row>
    <row r="811" spans="16:16">
      <c r="P811" s="594"/>
    </row>
    <row r="812" spans="16:16">
      <c r="P812" s="594"/>
    </row>
    <row r="813" spans="16:16">
      <c r="P813" s="594"/>
    </row>
    <row r="814" spans="16:16">
      <c r="P814" s="594"/>
    </row>
    <row r="815" spans="16:16">
      <c r="P815" s="594"/>
    </row>
    <row r="816" spans="16:16">
      <c r="P816" s="594"/>
    </row>
    <row r="817" spans="16:16">
      <c r="P817" s="594"/>
    </row>
    <row r="818" spans="16:16">
      <c r="P818" s="594"/>
    </row>
    <row r="819" spans="16:16">
      <c r="P819" s="594"/>
    </row>
    <row r="820" spans="16:16">
      <c r="P820" s="594"/>
    </row>
    <row r="821" spans="16:16">
      <c r="P821" s="594"/>
    </row>
    <row r="822" spans="16:16">
      <c r="P822" s="594"/>
    </row>
    <row r="823" spans="16:16">
      <c r="P823" s="594"/>
    </row>
    <row r="824" spans="16:16">
      <c r="P824" s="594"/>
    </row>
    <row r="825" spans="16:16">
      <c r="P825" s="594"/>
    </row>
    <row r="826" spans="16:16">
      <c r="P826" s="594"/>
    </row>
    <row r="827" spans="16:16">
      <c r="P827" s="594"/>
    </row>
    <row r="828" spans="16:16">
      <c r="P828" s="594"/>
    </row>
    <row r="829" spans="16:16">
      <c r="P829" s="594"/>
    </row>
    <row r="830" spans="16:16">
      <c r="P830" s="594"/>
    </row>
    <row r="831" spans="16:16">
      <c r="P831" s="594"/>
    </row>
    <row r="832" spans="16:16">
      <c r="P832" s="594"/>
    </row>
    <row r="833" spans="16:16">
      <c r="P833" s="594"/>
    </row>
    <row r="834" spans="16:16">
      <c r="P834" s="594"/>
    </row>
    <row r="835" spans="16:16">
      <c r="P835" s="594"/>
    </row>
    <row r="836" spans="16:16">
      <c r="P836" s="594"/>
    </row>
    <row r="837" spans="16:16">
      <c r="P837" s="594"/>
    </row>
    <row r="838" spans="16:16">
      <c r="P838" s="594"/>
    </row>
    <row r="839" spans="16:16">
      <c r="P839" s="594"/>
    </row>
    <row r="840" spans="16:16">
      <c r="P840" s="594"/>
    </row>
    <row r="841" spans="16:16">
      <c r="P841" s="594"/>
    </row>
    <row r="842" spans="16:16">
      <c r="P842" s="594"/>
    </row>
    <row r="843" spans="16:16">
      <c r="P843" s="594"/>
    </row>
    <row r="844" spans="16:16">
      <c r="P844" s="594"/>
    </row>
    <row r="845" spans="16:16">
      <c r="P845" s="594"/>
    </row>
    <row r="846" spans="16:16">
      <c r="P846" s="594"/>
    </row>
    <row r="847" spans="16:16">
      <c r="P847" s="594"/>
    </row>
    <row r="848" spans="16:16">
      <c r="P848" s="594"/>
    </row>
    <row r="849" spans="16:16">
      <c r="P849" s="594"/>
    </row>
    <row r="850" spans="16:16">
      <c r="P850" s="594"/>
    </row>
    <row r="851" spans="16:16">
      <c r="P851" s="594"/>
    </row>
    <row r="852" spans="16:16">
      <c r="P852" s="594"/>
    </row>
    <row r="853" spans="16:16">
      <c r="P853" s="594"/>
    </row>
    <row r="854" spans="16:16">
      <c r="P854" s="594"/>
    </row>
    <row r="855" spans="16:16">
      <c r="P855" s="594"/>
    </row>
    <row r="856" spans="16:16">
      <c r="P856" s="594"/>
    </row>
    <row r="857" spans="16:16">
      <c r="P857" s="594"/>
    </row>
    <row r="858" spans="16:16">
      <c r="P858" s="594"/>
    </row>
    <row r="859" spans="16:16">
      <c r="P859" s="594"/>
    </row>
    <row r="860" spans="16:16">
      <c r="P860" s="594"/>
    </row>
    <row r="861" spans="16:16">
      <c r="P861" s="594"/>
    </row>
    <row r="862" spans="16:16">
      <c r="P862" s="594"/>
    </row>
    <row r="863" spans="16:16">
      <c r="P863" s="594"/>
    </row>
    <row r="864" spans="16:16">
      <c r="P864" s="594"/>
    </row>
    <row r="865" spans="16:16">
      <c r="P865" s="594"/>
    </row>
    <row r="866" spans="16:16">
      <c r="P866" s="594"/>
    </row>
    <row r="867" spans="16:16">
      <c r="P867" s="594"/>
    </row>
    <row r="868" spans="16:16">
      <c r="P868" s="594"/>
    </row>
    <row r="869" spans="16:16">
      <c r="P869" s="594"/>
    </row>
    <row r="870" spans="16:16">
      <c r="P870" s="594"/>
    </row>
    <row r="871" spans="16:16">
      <c r="P871" s="594"/>
    </row>
    <row r="872" spans="16:16">
      <c r="P872" s="594"/>
    </row>
    <row r="873" spans="16:16">
      <c r="P873" s="594"/>
    </row>
    <row r="874" spans="16:16">
      <c r="P874" s="594"/>
    </row>
    <row r="875" spans="16:16">
      <c r="P875" s="594"/>
    </row>
    <row r="876" spans="16:16">
      <c r="P876" s="594"/>
    </row>
    <row r="877" spans="16:16">
      <c r="P877" s="594"/>
    </row>
    <row r="878" spans="16:16">
      <c r="P878" s="594"/>
    </row>
    <row r="879" spans="16:16">
      <c r="P879" s="594"/>
    </row>
    <row r="880" spans="16:16">
      <c r="P880" s="594"/>
    </row>
    <row r="881" spans="16:16">
      <c r="P881" s="594"/>
    </row>
    <row r="882" spans="16:16">
      <c r="P882" s="594"/>
    </row>
    <row r="883" spans="16:16">
      <c r="P883" s="594"/>
    </row>
    <row r="884" spans="16:16">
      <c r="P884" s="594"/>
    </row>
    <row r="885" spans="16:16">
      <c r="P885" s="594"/>
    </row>
    <row r="886" spans="16:16">
      <c r="P886" s="594"/>
    </row>
    <row r="887" spans="16:16">
      <c r="P887" s="594"/>
    </row>
    <row r="888" spans="16:16">
      <c r="P888" s="594"/>
    </row>
    <row r="889" spans="16:16">
      <c r="P889" s="594"/>
    </row>
    <row r="890" spans="16:16">
      <c r="P890" s="594"/>
    </row>
    <row r="891" spans="16:16">
      <c r="P891" s="594"/>
    </row>
    <row r="892" spans="16:16">
      <c r="P892" s="594"/>
    </row>
    <row r="893" spans="16:16">
      <c r="P893" s="594"/>
    </row>
    <row r="894" spans="16:16">
      <c r="P894" s="594"/>
    </row>
    <row r="895" spans="16:16">
      <c r="P895" s="594"/>
    </row>
    <row r="896" spans="16:16">
      <c r="P896" s="594"/>
    </row>
    <row r="897" spans="16:16">
      <c r="P897" s="594"/>
    </row>
    <row r="898" spans="16:16">
      <c r="P898" s="594"/>
    </row>
    <row r="899" spans="16:16">
      <c r="P899" s="594"/>
    </row>
    <row r="900" spans="16:16">
      <c r="P900" s="594"/>
    </row>
    <row r="901" spans="16:16">
      <c r="P901" s="594"/>
    </row>
    <row r="902" spans="16:16">
      <c r="P902" s="594"/>
    </row>
    <row r="903" spans="16:16">
      <c r="P903" s="594"/>
    </row>
    <row r="904" spans="16:16">
      <c r="P904" s="594"/>
    </row>
    <row r="905" spans="16:16">
      <c r="P905" s="594"/>
    </row>
    <row r="906" spans="16:16">
      <c r="P906" s="594"/>
    </row>
    <row r="907" spans="16:16">
      <c r="P907" s="594"/>
    </row>
    <row r="908" spans="16:16">
      <c r="P908" s="594"/>
    </row>
    <row r="909" spans="16:16">
      <c r="P909" s="594"/>
    </row>
    <row r="910" spans="16:16">
      <c r="P910" s="594"/>
    </row>
    <row r="911" spans="16:16">
      <c r="P911" s="594"/>
    </row>
    <row r="912" spans="16:16">
      <c r="P912" s="594"/>
    </row>
    <row r="913" spans="16:16">
      <c r="P913" s="594"/>
    </row>
    <row r="914" spans="16:16">
      <c r="P914" s="594"/>
    </row>
    <row r="915" spans="16:16">
      <c r="P915" s="594"/>
    </row>
    <row r="916" spans="16:16">
      <c r="P916" s="594"/>
    </row>
    <row r="917" spans="16:16">
      <c r="P917" s="594"/>
    </row>
    <row r="918" spans="16:16">
      <c r="P918" s="594"/>
    </row>
    <row r="919" spans="16:16">
      <c r="P919" s="594"/>
    </row>
    <row r="920" spans="16:16">
      <c r="P920" s="594"/>
    </row>
    <row r="921" spans="16:16">
      <c r="P921" s="594"/>
    </row>
    <row r="922" spans="16:16">
      <c r="P922" s="594"/>
    </row>
    <row r="923" spans="16:16">
      <c r="P923" s="594"/>
    </row>
    <row r="924" spans="16:16">
      <c r="P924" s="594"/>
    </row>
    <row r="925" spans="16:16">
      <c r="P925" s="594"/>
    </row>
    <row r="926" spans="16:16">
      <c r="P926" s="594"/>
    </row>
    <row r="927" spans="16:16">
      <c r="P927" s="594"/>
    </row>
    <row r="928" spans="16:16">
      <c r="P928" s="594"/>
    </row>
    <row r="929" spans="16:16">
      <c r="P929" s="594"/>
    </row>
    <row r="930" spans="16:16">
      <c r="P930" s="594"/>
    </row>
    <row r="931" spans="16:16">
      <c r="P931" s="594"/>
    </row>
    <row r="932" spans="16:16">
      <c r="P932" s="594"/>
    </row>
    <row r="933" spans="16:16">
      <c r="P933" s="594"/>
    </row>
    <row r="934" spans="16:16">
      <c r="P934" s="594"/>
    </row>
    <row r="935" spans="16:16">
      <c r="P935" s="594"/>
    </row>
    <row r="936" spans="16:16">
      <c r="P936" s="594"/>
    </row>
    <row r="937" spans="16:16">
      <c r="P937" s="594"/>
    </row>
    <row r="938" spans="16:16">
      <c r="P938" s="594"/>
    </row>
    <row r="939" spans="16:16">
      <c r="P939" s="594"/>
    </row>
    <row r="940" spans="16:16">
      <c r="P940" s="594"/>
    </row>
    <row r="941" spans="16:16">
      <c r="P941" s="594"/>
    </row>
    <row r="942" spans="16:16">
      <c r="P942" s="594"/>
    </row>
    <row r="943" spans="16:16">
      <c r="P943" s="594"/>
    </row>
    <row r="944" spans="16:16">
      <c r="P944" s="594"/>
    </row>
    <row r="945" spans="16:16">
      <c r="P945" s="594"/>
    </row>
    <row r="946" spans="16:16">
      <c r="P946" s="594"/>
    </row>
    <row r="947" spans="16:16">
      <c r="P947" s="594"/>
    </row>
    <row r="948" spans="16:16">
      <c r="P948" s="594"/>
    </row>
    <row r="949" spans="16:16">
      <c r="P949" s="594"/>
    </row>
    <row r="950" spans="16:16">
      <c r="P950" s="594"/>
    </row>
    <row r="951" spans="16:16">
      <c r="P951" s="594"/>
    </row>
    <row r="952" spans="16:16">
      <c r="P952" s="594"/>
    </row>
    <row r="953" spans="16:16">
      <c r="P953" s="594"/>
    </row>
    <row r="954" spans="16:16">
      <c r="P954" s="594"/>
    </row>
    <row r="955" spans="16:16">
      <c r="P955" s="594"/>
    </row>
    <row r="956" spans="16:16">
      <c r="P956" s="594"/>
    </row>
    <row r="957" spans="16:16">
      <c r="P957" s="594"/>
    </row>
    <row r="958" spans="16:16">
      <c r="P958" s="594"/>
    </row>
    <row r="959" spans="16:16">
      <c r="P959" s="594"/>
    </row>
    <row r="960" spans="16:16">
      <c r="P960" s="594"/>
    </row>
    <row r="961" spans="16:16">
      <c r="P961" s="594"/>
    </row>
    <row r="962" spans="16:16">
      <c r="P962" s="594"/>
    </row>
    <row r="963" spans="16:16">
      <c r="P963" s="594"/>
    </row>
    <row r="964" spans="16:16">
      <c r="P964" s="594"/>
    </row>
    <row r="965" spans="16:16">
      <c r="P965" s="594"/>
    </row>
    <row r="966" spans="16:16">
      <c r="P966" s="594"/>
    </row>
    <row r="967" spans="16:16">
      <c r="P967" s="594"/>
    </row>
    <row r="968" spans="16:16">
      <c r="P968" s="594"/>
    </row>
    <row r="969" spans="16:16">
      <c r="P969" s="594"/>
    </row>
    <row r="970" spans="16:16">
      <c r="P970" s="594"/>
    </row>
    <row r="971" spans="16:16">
      <c r="P971" s="594"/>
    </row>
    <row r="972" spans="16:16">
      <c r="P972" s="594"/>
    </row>
    <row r="973" spans="16:16">
      <c r="P973" s="594"/>
    </row>
    <row r="974" spans="16:16">
      <c r="P974" s="594"/>
    </row>
    <row r="975" spans="16:16">
      <c r="P975" s="594"/>
    </row>
    <row r="976" spans="16:16">
      <c r="P976" s="594"/>
    </row>
    <row r="977" spans="16:16">
      <c r="P977" s="594"/>
    </row>
    <row r="978" spans="16:16">
      <c r="P978" s="594"/>
    </row>
    <row r="979" spans="16:16">
      <c r="P979" s="594"/>
    </row>
    <row r="980" spans="16:16">
      <c r="P980" s="594"/>
    </row>
    <row r="981" spans="16:16">
      <c r="P981" s="594"/>
    </row>
    <row r="982" spans="16:16">
      <c r="P982" s="594"/>
    </row>
    <row r="983" spans="16:16">
      <c r="P983" s="594"/>
    </row>
    <row r="984" spans="16:16">
      <c r="P984" s="594"/>
    </row>
    <row r="985" spans="16:16">
      <c r="P985" s="594"/>
    </row>
    <row r="986" spans="16:16">
      <c r="P986" s="594"/>
    </row>
    <row r="987" spans="16:16">
      <c r="P987" s="594"/>
    </row>
    <row r="988" spans="16:16">
      <c r="P988" s="594"/>
    </row>
    <row r="989" spans="16:16">
      <c r="P989" s="594"/>
    </row>
    <row r="990" spans="16:16">
      <c r="P990" s="594"/>
    </row>
    <row r="991" spans="16:16">
      <c r="P991" s="594"/>
    </row>
    <row r="992" spans="16:16">
      <c r="P992" s="594"/>
    </row>
    <row r="993" spans="16:16">
      <c r="P993" s="594"/>
    </row>
    <row r="994" spans="16:16">
      <c r="P994" s="594"/>
    </row>
    <row r="995" spans="16:16">
      <c r="P995" s="594"/>
    </row>
    <row r="996" spans="16:16">
      <c r="P996" s="594"/>
    </row>
    <row r="997" spans="16:16">
      <c r="P997" s="594"/>
    </row>
    <row r="998" spans="16:16">
      <c r="P998" s="594"/>
    </row>
    <row r="999" spans="16:16">
      <c r="P999" s="594"/>
    </row>
    <row r="1000" spans="16:16">
      <c r="P1000" s="594"/>
    </row>
    <row r="1001" spans="16:16">
      <c r="P1001" s="594"/>
    </row>
    <row r="1002" spans="16:16">
      <c r="P1002" s="594"/>
    </row>
    <row r="1003" spans="16:16">
      <c r="P1003" s="594"/>
    </row>
    <row r="1004" spans="16:16">
      <c r="P1004" s="594"/>
    </row>
    <row r="1005" spans="16:16">
      <c r="P1005" s="594"/>
    </row>
    <row r="1006" spans="16:16">
      <c r="P1006" s="594"/>
    </row>
    <row r="1007" spans="16:16">
      <c r="P1007" s="594"/>
    </row>
    <row r="1008" spans="16:16">
      <c r="P1008" s="594"/>
    </row>
    <row r="1009" spans="16:16">
      <c r="P1009" s="594"/>
    </row>
    <row r="1010" spans="16:16">
      <c r="P1010" s="594"/>
    </row>
    <row r="1011" spans="16:16">
      <c r="P1011" s="594"/>
    </row>
    <row r="1012" spans="16:16">
      <c r="P1012" s="594"/>
    </row>
    <row r="1013" spans="16:16">
      <c r="P1013" s="594"/>
    </row>
    <row r="1014" spans="16:16">
      <c r="P1014" s="594"/>
    </row>
    <row r="1015" spans="16:16">
      <c r="P1015" s="594"/>
    </row>
    <row r="1016" spans="16:16">
      <c r="P1016" s="594"/>
    </row>
    <row r="1017" spans="16:16">
      <c r="P1017" s="594"/>
    </row>
    <row r="1018" spans="16:16">
      <c r="P1018" s="594"/>
    </row>
    <row r="1019" spans="16:16">
      <c r="P1019" s="594"/>
    </row>
    <row r="1020" spans="16:16">
      <c r="P1020" s="594"/>
    </row>
    <row r="1021" spans="16:16">
      <c r="P1021" s="594"/>
    </row>
    <row r="1022" spans="16:16">
      <c r="P1022" s="594"/>
    </row>
    <row r="1023" spans="16:16">
      <c r="P1023" s="594"/>
    </row>
    <row r="1024" spans="16:16">
      <c r="P1024" s="594"/>
    </row>
    <row r="1025" spans="16:16">
      <c r="P1025" s="594"/>
    </row>
    <row r="1026" spans="16:16">
      <c r="P1026" s="594"/>
    </row>
    <row r="1027" spans="16:16">
      <c r="P1027" s="594"/>
    </row>
    <row r="1028" spans="16:16">
      <c r="P1028" s="594"/>
    </row>
    <row r="1029" spans="16:16">
      <c r="P1029" s="594"/>
    </row>
    <row r="1030" spans="16:16">
      <c r="P1030" s="594"/>
    </row>
    <row r="1031" spans="16:16">
      <c r="P1031" s="594"/>
    </row>
    <row r="1032" spans="16:16">
      <c r="P1032" s="594"/>
    </row>
    <row r="1033" spans="16:16">
      <c r="P1033" s="594"/>
    </row>
    <row r="1034" spans="16:16">
      <c r="P1034" s="594"/>
    </row>
    <row r="1035" spans="16:16">
      <c r="P1035" s="594"/>
    </row>
    <row r="1036" spans="16:16">
      <c r="P1036" s="594"/>
    </row>
    <row r="1037" spans="16:16">
      <c r="P1037" s="594"/>
    </row>
    <row r="1038" spans="16:16">
      <c r="P1038" s="594"/>
    </row>
    <row r="1039" spans="16:16">
      <c r="P1039" s="594"/>
    </row>
    <row r="1040" spans="16:16">
      <c r="P1040" s="594"/>
    </row>
    <row r="1041" spans="16:16">
      <c r="P1041" s="594"/>
    </row>
    <row r="1042" spans="16:16">
      <c r="P1042" s="594"/>
    </row>
    <row r="1043" spans="16:16">
      <c r="P1043" s="594"/>
    </row>
    <row r="1044" spans="16:16">
      <c r="P1044" s="594"/>
    </row>
    <row r="1045" spans="16:16">
      <c r="P1045" s="594"/>
    </row>
    <row r="1046" spans="16:16">
      <c r="P1046" s="594"/>
    </row>
    <row r="1047" spans="16:16">
      <c r="P1047" s="594"/>
    </row>
    <row r="1048" spans="16:16">
      <c r="P1048" s="594"/>
    </row>
    <row r="1049" spans="16:16">
      <c r="P1049" s="594"/>
    </row>
    <row r="1050" spans="16:16">
      <c r="P1050" s="594"/>
    </row>
    <row r="1051" spans="16:16">
      <c r="P1051" s="594"/>
    </row>
    <row r="1052" spans="16:16">
      <c r="P1052" s="594"/>
    </row>
    <row r="1053" spans="16:16">
      <c r="P1053" s="594"/>
    </row>
    <row r="1054" spans="16:16">
      <c r="P1054" s="594"/>
    </row>
    <row r="1055" spans="16:16">
      <c r="P1055" s="594"/>
    </row>
    <row r="1056" spans="16:16">
      <c r="P1056" s="594"/>
    </row>
    <row r="1057" spans="16:16">
      <c r="P1057" s="594"/>
    </row>
    <row r="1058" spans="16:16">
      <c r="P1058" s="594"/>
    </row>
    <row r="1059" spans="16:16">
      <c r="P1059" s="594"/>
    </row>
    <row r="1060" spans="16:16">
      <c r="P1060" s="594"/>
    </row>
    <row r="1061" spans="16:16">
      <c r="P1061" s="594"/>
    </row>
    <row r="1062" spans="16:16">
      <c r="P1062" s="594"/>
    </row>
    <row r="1063" spans="16:16">
      <c r="P1063" s="594"/>
    </row>
    <row r="1064" spans="16:16">
      <c r="P1064" s="594"/>
    </row>
    <row r="1065" spans="16:16">
      <c r="P1065" s="594"/>
    </row>
    <row r="1066" spans="16:16">
      <c r="P1066" s="594"/>
    </row>
    <row r="1067" spans="16:16">
      <c r="P1067" s="594"/>
    </row>
    <row r="1068" spans="16:16">
      <c r="P1068" s="594"/>
    </row>
    <row r="1069" spans="16:16">
      <c r="P1069" s="594"/>
    </row>
    <row r="1070" spans="16:16">
      <c r="P1070" s="594"/>
    </row>
    <row r="1071" spans="16:16">
      <c r="P1071" s="594"/>
    </row>
    <row r="1072" spans="16:16">
      <c r="P1072" s="594"/>
    </row>
    <row r="1073" spans="16:16">
      <c r="P1073" s="594"/>
    </row>
    <row r="1074" spans="16:16">
      <c r="P1074" s="594"/>
    </row>
    <row r="1075" spans="16:16">
      <c r="P1075" s="594"/>
    </row>
    <row r="1076" spans="16:16">
      <c r="P1076" s="594"/>
    </row>
    <row r="1077" spans="16:16">
      <c r="P1077" s="594"/>
    </row>
    <row r="1078" spans="16:16">
      <c r="P1078" s="594"/>
    </row>
    <row r="1079" spans="16:16">
      <c r="P1079" s="594"/>
    </row>
    <row r="1080" spans="16:16">
      <c r="P1080" s="594"/>
    </row>
    <row r="1081" spans="16:16">
      <c r="P1081" s="594"/>
    </row>
    <row r="1082" spans="16:16">
      <c r="P1082" s="594"/>
    </row>
    <row r="1083" spans="16:16">
      <c r="P1083" s="594"/>
    </row>
    <row r="1084" spans="16:16">
      <c r="P1084" s="594"/>
    </row>
    <row r="1085" spans="16:16">
      <c r="P1085" s="594"/>
    </row>
    <row r="1086" spans="16:16">
      <c r="P1086" s="594"/>
    </row>
    <row r="1087" spans="16:16">
      <c r="P1087" s="594"/>
    </row>
    <row r="1088" spans="16:16">
      <c r="P1088" s="594"/>
    </row>
    <row r="1089" spans="16:16">
      <c r="P1089" s="594"/>
    </row>
    <row r="1090" spans="16:16">
      <c r="P1090" s="594"/>
    </row>
    <row r="1091" spans="16:16">
      <c r="P1091" s="594"/>
    </row>
    <row r="1092" spans="16:16">
      <c r="P1092" s="594"/>
    </row>
    <row r="1093" spans="16:16">
      <c r="P1093" s="594"/>
    </row>
    <row r="1094" spans="16:16">
      <c r="P1094" s="594"/>
    </row>
    <row r="1095" spans="16:16">
      <c r="P1095" s="594"/>
    </row>
    <row r="1096" spans="16:16">
      <c r="P1096" s="594"/>
    </row>
    <row r="1097" spans="16:16">
      <c r="P1097" s="594"/>
    </row>
    <row r="1098" spans="16:16">
      <c r="P1098" s="594"/>
    </row>
    <row r="1099" spans="16:16">
      <c r="P1099" s="594"/>
    </row>
    <row r="1100" spans="16:16">
      <c r="P1100" s="594"/>
    </row>
    <row r="1101" spans="16:16">
      <c r="P1101" s="594"/>
    </row>
    <row r="1102" spans="16:16">
      <c r="P1102" s="594"/>
    </row>
    <row r="1103" spans="16:16">
      <c r="P1103" s="594"/>
    </row>
    <row r="1104" spans="16:16">
      <c r="P1104" s="594"/>
    </row>
    <row r="1105" spans="16:16">
      <c r="P1105" s="594"/>
    </row>
    <row r="1106" spans="16:16">
      <c r="P1106" s="594"/>
    </row>
    <row r="1107" spans="16:16">
      <c r="P1107" s="594"/>
    </row>
    <row r="1108" spans="16:16">
      <c r="P1108" s="594"/>
    </row>
    <row r="1109" spans="16:16">
      <c r="P1109" s="594"/>
    </row>
    <row r="1110" spans="16:16">
      <c r="P1110" s="594"/>
    </row>
    <row r="1111" spans="16:16">
      <c r="P1111" s="594"/>
    </row>
    <row r="1112" spans="16:16">
      <c r="P1112" s="594"/>
    </row>
    <row r="1113" spans="16:16">
      <c r="P1113" s="594"/>
    </row>
    <row r="1114" spans="16:16">
      <c r="P1114" s="594"/>
    </row>
    <row r="1115" spans="16:16">
      <c r="P1115" s="594"/>
    </row>
    <row r="1116" spans="16:16">
      <c r="P1116" s="594"/>
    </row>
    <row r="1117" spans="16:16">
      <c r="P1117" s="594"/>
    </row>
    <row r="1118" spans="16:16">
      <c r="P1118" s="594"/>
    </row>
    <row r="1119" spans="16:16">
      <c r="P1119" s="594"/>
    </row>
    <row r="1120" spans="16:16">
      <c r="P1120" s="594"/>
    </row>
    <row r="1121" spans="16:16">
      <c r="P1121" s="594"/>
    </row>
    <row r="1122" spans="16:16">
      <c r="P1122" s="594"/>
    </row>
    <row r="1123" spans="16:16">
      <c r="P1123" s="594"/>
    </row>
    <row r="1124" spans="16:16">
      <c r="P1124" s="594"/>
    </row>
    <row r="1125" spans="16:16">
      <c r="P1125" s="594"/>
    </row>
    <row r="1126" spans="16:16">
      <c r="P1126" s="594"/>
    </row>
    <row r="1127" spans="16:16">
      <c r="P1127" s="594"/>
    </row>
    <row r="1128" spans="16:16">
      <c r="P1128" s="594"/>
    </row>
    <row r="1129" spans="16:16">
      <c r="P1129" s="594"/>
    </row>
    <row r="1130" spans="16:16">
      <c r="P1130" s="594"/>
    </row>
    <row r="1131" spans="16:16">
      <c r="P1131" s="594"/>
    </row>
    <row r="1132" spans="16:16">
      <c r="P1132" s="594"/>
    </row>
    <row r="1133" spans="16:16">
      <c r="P1133" s="594"/>
    </row>
    <row r="1134" spans="16:16">
      <c r="P1134" s="594"/>
    </row>
    <row r="1135" spans="16:16">
      <c r="P1135" s="594"/>
    </row>
    <row r="1136" spans="16:16">
      <c r="P1136" s="594"/>
    </row>
    <row r="1137" spans="16:16">
      <c r="P1137" s="594"/>
    </row>
    <row r="1138" spans="16:16">
      <c r="P1138" s="594"/>
    </row>
    <row r="1139" spans="16:16">
      <c r="P1139" s="594"/>
    </row>
    <row r="1140" spans="16:16">
      <c r="P1140" s="594"/>
    </row>
    <row r="1141" spans="16:16">
      <c r="P1141" s="594"/>
    </row>
    <row r="1142" spans="16:16">
      <c r="P1142" s="594"/>
    </row>
    <row r="1143" spans="16:16">
      <c r="P1143" s="594"/>
    </row>
    <row r="1144" spans="16:16">
      <c r="P1144" s="594"/>
    </row>
    <row r="1145" spans="16:16">
      <c r="P1145" s="594"/>
    </row>
    <row r="1146" spans="16:16">
      <c r="P1146" s="594"/>
    </row>
    <row r="1147" spans="16:16">
      <c r="P1147" s="594"/>
    </row>
    <row r="1148" spans="16:16">
      <c r="P1148" s="594"/>
    </row>
    <row r="1149" spans="16:16">
      <c r="P1149" s="594"/>
    </row>
    <row r="1150" spans="16:16">
      <c r="P1150" s="594"/>
    </row>
    <row r="1151" spans="16:16">
      <c r="P1151" s="594"/>
    </row>
    <row r="1152" spans="16:16">
      <c r="P1152" s="594"/>
    </row>
    <row r="1153" spans="16:16">
      <c r="P1153" s="594"/>
    </row>
    <row r="1154" spans="16:16">
      <c r="P1154" s="594"/>
    </row>
    <row r="1155" spans="16:16">
      <c r="P1155" s="594"/>
    </row>
    <row r="1156" spans="16:16">
      <c r="P1156" s="594"/>
    </row>
    <row r="1157" spans="16:16">
      <c r="P1157" s="594"/>
    </row>
    <row r="1158" spans="16:16">
      <c r="P1158" s="594"/>
    </row>
    <row r="1159" spans="16:16">
      <c r="P1159" s="594"/>
    </row>
    <row r="1160" spans="16:16">
      <c r="P1160" s="594"/>
    </row>
    <row r="1161" spans="16:16">
      <c r="P1161" s="594"/>
    </row>
    <row r="1162" spans="16:16">
      <c r="P1162" s="594"/>
    </row>
    <row r="1163" spans="16:16">
      <c r="P1163" s="594"/>
    </row>
    <row r="1164" spans="16:16">
      <c r="P1164" s="594"/>
    </row>
    <row r="1165" spans="16:16">
      <c r="P1165" s="594"/>
    </row>
    <row r="1166" spans="16:16">
      <c r="P1166" s="594"/>
    </row>
    <row r="1167" spans="16:16">
      <c r="P1167" s="594"/>
    </row>
    <row r="1168" spans="16:16">
      <c r="P1168" s="594"/>
    </row>
    <row r="1169" spans="16:16">
      <c r="P1169" s="594"/>
    </row>
    <row r="1170" spans="16:16">
      <c r="P1170" s="594"/>
    </row>
    <row r="1171" spans="16:16">
      <c r="P1171" s="594"/>
    </row>
    <row r="1172" spans="16:16">
      <c r="P1172" s="594"/>
    </row>
    <row r="1173" spans="16:16">
      <c r="P1173" s="594"/>
    </row>
    <row r="1174" spans="16:16">
      <c r="P1174" s="594"/>
    </row>
    <row r="1175" spans="16:16">
      <c r="P1175" s="594"/>
    </row>
    <row r="1176" spans="16:16">
      <c r="P1176" s="594"/>
    </row>
    <row r="1177" spans="16:16">
      <c r="P1177" s="594"/>
    </row>
    <row r="1178" spans="16:16">
      <c r="P1178" s="594"/>
    </row>
    <row r="1179" spans="16:16">
      <c r="P1179" s="594"/>
    </row>
    <row r="1180" spans="16:16">
      <c r="P1180" s="594"/>
    </row>
    <row r="1181" spans="16:16">
      <c r="P1181" s="594"/>
    </row>
    <row r="1182" spans="16:16">
      <c r="P1182" s="594"/>
    </row>
    <row r="1183" spans="16:16">
      <c r="P1183" s="594"/>
    </row>
    <row r="1184" spans="16:16">
      <c r="P1184" s="594"/>
    </row>
    <row r="1185" spans="16:16">
      <c r="P1185" s="594"/>
    </row>
    <row r="1186" spans="16:16">
      <c r="P1186" s="594"/>
    </row>
    <row r="1187" spans="16:16">
      <c r="P1187" s="594"/>
    </row>
    <row r="1188" spans="16:16">
      <c r="P1188" s="594"/>
    </row>
    <row r="1189" spans="16:16">
      <c r="P1189" s="594"/>
    </row>
    <row r="1190" spans="16:16">
      <c r="P1190" s="594"/>
    </row>
    <row r="1191" spans="16:16">
      <c r="P1191" s="594"/>
    </row>
    <row r="1192" spans="16:16">
      <c r="P1192" s="594"/>
    </row>
    <row r="1193" spans="16:16">
      <c r="P1193" s="594"/>
    </row>
    <row r="1194" spans="16:16">
      <c r="P1194" s="594"/>
    </row>
    <row r="1195" spans="16:16">
      <c r="P1195" s="594"/>
    </row>
    <row r="1196" spans="16:16">
      <c r="P1196" s="594"/>
    </row>
    <row r="1197" spans="16:16">
      <c r="P1197" s="594"/>
    </row>
    <row r="1198" spans="16:16">
      <c r="P1198" s="594"/>
    </row>
    <row r="1199" spans="16:16">
      <c r="P1199" s="594"/>
    </row>
    <row r="1200" spans="16:16">
      <c r="P1200" s="594"/>
    </row>
    <row r="1201" spans="16:16">
      <c r="P1201" s="594"/>
    </row>
    <row r="1202" spans="16:16">
      <c r="P1202" s="594"/>
    </row>
    <row r="1203" spans="16:16">
      <c r="P1203" s="594"/>
    </row>
    <row r="1204" spans="16:16">
      <c r="P1204" s="594"/>
    </row>
    <row r="1205" spans="16:16">
      <c r="P1205" s="594"/>
    </row>
    <row r="1206" spans="16:16">
      <c r="P1206" s="594"/>
    </row>
    <row r="1207" spans="16:16">
      <c r="P1207" s="594"/>
    </row>
    <row r="1208" spans="16:16">
      <c r="P1208" s="594"/>
    </row>
    <row r="1209" spans="16:16">
      <c r="P1209" s="594"/>
    </row>
    <row r="1210" spans="16:16">
      <c r="P1210" s="594"/>
    </row>
    <row r="1211" spans="16:16">
      <c r="P1211" s="594"/>
    </row>
    <row r="1212" spans="16:16">
      <c r="P1212" s="594"/>
    </row>
    <row r="1213" spans="16:16">
      <c r="P1213" s="594"/>
    </row>
    <row r="1214" spans="16:16">
      <c r="P1214" s="594"/>
    </row>
    <row r="1215" spans="16:16">
      <c r="P1215" s="594"/>
    </row>
    <row r="1216" spans="16:16">
      <c r="P1216" s="594"/>
    </row>
    <row r="1217" spans="16:16">
      <c r="P1217" s="594"/>
    </row>
    <row r="1218" spans="16:16">
      <c r="P1218" s="594"/>
    </row>
    <row r="1219" spans="16:16">
      <c r="P1219" s="594"/>
    </row>
    <row r="1220" spans="16:16">
      <c r="P1220" s="594"/>
    </row>
    <row r="1221" spans="16:16">
      <c r="P1221" s="594"/>
    </row>
    <row r="1222" spans="16:16">
      <c r="P1222" s="594"/>
    </row>
    <row r="1223" spans="16:16">
      <c r="P1223" s="594"/>
    </row>
    <row r="1224" spans="16:16">
      <c r="P1224" s="594"/>
    </row>
    <row r="1225" spans="16:16">
      <c r="P1225" s="594"/>
    </row>
    <row r="1226" spans="16:16">
      <c r="P1226" s="594"/>
    </row>
    <row r="1227" spans="16:16">
      <c r="P1227" s="594"/>
    </row>
    <row r="1228" spans="16:16">
      <c r="P1228" s="594"/>
    </row>
    <row r="1229" spans="16:16">
      <c r="P1229" s="594"/>
    </row>
    <row r="1230" spans="16:16">
      <c r="P1230" s="594"/>
    </row>
    <row r="1231" spans="16:16">
      <c r="P1231" s="594"/>
    </row>
    <row r="1232" spans="16:16">
      <c r="P1232" s="594"/>
    </row>
    <row r="1233" spans="16:16">
      <c r="P1233" s="594"/>
    </row>
    <row r="1234" spans="16:16">
      <c r="P1234" s="594"/>
    </row>
    <row r="1235" spans="16:16">
      <c r="P1235" s="594"/>
    </row>
    <row r="1236" spans="16:16">
      <c r="P1236" s="594"/>
    </row>
    <row r="1237" spans="16:16">
      <c r="P1237" s="594"/>
    </row>
    <row r="1238" spans="16:16">
      <c r="P1238" s="594"/>
    </row>
    <row r="1239" spans="16:16">
      <c r="P1239" s="594"/>
    </row>
    <row r="1240" spans="16:16">
      <c r="P1240" s="594"/>
    </row>
    <row r="1241" spans="16:16">
      <c r="P1241" s="594"/>
    </row>
    <row r="1242" spans="16:16">
      <c r="P1242" s="594"/>
    </row>
    <row r="1243" spans="16:16">
      <c r="P1243" s="594"/>
    </row>
    <row r="1244" spans="16:16">
      <c r="P1244" s="594"/>
    </row>
    <row r="1245" spans="16:16">
      <c r="P1245" s="594"/>
    </row>
    <row r="1246" spans="16:16">
      <c r="P1246" s="594"/>
    </row>
    <row r="1247" spans="16:16">
      <c r="P1247" s="594"/>
    </row>
    <row r="1248" spans="16:16">
      <c r="P1248" s="594"/>
    </row>
    <row r="1249" spans="16:16">
      <c r="P1249" s="594"/>
    </row>
    <row r="1250" spans="16:16">
      <c r="P1250" s="594"/>
    </row>
    <row r="1251" spans="16:16">
      <c r="P1251" s="594"/>
    </row>
    <row r="1252" spans="16:16">
      <c r="P1252" s="594"/>
    </row>
    <row r="1253" spans="16:16">
      <c r="P1253" s="594"/>
    </row>
    <row r="1254" spans="16:16">
      <c r="P1254" s="594"/>
    </row>
    <row r="1255" spans="16:16">
      <c r="P1255" s="594"/>
    </row>
    <row r="1256" spans="16:16">
      <c r="P1256" s="594"/>
    </row>
    <row r="1257" spans="16:16">
      <c r="P1257" s="594"/>
    </row>
    <row r="1258" spans="16:16">
      <c r="P1258" s="594"/>
    </row>
    <row r="1259" spans="16:16">
      <c r="P1259" s="594"/>
    </row>
    <row r="1260" spans="16:16">
      <c r="P1260" s="594"/>
    </row>
    <row r="1261" spans="16:16">
      <c r="P1261" s="594"/>
    </row>
    <row r="1262" spans="16:16">
      <c r="P1262" s="594"/>
    </row>
    <row r="1263" spans="16:16">
      <c r="P1263" s="594"/>
    </row>
    <row r="1264" spans="16:16">
      <c r="P1264" s="594"/>
    </row>
    <row r="1265" spans="16:16">
      <c r="P1265" s="594"/>
    </row>
    <row r="1266" spans="16:16">
      <c r="P1266" s="594"/>
    </row>
    <row r="1267" spans="16:16">
      <c r="P1267" s="594"/>
    </row>
    <row r="1268" spans="16:16">
      <c r="P1268" s="594"/>
    </row>
    <row r="1269" spans="16:16">
      <c r="P1269" s="594"/>
    </row>
    <row r="1270" spans="16:16">
      <c r="P1270" s="594"/>
    </row>
    <row r="1271" spans="16:16">
      <c r="P1271" s="594"/>
    </row>
    <row r="1272" spans="16:16">
      <c r="P1272" s="594"/>
    </row>
    <row r="1273" spans="16:16">
      <c r="P1273" s="594"/>
    </row>
    <row r="1274" spans="16:16">
      <c r="P1274" s="594"/>
    </row>
    <row r="1275" spans="16:16">
      <c r="P1275" s="594"/>
    </row>
    <row r="1276" spans="16:16">
      <c r="P1276" s="594"/>
    </row>
    <row r="1277" spans="16:16">
      <c r="P1277" s="594"/>
    </row>
    <row r="1278" spans="16:16">
      <c r="P1278" s="594"/>
    </row>
    <row r="1279" spans="16:16">
      <c r="P1279" s="594"/>
    </row>
    <row r="1280" spans="16:16">
      <c r="P1280" s="594"/>
    </row>
    <row r="1281" spans="16:16">
      <c r="P1281" s="594"/>
    </row>
    <row r="1282" spans="16:16">
      <c r="P1282" s="594"/>
    </row>
    <row r="1283" spans="16:16">
      <c r="P1283" s="594"/>
    </row>
    <row r="1284" spans="16:16">
      <c r="P1284" s="594"/>
    </row>
    <row r="1285" spans="16:16">
      <c r="P1285" s="594"/>
    </row>
    <row r="1286" spans="16:16">
      <c r="P1286" s="594"/>
    </row>
    <row r="1287" spans="16:16">
      <c r="P1287" s="594"/>
    </row>
    <row r="1288" spans="16:16">
      <c r="P1288" s="594"/>
    </row>
    <row r="1289" spans="16:16">
      <c r="P1289" s="594"/>
    </row>
    <row r="1290" spans="16:16">
      <c r="P1290" s="594"/>
    </row>
    <row r="1291" spans="16:16">
      <c r="P1291" s="594"/>
    </row>
    <row r="1292" spans="16:16">
      <c r="P1292" s="594"/>
    </row>
    <row r="1293" spans="16:16">
      <c r="P1293" s="594"/>
    </row>
    <row r="1294" spans="16:16">
      <c r="P1294" s="594"/>
    </row>
    <row r="1295" spans="16:16">
      <c r="P1295" s="594"/>
    </row>
    <row r="1296" spans="16:16">
      <c r="P1296" s="594"/>
    </row>
    <row r="1297" spans="16:16">
      <c r="P1297" s="594"/>
    </row>
    <row r="1298" spans="16:16">
      <c r="P1298" s="594"/>
    </row>
    <row r="1299" spans="16:16">
      <c r="P1299" s="594"/>
    </row>
    <row r="1300" spans="16:16">
      <c r="P1300" s="594"/>
    </row>
    <row r="1301" spans="16:16">
      <c r="P1301" s="594"/>
    </row>
    <row r="1302" spans="16:16">
      <c r="P1302" s="594"/>
    </row>
    <row r="1303" spans="16:16">
      <c r="P1303" s="594"/>
    </row>
    <row r="1304" spans="16:16">
      <c r="P1304" s="594"/>
    </row>
    <row r="1305" spans="16:16">
      <c r="P1305" s="594"/>
    </row>
    <row r="1306" spans="16:16">
      <c r="P1306" s="594"/>
    </row>
    <row r="1307" spans="16:16">
      <c r="P1307" s="594"/>
    </row>
    <row r="1308" spans="16:16">
      <c r="P1308" s="594"/>
    </row>
    <row r="1309" spans="16:16">
      <c r="P1309" s="594"/>
    </row>
    <row r="1310" spans="16:16">
      <c r="P1310" s="594"/>
    </row>
    <row r="1311" spans="16:16">
      <c r="P1311" s="594"/>
    </row>
    <row r="1312" spans="16:16">
      <c r="P1312" s="594"/>
    </row>
    <row r="1313" spans="16:16">
      <c r="P1313" s="594"/>
    </row>
    <row r="1314" spans="16:16">
      <c r="P1314" s="594"/>
    </row>
    <row r="1315" spans="16:16">
      <c r="P1315" s="594"/>
    </row>
    <row r="1316" spans="16:16">
      <c r="P1316" s="594"/>
    </row>
    <row r="1317" spans="16:16">
      <c r="P1317" s="594"/>
    </row>
    <row r="1318" spans="16:16">
      <c r="P1318" s="594"/>
    </row>
    <row r="1319" spans="16:16">
      <c r="P1319" s="594"/>
    </row>
    <row r="1320" spans="16:16">
      <c r="P1320" s="594"/>
    </row>
    <row r="1321" spans="16:16">
      <c r="P1321" s="594"/>
    </row>
    <row r="1322" spans="16:16">
      <c r="P1322" s="594"/>
    </row>
    <row r="1323" spans="16:16">
      <c r="P1323" s="594"/>
    </row>
    <row r="1324" spans="16:16">
      <c r="P1324" s="594"/>
    </row>
    <row r="1325" spans="16:16">
      <c r="P1325" s="594"/>
    </row>
    <row r="1326" spans="16:16">
      <c r="P1326" s="594"/>
    </row>
    <row r="1327" spans="16:16">
      <c r="P1327" s="594"/>
    </row>
    <row r="1328" spans="16:16">
      <c r="P1328" s="594"/>
    </row>
    <row r="1329" spans="16:16">
      <c r="P1329" s="594"/>
    </row>
    <row r="1330" spans="16:16">
      <c r="P1330" s="594"/>
    </row>
    <row r="1331" spans="16:16">
      <c r="P1331" s="594"/>
    </row>
    <row r="1332" spans="16:16">
      <c r="P1332" s="594"/>
    </row>
    <row r="1333" spans="16:16">
      <c r="P1333" s="594"/>
    </row>
    <row r="1334" spans="16:16">
      <c r="P1334" s="594"/>
    </row>
    <row r="1335" spans="16:16">
      <c r="P1335" s="594"/>
    </row>
    <row r="1336" spans="16:16">
      <c r="P1336" s="594"/>
    </row>
    <row r="1337" spans="16:16">
      <c r="P1337" s="594"/>
    </row>
    <row r="1338" spans="16:16">
      <c r="P1338" s="594"/>
    </row>
    <row r="1339" spans="16:16">
      <c r="P1339" s="594"/>
    </row>
    <row r="1340" spans="16:16">
      <c r="P1340" s="594"/>
    </row>
    <row r="1341" spans="16:16">
      <c r="P1341" s="594"/>
    </row>
    <row r="1342" spans="16:16">
      <c r="P1342" s="594"/>
    </row>
    <row r="1343" spans="16:16">
      <c r="P1343" s="594"/>
    </row>
    <row r="1344" spans="16:16">
      <c r="P1344" s="594"/>
    </row>
    <row r="1345" spans="16:16">
      <c r="P1345" s="594"/>
    </row>
    <row r="1346" spans="16:16">
      <c r="P1346" s="594"/>
    </row>
    <row r="1347" spans="16:16">
      <c r="P1347" s="594"/>
    </row>
    <row r="1348" spans="16:16">
      <c r="P1348" s="594"/>
    </row>
    <row r="1349" spans="16:16">
      <c r="P1349" s="594"/>
    </row>
    <row r="1350" spans="16:16">
      <c r="P1350" s="594"/>
    </row>
    <row r="1351" spans="16:16">
      <c r="P1351" s="594"/>
    </row>
    <row r="1352" spans="16:16">
      <c r="P1352" s="594"/>
    </row>
    <row r="1353" spans="16:16">
      <c r="P1353" s="594"/>
    </row>
    <row r="1354" spans="16:16">
      <c r="P1354" s="594"/>
    </row>
    <row r="1355" spans="16:16">
      <c r="P1355" s="594"/>
    </row>
    <row r="1356" spans="16:16">
      <c r="P1356" s="594"/>
    </row>
    <row r="1357" spans="16:16">
      <c r="P1357" s="594"/>
    </row>
    <row r="1358" spans="16:16">
      <c r="P1358" s="594"/>
    </row>
    <row r="1359" spans="16:16">
      <c r="P1359" s="594"/>
    </row>
    <row r="1360" spans="16:16">
      <c r="P1360" s="594"/>
    </row>
    <row r="1361" spans="16:16">
      <c r="P1361" s="594"/>
    </row>
    <row r="1362" spans="16:16">
      <c r="P1362" s="594"/>
    </row>
    <row r="1363" spans="16:16">
      <c r="P1363" s="594"/>
    </row>
    <row r="1364" spans="16:16">
      <c r="P1364" s="594"/>
    </row>
    <row r="1365" spans="16:16">
      <c r="P1365" s="594"/>
    </row>
    <row r="1366" spans="16:16">
      <c r="P1366" s="594"/>
    </row>
    <row r="1367" spans="16:16">
      <c r="P1367" s="594"/>
    </row>
    <row r="1368" spans="16:16">
      <c r="P1368" s="594"/>
    </row>
    <row r="1369" spans="16:16">
      <c r="P1369" s="594"/>
    </row>
    <row r="1370" spans="16:16">
      <c r="P1370" s="594"/>
    </row>
    <row r="1371" spans="16:16">
      <c r="P1371" s="594"/>
    </row>
    <row r="1372" spans="16:16">
      <c r="P1372" s="594"/>
    </row>
    <row r="1373" spans="16:16">
      <c r="P1373" s="594"/>
    </row>
    <row r="1374" spans="16:16">
      <c r="P1374" s="594"/>
    </row>
    <row r="1375" spans="16:16">
      <c r="P1375" s="594"/>
    </row>
    <row r="1376" spans="16:16">
      <c r="P1376" s="594"/>
    </row>
    <row r="1377" spans="16:16">
      <c r="P1377" s="594"/>
    </row>
    <row r="1378" spans="16:16">
      <c r="P1378" s="594"/>
    </row>
    <row r="1379" spans="16:16">
      <c r="P1379" s="594"/>
    </row>
    <row r="1380" spans="16:16">
      <c r="P1380" s="594"/>
    </row>
    <row r="1381" spans="16:16">
      <c r="P1381" s="594"/>
    </row>
    <row r="1382" spans="16:16">
      <c r="P1382" s="594"/>
    </row>
    <row r="1383" spans="16:16">
      <c r="P1383" s="594"/>
    </row>
    <row r="1384" spans="16:16">
      <c r="P1384" s="594"/>
    </row>
    <row r="1385" spans="16:16">
      <c r="P1385" s="594"/>
    </row>
    <row r="1386" spans="16:16">
      <c r="P1386" s="594"/>
    </row>
    <row r="1387" spans="16:16">
      <c r="P1387" s="594"/>
    </row>
    <row r="1388" spans="16:16">
      <c r="P1388" s="594"/>
    </row>
    <row r="1389" spans="16:16">
      <c r="P1389" s="594"/>
    </row>
    <row r="1390" spans="16:16">
      <c r="P1390" s="594"/>
    </row>
    <row r="1391" spans="16:16">
      <c r="P1391" s="594"/>
    </row>
    <row r="1392" spans="16:16">
      <c r="P1392" s="594"/>
    </row>
    <row r="1393" spans="16:16">
      <c r="P1393" s="594"/>
    </row>
    <row r="1394" spans="16:16">
      <c r="P1394" s="594"/>
    </row>
    <row r="1395" spans="16:16">
      <c r="P1395" s="594"/>
    </row>
    <row r="1396" spans="16:16">
      <c r="P1396" s="594"/>
    </row>
    <row r="1397" spans="16:16">
      <c r="P1397" s="594"/>
    </row>
    <row r="1398" spans="16:16">
      <c r="P1398" s="594"/>
    </row>
    <row r="1399" spans="16:16">
      <c r="P1399" s="594"/>
    </row>
    <row r="1400" spans="16:16">
      <c r="P1400" s="594"/>
    </row>
    <row r="1401" spans="16:16">
      <c r="P1401" s="594"/>
    </row>
    <row r="1402" spans="16:16">
      <c r="P1402" s="594"/>
    </row>
    <row r="1403" spans="16:16">
      <c r="P1403" s="594"/>
    </row>
    <row r="1404" spans="16:16">
      <c r="P1404" s="594"/>
    </row>
    <row r="1405" spans="16:16">
      <c r="P1405" s="594"/>
    </row>
    <row r="1406" spans="16:16">
      <c r="P1406" s="594"/>
    </row>
    <row r="1407" spans="16:16">
      <c r="P1407" s="594"/>
    </row>
    <row r="1408" spans="16:16">
      <c r="P1408" s="594"/>
    </row>
    <row r="1409" spans="16:16">
      <c r="P1409" s="594"/>
    </row>
    <row r="1410" spans="16:16">
      <c r="P1410" s="594"/>
    </row>
    <row r="1411" spans="16:16">
      <c r="P1411" s="594"/>
    </row>
    <row r="1412" spans="16:16">
      <c r="P1412" s="594"/>
    </row>
    <row r="1413" spans="16:16">
      <c r="P1413" s="594"/>
    </row>
    <row r="1414" spans="16:16">
      <c r="P1414" s="594"/>
    </row>
    <row r="1415" spans="16:16">
      <c r="P1415" s="594"/>
    </row>
    <row r="1416" spans="16:16">
      <c r="P1416" s="594"/>
    </row>
    <row r="1417" spans="16:16">
      <c r="P1417" s="594"/>
    </row>
    <row r="1418" spans="16:16">
      <c r="P1418" s="594"/>
    </row>
    <row r="1419" spans="16:16">
      <c r="P1419" s="594"/>
    </row>
    <row r="1420" spans="16:16">
      <c r="P1420" s="594"/>
    </row>
    <row r="1421" spans="16:16">
      <c r="P1421" s="594"/>
    </row>
    <row r="1422" spans="16:16">
      <c r="P1422" s="594"/>
    </row>
    <row r="1423" spans="16:16">
      <c r="P1423" s="594"/>
    </row>
    <row r="1424" spans="16:16">
      <c r="P1424" s="594"/>
    </row>
    <row r="1425" spans="16:16">
      <c r="P1425" s="594"/>
    </row>
    <row r="1426" spans="16:16">
      <c r="P1426" s="594"/>
    </row>
    <row r="1427" spans="16:16">
      <c r="P1427" s="594"/>
    </row>
    <row r="1428" spans="16:16">
      <c r="P1428" s="594"/>
    </row>
    <row r="1429" spans="16:16">
      <c r="P1429" s="594"/>
    </row>
    <row r="1430" spans="16:16">
      <c r="P1430" s="594"/>
    </row>
    <row r="1431" spans="16:16">
      <c r="P1431" s="594"/>
    </row>
    <row r="1432" spans="16:16">
      <c r="P1432" s="594"/>
    </row>
    <row r="1433" spans="16:16">
      <c r="P1433" s="594"/>
    </row>
    <row r="1434" spans="16:16">
      <c r="P1434" s="594"/>
    </row>
    <row r="1435" spans="16:16">
      <c r="P1435" s="594"/>
    </row>
    <row r="1436" spans="16:16">
      <c r="P1436" s="594"/>
    </row>
    <row r="1437" spans="16:16">
      <c r="P1437" s="594"/>
    </row>
    <row r="1438" spans="16:16">
      <c r="P1438" s="594"/>
    </row>
    <row r="1439" spans="16:16">
      <c r="P1439" s="594"/>
    </row>
    <row r="1440" spans="16:16">
      <c r="P1440" s="594"/>
    </row>
    <row r="1441" spans="16:16">
      <c r="P1441" s="594"/>
    </row>
    <row r="1442" spans="16:16">
      <c r="P1442" s="594"/>
    </row>
    <row r="1443" spans="16:16">
      <c r="P1443" s="594"/>
    </row>
    <row r="1444" spans="16:16">
      <c r="P1444" s="594"/>
    </row>
    <row r="1445" spans="16:16">
      <c r="P1445" s="594"/>
    </row>
    <row r="1446" spans="16:16">
      <c r="P1446" s="594"/>
    </row>
    <row r="1447" spans="16:16">
      <c r="P1447" s="594"/>
    </row>
    <row r="1448" spans="16:16">
      <c r="P1448" s="594"/>
    </row>
    <row r="1449" spans="16:16">
      <c r="P1449" s="594"/>
    </row>
    <row r="1450" spans="16:16">
      <c r="P1450" s="594"/>
    </row>
    <row r="1451" spans="16:16">
      <c r="P1451" s="594"/>
    </row>
    <row r="1452" spans="16:16">
      <c r="P1452" s="594"/>
    </row>
    <row r="1453" spans="16:16">
      <c r="P1453" s="594"/>
    </row>
    <row r="1454" spans="16:16">
      <c r="P1454" s="594"/>
    </row>
    <row r="1455" spans="16:16">
      <c r="P1455" s="594"/>
    </row>
    <row r="1456" spans="16:16">
      <c r="P1456" s="594"/>
    </row>
    <row r="1457" spans="16:16">
      <c r="P1457" s="594"/>
    </row>
    <row r="1458" spans="16:16">
      <c r="P1458" s="594"/>
    </row>
    <row r="1459" spans="16:16">
      <c r="P1459" s="594"/>
    </row>
    <row r="1460" spans="16:16">
      <c r="P1460" s="594"/>
    </row>
    <row r="1461" spans="16:16">
      <c r="P1461" s="594"/>
    </row>
    <row r="1462" spans="16:16">
      <c r="P1462" s="594"/>
    </row>
    <row r="1463" spans="16:16">
      <c r="P1463" s="594"/>
    </row>
    <row r="1464" spans="16:16">
      <c r="P1464" s="594"/>
    </row>
    <row r="1465" spans="16:16">
      <c r="P1465" s="594"/>
    </row>
    <row r="1466" spans="16:16">
      <c r="P1466" s="594"/>
    </row>
    <row r="1467" spans="16:16">
      <c r="P1467" s="594"/>
    </row>
    <row r="1468" spans="16:16">
      <c r="P1468" s="594"/>
    </row>
    <row r="1469" spans="16:16">
      <c r="P1469" s="594"/>
    </row>
    <row r="1470" spans="16:16">
      <c r="P1470" s="594"/>
    </row>
    <row r="1471" spans="16:16">
      <c r="P1471" s="594"/>
    </row>
    <row r="1472" spans="16:16">
      <c r="P1472" s="594"/>
    </row>
    <row r="1473" spans="16:16">
      <c r="P1473" s="594"/>
    </row>
    <row r="1474" spans="16:16">
      <c r="P1474" s="594"/>
    </row>
    <row r="1475" spans="16:16">
      <c r="P1475" s="594"/>
    </row>
    <row r="1476" spans="16:16">
      <c r="P1476" s="594"/>
    </row>
    <row r="1477" spans="16:16">
      <c r="P1477" s="594"/>
    </row>
    <row r="1478" spans="16:16">
      <c r="P1478" s="594"/>
    </row>
    <row r="1479" spans="16:16">
      <c r="P1479" s="594"/>
    </row>
    <row r="1480" spans="16:16">
      <c r="P1480" s="594"/>
    </row>
    <row r="1481" spans="16:16">
      <c r="P1481" s="594"/>
    </row>
    <row r="1482" spans="16:16">
      <c r="P1482" s="594"/>
    </row>
    <row r="1483" spans="16:16">
      <c r="P1483" s="594"/>
    </row>
    <row r="1484" spans="16:16">
      <c r="P1484" s="594"/>
    </row>
    <row r="1485" spans="16:16">
      <c r="P1485" s="594"/>
    </row>
    <row r="1486" spans="16:16">
      <c r="P1486" s="594"/>
    </row>
    <row r="1487" spans="16:16">
      <c r="P1487" s="594"/>
    </row>
    <row r="1488" spans="16:16">
      <c r="P1488" s="594"/>
    </row>
    <row r="1489" spans="16:16">
      <c r="P1489" s="594"/>
    </row>
    <row r="1490" spans="16:16">
      <c r="P1490" s="594"/>
    </row>
    <row r="1491" spans="16:16">
      <c r="P1491" s="594"/>
    </row>
    <row r="1492" spans="16:16">
      <c r="P1492" s="594"/>
    </row>
    <row r="1493" spans="16:16">
      <c r="P1493" s="594"/>
    </row>
    <row r="1494" spans="16:16">
      <c r="P1494" s="594"/>
    </row>
    <row r="1495" spans="16:16">
      <c r="P1495" s="594"/>
    </row>
    <row r="1496" spans="16:16">
      <c r="P1496" s="594"/>
    </row>
    <row r="1497" spans="16:16">
      <c r="P1497" s="594"/>
    </row>
    <row r="1498" spans="16:16">
      <c r="P1498" s="594"/>
    </row>
    <row r="1499" spans="16:16">
      <c r="P1499" s="594"/>
    </row>
    <row r="1500" spans="16:16">
      <c r="P1500" s="594"/>
    </row>
    <row r="1501" spans="16:16">
      <c r="P1501" s="594"/>
    </row>
    <row r="1502" spans="16:16">
      <c r="P1502" s="594"/>
    </row>
    <row r="1503" spans="16:16">
      <c r="P1503" s="594"/>
    </row>
    <row r="1504" spans="16:16">
      <c r="P1504" s="594"/>
    </row>
    <row r="1505" spans="16:16">
      <c r="P1505" s="594"/>
    </row>
    <row r="1506" spans="16:16">
      <c r="P1506" s="594"/>
    </row>
    <row r="1507" spans="16:16">
      <c r="P1507" s="594"/>
    </row>
    <row r="1508" spans="16:16">
      <c r="P1508" s="594"/>
    </row>
    <row r="1509" spans="16:16">
      <c r="P1509" s="594"/>
    </row>
    <row r="1510" spans="16:16">
      <c r="P1510" s="594"/>
    </row>
    <row r="1511" spans="16:16">
      <c r="P1511" s="594"/>
    </row>
    <row r="1512" spans="16:16">
      <c r="P1512" s="594"/>
    </row>
    <row r="1513" spans="16:16">
      <c r="P1513" s="594"/>
    </row>
    <row r="1514" spans="16:16">
      <c r="P1514" s="594"/>
    </row>
    <row r="1515" spans="16:16">
      <c r="P1515" s="594"/>
    </row>
    <row r="1516" spans="16:16">
      <c r="P1516" s="594"/>
    </row>
    <row r="1517" spans="16:16">
      <c r="P1517" s="594"/>
    </row>
    <row r="1518" spans="16:16">
      <c r="P1518" s="594"/>
    </row>
    <row r="1519" spans="16:16">
      <c r="P1519" s="594"/>
    </row>
    <row r="1520" spans="16:16">
      <c r="P1520" s="594"/>
    </row>
    <row r="1521" spans="16:16">
      <c r="P1521" s="594"/>
    </row>
    <row r="1522" spans="16:16">
      <c r="P1522" s="594"/>
    </row>
    <row r="1523" spans="16:16">
      <c r="P1523" s="594"/>
    </row>
    <row r="1524" spans="16:16">
      <c r="P1524" s="594"/>
    </row>
    <row r="1525" spans="16:16">
      <c r="P1525" s="594"/>
    </row>
    <row r="1526" spans="16:16">
      <c r="P1526" s="594"/>
    </row>
    <row r="1527" spans="16:16">
      <c r="P1527" s="594"/>
    </row>
    <row r="1528" spans="16:16">
      <c r="P1528" s="594"/>
    </row>
    <row r="1529" spans="16:16">
      <c r="P1529" s="594"/>
    </row>
    <row r="1530" spans="16:16">
      <c r="P1530" s="594"/>
    </row>
    <row r="1531" spans="16:16">
      <c r="P1531" s="594"/>
    </row>
    <row r="1532" spans="16:16">
      <c r="P1532" s="594"/>
    </row>
    <row r="1533" spans="16:16">
      <c r="P1533" s="594"/>
    </row>
    <row r="1534" spans="16:16">
      <c r="P1534" s="594"/>
    </row>
    <row r="1535" spans="16:16">
      <c r="P1535" s="594"/>
    </row>
    <row r="1536" spans="16:16">
      <c r="P1536" s="594"/>
    </row>
    <row r="1537" spans="16:16">
      <c r="P1537" s="594"/>
    </row>
    <row r="1538" spans="16:16">
      <c r="P1538" s="594"/>
    </row>
    <row r="1539" spans="16:16">
      <c r="P1539" s="594"/>
    </row>
    <row r="1540" spans="16:16">
      <c r="P1540" s="594"/>
    </row>
    <row r="1541" spans="16:16">
      <c r="P1541" s="594"/>
    </row>
    <row r="1542" spans="16:16">
      <c r="P1542" s="594"/>
    </row>
    <row r="1543" spans="16:16">
      <c r="P1543" s="594"/>
    </row>
    <row r="1544" spans="16:16">
      <c r="P1544" s="594"/>
    </row>
    <row r="1545" spans="16:16">
      <c r="P1545" s="594"/>
    </row>
    <row r="1546" spans="16:16">
      <c r="P1546" s="594"/>
    </row>
    <row r="1547" spans="16:16">
      <c r="P1547" s="594"/>
    </row>
    <row r="1548" spans="16:16">
      <c r="P1548" s="594"/>
    </row>
    <row r="1549" spans="16:16">
      <c r="P1549" s="594"/>
    </row>
    <row r="1550" spans="16:16">
      <c r="P1550" s="594"/>
    </row>
    <row r="1551" spans="16:16">
      <c r="P1551" s="594"/>
    </row>
    <row r="1552" spans="16:16">
      <c r="P1552" s="594"/>
    </row>
    <row r="1553" spans="16:16">
      <c r="P1553" s="594"/>
    </row>
    <row r="1554" spans="16:16">
      <c r="P1554" s="594"/>
    </row>
    <row r="1555" spans="16:16">
      <c r="P1555" s="594"/>
    </row>
    <row r="1556" spans="16:16">
      <c r="P1556" s="594"/>
    </row>
    <row r="1557" spans="16:16">
      <c r="P1557" s="594"/>
    </row>
    <row r="1558" spans="16:16">
      <c r="P1558" s="594"/>
    </row>
    <row r="1559" spans="16:16">
      <c r="P1559" s="594"/>
    </row>
    <row r="1560" spans="16:16">
      <c r="P1560" s="594"/>
    </row>
    <row r="1561" spans="16:16">
      <c r="P1561" s="594"/>
    </row>
    <row r="1562" spans="16:16">
      <c r="P1562" s="594"/>
    </row>
    <row r="1563" spans="16:16">
      <c r="P1563" s="594"/>
    </row>
    <row r="1564" spans="16:16">
      <c r="P1564" s="594"/>
    </row>
    <row r="1565" spans="16:16">
      <c r="P1565" s="594"/>
    </row>
    <row r="1566" spans="16:16">
      <c r="P1566" s="594"/>
    </row>
    <row r="1567" spans="16:16">
      <c r="P1567" s="594"/>
    </row>
    <row r="1568" spans="16:16">
      <c r="P1568" s="594"/>
    </row>
    <row r="1569" spans="16:16">
      <c r="P1569" s="594"/>
    </row>
    <row r="1570" spans="16:16">
      <c r="P1570" s="594"/>
    </row>
    <row r="1571" spans="16:16">
      <c r="P1571" s="594"/>
    </row>
    <row r="1572" spans="16:16">
      <c r="P1572" s="594"/>
    </row>
    <row r="1573" spans="16:16">
      <c r="P1573" s="594"/>
    </row>
    <row r="1574" spans="16:16">
      <c r="P1574" s="594"/>
    </row>
    <row r="1575" spans="16:16">
      <c r="P1575" s="594"/>
    </row>
    <row r="1576" spans="16:16">
      <c r="P1576" s="594"/>
    </row>
    <row r="1577" spans="16:16">
      <c r="P1577" s="594"/>
    </row>
    <row r="1578" spans="16:16">
      <c r="P1578" s="594"/>
    </row>
    <row r="1579" spans="16:16">
      <c r="P1579" s="594"/>
    </row>
    <row r="1580" spans="16:16">
      <c r="P1580" s="594"/>
    </row>
    <row r="1581" spans="16:16">
      <c r="P1581" s="594"/>
    </row>
    <row r="1582" spans="16:16">
      <c r="P1582" s="594"/>
    </row>
    <row r="1583" spans="16:16">
      <c r="P1583" s="594"/>
    </row>
    <row r="1584" spans="16:16">
      <c r="P1584" s="594"/>
    </row>
    <row r="1585" spans="16:16">
      <c r="P1585" s="594"/>
    </row>
    <row r="1586" spans="16:16">
      <c r="P1586" s="594"/>
    </row>
    <row r="1587" spans="16:16">
      <c r="P1587" s="594"/>
    </row>
    <row r="1588" spans="16:16">
      <c r="P1588" s="594"/>
    </row>
    <row r="1589" spans="16:16">
      <c r="P1589" s="594"/>
    </row>
    <row r="1590" spans="16:16">
      <c r="P1590" s="594"/>
    </row>
    <row r="1591" spans="16:16">
      <c r="P1591" s="594"/>
    </row>
    <row r="1592" spans="16:16">
      <c r="P1592" s="594"/>
    </row>
    <row r="1593" spans="16:16">
      <c r="P1593" s="594"/>
    </row>
    <row r="1594" spans="16:16">
      <c r="P1594" s="594"/>
    </row>
    <row r="1595" spans="16:16">
      <c r="P1595" s="594"/>
    </row>
    <row r="1596" spans="16:16">
      <c r="P1596" s="594"/>
    </row>
    <row r="1597" spans="16:16">
      <c r="P1597" s="594"/>
    </row>
    <row r="1598" spans="16:16">
      <c r="P1598" s="594"/>
    </row>
    <row r="1599" spans="16:16">
      <c r="P1599" s="594"/>
    </row>
    <row r="1600" spans="16:16">
      <c r="P1600" s="594"/>
    </row>
    <row r="1601" spans="16:16">
      <c r="P1601" s="594"/>
    </row>
    <row r="1602" spans="16:16">
      <c r="P1602" s="594"/>
    </row>
    <row r="1603" spans="16:16">
      <c r="P1603" s="594"/>
    </row>
    <row r="1604" spans="16:16">
      <c r="P1604" s="594"/>
    </row>
    <row r="1605" spans="16:16">
      <c r="P1605" s="594"/>
    </row>
    <row r="1606" spans="16:16">
      <c r="P1606" s="594"/>
    </row>
    <row r="1607" spans="16:16">
      <c r="P1607" s="594"/>
    </row>
    <row r="1608" spans="16:16">
      <c r="P1608" s="594"/>
    </row>
    <row r="1609" spans="16:16">
      <c r="P1609" s="594"/>
    </row>
    <row r="1610" spans="16:16">
      <c r="P1610" s="594"/>
    </row>
    <row r="1611" spans="16:16">
      <c r="P1611" s="594"/>
    </row>
    <row r="1612" spans="16:16">
      <c r="P1612" s="594"/>
    </row>
    <row r="1613" spans="16:16">
      <c r="P1613" s="594"/>
    </row>
    <row r="1614" spans="16:16">
      <c r="P1614" s="594"/>
    </row>
    <row r="1615" spans="16:16">
      <c r="P1615" s="594"/>
    </row>
    <row r="1616" spans="16:16">
      <c r="P1616" s="594"/>
    </row>
    <row r="1617" spans="16:16">
      <c r="P1617" s="594"/>
    </row>
    <row r="1618" spans="16:16">
      <c r="P1618" s="594"/>
    </row>
    <row r="1619" spans="16:16">
      <c r="P1619" s="594"/>
    </row>
    <row r="1620" spans="16:16">
      <c r="P1620" s="594"/>
    </row>
    <row r="1621" spans="16:16">
      <c r="P1621" s="594"/>
    </row>
    <row r="1622" spans="16:16">
      <c r="P1622" s="594"/>
    </row>
    <row r="1623" spans="16:16">
      <c r="P1623" s="594"/>
    </row>
    <row r="1624" spans="16:16">
      <c r="P1624" s="594"/>
    </row>
    <row r="1625" spans="16:16">
      <c r="P1625" s="594"/>
    </row>
    <row r="1626" spans="16:16">
      <c r="P1626" s="594"/>
    </row>
    <row r="1627" spans="16:16">
      <c r="P1627" s="594"/>
    </row>
    <row r="1628" spans="16:16">
      <c r="P1628" s="594"/>
    </row>
    <row r="1629" spans="16:16">
      <c r="P1629" s="594"/>
    </row>
    <row r="1630" spans="16:16">
      <c r="P1630" s="594"/>
    </row>
    <row r="1631" spans="16:16">
      <c r="P1631" s="594"/>
    </row>
    <row r="1632" spans="16:16">
      <c r="P1632" s="594"/>
    </row>
    <row r="1633" spans="16:16">
      <c r="P1633" s="594"/>
    </row>
    <row r="1634" spans="16:16">
      <c r="P1634" s="594"/>
    </row>
    <row r="1635" spans="16:16">
      <c r="P1635" s="594"/>
    </row>
    <row r="1636" spans="16:16">
      <c r="P1636" s="594"/>
    </row>
    <row r="1637" spans="16:16">
      <c r="P1637" s="594"/>
    </row>
    <row r="1638" spans="16:16">
      <c r="P1638" s="594"/>
    </row>
    <row r="1639" spans="16:16">
      <c r="P1639" s="594"/>
    </row>
    <row r="1640" spans="16:16">
      <c r="P1640" s="594"/>
    </row>
    <row r="1641" spans="16:16">
      <c r="P1641" s="594"/>
    </row>
    <row r="1642" spans="16:16">
      <c r="P1642" s="594"/>
    </row>
    <row r="1643" spans="16:16">
      <c r="P1643" s="594"/>
    </row>
    <row r="1644" spans="16:16">
      <c r="P1644" s="594"/>
    </row>
    <row r="1645" spans="16:16">
      <c r="P1645" s="594"/>
    </row>
    <row r="1646" spans="16:16">
      <c r="P1646" s="594"/>
    </row>
    <row r="1647" spans="16:16">
      <c r="P1647" s="594"/>
    </row>
    <row r="1648" spans="16:16">
      <c r="P1648" s="594"/>
    </row>
    <row r="1649" spans="16:16">
      <c r="P1649" s="594"/>
    </row>
    <row r="1650" spans="16:16">
      <c r="P1650" s="594"/>
    </row>
    <row r="1651" spans="16:16">
      <c r="P1651" s="594"/>
    </row>
    <row r="1652" spans="16:16">
      <c r="P1652" s="594"/>
    </row>
    <row r="1653" spans="16:16">
      <c r="P1653" s="594"/>
    </row>
    <row r="1654" spans="16:16">
      <c r="P1654" s="594"/>
    </row>
    <row r="1655" spans="16:16">
      <c r="P1655" s="594"/>
    </row>
    <row r="1656" spans="16:16">
      <c r="P1656" s="594"/>
    </row>
    <row r="1657" spans="16:16">
      <c r="P1657" s="594"/>
    </row>
    <row r="1658" spans="16:16">
      <c r="P1658" s="594"/>
    </row>
    <row r="1659" spans="16:16">
      <c r="P1659" s="594"/>
    </row>
    <row r="1660" spans="16:16">
      <c r="P1660" s="594"/>
    </row>
    <row r="1661" spans="16:16">
      <c r="P1661" s="594"/>
    </row>
    <row r="1662" spans="16:16">
      <c r="P1662" s="594"/>
    </row>
    <row r="1663" spans="16:16">
      <c r="P1663" s="594"/>
    </row>
    <row r="1664" spans="16:16">
      <c r="P1664" s="594"/>
    </row>
    <row r="1665" spans="16:16">
      <c r="P1665" s="594"/>
    </row>
    <row r="1666" spans="16:16">
      <c r="P1666" s="594"/>
    </row>
    <row r="1667" spans="16:16">
      <c r="P1667" s="594"/>
    </row>
    <row r="1668" spans="16:16">
      <c r="P1668" s="594"/>
    </row>
    <row r="1669" spans="16:16">
      <c r="P1669" s="594"/>
    </row>
    <row r="1670" spans="16:16">
      <c r="P1670" s="594"/>
    </row>
    <row r="1671" spans="16:16">
      <c r="P1671" s="594"/>
    </row>
    <row r="1672" spans="16:16">
      <c r="P1672" s="594"/>
    </row>
    <row r="1673" spans="16:16">
      <c r="P1673" s="594"/>
    </row>
    <row r="1674" spans="16:16">
      <c r="P1674" s="594"/>
    </row>
    <row r="1675" spans="16:16">
      <c r="P1675" s="594"/>
    </row>
    <row r="1676" spans="16:16">
      <c r="P1676" s="594"/>
    </row>
    <row r="1677" spans="16:16">
      <c r="P1677" s="594"/>
    </row>
    <row r="1678" spans="16:16">
      <c r="P1678" s="594"/>
    </row>
    <row r="1679" spans="16:16">
      <c r="P1679" s="594"/>
    </row>
    <row r="1680" spans="16:16">
      <c r="P1680" s="594"/>
    </row>
    <row r="1681" spans="16:16">
      <c r="P1681" s="594"/>
    </row>
    <row r="1682" spans="16:16">
      <c r="P1682" s="594"/>
    </row>
    <row r="1683" spans="16:16">
      <c r="P1683" s="594"/>
    </row>
    <row r="1684" spans="16:16">
      <c r="P1684" s="594"/>
    </row>
    <row r="1685" spans="16:16">
      <c r="P1685" s="594"/>
    </row>
    <row r="1686" spans="16:16">
      <c r="P1686" s="594"/>
    </row>
    <row r="1687" spans="16:16">
      <c r="P1687" s="594"/>
    </row>
    <row r="1688" spans="16:16">
      <c r="P1688" s="594"/>
    </row>
    <row r="1689" spans="16:16">
      <c r="P1689" s="594"/>
    </row>
    <row r="1690" spans="16:16">
      <c r="P1690" s="594"/>
    </row>
    <row r="1691" spans="16:16">
      <c r="P1691" s="594"/>
    </row>
    <row r="1692" spans="16:16">
      <c r="P1692" s="594"/>
    </row>
    <row r="1693" spans="16:16">
      <c r="P1693" s="594"/>
    </row>
    <row r="1694" spans="16:16">
      <c r="P1694" s="594"/>
    </row>
    <row r="1695" spans="16:16">
      <c r="P1695" s="594"/>
    </row>
    <row r="1696" spans="16:16">
      <c r="P1696" s="594"/>
    </row>
    <row r="1697" spans="16:16">
      <c r="P1697" s="594"/>
    </row>
    <row r="1698" spans="16:16">
      <c r="P1698" s="594"/>
    </row>
    <row r="1699" spans="16:16">
      <c r="P1699" s="594"/>
    </row>
    <row r="1700" spans="16:16">
      <c r="P1700" s="594"/>
    </row>
    <row r="1701" spans="16:16">
      <c r="P1701" s="594"/>
    </row>
    <row r="1702" spans="16:16">
      <c r="P1702" s="594"/>
    </row>
    <row r="1703" spans="16:16">
      <c r="P1703" s="594"/>
    </row>
    <row r="1704" spans="16:16">
      <c r="P1704" s="594"/>
    </row>
    <row r="1705" spans="16:16">
      <c r="P1705" s="594"/>
    </row>
    <row r="1706" spans="16:16">
      <c r="P1706" s="594"/>
    </row>
    <row r="1707" spans="16:16">
      <c r="P1707" s="594"/>
    </row>
    <row r="1708" spans="16:16">
      <c r="P1708" s="594"/>
    </row>
    <row r="1709" spans="16:16">
      <c r="P1709" s="594"/>
    </row>
    <row r="1710" spans="16:16">
      <c r="P1710" s="594"/>
    </row>
    <row r="1711" spans="16:16">
      <c r="P1711" s="594"/>
    </row>
    <row r="1712" spans="16:16">
      <c r="P1712" s="594"/>
    </row>
    <row r="1713" spans="16:16">
      <c r="P1713" s="594"/>
    </row>
    <row r="1714" spans="16:16">
      <c r="P1714" s="594"/>
    </row>
    <row r="1715" spans="16:16">
      <c r="P1715" s="594"/>
    </row>
    <row r="1716" spans="16:16">
      <c r="P1716" s="594"/>
    </row>
    <row r="1717" spans="16:16">
      <c r="P1717" s="594"/>
    </row>
    <row r="1718" spans="16:16">
      <c r="P1718" s="594"/>
    </row>
    <row r="1719" spans="16:16">
      <c r="P1719" s="594"/>
    </row>
    <row r="1720" spans="16:16">
      <c r="P1720" s="594"/>
    </row>
    <row r="1721" spans="16:16">
      <c r="P1721" s="594"/>
    </row>
    <row r="1722" spans="16:16">
      <c r="P1722" s="594"/>
    </row>
    <row r="1723" spans="16:16">
      <c r="P1723" s="594"/>
    </row>
    <row r="1724" spans="16:16">
      <c r="P1724" s="594"/>
    </row>
    <row r="1725" spans="16:16">
      <c r="P1725" s="594"/>
    </row>
    <row r="1726" spans="16:16">
      <c r="P1726" s="594"/>
    </row>
    <row r="1727" spans="16:16">
      <c r="P1727" s="594"/>
    </row>
    <row r="1728" spans="16:16">
      <c r="P1728" s="594"/>
    </row>
    <row r="1729" spans="16:16">
      <c r="P1729" s="594"/>
    </row>
    <row r="1730" spans="16:16">
      <c r="P1730" s="594"/>
    </row>
    <row r="1731" spans="16:16">
      <c r="P1731" s="594"/>
    </row>
    <row r="1732" spans="16:16">
      <c r="P1732" s="594"/>
    </row>
    <row r="1733" spans="16:16">
      <c r="P1733" s="594"/>
    </row>
    <row r="1734" spans="16:16">
      <c r="P1734" s="594"/>
    </row>
    <row r="1735" spans="16:16">
      <c r="P1735" s="594"/>
    </row>
    <row r="1736" spans="16:16">
      <c r="P1736" s="594"/>
    </row>
    <row r="1737" spans="16:16">
      <c r="P1737" s="594"/>
    </row>
    <row r="1738" spans="16:16">
      <c r="P1738" s="594"/>
    </row>
    <row r="1739" spans="16:16">
      <c r="P1739" s="594"/>
    </row>
    <row r="1740" spans="16:16">
      <c r="P1740" s="594"/>
    </row>
    <row r="1741" spans="16:16">
      <c r="P1741" s="594"/>
    </row>
    <row r="1742" spans="16:16">
      <c r="P1742" s="594"/>
    </row>
    <row r="1743" spans="16:16">
      <c r="P1743" s="594"/>
    </row>
    <row r="1744" spans="16:16">
      <c r="P1744" s="594"/>
    </row>
    <row r="1745" spans="16:16">
      <c r="P1745" s="594"/>
    </row>
    <row r="1746" spans="16:16">
      <c r="P1746" s="594"/>
    </row>
    <row r="1747" spans="16:16">
      <c r="P1747" s="594"/>
    </row>
    <row r="1748" spans="16:16">
      <c r="P1748" s="594"/>
    </row>
    <row r="1749" spans="16:16">
      <c r="P1749" s="594"/>
    </row>
    <row r="1750" spans="16:16">
      <c r="P1750" s="594"/>
    </row>
    <row r="1751" spans="16:16">
      <c r="P1751" s="594"/>
    </row>
    <row r="1752" spans="16:16">
      <c r="P1752" s="594"/>
    </row>
    <row r="1753" spans="16:16">
      <c r="P1753" s="594"/>
    </row>
    <row r="1754" spans="16:16">
      <c r="P1754" s="594"/>
    </row>
    <row r="1755" spans="16:16">
      <c r="P1755" s="594"/>
    </row>
    <row r="1756" spans="16:16">
      <c r="P1756" s="594"/>
    </row>
    <row r="1757" spans="16:16">
      <c r="P1757" s="594"/>
    </row>
    <row r="1758" spans="16:16">
      <c r="P1758" s="594"/>
    </row>
    <row r="1759" spans="16:16">
      <c r="P1759" s="594"/>
    </row>
    <row r="1760" spans="16:16">
      <c r="P1760" s="594"/>
    </row>
    <row r="1761" spans="16:16">
      <c r="P1761" s="594"/>
    </row>
    <row r="1762" spans="16:16">
      <c r="P1762" s="594"/>
    </row>
    <row r="1763" spans="16:16">
      <c r="P1763" s="594"/>
    </row>
    <row r="1764" spans="16:16">
      <c r="P1764" s="594"/>
    </row>
    <row r="1765" spans="16:16">
      <c r="P1765" s="594"/>
    </row>
    <row r="1766" spans="16:16">
      <c r="P1766" s="594"/>
    </row>
    <row r="1767" spans="16:16">
      <c r="P1767" s="594"/>
    </row>
    <row r="1768" spans="16:16">
      <c r="P1768" s="594"/>
    </row>
    <row r="1769" spans="16:16">
      <c r="P1769" s="594"/>
    </row>
    <row r="1770" spans="16:16">
      <c r="P1770" s="594"/>
    </row>
    <row r="1771" spans="16:16">
      <c r="P1771" s="594"/>
    </row>
    <row r="1772" spans="16:16">
      <c r="P1772" s="594"/>
    </row>
    <row r="1773" spans="16:16">
      <c r="P1773" s="594"/>
    </row>
    <row r="1774" spans="16:16">
      <c r="P1774" s="594"/>
    </row>
    <row r="1775" spans="16:16">
      <c r="P1775" s="594"/>
    </row>
    <row r="1776" spans="16:16">
      <c r="P1776" s="594"/>
    </row>
    <row r="1777" spans="16:16">
      <c r="P1777" s="594"/>
    </row>
    <row r="1778" spans="16:16">
      <c r="P1778" s="594"/>
    </row>
    <row r="1779" spans="16:16">
      <c r="P1779" s="594"/>
    </row>
    <row r="1780" spans="16:16">
      <c r="P1780" s="594"/>
    </row>
    <row r="1781" spans="16:16">
      <c r="P1781" s="594"/>
    </row>
    <row r="1782" spans="16:16">
      <c r="P1782" s="594"/>
    </row>
    <row r="1783" spans="16:16">
      <c r="P1783" s="594"/>
    </row>
    <row r="1784" spans="16:16">
      <c r="P1784" s="594"/>
    </row>
    <row r="1785" spans="16:16">
      <c r="P1785" s="594"/>
    </row>
    <row r="1786" spans="16:16">
      <c r="P1786" s="594"/>
    </row>
    <row r="1787" spans="16:16">
      <c r="P1787" s="594"/>
    </row>
    <row r="1788" spans="16:16">
      <c r="P1788" s="594"/>
    </row>
    <row r="1789" spans="16:16">
      <c r="P1789" s="594"/>
    </row>
    <row r="1790" spans="16:16">
      <c r="P1790" s="594"/>
    </row>
    <row r="1791" spans="16:16">
      <c r="P1791" s="594"/>
    </row>
    <row r="1792" spans="16:16">
      <c r="P1792" s="594"/>
    </row>
    <row r="1793" spans="16:16">
      <c r="P1793" s="594"/>
    </row>
    <row r="1794" spans="16:16">
      <c r="P1794" s="594"/>
    </row>
    <row r="1795" spans="16:16">
      <c r="P1795" s="594"/>
    </row>
    <row r="1796" spans="16:16">
      <c r="P1796" s="594"/>
    </row>
    <row r="1797" spans="16:16">
      <c r="P1797" s="594"/>
    </row>
    <row r="1798" spans="16:16">
      <c r="P1798" s="594"/>
    </row>
    <row r="1799" spans="16:16">
      <c r="P1799" s="594"/>
    </row>
    <row r="1800" spans="16:16">
      <c r="P1800" s="594"/>
    </row>
    <row r="1801" spans="16:16">
      <c r="P1801" s="594"/>
    </row>
    <row r="1802" spans="16:16">
      <c r="P1802" s="594"/>
    </row>
    <row r="1803" spans="16:16">
      <c r="P1803" s="594"/>
    </row>
    <row r="1804" spans="16:16">
      <c r="P1804" s="594"/>
    </row>
    <row r="1805" spans="16:16">
      <c r="P1805" s="594"/>
    </row>
    <row r="1806" spans="16:16">
      <c r="P1806" s="594"/>
    </row>
    <row r="1807" spans="16:16">
      <c r="P1807" s="594"/>
    </row>
    <row r="1808" spans="16:16">
      <c r="P1808" s="594"/>
    </row>
    <row r="1809" spans="16:16">
      <c r="P1809" s="594"/>
    </row>
    <row r="1810" spans="16:16">
      <c r="P1810" s="594"/>
    </row>
    <row r="1811" spans="16:16">
      <c r="P1811" s="594"/>
    </row>
    <row r="1812" spans="16:16">
      <c r="P1812" s="594"/>
    </row>
    <row r="1813" spans="16:16">
      <c r="P1813" s="594"/>
    </row>
    <row r="1814" spans="16:16">
      <c r="P1814" s="594"/>
    </row>
    <row r="1815" spans="16:16">
      <c r="P1815" s="594"/>
    </row>
    <row r="1816" spans="16:16">
      <c r="P1816" s="594"/>
    </row>
    <row r="1817" spans="16:16">
      <c r="P1817" s="594"/>
    </row>
    <row r="1818" spans="16:16">
      <c r="P1818" s="594"/>
    </row>
    <row r="1819" spans="16:16">
      <c r="P1819" s="594"/>
    </row>
    <row r="1820" spans="16:16">
      <c r="P1820" s="594"/>
    </row>
    <row r="1821" spans="16:16">
      <c r="P1821" s="594"/>
    </row>
    <row r="1822" spans="16:16">
      <c r="P1822" s="594"/>
    </row>
    <row r="1823" spans="16:16">
      <c r="P1823" s="594"/>
    </row>
    <row r="1824" spans="16:16">
      <c r="P1824" s="594"/>
    </row>
    <row r="1825" spans="16:16">
      <c r="P1825" s="594"/>
    </row>
    <row r="1826" spans="16:16">
      <c r="P1826" s="594"/>
    </row>
    <row r="1827" spans="16:16">
      <c r="P1827" s="594"/>
    </row>
    <row r="1828" spans="16:16">
      <c r="P1828" s="594"/>
    </row>
    <row r="1829" spans="16:16">
      <c r="P1829" s="594"/>
    </row>
    <row r="1830" spans="16:16">
      <c r="P1830" s="594"/>
    </row>
    <row r="1831" spans="16:16">
      <c r="P1831" s="594"/>
    </row>
    <row r="1832" spans="16:16">
      <c r="P1832" s="594"/>
    </row>
    <row r="1833" spans="16:16">
      <c r="P1833" s="594"/>
    </row>
    <row r="1834" spans="16:16">
      <c r="P1834" s="594"/>
    </row>
    <row r="1835" spans="16:16">
      <c r="P1835" s="594"/>
    </row>
    <row r="1836" spans="16:16">
      <c r="P1836" s="594"/>
    </row>
    <row r="1837" spans="16:16">
      <c r="P1837" s="594"/>
    </row>
    <row r="1838" spans="16:16">
      <c r="P1838" s="594"/>
    </row>
    <row r="1839" spans="16:16">
      <c r="P1839" s="594"/>
    </row>
    <row r="1840" spans="16:16">
      <c r="P1840" s="594"/>
    </row>
    <row r="1841" spans="16:16">
      <c r="P1841" s="594"/>
    </row>
    <row r="1842" spans="16:16">
      <c r="P1842" s="594"/>
    </row>
    <row r="1843" spans="16:16">
      <c r="P1843" s="594"/>
    </row>
    <row r="1844" spans="16:16">
      <c r="P1844" s="594"/>
    </row>
    <row r="1845" spans="16:16">
      <c r="P1845" s="594"/>
    </row>
    <row r="1846" spans="16:16">
      <c r="P1846" s="594"/>
    </row>
    <row r="1847" spans="16:16">
      <c r="P1847" s="594"/>
    </row>
    <row r="1848" spans="16:16">
      <c r="P1848" s="594"/>
    </row>
    <row r="1849" spans="16:16">
      <c r="P1849" s="594"/>
    </row>
    <row r="1850" spans="16:16">
      <c r="P1850" s="594"/>
    </row>
    <row r="1851" spans="16:16">
      <c r="P1851" s="594"/>
    </row>
    <row r="1852" spans="16:16">
      <c r="P1852" s="594"/>
    </row>
    <row r="1853" spans="16:16">
      <c r="P1853" s="594"/>
    </row>
    <row r="1854" spans="16:16">
      <c r="P1854" s="594"/>
    </row>
    <row r="1855" spans="16:16">
      <c r="P1855" s="594"/>
    </row>
    <row r="1856" spans="16:16">
      <c r="P1856" s="594"/>
    </row>
    <row r="1857" spans="16:16">
      <c r="P1857" s="594"/>
    </row>
    <row r="1858" spans="16:16">
      <c r="P1858" s="594"/>
    </row>
    <row r="1859" spans="16:16">
      <c r="P1859" s="594"/>
    </row>
    <row r="1860" spans="16:16">
      <c r="P1860" s="594"/>
    </row>
    <row r="1861" spans="16:16">
      <c r="P1861" s="594"/>
    </row>
    <row r="1862" spans="16:16">
      <c r="P1862" s="594"/>
    </row>
    <row r="1863" spans="16:16">
      <c r="P1863" s="594"/>
    </row>
    <row r="1864" spans="16:16">
      <c r="P1864" s="594"/>
    </row>
    <row r="1865" spans="16:16">
      <c r="P1865" s="594"/>
    </row>
    <row r="1866" spans="16:16">
      <c r="P1866" s="594"/>
    </row>
    <row r="1867" spans="16:16">
      <c r="P1867" s="594"/>
    </row>
    <row r="1868" spans="16:16">
      <c r="P1868" s="594"/>
    </row>
    <row r="1869" spans="16:16">
      <c r="P1869" s="594"/>
    </row>
    <row r="1870" spans="16:16">
      <c r="P1870" s="594"/>
    </row>
    <row r="1871" spans="16:16">
      <c r="P1871" s="594"/>
    </row>
    <row r="1872" spans="16:16">
      <c r="P1872" s="594"/>
    </row>
    <row r="1873" spans="16:16">
      <c r="P1873" s="594"/>
    </row>
    <row r="1874" spans="16:16">
      <c r="P1874" s="594"/>
    </row>
    <row r="1875" spans="16:16">
      <c r="P1875" s="594"/>
    </row>
    <row r="1876" spans="16:16">
      <c r="P1876" s="594"/>
    </row>
    <row r="1877" spans="16:16">
      <c r="P1877" s="594"/>
    </row>
    <row r="1878" spans="16:16">
      <c r="P1878" s="594"/>
    </row>
    <row r="1879" spans="16:16">
      <c r="P1879" s="594"/>
    </row>
    <row r="1880" spans="16:16">
      <c r="P1880" s="594"/>
    </row>
    <row r="1881" spans="16:16">
      <c r="P1881" s="594"/>
    </row>
    <row r="1882" spans="16:16">
      <c r="P1882" s="594"/>
    </row>
    <row r="1883" spans="16:16">
      <c r="P1883" s="594"/>
    </row>
    <row r="1884" spans="16:16">
      <c r="P1884" s="594"/>
    </row>
    <row r="1885" spans="16:16">
      <c r="P1885" s="594"/>
    </row>
    <row r="1886" spans="16:16">
      <c r="P1886" s="594"/>
    </row>
    <row r="1887" spans="16:16">
      <c r="P1887" s="594"/>
    </row>
    <row r="1888" spans="16:16">
      <c r="P1888" s="594"/>
    </row>
    <row r="1889" spans="16:16">
      <c r="P1889" s="594"/>
    </row>
    <row r="1890" spans="16:16">
      <c r="P1890" s="594"/>
    </row>
    <row r="1891" spans="16:16">
      <c r="P1891" s="594"/>
    </row>
    <row r="1892" spans="16:16">
      <c r="P1892" s="594"/>
    </row>
    <row r="1893" spans="16:16">
      <c r="P1893" s="594"/>
    </row>
    <row r="1894" spans="16:16">
      <c r="P1894" s="594"/>
    </row>
    <row r="1895" spans="16:16">
      <c r="P1895" s="594"/>
    </row>
    <row r="1896" spans="16:16">
      <c r="P1896" s="594"/>
    </row>
    <row r="1897" spans="16:16">
      <c r="P1897" s="594"/>
    </row>
    <row r="1898" spans="16:16">
      <c r="P1898" s="594"/>
    </row>
    <row r="1899" spans="16:16">
      <c r="P1899" s="594"/>
    </row>
    <row r="1900" spans="16:16">
      <c r="P1900" s="594"/>
    </row>
    <row r="1901" spans="16:16">
      <c r="P1901" s="594"/>
    </row>
    <row r="1902" spans="16:16">
      <c r="P1902" s="594"/>
    </row>
    <row r="1903" spans="16:16">
      <c r="P1903" s="594"/>
    </row>
    <row r="1904" spans="16:16">
      <c r="P1904" s="594"/>
    </row>
    <row r="1905" spans="16:16">
      <c r="P1905" s="594"/>
    </row>
    <row r="1906" spans="16:16">
      <c r="P1906" s="594"/>
    </row>
    <row r="1907" spans="16:16">
      <c r="P1907" s="594"/>
    </row>
    <row r="1908" spans="16:16">
      <c r="P1908" s="594"/>
    </row>
    <row r="1909" spans="16:16">
      <c r="P1909" s="594"/>
    </row>
    <row r="1910" spans="16:16">
      <c r="P1910" s="594"/>
    </row>
    <row r="1911" spans="16:16">
      <c r="P1911" s="594"/>
    </row>
    <row r="1912" spans="16:16">
      <c r="P1912" s="594"/>
    </row>
    <row r="1913" spans="16:16">
      <c r="P1913" s="594"/>
    </row>
    <row r="1914" spans="16:16">
      <c r="P1914" s="594"/>
    </row>
    <row r="1915" spans="16:16">
      <c r="P1915" s="594"/>
    </row>
    <row r="1916" spans="16:16">
      <c r="P1916" s="594"/>
    </row>
    <row r="1917" spans="16:16">
      <c r="P1917" s="594"/>
    </row>
    <row r="1918" spans="16:16">
      <c r="P1918" s="594"/>
    </row>
    <row r="1919" spans="16:16">
      <c r="P1919" s="594"/>
    </row>
    <row r="1920" spans="16:16">
      <c r="P1920" s="594"/>
    </row>
    <row r="1921" spans="16:16">
      <c r="P1921" s="594"/>
    </row>
    <row r="1922" spans="16:16">
      <c r="P1922" s="594"/>
    </row>
    <row r="1923" spans="16:16">
      <c r="P1923" s="594"/>
    </row>
    <row r="1924" spans="16:16">
      <c r="P1924" s="594"/>
    </row>
    <row r="1925" spans="16:16">
      <c r="P1925" s="594"/>
    </row>
    <row r="1926" spans="16:16">
      <c r="P1926" s="594"/>
    </row>
    <row r="1927" spans="16:16">
      <c r="P1927" s="594"/>
    </row>
    <row r="1928" spans="16:16">
      <c r="P1928" s="594"/>
    </row>
    <row r="1929" spans="16:16">
      <c r="P1929" s="594"/>
    </row>
    <row r="1930" spans="16:16">
      <c r="P1930" s="594"/>
    </row>
    <row r="1931" spans="16:16">
      <c r="P1931" s="594"/>
    </row>
    <row r="1932" spans="16:16">
      <c r="P1932" s="594"/>
    </row>
    <row r="1933" spans="16:16">
      <c r="P1933" s="594"/>
    </row>
    <row r="1934" spans="16:16">
      <c r="P1934" s="594"/>
    </row>
    <row r="1935" spans="16:16">
      <c r="P1935" s="594"/>
    </row>
    <row r="1936" spans="16:16">
      <c r="P1936" s="594"/>
    </row>
    <row r="1937" spans="16:16">
      <c r="P1937" s="594"/>
    </row>
    <row r="1938" spans="16:16">
      <c r="P1938" s="594"/>
    </row>
    <row r="1939" spans="16:16">
      <c r="P1939" s="594"/>
    </row>
    <row r="1940" spans="16:16">
      <c r="P1940" s="594"/>
    </row>
    <row r="1941" spans="16:16">
      <c r="P1941" s="594"/>
    </row>
    <row r="1942" spans="16:16">
      <c r="P1942" s="594"/>
    </row>
    <row r="1943" spans="16:16">
      <c r="P1943" s="594"/>
    </row>
    <row r="1944" spans="16:16">
      <c r="P1944" s="594"/>
    </row>
    <row r="1945" spans="16:16">
      <c r="P1945" s="594"/>
    </row>
    <row r="1946" spans="16:16">
      <c r="P1946" s="594"/>
    </row>
    <row r="1947" spans="16:16">
      <c r="P1947" s="594"/>
    </row>
    <row r="1948" spans="16:16">
      <c r="P1948" s="594"/>
    </row>
    <row r="1949" spans="16:16">
      <c r="P1949" s="594"/>
    </row>
    <row r="1950" spans="16:16">
      <c r="P1950" s="594"/>
    </row>
    <row r="1951" spans="16:16">
      <c r="P1951" s="594"/>
    </row>
    <row r="1952" spans="16:16">
      <c r="P1952" s="594"/>
    </row>
    <row r="1953" spans="16:16">
      <c r="P1953" s="594"/>
    </row>
    <row r="1954" spans="16:16">
      <c r="P1954" s="594"/>
    </row>
    <row r="1955" spans="16:16">
      <c r="P1955" s="594"/>
    </row>
    <row r="1956" spans="16:16">
      <c r="P1956" s="594"/>
    </row>
    <row r="1957" spans="16:16">
      <c r="P1957" s="594"/>
    </row>
    <row r="1958" spans="16:16">
      <c r="P1958" s="594"/>
    </row>
    <row r="1959" spans="16:16">
      <c r="P1959" s="594"/>
    </row>
    <row r="1960" spans="16:16">
      <c r="P1960" s="594"/>
    </row>
    <row r="1961" spans="16:16">
      <c r="P1961" s="594"/>
    </row>
    <row r="1962" spans="16:16">
      <c r="P1962" s="594"/>
    </row>
    <row r="1963" spans="16:16">
      <c r="P1963" s="594"/>
    </row>
    <row r="1964" spans="16:16">
      <c r="P1964" s="594"/>
    </row>
    <row r="1965" spans="16:16">
      <c r="P1965" s="594"/>
    </row>
    <row r="1966" spans="16:16">
      <c r="P1966" s="594"/>
    </row>
    <row r="1967" spans="16:16">
      <c r="P1967" s="594"/>
    </row>
    <row r="1968" spans="16:16">
      <c r="P1968" s="594"/>
    </row>
    <row r="1969" spans="16:16">
      <c r="P1969" s="594"/>
    </row>
    <row r="1970" spans="16:16">
      <c r="P1970" s="594"/>
    </row>
    <row r="1971" spans="16:16">
      <c r="P1971" s="594"/>
    </row>
    <row r="1972" spans="16:16">
      <c r="P1972" s="594"/>
    </row>
    <row r="1973" spans="16:16">
      <c r="P1973" s="594"/>
    </row>
    <row r="1974" spans="16:16">
      <c r="P1974" s="594"/>
    </row>
    <row r="1975" spans="16:16">
      <c r="P1975" s="594"/>
    </row>
    <row r="1976" spans="16:16">
      <c r="P1976" s="594"/>
    </row>
    <row r="1977" spans="16:16">
      <c r="P1977" s="594"/>
    </row>
    <row r="1978" spans="16:16">
      <c r="P1978" s="594"/>
    </row>
    <row r="1979" spans="16:16">
      <c r="P1979" s="594"/>
    </row>
    <row r="1980" spans="16:16">
      <c r="P1980" s="594"/>
    </row>
    <row r="1981" spans="16:16">
      <c r="P1981" s="594"/>
    </row>
    <row r="1982" spans="16:16">
      <c r="P1982" s="594"/>
    </row>
    <row r="1983" spans="16:16">
      <c r="P1983" s="594"/>
    </row>
    <row r="1984" spans="16:16">
      <c r="P1984" s="594"/>
    </row>
    <row r="1985" spans="16:16">
      <c r="P1985" s="594"/>
    </row>
    <row r="1986" spans="16:16">
      <c r="P1986" s="594"/>
    </row>
    <row r="1987" spans="16:16">
      <c r="P1987" s="594"/>
    </row>
    <row r="1988" spans="16:16">
      <c r="P1988" s="594"/>
    </row>
    <row r="1989" spans="16:16">
      <c r="P1989" s="594"/>
    </row>
    <row r="1990" spans="16:16">
      <c r="P1990" s="594"/>
    </row>
    <row r="1991" spans="16:16">
      <c r="P1991" s="594"/>
    </row>
    <row r="1992" spans="16:16">
      <c r="P1992" s="594"/>
    </row>
    <row r="1993" spans="16:16">
      <c r="P1993" s="594"/>
    </row>
    <row r="1994" spans="16:16">
      <c r="P1994" s="594"/>
    </row>
    <row r="1995" spans="16:16">
      <c r="P1995" s="594"/>
    </row>
    <row r="1996" spans="16:16">
      <c r="P1996" s="594"/>
    </row>
    <row r="1997" spans="16:16">
      <c r="P1997" s="594"/>
    </row>
    <row r="1998" spans="16:16">
      <c r="P1998" s="594"/>
    </row>
    <row r="1999" spans="16:16">
      <c r="P1999" s="594"/>
    </row>
    <row r="2000" spans="16:16">
      <c r="P2000" s="594"/>
    </row>
    <row r="2001" spans="16:16">
      <c r="P2001" s="594"/>
    </row>
    <row r="2002" spans="16:16">
      <c r="P2002" s="594"/>
    </row>
    <row r="2003" spans="16:16">
      <c r="P2003" s="594"/>
    </row>
    <row r="2004" spans="16:16">
      <c r="P2004" s="594"/>
    </row>
    <row r="2005" spans="16:16">
      <c r="P2005" s="594"/>
    </row>
    <row r="2006" spans="16:16">
      <c r="P2006" s="594"/>
    </row>
    <row r="2007" spans="16:16">
      <c r="P2007" s="594"/>
    </row>
    <row r="2008" spans="16:16">
      <c r="P2008" s="594"/>
    </row>
    <row r="2009" spans="16:16">
      <c r="P2009" s="594"/>
    </row>
    <row r="2010" spans="16:16">
      <c r="P2010" s="594"/>
    </row>
    <row r="2011" spans="16:16">
      <c r="P2011" s="594"/>
    </row>
    <row r="2012" spans="16:16">
      <c r="P2012" s="594"/>
    </row>
    <row r="2013" spans="16:16">
      <c r="P2013" s="594"/>
    </row>
    <row r="2014" spans="16:16">
      <c r="P2014" s="594"/>
    </row>
    <row r="2015" spans="16:16">
      <c r="P2015" s="594"/>
    </row>
    <row r="2016" spans="16:16">
      <c r="P2016" s="594"/>
    </row>
    <row r="2017" spans="16:16">
      <c r="P2017" s="594"/>
    </row>
    <row r="2018" spans="16:16">
      <c r="P2018" s="594"/>
    </row>
    <row r="2019" spans="16:16">
      <c r="P2019" s="594"/>
    </row>
    <row r="2020" spans="16:16">
      <c r="P2020" s="594"/>
    </row>
    <row r="2021" spans="16:16">
      <c r="P2021" s="594"/>
    </row>
    <row r="2022" spans="16:16">
      <c r="P2022" s="594"/>
    </row>
    <row r="2023" spans="16:16">
      <c r="P2023" s="594"/>
    </row>
    <row r="2024" spans="16:16">
      <c r="P2024" s="594"/>
    </row>
    <row r="2025" spans="16:16">
      <c r="P2025" s="594"/>
    </row>
    <row r="2026" spans="16:16">
      <c r="P2026" s="594"/>
    </row>
    <row r="2027" spans="16:16">
      <c r="P2027" s="594"/>
    </row>
    <row r="2028" spans="16:16">
      <c r="P2028" s="594"/>
    </row>
    <row r="2029" spans="16:16">
      <c r="P2029" s="594"/>
    </row>
    <row r="2030" spans="16:16">
      <c r="P2030" s="594"/>
    </row>
    <row r="2031" spans="16:16">
      <c r="P2031" s="594"/>
    </row>
    <row r="2032" spans="16:16">
      <c r="P2032" s="594"/>
    </row>
    <row r="2033" spans="16:16">
      <c r="P2033" s="594"/>
    </row>
    <row r="2034" spans="16:16">
      <c r="P2034" s="594"/>
    </row>
    <row r="2035" spans="16:16">
      <c r="P2035" s="594"/>
    </row>
    <row r="2036" spans="16:16">
      <c r="P2036" s="594"/>
    </row>
    <row r="2037" spans="16:16">
      <c r="P2037" s="594"/>
    </row>
    <row r="2038" spans="16:16">
      <c r="P2038" s="594"/>
    </row>
    <row r="2039" spans="16:16">
      <c r="P2039" s="594"/>
    </row>
    <row r="2040" spans="16:16">
      <c r="P2040" s="594"/>
    </row>
    <row r="2041" spans="16:16">
      <c r="P2041" s="594"/>
    </row>
    <row r="2042" spans="16:16">
      <c r="P2042" s="594"/>
    </row>
    <row r="2043" spans="16:16">
      <c r="P2043" s="594"/>
    </row>
    <row r="2044" spans="16:16">
      <c r="P2044" s="594"/>
    </row>
    <row r="2045" spans="16:16">
      <c r="P2045" s="594"/>
    </row>
    <row r="2046" spans="16:16">
      <c r="P2046" s="594"/>
    </row>
    <row r="2047" spans="16:16">
      <c r="P2047" s="594"/>
    </row>
    <row r="2048" spans="16:16">
      <c r="P2048" s="594"/>
    </row>
    <row r="2049" spans="16:16">
      <c r="P2049" s="594"/>
    </row>
    <row r="2050" spans="16:16">
      <c r="P2050" s="594"/>
    </row>
    <row r="2051" spans="16:16">
      <c r="P2051" s="594"/>
    </row>
    <row r="2052" spans="16:16">
      <c r="P2052" s="594"/>
    </row>
    <row r="2053" spans="16:16">
      <c r="P2053" s="594"/>
    </row>
    <row r="2054" spans="16:16">
      <c r="P2054" s="594"/>
    </row>
    <row r="2055" spans="16:16">
      <c r="P2055" s="594"/>
    </row>
    <row r="2056" spans="16:16">
      <c r="P2056" s="594"/>
    </row>
    <row r="2057" spans="16:16">
      <c r="P2057" s="594"/>
    </row>
    <row r="2058" spans="16:16">
      <c r="P2058" s="594"/>
    </row>
    <row r="2059" spans="16:16">
      <c r="P2059" s="594"/>
    </row>
    <row r="2060" spans="16:16">
      <c r="P2060" s="594"/>
    </row>
    <row r="2061" spans="16:16">
      <c r="P2061" s="594"/>
    </row>
    <row r="2062" spans="16:16">
      <c r="P2062" s="594"/>
    </row>
    <row r="2063" spans="16:16">
      <c r="P2063" s="594"/>
    </row>
    <row r="2064" spans="16:16">
      <c r="P2064" s="594"/>
    </row>
    <row r="2065" spans="16:16">
      <c r="P2065" s="594"/>
    </row>
    <row r="2066" spans="16:16">
      <c r="P2066" s="594"/>
    </row>
    <row r="2067" spans="16:16">
      <c r="P2067" s="594"/>
    </row>
    <row r="2068" spans="16:16">
      <c r="P2068" s="594"/>
    </row>
    <row r="2069" spans="16:16">
      <c r="P2069" s="594"/>
    </row>
    <row r="2070" spans="16:16">
      <c r="P2070" s="594"/>
    </row>
    <row r="2071" spans="16:16">
      <c r="P2071" s="594"/>
    </row>
    <row r="2072" spans="16:16">
      <c r="P2072" s="594"/>
    </row>
    <row r="2073" spans="16:16">
      <c r="P2073" s="594"/>
    </row>
    <row r="2074" spans="16:16">
      <c r="P2074" s="594"/>
    </row>
    <row r="2075" spans="16:16">
      <c r="P2075" s="594"/>
    </row>
    <row r="2076" spans="16:16">
      <c r="P2076" s="594"/>
    </row>
    <row r="2077" spans="16:16">
      <c r="P2077" s="594"/>
    </row>
    <row r="2078" spans="16:16">
      <c r="P2078" s="594"/>
    </row>
    <row r="2079" spans="16:16">
      <c r="P2079" s="594"/>
    </row>
    <row r="2080" spans="16:16">
      <c r="P2080" s="594"/>
    </row>
    <row r="2081" spans="16:16">
      <c r="P2081" s="594"/>
    </row>
    <row r="2082" spans="16:16">
      <c r="P2082" s="594"/>
    </row>
    <row r="2083" spans="16:16">
      <c r="P2083" s="594"/>
    </row>
    <row r="2084" spans="16:16">
      <c r="P2084" s="594"/>
    </row>
    <row r="2085" spans="16:16">
      <c r="P2085" s="594"/>
    </row>
    <row r="2086" spans="16:16">
      <c r="P2086" s="594"/>
    </row>
    <row r="2087" spans="16:16">
      <c r="P2087" s="594"/>
    </row>
    <row r="2088" spans="16:16">
      <c r="P2088" s="594"/>
    </row>
    <row r="2089" spans="16:16">
      <c r="P2089" s="594"/>
    </row>
    <row r="2090" spans="16:16">
      <c r="P2090" s="594"/>
    </row>
    <row r="2091" spans="16:16">
      <c r="P2091" s="594"/>
    </row>
    <row r="2092" spans="16:16">
      <c r="P2092" s="594"/>
    </row>
    <row r="2093" spans="16:16">
      <c r="P2093" s="594"/>
    </row>
    <row r="2094" spans="16:16">
      <c r="P2094" s="594"/>
    </row>
    <row r="2095" spans="16:16">
      <c r="P2095" s="594"/>
    </row>
    <row r="2096" spans="16:16">
      <c r="P2096" s="594"/>
    </row>
    <row r="2097" spans="16:16">
      <c r="P2097" s="594"/>
    </row>
    <row r="2098" spans="16:16">
      <c r="P2098" s="594"/>
    </row>
    <row r="2099" spans="16:16">
      <c r="P2099" s="594"/>
    </row>
    <row r="2100" spans="16:16">
      <c r="P2100" s="594"/>
    </row>
    <row r="2101" spans="16:16">
      <c r="P2101" s="594"/>
    </row>
    <row r="2102" spans="16:16">
      <c r="P2102" s="594"/>
    </row>
    <row r="2103" spans="16:16">
      <c r="P2103" s="594"/>
    </row>
    <row r="2104" spans="16:16">
      <c r="P2104" s="594"/>
    </row>
    <row r="2105" spans="16:16">
      <c r="P2105" s="594"/>
    </row>
    <row r="2106" spans="16:16">
      <c r="P2106" s="594"/>
    </row>
    <row r="2107" spans="16:16">
      <c r="P2107" s="594"/>
    </row>
    <row r="2108" spans="16:16">
      <c r="P2108" s="594"/>
    </row>
    <row r="2109" spans="16:16">
      <c r="P2109" s="594"/>
    </row>
    <row r="2110" spans="16:16">
      <c r="P2110" s="594"/>
    </row>
    <row r="2111" spans="16:16">
      <c r="P2111" s="594"/>
    </row>
    <row r="2112" spans="16:16">
      <c r="P2112" s="594"/>
    </row>
    <row r="2113" spans="16:16">
      <c r="P2113" s="594"/>
    </row>
    <row r="2114" spans="16:16">
      <c r="P2114" s="594"/>
    </row>
    <row r="2115" spans="16:16">
      <c r="P2115" s="594"/>
    </row>
    <row r="2116" spans="16:16">
      <c r="P2116" s="594"/>
    </row>
    <row r="2117" spans="16:16">
      <c r="P2117" s="594"/>
    </row>
    <row r="2118" spans="16:16">
      <c r="P2118" s="594"/>
    </row>
    <row r="2119" spans="16:16">
      <c r="P2119" s="594"/>
    </row>
    <row r="2120" spans="16:16">
      <c r="P2120" s="594"/>
    </row>
    <row r="2121" spans="16:16">
      <c r="P2121" s="594"/>
    </row>
    <row r="2122" spans="16:16">
      <c r="P2122" s="594"/>
    </row>
    <row r="2123" spans="16:16">
      <c r="P2123" s="594"/>
    </row>
    <row r="2124" spans="16:16">
      <c r="P2124" s="594"/>
    </row>
    <row r="2125" spans="16:16">
      <c r="P2125" s="594"/>
    </row>
    <row r="2126" spans="16:16">
      <c r="P2126" s="594"/>
    </row>
    <row r="2127" spans="16:16">
      <c r="P2127" s="594"/>
    </row>
    <row r="2128" spans="16:16">
      <c r="P2128" s="594"/>
    </row>
    <row r="2129" spans="16:16">
      <c r="P2129" s="594"/>
    </row>
    <row r="2130" spans="16:16">
      <c r="P2130" s="594"/>
    </row>
    <row r="2131" spans="16:16">
      <c r="P2131" s="594"/>
    </row>
    <row r="2132" spans="16:16">
      <c r="P2132" s="594"/>
    </row>
    <row r="2133" spans="16:16">
      <c r="P2133" s="594"/>
    </row>
    <row r="2134" spans="16:16">
      <c r="P2134" s="594"/>
    </row>
    <row r="2135" spans="16:16">
      <c r="P2135" s="594"/>
    </row>
    <row r="2136" spans="16:16">
      <c r="P2136" s="594"/>
    </row>
    <row r="2137" spans="16:16">
      <c r="P2137" s="594"/>
    </row>
    <row r="2138" spans="16:16">
      <c r="P2138" s="594"/>
    </row>
    <row r="2139" spans="16:16">
      <c r="P2139" s="594"/>
    </row>
    <row r="2140" spans="16:16">
      <c r="P2140" s="594"/>
    </row>
    <row r="2141" spans="16:16">
      <c r="P2141" s="594"/>
    </row>
    <row r="2142" spans="16:16">
      <c r="P2142" s="594"/>
    </row>
    <row r="2143" spans="16:16">
      <c r="P2143" s="594"/>
    </row>
    <row r="2144" spans="16:16">
      <c r="P2144" s="594"/>
    </row>
    <row r="2145" spans="16:16">
      <c r="P2145" s="594"/>
    </row>
    <row r="2146" spans="16:16">
      <c r="P2146" s="594"/>
    </row>
    <row r="2147" spans="16:16">
      <c r="P2147" s="594"/>
    </row>
    <row r="2148" spans="16:16">
      <c r="P2148" s="594"/>
    </row>
    <row r="2149" spans="16:16">
      <c r="P2149" s="594"/>
    </row>
    <row r="2150" spans="16:16">
      <c r="P2150" s="594"/>
    </row>
    <row r="2151" spans="16:16">
      <c r="P2151" s="594"/>
    </row>
    <row r="2152" spans="16:16">
      <c r="P2152" s="594"/>
    </row>
    <row r="2153" spans="16:16">
      <c r="P2153" s="594"/>
    </row>
    <row r="2154" spans="16:16">
      <c r="P2154" s="594"/>
    </row>
    <row r="2155" spans="16:16">
      <c r="P2155" s="594"/>
    </row>
    <row r="2156" spans="16:16">
      <c r="P2156" s="594"/>
    </row>
    <row r="2157" spans="16:16">
      <c r="P2157" s="594"/>
    </row>
    <row r="2158" spans="16:16">
      <c r="P2158" s="594"/>
    </row>
    <row r="2159" spans="16:16">
      <c r="P2159" s="594"/>
    </row>
    <row r="2160" spans="16:16">
      <c r="P2160" s="594"/>
    </row>
    <row r="2161" spans="16:16">
      <c r="P2161" s="594"/>
    </row>
    <row r="2162" spans="16:16">
      <c r="P2162" s="594"/>
    </row>
    <row r="2163" spans="16:16">
      <c r="P2163" s="594"/>
    </row>
    <row r="2164" spans="16:16">
      <c r="P2164" s="594"/>
    </row>
    <row r="2165" spans="16:16">
      <c r="P2165" s="594"/>
    </row>
    <row r="2166" spans="16:16">
      <c r="P2166" s="594"/>
    </row>
    <row r="2167" spans="16:16">
      <c r="P2167" s="594"/>
    </row>
    <row r="2168" spans="16:16">
      <c r="P2168" s="594"/>
    </row>
    <row r="2169" spans="16:16">
      <c r="P2169" s="594"/>
    </row>
    <row r="2170" spans="16:16">
      <c r="P2170" s="594"/>
    </row>
    <row r="2171" spans="16:16">
      <c r="P2171" s="594"/>
    </row>
    <row r="2172" spans="16:16">
      <c r="P2172" s="594"/>
    </row>
    <row r="2173" spans="16:16">
      <c r="P2173" s="594"/>
    </row>
    <row r="2174" spans="16:16">
      <c r="P2174" s="594"/>
    </row>
    <row r="2175" spans="16:16">
      <c r="P2175" s="594"/>
    </row>
    <row r="2176" spans="16:16">
      <c r="P2176" s="594"/>
    </row>
    <row r="2177" spans="16:16">
      <c r="P2177" s="594"/>
    </row>
    <row r="2178" spans="16:16">
      <c r="P2178" s="594"/>
    </row>
    <row r="2179" spans="16:16">
      <c r="P2179" s="594"/>
    </row>
    <row r="2180" spans="16:16">
      <c r="P2180" s="594"/>
    </row>
    <row r="2181" spans="16:16">
      <c r="P2181" s="594"/>
    </row>
    <row r="2182" spans="16:16">
      <c r="P2182" s="594"/>
    </row>
    <row r="2183" spans="16:16">
      <c r="P2183" s="594"/>
    </row>
    <row r="2184" spans="16:16">
      <c r="P2184" s="594"/>
    </row>
    <row r="2185" spans="16:16">
      <c r="P2185" s="594"/>
    </row>
    <row r="2186" spans="16:16">
      <c r="P2186" s="594"/>
    </row>
    <row r="2187" spans="16:16">
      <c r="P2187" s="594"/>
    </row>
    <row r="2188" spans="16:16">
      <c r="P2188" s="594"/>
    </row>
    <row r="2189" spans="16:16">
      <c r="P2189" s="594"/>
    </row>
    <row r="2190" spans="16:16">
      <c r="P2190" s="594"/>
    </row>
    <row r="2191" spans="16:16">
      <c r="P2191" s="594"/>
    </row>
    <row r="2192" spans="16:16">
      <c r="P2192" s="594"/>
    </row>
    <row r="2193" spans="16:16">
      <c r="P2193" s="594"/>
    </row>
    <row r="2194" spans="16:16">
      <c r="P2194" s="594"/>
    </row>
    <row r="2195" spans="16:16">
      <c r="P2195" s="594"/>
    </row>
    <row r="2196" spans="16:16">
      <c r="P2196" s="594"/>
    </row>
    <row r="2197" spans="16:16">
      <c r="P2197" s="594"/>
    </row>
    <row r="2198" spans="16:16">
      <c r="P2198" s="594"/>
    </row>
    <row r="2199" spans="16:16">
      <c r="P2199" s="594"/>
    </row>
    <row r="2200" spans="16:16">
      <c r="P2200" s="594"/>
    </row>
    <row r="2201" spans="16:16">
      <c r="P2201" s="594"/>
    </row>
    <row r="2202" spans="16:16">
      <c r="P2202" s="594"/>
    </row>
    <row r="2203" spans="16:16">
      <c r="P2203" s="594"/>
    </row>
    <row r="2204" spans="16:16">
      <c r="P2204" s="594"/>
    </row>
    <row r="2205" spans="16:16">
      <c r="P2205" s="594"/>
    </row>
    <row r="2206" spans="16:16">
      <c r="P2206" s="594"/>
    </row>
    <row r="2207" spans="16:16">
      <c r="P2207" s="594"/>
    </row>
    <row r="2208" spans="16:16">
      <c r="P2208" s="594"/>
    </row>
    <row r="2209" spans="16:16">
      <c r="P2209" s="594"/>
    </row>
    <row r="2210" spans="16:16">
      <c r="P2210" s="594"/>
    </row>
    <row r="2211" spans="16:16">
      <c r="P2211" s="594"/>
    </row>
    <row r="2212" spans="16:16">
      <c r="P2212" s="594"/>
    </row>
    <row r="2213" spans="16:16">
      <c r="P2213" s="594"/>
    </row>
    <row r="2214" spans="16:16">
      <c r="P2214" s="594"/>
    </row>
    <row r="2215" spans="16:16">
      <c r="P2215" s="594"/>
    </row>
    <row r="2216" spans="16:16">
      <c r="P2216" s="594"/>
    </row>
    <row r="2217" spans="16:16">
      <c r="P2217" s="594"/>
    </row>
    <row r="2218" spans="16:16">
      <c r="P2218" s="594"/>
    </row>
    <row r="2219" spans="16:16">
      <c r="P2219" s="594"/>
    </row>
    <row r="2220" spans="16:16">
      <c r="P2220" s="594"/>
    </row>
    <row r="2221" spans="16:16">
      <c r="P2221" s="594"/>
    </row>
    <row r="2222" spans="16:16">
      <c r="P2222" s="594"/>
    </row>
    <row r="2223" spans="16:16">
      <c r="P2223" s="594"/>
    </row>
    <row r="2224" spans="16:16">
      <c r="P2224" s="594"/>
    </row>
    <row r="2225" spans="16:16">
      <c r="P2225" s="594"/>
    </row>
    <row r="2226" spans="16:16">
      <c r="P2226" s="594"/>
    </row>
    <row r="2227" spans="16:16">
      <c r="P2227" s="594"/>
    </row>
    <row r="2228" spans="16:16">
      <c r="P2228" s="594"/>
    </row>
    <row r="2229" spans="16:16">
      <c r="P2229" s="594"/>
    </row>
    <row r="2230" spans="16:16">
      <c r="P2230" s="594"/>
    </row>
    <row r="2231" spans="16:16">
      <c r="P2231" s="594"/>
    </row>
    <row r="2232" spans="16:16">
      <c r="P2232" s="594"/>
    </row>
    <row r="2233" spans="16:16">
      <c r="P2233" s="594"/>
    </row>
    <row r="2234" spans="16:16">
      <c r="P2234" s="594"/>
    </row>
    <row r="2235" spans="16:16">
      <c r="P2235" s="594"/>
    </row>
    <row r="2236" spans="16:16">
      <c r="P2236" s="594"/>
    </row>
    <row r="2237" spans="16:16">
      <c r="P2237" s="594"/>
    </row>
    <row r="2238" spans="16:16">
      <c r="P2238" s="594"/>
    </row>
    <row r="2239" spans="16:16">
      <c r="P2239" s="594"/>
    </row>
    <row r="2240" spans="16:16">
      <c r="P2240" s="594"/>
    </row>
    <row r="2241" spans="16:16">
      <c r="P2241" s="594"/>
    </row>
    <row r="2242" spans="16:16">
      <c r="P2242" s="594"/>
    </row>
    <row r="2243" spans="16:16">
      <c r="P2243" s="594"/>
    </row>
    <row r="2244" spans="16:16">
      <c r="P2244" s="594"/>
    </row>
    <row r="2245" spans="16:16">
      <c r="P2245" s="594"/>
    </row>
    <row r="2246" spans="16:16">
      <c r="P2246" s="594"/>
    </row>
    <row r="2247" spans="16:16">
      <c r="P2247" s="594"/>
    </row>
    <row r="2248" spans="16:16">
      <c r="P2248" s="594"/>
    </row>
    <row r="2249" spans="16:16">
      <c r="P2249" s="594"/>
    </row>
    <row r="2250" spans="16:16">
      <c r="P2250" s="594"/>
    </row>
    <row r="2251" spans="16:16">
      <c r="P2251" s="594"/>
    </row>
    <row r="2252" spans="16:16">
      <c r="P2252" s="594"/>
    </row>
    <row r="2253" spans="16:16">
      <c r="P2253" s="594"/>
    </row>
    <row r="2254" spans="16:16">
      <c r="P2254" s="594"/>
    </row>
    <row r="2255" spans="16:16">
      <c r="P2255" s="594"/>
    </row>
    <row r="2256" spans="16:16">
      <c r="P2256" s="594"/>
    </row>
    <row r="2257" spans="16:16">
      <c r="P2257" s="594"/>
    </row>
    <row r="2258" spans="16:16">
      <c r="P2258" s="594"/>
    </row>
    <row r="2259" spans="16:16">
      <c r="P2259" s="594"/>
    </row>
    <row r="2260" spans="16:16">
      <c r="P2260" s="594"/>
    </row>
    <row r="2261" spans="16:16">
      <c r="P2261" s="594"/>
    </row>
    <row r="2262" spans="16:16">
      <c r="P2262" s="594"/>
    </row>
    <row r="2263" spans="16:16">
      <c r="P2263" s="594"/>
    </row>
    <row r="2264" spans="16:16">
      <c r="P2264" s="594"/>
    </row>
    <row r="2265" spans="16:16">
      <c r="P2265" s="594"/>
    </row>
    <row r="2266" spans="16:16">
      <c r="P2266" s="594"/>
    </row>
    <row r="2267" spans="16:16">
      <c r="P2267" s="594"/>
    </row>
    <row r="2268" spans="16:16">
      <c r="P2268" s="594"/>
    </row>
    <row r="2269" spans="16:16">
      <c r="P2269" s="594"/>
    </row>
    <row r="2270" spans="16:16">
      <c r="P2270" s="594"/>
    </row>
    <row r="2271" spans="16:16">
      <c r="P2271" s="594"/>
    </row>
    <row r="2272" spans="16:16">
      <c r="P2272" s="594"/>
    </row>
    <row r="2273" spans="16:16">
      <c r="P2273" s="594"/>
    </row>
    <row r="2274" spans="16:16">
      <c r="P2274" s="594"/>
    </row>
    <row r="2275" spans="16:16">
      <c r="P2275" s="594"/>
    </row>
    <row r="2276" spans="16:16">
      <c r="P2276" s="594"/>
    </row>
    <row r="2277" spans="16:16">
      <c r="P2277" s="594"/>
    </row>
    <row r="2278" spans="16:16">
      <c r="P2278" s="594"/>
    </row>
    <row r="2279" spans="16:16">
      <c r="P2279" s="594"/>
    </row>
    <row r="2280" spans="16:16">
      <c r="P2280" s="594"/>
    </row>
    <row r="2281" spans="16:16">
      <c r="P2281" s="594"/>
    </row>
    <row r="2282" spans="16:16">
      <c r="P2282" s="594"/>
    </row>
    <row r="2283" spans="16:16">
      <c r="P2283" s="594"/>
    </row>
    <row r="2284" spans="16:16">
      <c r="P2284" s="594"/>
    </row>
    <row r="2285" spans="16:16">
      <c r="P2285" s="594"/>
    </row>
    <row r="2286" spans="16:16">
      <c r="P2286" s="594"/>
    </row>
    <row r="2287" spans="16:16">
      <c r="P2287" s="594"/>
    </row>
    <row r="2288" spans="16:16">
      <c r="P2288" s="594"/>
    </row>
    <row r="2289" spans="16:16">
      <c r="P2289" s="594"/>
    </row>
    <row r="2290" spans="16:16">
      <c r="P2290" s="594"/>
    </row>
    <row r="2291" spans="16:16">
      <c r="P2291" s="594"/>
    </row>
    <row r="2292" spans="16:16">
      <c r="P2292" s="594"/>
    </row>
    <row r="2293" spans="16:16">
      <c r="P2293" s="594"/>
    </row>
    <row r="2294" spans="16:16">
      <c r="P2294" s="594"/>
    </row>
    <row r="2295" spans="16:16">
      <c r="P2295" s="594"/>
    </row>
    <row r="2296" spans="16:16">
      <c r="P2296" s="594"/>
    </row>
    <row r="2297" spans="16:16">
      <c r="P2297" s="594"/>
    </row>
    <row r="2298" spans="16:16">
      <c r="P2298" s="594"/>
    </row>
    <row r="2299" spans="16:16">
      <c r="P2299" s="594"/>
    </row>
    <row r="2300" spans="16:16">
      <c r="P2300" s="594"/>
    </row>
    <row r="2301" spans="16:16">
      <c r="P2301" s="594"/>
    </row>
    <row r="2302" spans="16:16">
      <c r="P2302" s="594"/>
    </row>
    <row r="2303" spans="16:16">
      <c r="P2303" s="594"/>
    </row>
    <row r="2304" spans="16:16">
      <c r="P2304" s="594"/>
    </row>
    <row r="2305" spans="16:16">
      <c r="P2305" s="594"/>
    </row>
    <row r="2306" spans="16:16">
      <c r="P2306" s="594"/>
    </row>
    <row r="2307" spans="16:16">
      <c r="P2307" s="594"/>
    </row>
    <row r="2308" spans="16:16">
      <c r="P2308" s="594"/>
    </row>
    <row r="2309" spans="16:16">
      <c r="P2309" s="594"/>
    </row>
    <row r="2310" spans="16:16">
      <c r="P2310" s="594"/>
    </row>
    <row r="2311" spans="16:16">
      <c r="P2311" s="594"/>
    </row>
    <row r="2312" spans="16:16">
      <c r="P2312" s="594"/>
    </row>
    <row r="2313" spans="16:16">
      <c r="P2313" s="594"/>
    </row>
    <row r="2314" spans="16:16">
      <c r="P2314" s="594"/>
    </row>
    <row r="2315" spans="16:16">
      <c r="P2315" s="594"/>
    </row>
    <row r="2316" spans="16:16">
      <c r="P2316" s="594"/>
    </row>
    <row r="2317" spans="16:16">
      <c r="P2317" s="594"/>
    </row>
    <row r="2318" spans="16:16">
      <c r="P2318" s="594"/>
    </row>
    <row r="2319" spans="16:16">
      <c r="P2319" s="594"/>
    </row>
    <row r="2320" spans="16:16">
      <c r="P2320" s="594"/>
    </row>
    <row r="2321" spans="16:16">
      <c r="P2321" s="594"/>
    </row>
    <row r="2322" spans="16:16">
      <c r="P2322" s="594"/>
    </row>
    <row r="2323" spans="16:16">
      <c r="P2323" s="594"/>
    </row>
    <row r="2324" spans="16:16">
      <c r="P2324" s="594"/>
    </row>
    <row r="2325" spans="16:16">
      <c r="P2325" s="594"/>
    </row>
    <row r="2326" spans="16:16">
      <c r="P2326" s="594"/>
    </row>
    <row r="2327" spans="16:16">
      <c r="P2327" s="594"/>
    </row>
    <row r="2328" spans="16:16">
      <c r="P2328" s="594"/>
    </row>
    <row r="2329" spans="16:16">
      <c r="P2329" s="594"/>
    </row>
    <row r="2330" spans="16:16">
      <c r="P2330" s="594"/>
    </row>
    <row r="2331" spans="16:16">
      <c r="P2331" s="594"/>
    </row>
    <row r="2332" spans="16:16">
      <c r="P2332" s="594"/>
    </row>
    <row r="2333" spans="16:16">
      <c r="P2333" s="594"/>
    </row>
    <row r="2334" spans="16:16">
      <c r="P2334" s="594"/>
    </row>
    <row r="2335" spans="16:16">
      <c r="P2335" s="594"/>
    </row>
    <row r="2336" spans="16:16">
      <c r="P2336" s="594"/>
    </row>
    <row r="2337" spans="16:16">
      <c r="P2337" s="594"/>
    </row>
    <row r="2338" spans="16:16">
      <c r="P2338" s="594"/>
    </row>
    <row r="2339" spans="16:16">
      <c r="P2339" s="594"/>
    </row>
    <row r="2340" spans="16:16">
      <c r="P2340" s="594"/>
    </row>
    <row r="2341" spans="16:16">
      <c r="P2341" s="594"/>
    </row>
    <row r="2342" spans="16:16">
      <c r="P2342" s="594"/>
    </row>
    <row r="2343" spans="16:16">
      <c r="P2343" s="594"/>
    </row>
    <row r="2344" spans="16:16">
      <c r="P2344" s="594"/>
    </row>
    <row r="2345" spans="16:16">
      <c r="P2345" s="594"/>
    </row>
    <row r="2346" spans="16:16">
      <c r="P2346" s="594"/>
    </row>
    <row r="2347" spans="16:16">
      <c r="P2347" s="594"/>
    </row>
    <row r="2348" spans="16:16">
      <c r="P2348" s="594"/>
    </row>
    <row r="2349" spans="16:16">
      <c r="P2349" s="594"/>
    </row>
    <row r="2350" spans="16:16">
      <c r="P2350" s="594"/>
    </row>
    <row r="2351" spans="16:16">
      <c r="P2351" s="594"/>
    </row>
    <row r="2352" spans="16:16">
      <c r="P2352" s="594"/>
    </row>
    <row r="2353" spans="16:16">
      <c r="P2353" s="594"/>
    </row>
    <row r="2354" spans="16:16">
      <c r="P2354" s="594"/>
    </row>
    <row r="2355" spans="16:16">
      <c r="P2355" s="594"/>
    </row>
    <row r="2356" spans="16:16">
      <c r="P2356" s="594"/>
    </row>
    <row r="2357" spans="16:16">
      <c r="P2357" s="594"/>
    </row>
    <row r="2358" spans="16:16">
      <c r="P2358" s="594"/>
    </row>
    <row r="2359" spans="16:16">
      <c r="P2359" s="594"/>
    </row>
    <row r="2360" spans="16:16">
      <c r="P2360" s="594"/>
    </row>
    <row r="2361" spans="16:16">
      <c r="P2361" s="594"/>
    </row>
    <row r="2362" spans="16:16">
      <c r="P2362" s="594"/>
    </row>
    <row r="2363" spans="16:16">
      <c r="P2363" s="594"/>
    </row>
    <row r="2364" spans="16:16">
      <c r="P2364" s="594"/>
    </row>
    <row r="2365" spans="16:16">
      <c r="P2365" s="594"/>
    </row>
    <row r="2366" spans="16:16">
      <c r="P2366" s="594"/>
    </row>
    <row r="2367" spans="16:16">
      <c r="P2367" s="594"/>
    </row>
    <row r="2368" spans="16:16">
      <c r="P2368" s="594"/>
    </row>
    <row r="2369" spans="16:16">
      <c r="P2369" s="594"/>
    </row>
    <row r="2370" spans="16:16">
      <c r="P2370" s="594"/>
    </row>
    <row r="2371" spans="16:16">
      <c r="P2371" s="594"/>
    </row>
    <row r="2372" spans="16:16">
      <c r="P2372" s="594"/>
    </row>
    <row r="2373" spans="16:16">
      <c r="P2373" s="594"/>
    </row>
    <row r="2374" spans="16:16">
      <c r="P2374" s="594"/>
    </row>
    <row r="2375" spans="16:16">
      <c r="P2375" s="594"/>
    </row>
    <row r="2376" spans="16:16">
      <c r="P2376" s="594"/>
    </row>
    <row r="2377" spans="16:16">
      <c r="P2377" s="594"/>
    </row>
    <row r="2378" spans="16:16">
      <c r="P2378" s="594"/>
    </row>
    <row r="2379" spans="16:16">
      <c r="P2379" s="594"/>
    </row>
    <row r="2380" spans="16:16">
      <c r="P2380" s="594"/>
    </row>
    <row r="2381" spans="16:16">
      <c r="P2381" s="594"/>
    </row>
    <row r="2382" spans="16:16">
      <c r="P2382" s="594"/>
    </row>
    <row r="2383" spans="16:16">
      <c r="P2383" s="594"/>
    </row>
    <row r="2384" spans="16:16">
      <c r="P2384" s="594"/>
    </row>
    <row r="2385" spans="16:16">
      <c r="P2385" s="594"/>
    </row>
    <row r="2386" spans="16:16">
      <c r="P2386" s="594"/>
    </row>
    <row r="2387" spans="16:16">
      <c r="P2387" s="594"/>
    </row>
    <row r="2388" spans="16:16">
      <c r="P2388" s="594"/>
    </row>
    <row r="2389" spans="16:16">
      <c r="P2389" s="594"/>
    </row>
    <row r="2390" spans="16:16">
      <c r="P2390" s="594"/>
    </row>
    <row r="2391" spans="16:16">
      <c r="P2391" s="594"/>
    </row>
    <row r="2392" spans="16:16">
      <c r="P2392" s="594"/>
    </row>
    <row r="2393" spans="16:16">
      <c r="P2393" s="594"/>
    </row>
    <row r="2394" spans="16:16">
      <c r="P2394" s="594"/>
    </row>
    <row r="2395" spans="16:16">
      <c r="P2395" s="594"/>
    </row>
    <row r="2396" spans="16:16">
      <c r="P2396" s="594"/>
    </row>
    <row r="2397" spans="16:16">
      <c r="P2397" s="594"/>
    </row>
    <row r="2398" spans="16:16">
      <c r="P2398" s="594"/>
    </row>
    <row r="2399" spans="16:16">
      <c r="P2399" s="594"/>
    </row>
    <row r="2400" spans="16:16">
      <c r="P2400" s="594"/>
    </row>
    <row r="2401" spans="16:16">
      <c r="P2401" s="594"/>
    </row>
    <row r="2402" spans="16:16">
      <c r="P2402" s="594"/>
    </row>
    <row r="2403" spans="16:16">
      <c r="P2403" s="594"/>
    </row>
    <row r="2404" spans="16:16">
      <c r="P2404" s="594"/>
    </row>
    <row r="2405" spans="16:16">
      <c r="P2405" s="594"/>
    </row>
    <row r="2406" spans="16:16">
      <c r="P2406" s="594"/>
    </row>
    <row r="2407" spans="16:16">
      <c r="P2407" s="594"/>
    </row>
    <row r="2408" spans="16:16">
      <c r="P2408" s="594"/>
    </row>
    <row r="2409" spans="16:16">
      <c r="P2409" s="594"/>
    </row>
    <row r="2410" spans="16:16">
      <c r="P2410" s="594"/>
    </row>
    <row r="2411" spans="16:16">
      <c r="P2411" s="594"/>
    </row>
    <row r="2412" spans="16:16">
      <c r="P2412" s="594"/>
    </row>
    <row r="2413" spans="16:16">
      <c r="P2413" s="594"/>
    </row>
    <row r="2414" spans="16:16">
      <c r="P2414" s="594"/>
    </row>
    <row r="2415" spans="16:16">
      <c r="P2415" s="594"/>
    </row>
    <row r="2416" spans="16:16">
      <c r="P2416" s="594"/>
    </row>
    <row r="2417" spans="16:16">
      <c r="P2417" s="594"/>
    </row>
    <row r="2418" spans="16:16">
      <c r="P2418" s="594"/>
    </row>
    <row r="2419" spans="16:16">
      <c r="P2419" s="594"/>
    </row>
    <row r="2420" spans="16:16">
      <c r="P2420" s="594"/>
    </row>
    <row r="2421" spans="16:16">
      <c r="P2421" s="594"/>
    </row>
    <row r="2422" spans="16:16">
      <c r="P2422" s="594"/>
    </row>
    <row r="2423" spans="16:16">
      <c r="P2423" s="594"/>
    </row>
    <row r="2424" spans="16:16">
      <c r="P2424" s="594"/>
    </row>
    <row r="2425" spans="16:16">
      <c r="P2425" s="594"/>
    </row>
    <row r="2426" spans="16:16">
      <c r="P2426" s="594"/>
    </row>
    <row r="2427" spans="16:16">
      <c r="P2427" s="594"/>
    </row>
    <row r="2428" spans="16:16">
      <c r="P2428" s="594"/>
    </row>
    <row r="2429" spans="16:16">
      <c r="P2429" s="594"/>
    </row>
    <row r="2430" spans="16:16">
      <c r="P2430" s="594"/>
    </row>
    <row r="2431" spans="16:16">
      <c r="P2431" s="594"/>
    </row>
    <row r="2432" spans="16:16">
      <c r="P2432" s="594"/>
    </row>
    <row r="2433" spans="16:16">
      <c r="P2433" s="594"/>
    </row>
    <row r="2434" spans="16:16">
      <c r="P2434" s="594"/>
    </row>
    <row r="2435" spans="16:16">
      <c r="P2435" s="594"/>
    </row>
    <row r="2436" spans="16:16">
      <c r="P2436" s="594"/>
    </row>
    <row r="2437" spans="16:16">
      <c r="P2437" s="594"/>
    </row>
    <row r="2438" spans="16:16">
      <c r="P2438" s="594"/>
    </row>
    <row r="2439" spans="16:16">
      <c r="P2439" s="594"/>
    </row>
    <row r="2440" spans="16:16">
      <c r="P2440" s="594"/>
    </row>
    <row r="2441" spans="16:16">
      <c r="P2441" s="594"/>
    </row>
    <row r="2442" spans="16:16">
      <c r="P2442" s="594"/>
    </row>
    <row r="2443" spans="16:16">
      <c r="P2443" s="594"/>
    </row>
    <row r="2444" spans="16:16">
      <c r="P2444" s="594"/>
    </row>
    <row r="2445" spans="16:16">
      <c r="P2445" s="594"/>
    </row>
    <row r="2446" spans="16:16">
      <c r="P2446" s="594"/>
    </row>
    <row r="2447" spans="16:16">
      <c r="P2447" s="594"/>
    </row>
    <row r="2448" spans="16:16">
      <c r="P2448" s="594"/>
    </row>
    <row r="2449" spans="16:16">
      <c r="P2449" s="594"/>
    </row>
    <row r="2450" spans="16:16">
      <c r="P2450" s="594"/>
    </row>
    <row r="2451" spans="16:16">
      <c r="P2451" s="594"/>
    </row>
    <row r="2452" spans="16:16">
      <c r="P2452" s="594"/>
    </row>
    <row r="2453" spans="16:16">
      <c r="P2453" s="594"/>
    </row>
    <row r="2454" spans="16:16">
      <c r="P2454" s="594"/>
    </row>
    <row r="2455" spans="16:16">
      <c r="P2455" s="594"/>
    </row>
    <row r="2456" spans="16:16">
      <c r="P2456" s="594"/>
    </row>
    <row r="2457" spans="16:16">
      <c r="P2457" s="594"/>
    </row>
    <row r="2458" spans="16:16">
      <c r="P2458" s="594"/>
    </row>
    <row r="2459" spans="16:16">
      <c r="P2459" s="594"/>
    </row>
    <row r="2460" spans="16:16">
      <c r="P2460" s="594"/>
    </row>
    <row r="2461" spans="16:16">
      <c r="P2461" s="594"/>
    </row>
    <row r="2462" spans="16:16">
      <c r="P2462" s="594"/>
    </row>
    <row r="2463" spans="16:16">
      <c r="P2463" s="594"/>
    </row>
    <row r="2464" spans="16:16">
      <c r="P2464" s="594"/>
    </row>
    <row r="2465" spans="16:16">
      <c r="P2465" s="594"/>
    </row>
    <row r="2466" spans="16:16">
      <c r="P2466" s="594"/>
    </row>
    <row r="2467" spans="16:16">
      <c r="P2467" s="594"/>
    </row>
    <row r="2468" spans="16:16">
      <c r="P2468" s="594"/>
    </row>
    <row r="2469" spans="16:16">
      <c r="P2469" s="594"/>
    </row>
    <row r="2470" spans="16:16">
      <c r="P2470" s="594"/>
    </row>
    <row r="2471" spans="16:16">
      <c r="P2471" s="594"/>
    </row>
    <row r="2472" spans="16:16">
      <c r="P2472" s="594"/>
    </row>
    <row r="2473" spans="16:16">
      <c r="P2473" s="594"/>
    </row>
    <row r="2474" spans="16:16">
      <c r="P2474" s="594"/>
    </row>
    <row r="2475" spans="16:16">
      <c r="P2475" s="594"/>
    </row>
    <row r="2476" spans="16:16">
      <c r="P2476" s="594"/>
    </row>
    <row r="2477" spans="16:16">
      <c r="P2477" s="594"/>
    </row>
    <row r="2478" spans="16:16">
      <c r="P2478" s="594"/>
    </row>
    <row r="2479" spans="16:16">
      <c r="P2479" s="594"/>
    </row>
    <row r="2480" spans="16:16">
      <c r="P2480" s="594"/>
    </row>
    <row r="2481" spans="16:16">
      <c r="P2481" s="594"/>
    </row>
    <row r="2482" spans="16:16">
      <c r="P2482" s="594"/>
    </row>
    <row r="2483" spans="16:16">
      <c r="P2483" s="594"/>
    </row>
    <row r="2484" spans="16:16">
      <c r="P2484" s="594"/>
    </row>
    <row r="2485" spans="16:16">
      <c r="P2485" s="594"/>
    </row>
    <row r="2486" spans="16:16">
      <c r="P2486" s="594"/>
    </row>
    <row r="2487" spans="16:16">
      <c r="P2487" s="594"/>
    </row>
    <row r="2488" spans="16:16">
      <c r="P2488" s="594"/>
    </row>
    <row r="2489" spans="16:16">
      <c r="P2489" s="594"/>
    </row>
    <row r="2490" spans="16:16">
      <c r="P2490" s="594"/>
    </row>
    <row r="2491" spans="16:16">
      <c r="P2491" s="594"/>
    </row>
    <row r="2492" spans="16:16">
      <c r="P2492" s="594"/>
    </row>
    <row r="2493" spans="16:16">
      <c r="P2493" s="594"/>
    </row>
    <row r="2494" spans="16:16">
      <c r="P2494" s="594"/>
    </row>
    <row r="2495" spans="16:16">
      <c r="P2495" s="594"/>
    </row>
    <row r="2496" spans="16:16">
      <c r="P2496" s="594"/>
    </row>
    <row r="2497" spans="16:16">
      <c r="P2497" s="594"/>
    </row>
    <row r="2498" spans="16:16">
      <c r="P2498" s="594"/>
    </row>
    <row r="2499" spans="16:16">
      <c r="P2499" s="594"/>
    </row>
    <row r="2500" spans="16:16">
      <c r="P2500" s="594"/>
    </row>
    <row r="2501" spans="16:16">
      <c r="P2501" s="594"/>
    </row>
    <row r="2502" spans="16:16">
      <c r="P2502" s="594"/>
    </row>
    <row r="2503" spans="16:16">
      <c r="P2503" s="594"/>
    </row>
    <row r="2504" spans="16:16">
      <c r="P2504" s="594"/>
    </row>
    <row r="2505" spans="16:16">
      <c r="P2505" s="594"/>
    </row>
    <row r="2506" spans="16:16">
      <c r="P2506" s="594"/>
    </row>
    <row r="2507" spans="16:16">
      <c r="P2507" s="594"/>
    </row>
    <row r="2508" spans="16:16">
      <c r="P2508" s="594"/>
    </row>
    <row r="2509" spans="16:16">
      <c r="P2509" s="594"/>
    </row>
    <row r="2510" spans="16:16">
      <c r="P2510" s="594"/>
    </row>
    <row r="2511" spans="16:16">
      <c r="P2511" s="594"/>
    </row>
    <row r="2512" spans="16:16">
      <c r="P2512" s="594"/>
    </row>
    <row r="2513" spans="16:16">
      <c r="P2513" s="594"/>
    </row>
    <row r="2514" spans="16:16">
      <c r="P2514" s="594"/>
    </row>
    <row r="2515" spans="16:16">
      <c r="P2515" s="594"/>
    </row>
    <row r="2516" spans="16:16">
      <c r="P2516" s="594"/>
    </row>
    <row r="2517" spans="16:16">
      <c r="P2517" s="594"/>
    </row>
    <row r="2518" spans="16:16">
      <c r="P2518" s="594"/>
    </row>
    <row r="2519" spans="16:16">
      <c r="P2519" s="594"/>
    </row>
    <row r="2520" spans="16:16">
      <c r="P2520" s="594"/>
    </row>
    <row r="2521" spans="16:16">
      <c r="P2521" s="594"/>
    </row>
    <row r="2522" spans="16:16">
      <c r="P2522" s="594"/>
    </row>
    <row r="2523" spans="16:16">
      <c r="P2523" s="594"/>
    </row>
    <row r="2524" spans="16:16">
      <c r="P2524" s="594"/>
    </row>
    <row r="2525" spans="16:16">
      <c r="P2525" s="594"/>
    </row>
    <row r="2526" spans="16:16">
      <c r="P2526" s="594"/>
    </row>
    <row r="2527" spans="16:16">
      <c r="P2527" s="594"/>
    </row>
    <row r="2528" spans="16:16">
      <c r="P2528" s="594"/>
    </row>
    <row r="2529" spans="16:16">
      <c r="P2529" s="594"/>
    </row>
    <row r="2530" spans="16:16">
      <c r="P2530" s="594"/>
    </row>
    <row r="2531" spans="16:16">
      <c r="P2531" s="594"/>
    </row>
    <row r="2532" spans="16:16">
      <c r="P2532" s="594"/>
    </row>
    <row r="2533" spans="16:16">
      <c r="P2533" s="594"/>
    </row>
    <row r="2534" spans="16:16">
      <c r="P2534" s="594"/>
    </row>
    <row r="2535" spans="16:16">
      <c r="P2535" s="594"/>
    </row>
    <row r="2536" spans="16:16">
      <c r="P2536" s="594"/>
    </row>
    <row r="2537" spans="16:16">
      <c r="P2537" s="594"/>
    </row>
    <row r="2538" spans="16:16">
      <c r="P2538" s="594"/>
    </row>
    <row r="2539" spans="16:16">
      <c r="P2539" s="594"/>
    </row>
    <row r="2540" spans="16:16">
      <c r="P2540" s="594"/>
    </row>
    <row r="2541" spans="16:16">
      <c r="P2541" s="594"/>
    </row>
    <row r="2542" spans="16:16">
      <c r="P2542" s="594"/>
    </row>
    <row r="2543" spans="16:16">
      <c r="P2543" s="594"/>
    </row>
    <row r="2544" spans="16:16">
      <c r="P2544" s="594"/>
    </row>
    <row r="2545" spans="16:16">
      <c r="P2545" s="594"/>
    </row>
    <row r="2546" spans="16:16">
      <c r="P2546" s="594"/>
    </row>
    <row r="2547" spans="16:16">
      <c r="P2547" s="594"/>
    </row>
    <row r="2548" spans="16:16">
      <c r="P2548" s="594"/>
    </row>
    <row r="2549" spans="16:16">
      <c r="P2549" s="594"/>
    </row>
    <row r="2550" spans="16:16">
      <c r="P2550" s="594"/>
    </row>
    <row r="2551" spans="16:16">
      <c r="P2551" s="594"/>
    </row>
    <row r="2552" spans="16:16">
      <c r="P2552" s="594"/>
    </row>
    <row r="2553" spans="16:16">
      <c r="P2553" s="594"/>
    </row>
    <row r="2554" spans="16:16">
      <c r="P2554" s="594"/>
    </row>
    <row r="2555" spans="16:16">
      <c r="P2555" s="594"/>
    </row>
    <row r="2556" spans="16:16">
      <c r="P2556" s="594"/>
    </row>
    <row r="2557" spans="16:16">
      <c r="P2557" s="594"/>
    </row>
    <row r="2558" spans="16:16">
      <c r="P2558" s="594"/>
    </row>
    <row r="2559" spans="16:16">
      <c r="P2559" s="594"/>
    </row>
    <row r="2560" spans="16:16">
      <c r="P2560" s="594"/>
    </row>
    <row r="2561" spans="16:16">
      <c r="P2561" s="594"/>
    </row>
    <row r="2562" spans="16:16">
      <c r="P2562" s="594"/>
    </row>
    <row r="2563" spans="16:16">
      <c r="P2563" s="594"/>
    </row>
    <row r="2564" spans="16:16">
      <c r="P2564" s="594"/>
    </row>
    <row r="2565" spans="16:16">
      <c r="P2565" s="594"/>
    </row>
    <row r="2566" spans="16:16">
      <c r="P2566" s="594"/>
    </row>
    <row r="2567" spans="16:16">
      <c r="P2567" s="594"/>
    </row>
    <row r="2568" spans="16:16">
      <c r="P2568" s="594"/>
    </row>
    <row r="2569" spans="16:16">
      <c r="P2569" s="594"/>
    </row>
    <row r="2570" spans="16:16">
      <c r="P2570" s="594"/>
    </row>
    <row r="2571" spans="16:16">
      <c r="P2571" s="594"/>
    </row>
    <row r="2572" spans="16:16">
      <c r="P2572" s="594"/>
    </row>
    <row r="2573" spans="16:16">
      <c r="P2573" s="594"/>
    </row>
    <row r="2574" spans="16:16">
      <c r="P2574" s="594"/>
    </row>
    <row r="2575" spans="16:16">
      <c r="P2575" s="594"/>
    </row>
    <row r="2576" spans="16:16">
      <c r="P2576" s="594"/>
    </row>
    <row r="2577" spans="16:16">
      <c r="P2577" s="594"/>
    </row>
    <row r="2578" spans="16:16">
      <c r="P2578" s="594"/>
    </row>
    <row r="2579" spans="16:16">
      <c r="P2579" s="594"/>
    </row>
    <row r="2580" spans="16:16">
      <c r="P2580" s="594"/>
    </row>
    <row r="2581" spans="16:16">
      <c r="P2581" s="594"/>
    </row>
    <row r="2582" spans="16:16">
      <c r="P2582" s="594"/>
    </row>
    <row r="2583" spans="16:16">
      <c r="P2583" s="594"/>
    </row>
    <row r="2584" spans="16:16">
      <c r="P2584" s="594"/>
    </row>
    <row r="2585" spans="16:16">
      <c r="P2585" s="594"/>
    </row>
    <row r="2586" spans="16:16">
      <c r="P2586" s="594"/>
    </row>
    <row r="2587" spans="16:16">
      <c r="P2587" s="594"/>
    </row>
    <row r="2588" spans="16:16">
      <c r="P2588" s="594"/>
    </row>
    <row r="2589" spans="16:16">
      <c r="P2589" s="594"/>
    </row>
    <row r="2590" spans="16:16">
      <c r="P2590" s="594"/>
    </row>
    <row r="2591" spans="16:16">
      <c r="P2591" s="594"/>
    </row>
    <row r="2592" spans="16:16">
      <c r="P2592" s="594"/>
    </row>
    <row r="2593" spans="16:16">
      <c r="P2593" s="594"/>
    </row>
    <row r="2594" spans="16:16">
      <c r="P2594" s="594"/>
    </row>
    <row r="2595" spans="16:16">
      <c r="P2595" s="594"/>
    </row>
    <row r="2596" spans="16:16">
      <c r="P2596" s="594"/>
    </row>
    <row r="2597" spans="16:16">
      <c r="P2597" s="594"/>
    </row>
    <row r="2598" spans="16:16">
      <c r="P2598" s="594"/>
    </row>
    <row r="2599" spans="16:16">
      <c r="P2599" s="594"/>
    </row>
    <row r="2600" spans="16:16">
      <c r="P2600" s="594"/>
    </row>
    <row r="2601" spans="16:16">
      <c r="P2601" s="594"/>
    </row>
    <row r="2602" spans="16:16">
      <c r="P2602" s="594"/>
    </row>
    <row r="2603" spans="16:16">
      <c r="P2603" s="594"/>
    </row>
    <row r="2604" spans="16:16">
      <c r="P2604" s="594"/>
    </row>
    <row r="2605" spans="16:16">
      <c r="P2605" s="594"/>
    </row>
    <row r="2606" spans="16:16">
      <c r="P2606" s="594"/>
    </row>
    <row r="2607" spans="16:16">
      <c r="P2607" s="594"/>
    </row>
    <row r="2608" spans="16:16">
      <c r="P2608" s="594"/>
    </row>
    <row r="2609" spans="16:16">
      <c r="P2609" s="594"/>
    </row>
    <row r="2610" spans="16:16">
      <c r="P2610" s="594"/>
    </row>
    <row r="2611" spans="16:16">
      <c r="P2611" s="594"/>
    </row>
    <row r="2612" spans="16:16">
      <c r="P2612" s="594"/>
    </row>
    <row r="2613" spans="16:16">
      <c r="P2613" s="594"/>
    </row>
    <row r="2614" spans="16:16">
      <c r="P2614" s="594"/>
    </row>
    <row r="2615" spans="16:16">
      <c r="P2615" s="594"/>
    </row>
    <row r="2616" spans="16:16">
      <c r="P2616" s="594"/>
    </row>
    <row r="2617" spans="16:16">
      <c r="P2617" s="594"/>
    </row>
    <row r="2618" spans="16:16">
      <c r="P2618" s="594"/>
    </row>
    <row r="2619" spans="16:16">
      <c r="P2619" s="594"/>
    </row>
    <row r="2620" spans="16:16">
      <c r="P2620" s="594"/>
    </row>
    <row r="2621" spans="16:16">
      <c r="P2621" s="594"/>
    </row>
    <row r="2622" spans="16:16">
      <c r="P2622" s="594"/>
    </row>
    <row r="2623" spans="16:16">
      <c r="P2623" s="594"/>
    </row>
    <row r="2624" spans="16:16">
      <c r="P2624" s="594"/>
    </row>
    <row r="2625" spans="16:16">
      <c r="P2625" s="594"/>
    </row>
    <row r="2626" spans="16:16">
      <c r="P2626" s="594"/>
    </row>
    <row r="2627" spans="16:16">
      <c r="P2627" s="594"/>
    </row>
    <row r="2628" spans="16:16">
      <c r="P2628" s="594"/>
    </row>
    <row r="2629" spans="16:16">
      <c r="P2629" s="594"/>
    </row>
    <row r="2630" spans="16:16">
      <c r="P2630" s="594"/>
    </row>
    <row r="2631" spans="16:16">
      <c r="P2631" s="594"/>
    </row>
    <row r="2632" spans="16:16">
      <c r="P2632" s="594"/>
    </row>
    <row r="2633" spans="16:16">
      <c r="P2633" s="594"/>
    </row>
    <row r="2634" spans="16:16">
      <c r="P2634" s="594"/>
    </row>
    <row r="2635" spans="16:16">
      <c r="P2635" s="594"/>
    </row>
    <row r="2636" spans="16:16">
      <c r="P2636" s="594"/>
    </row>
    <row r="2637" spans="16:16">
      <c r="P2637" s="594"/>
    </row>
    <row r="2638" spans="16:16">
      <c r="P2638" s="594"/>
    </row>
    <row r="2639" spans="16:16">
      <c r="P2639" s="594"/>
    </row>
    <row r="2640" spans="16:16">
      <c r="P2640" s="594"/>
    </row>
    <row r="2641" spans="16:16">
      <c r="P2641" s="594"/>
    </row>
    <row r="2642" spans="16:16">
      <c r="P2642" s="594"/>
    </row>
    <row r="2643" spans="16:16">
      <c r="P2643" s="594"/>
    </row>
    <row r="2644" spans="16:16">
      <c r="P2644" s="594"/>
    </row>
    <row r="2645" spans="16:16">
      <c r="P2645" s="594"/>
    </row>
    <row r="2646" spans="16:16">
      <c r="P2646" s="594"/>
    </row>
    <row r="2647" spans="16:16">
      <c r="P2647" s="594"/>
    </row>
    <row r="2648" spans="16:16">
      <c r="P2648" s="594"/>
    </row>
    <row r="2649" spans="16:16">
      <c r="P2649" s="594"/>
    </row>
    <row r="2650" spans="16:16">
      <c r="P2650" s="594"/>
    </row>
    <row r="2651" spans="16:16">
      <c r="P2651" s="594"/>
    </row>
    <row r="2652" spans="16:16">
      <c r="P2652" s="594"/>
    </row>
    <row r="2653" spans="16:16">
      <c r="P2653" s="594"/>
    </row>
    <row r="2654" spans="16:16">
      <c r="P2654" s="594"/>
    </row>
    <row r="2655" spans="16:16">
      <c r="P2655" s="594"/>
    </row>
    <row r="2656" spans="16:16">
      <c r="P2656" s="594"/>
    </row>
    <row r="2657" spans="16:16">
      <c r="P2657" s="594"/>
    </row>
    <row r="2658" spans="16:16">
      <c r="P2658" s="594"/>
    </row>
    <row r="2659" spans="16:16">
      <c r="P2659" s="594"/>
    </row>
    <row r="2660" spans="16:16">
      <c r="P2660" s="594"/>
    </row>
    <row r="2661" spans="16:16">
      <c r="P2661" s="594"/>
    </row>
    <row r="2662" spans="16:16">
      <c r="P2662" s="594"/>
    </row>
    <row r="2663" spans="16:16">
      <c r="P2663" s="594"/>
    </row>
    <row r="2664" spans="16:16">
      <c r="P2664" s="594"/>
    </row>
    <row r="2665" spans="16:16">
      <c r="P2665" s="594"/>
    </row>
    <row r="2666" spans="16:16">
      <c r="P2666" s="594"/>
    </row>
    <row r="2667" spans="16:16">
      <c r="P2667" s="594"/>
    </row>
    <row r="2668" spans="16:16">
      <c r="P2668" s="594"/>
    </row>
    <row r="2669" spans="16:16">
      <c r="P2669" s="594"/>
    </row>
    <row r="2670" spans="16:16">
      <c r="P2670" s="594"/>
    </row>
    <row r="2671" spans="16:16">
      <c r="P2671" s="594"/>
    </row>
    <row r="2672" spans="16:16">
      <c r="P2672" s="594"/>
    </row>
    <row r="2673" spans="16:16">
      <c r="P2673" s="594"/>
    </row>
    <row r="2674" spans="16:16">
      <c r="P2674" s="594"/>
    </row>
    <row r="2675" spans="16:16">
      <c r="P2675" s="594"/>
    </row>
    <row r="2676" spans="16:16">
      <c r="P2676" s="594"/>
    </row>
    <row r="2677" spans="16:16">
      <c r="P2677" s="594"/>
    </row>
    <row r="2678" spans="16:16">
      <c r="P2678" s="594"/>
    </row>
    <row r="2679" spans="16:16">
      <c r="P2679" s="594"/>
    </row>
    <row r="2680" spans="16:16">
      <c r="P2680" s="594"/>
    </row>
    <row r="2681" spans="16:16">
      <c r="P2681" s="594"/>
    </row>
    <row r="2682" spans="16:16">
      <c r="P2682" s="594"/>
    </row>
    <row r="2683" spans="16:16">
      <c r="P2683" s="594"/>
    </row>
    <row r="2684" spans="16:16">
      <c r="P2684" s="594"/>
    </row>
    <row r="2685" spans="16:16">
      <c r="P2685" s="594"/>
    </row>
    <row r="2686" spans="16:16">
      <c r="P2686" s="594"/>
    </row>
    <row r="2687" spans="16:16">
      <c r="P2687" s="594"/>
    </row>
    <row r="2688" spans="16:16">
      <c r="P2688" s="594"/>
    </row>
    <row r="2689" spans="16:16">
      <c r="P2689" s="594"/>
    </row>
    <row r="2690" spans="16:16">
      <c r="P2690" s="594"/>
    </row>
    <row r="2691" spans="16:16">
      <c r="P2691" s="594"/>
    </row>
    <row r="2692" spans="16:16">
      <c r="P2692" s="594"/>
    </row>
    <row r="2693" spans="16:16">
      <c r="P2693" s="594"/>
    </row>
    <row r="2694" spans="16:16">
      <c r="P2694" s="594"/>
    </row>
    <row r="2695" spans="16:16">
      <c r="P2695" s="594"/>
    </row>
    <row r="2696" spans="16:16">
      <c r="P2696" s="594"/>
    </row>
    <row r="2697" spans="16:16">
      <c r="P2697" s="594"/>
    </row>
    <row r="2698" spans="16:16">
      <c r="P2698" s="594"/>
    </row>
    <row r="2699" spans="16:16">
      <c r="P2699" s="594"/>
    </row>
    <row r="2700" spans="16:16">
      <c r="P2700" s="594"/>
    </row>
    <row r="2701" spans="16:16">
      <c r="P2701" s="594"/>
    </row>
    <row r="2702" spans="16:16">
      <c r="P2702" s="594"/>
    </row>
    <row r="2703" spans="16:16">
      <c r="P2703" s="594"/>
    </row>
    <row r="2704" spans="16:16">
      <c r="P2704" s="594"/>
    </row>
    <row r="2705" spans="16:16">
      <c r="P2705" s="594"/>
    </row>
    <row r="2706" spans="16:16">
      <c r="P2706" s="594"/>
    </row>
    <row r="2707" spans="16:16">
      <c r="P2707" s="594"/>
    </row>
    <row r="2708" spans="16:16">
      <c r="P2708" s="594"/>
    </row>
    <row r="2709" spans="16:16">
      <c r="P2709" s="594"/>
    </row>
    <row r="2710" spans="16:16">
      <c r="P2710" s="594"/>
    </row>
    <row r="2711" spans="16:16">
      <c r="P2711" s="594"/>
    </row>
    <row r="2712" spans="16:16">
      <c r="P2712" s="594"/>
    </row>
    <row r="2713" spans="16:16">
      <c r="P2713" s="594"/>
    </row>
    <row r="2714" spans="16:16">
      <c r="P2714" s="594"/>
    </row>
    <row r="2715" spans="16:16">
      <c r="P2715" s="594"/>
    </row>
    <row r="2716" spans="16:16">
      <c r="P2716" s="594"/>
    </row>
    <row r="2717" spans="16:16">
      <c r="P2717" s="594"/>
    </row>
    <row r="2718" spans="16:16">
      <c r="P2718" s="594"/>
    </row>
    <row r="2719" spans="16:16">
      <c r="P2719" s="594"/>
    </row>
    <row r="2720" spans="16:16">
      <c r="P2720" s="594"/>
    </row>
    <row r="2721" spans="16:16">
      <c r="P2721" s="594"/>
    </row>
    <row r="2722" spans="16:16">
      <c r="P2722" s="594"/>
    </row>
    <row r="2723" spans="16:16">
      <c r="P2723" s="594"/>
    </row>
    <row r="2724" spans="16:16">
      <c r="P2724" s="594"/>
    </row>
    <row r="2725" spans="16:16">
      <c r="P2725" s="594"/>
    </row>
    <row r="2726" spans="16:16">
      <c r="P2726" s="594"/>
    </row>
    <row r="2727" spans="16:16">
      <c r="P2727" s="594"/>
    </row>
    <row r="2728" spans="16:16">
      <c r="P2728" s="594"/>
    </row>
    <row r="2729" spans="16:16">
      <c r="P2729" s="594"/>
    </row>
    <row r="2730" spans="16:16">
      <c r="P2730" s="594"/>
    </row>
    <row r="2731" spans="16:16">
      <c r="P2731" s="594"/>
    </row>
    <row r="2732" spans="16:16">
      <c r="P2732" s="594"/>
    </row>
    <row r="2733" spans="16:16">
      <c r="P2733" s="594"/>
    </row>
    <row r="2734" spans="16:16">
      <c r="P2734" s="594"/>
    </row>
    <row r="2735" spans="16:16">
      <c r="P2735" s="594"/>
    </row>
    <row r="2736" spans="16:16">
      <c r="P2736" s="594"/>
    </row>
    <row r="2737" spans="16:16">
      <c r="P2737" s="594"/>
    </row>
    <row r="2738" spans="16:16">
      <c r="P2738" s="594"/>
    </row>
    <row r="2739" spans="16:16">
      <c r="P2739" s="594"/>
    </row>
    <row r="2740" spans="16:16">
      <c r="P2740" s="594"/>
    </row>
    <row r="2741" spans="16:16">
      <c r="P2741" s="594"/>
    </row>
    <row r="2742" spans="16:16">
      <c r="P2742" s="594"/>
    </row>
    <row r="2743" spans="16:16">
      <c r="P2743" s="594"/>
    </row>
    <row r="2744" spans="16:16">
      <c r="P2744" s="594"/>
    </row>
    <row r="2745" spans="16:16">
      <c r="P2745" s="594"/>
    </row>
    <row r="2746" spans="16:16">
      <c r="P2746" s="594"/>
    </row>
    <row r="2747" spans="16:16">
      <c r="P2747" s="594"/>
    </row>
    <row r="2748" spans="16:16">
      <c r="P2748" s="594"/>
    </row>
    <row r="2749" spans="16:16">
      <c r="P2749" s="594"/>
    </row>
    <row r="2750" spans="16:16">
      <c r="P2750" s="594"/>
    </row>
    <row r="2751" spans="16:16">
      <c r="P2751" s="594"/>
    </row>
    <row r="2752" spans="16:16">
      <c r="P2752" s="594"/>
    </row>
    <row r="2753" spans="16:16">
      <c r="P2753" s="594"/>
    </row>
    <row r="2754" spans="16:16">
      <c r="P2754" s="594"/>
    </row>
    <row r="2755" spans="16:16">
      <c r="P2755" s="594"/>
    </row>
    <row r="2756" spans="16:16">
      <c r="P2756" s="594"/>
    </row>
    <row r="2757" spans="16:16">
      <c r="P2757" s="594"/>
    </row>
    <row r="2758" spans="16:16">
      <c r="P2758" s="594"/>
    </row>
    <row r="2759" spans="16:16">
      <c r="P2759" s="594"/>
    </row>
    <row r="2760" spans="16:16">
      <c r="P2760" s="594"/>
    </row>
    <row r="2761" spans="16:16">
      <c r="P2761" s="594"/>
    </row>
    <row r="2762" spans="16:16">
      <c r="P2762" s="594"/>
    </row>
    <row r="2763" spans="16:16">
      <c r="P2763" s="594"/>
    </row>
    <row r="2764" spans="16:16">
      <c r="P2764" s="594"/>
    </row>
    <row r="2765" spans="16:16">
      <c r="P2765" s="594"/>
    </row>
    <row r="2766" spans="16:16">
      <c r="P2766" s="594"/>
    </row>
    <row r="2767" spans="16:16">
      <c r="P2767" s="594"/>
    </row>
    <row r="2768" spans="16:16">
      <c r="P2768" s="594"/>
    </row>
    <row r="2769" spans="16:16">
      <c r="P2769" s="594"/>
    </row>
    <row r="2770" spans="16:16">
      <c r="P2770" s="594"/>
    </row>
    <row r="2771" spans="16:16">
      <c r="P2771" s="594"/>
    </row>
    <row r="2772" spans="16:16">
      <c r="P2772" s="594"/>
    </row>
    <row r="2773" spans="16:16">
      <c r="P2773" s="594"/>
    </row>
    <row r="2774" spans="16:16">
      <c r="P2774" s="594"/>
    </row>
    <row r="2775" spans="16:16">
      <c r="P2775" s="594"/>
    </row>
    <row r="2776" spans="16:16">
      <c r="P2776" s="594"/>
    </row>
    <row r="2777" spans="16:16">
      <c r="P2777" s="594"/>
    </row>
    <row r="2778" spans="16:16">
      <c r="P2778" s="594"/>
    </row>
    <row r="2779" spans="16:16">
      <c r="P2779" s="594"/>
    </row>
    <row r="2780" spans="16:16">
      <c r="P2780" s="594"/>
    </row>
    <row r="2781" spans="16:16">
      <c r="P2781" s="594"/>
    </row>
    <row r="2782" spans="16:16">
      <c r="P2782" s="594"/>
    </row>
    <row r="2783" spans="16:16">
      <c r="P2783" s="594"/>
    </row>
    <row r="2784" spans="16:16">
      <c r="P2784" s="594"/>
    </row>
    <row r="2785" spans="16:16">
      <c r="P2785" s="594"/>
    </row>
    <row r="2786" spans="16:16">
      <c r="P2786" s="594"/>
    </row>
    <row r="2787" spans="16:16">
      <c r="P2787" s="594"/>
    </row>
    <row r="2788" spans="16:16">
      <c r="P2788" s="594"/>
    </row>
    <row r="2789" spans="16:16">
      <c r="P2789" s="594"/>
    </row>
    <row r="2790" spans="16:16">
      <c r="P2790" s="594"/>
    </row>
    <row r="2791" spans="16:16">
      <c r="P2791" s="594"/>
    </row>
    <row r="2792" spans="16:16">
      <c r="P2792" s="594"/>
    </row>
    <row r="2793" spans="16:16">
      <c r="P2793" s="594"/>
    </row>
    <row r="2794" spans="16:16">
      <c r="P2794" s="594"/>
    </row>
    <row r="2795" spans="16:16">
      <c r="P2795" s="594"/>
    </row>
    <row r="2796" spans="16:16">
      <c r="P2796" s="594"/>
    </row>
    <row r="2797" spans="16:16">
      <c r="P2797" s="594"/>
    </row>
    <row r="2798" spans="16:16">
      <c r="P2798" s="594"/>
    </row>
    <row r="2799" spans="16:16">
      <c r="P2799" s="594"/>
    </row>
    <row r="2800" spans="16:16">
      <c r="P2800" s="594"/>
    </row>
    <row r="2801" spans="16:16">
      <c r="P2801" s="594"/>
    </row>
    <row r="2802" spans="16:16">
      <c r="P2802" s="594"/>
    </row>
    <row r="2803" spans="16:16">
      <c r="P2803" s="594"/>
    </row>
    <row r="2804" spans="16:16">
      <c r="P2804" s="594"/>
    </row>
    <row r="2805" spans="16:16">
      <c r="P2805" s="594"/>
    </row>
    <row r="2806" spans="16:16">
      <c r="P2806" s="594"/>
    </row>
    <row r="2807" spans="16:16">
      <c r="P2807" s="594"/>
    </row>
    <row r="2808" spans="16:16">
      <c r="P2808" s="594"/>
    </row>
    <row r="2809" spans="16:16">
      <c r="P2809" s="594"/>
    </row>
    <row r="2810" spans="16:16">
      <c r="P2810" s="594"/>
    </row>
    <row r="2811" spans="16:16">
      <c r="P2811" s="594"/>
    </row>
    <row r="2812" spans="16:16">
      <c r="P2812" s="594"/>
    </row>
    <row r="2813" spans="16:16">
      <c r="P2813" s="594"/>
    </row>
    <row r="2814" spans="16:16">
      <c r="P2814" s="594"/>
    </row>
    <row r="2815" spans="16:16">
      <c r="P2815" s="594"/>
    </row>
    <row r="2816" spans="16:16">
      <c r="P2816" s="594"/>
    </row>
    <row r="2817" spans="16:16">
      <c r="P2817" s="594"/>
    </row>
    <row r="2818" spans="16:16">
      <c r="P2818" s="594"/>
    </row>
    <row r="2819" spans="16:16">
      <c r="P2819" s="594"/>
    </row>
    <row r="2820" spans="16:16">
      <c r="P2820" s="594"/>
    </row>
    <row r="2821" spans="16:16">
      <c r="P2821" s="594"/>
    </row>
    <row r="2822" spans="16:16">
      <c r="P2822" s="594"/>
    </row>
    <row r="2823" spans="16:16">
      <c r="P2823" s="594"/>
    </row>
    <row r="2824" spans="16:16">
      <c r="P2824" s="594"/>
    </row>
    <row r="2825" spans="16:16">
      <c r="P2825" s="594"/>
    </row>
    <row r="2826" spans="16:16">
      <c r="P2826" s="594"/>
    </row>
    <row r="2827" spans="16:16">
      <c r="P2827" s="594"/>
    </row>
    <row r="2828" spans="16:16">
      <c r="P2828" s="594"/>
    </row>
    <row r="2829" spans="16:16">
      <c r="P2829" s="594"/>
    </row>
    <row r="2830" spans="16:16">
      <c r="P2830" s="594"/>
    </row>
    <row r="2831" spans="16:16">
      <c r="P2831" s="594"/>
    </row>
    <row r="2832" spans="16:16">
      <c r="P2832" s="594"/>
    </row>
    <row r="2833" spans="16:16">
      <c r="P2833" s="594"/>
    </row>
    <row r="2834" spans="16:16">
      <c r="P2834" s="594"/>
    </row>
    <row r="2835" spans="16:16">
      <c r="P2835" s="594"/>
    </row>
    <row r="2836" spans="16:16">
      <c r="P2836" s="594"/>
    </row>
    <row r="2837" spans="16:16">
      <c r="P2837" s="594"/>
    </row>
    <row r="2838" spans="16:16">
      <c r="P2838" s="594"/>
    </row>
    <row r="2839" spans="16:16">
      <c r="P2839" s="594"/>
    </row>
    <row r="2840" spans="16:16">
      <c r="P2840" s="594"/>
    </row>
    <row r="2841" spans="16:16">
      <c r="P2841" s="594"/>
    </row>
    <row r="2842" spans="16:16">
      <c r="P2842" s="594"/>
    </row>
    <row r="2843" spans="16:16">
      <c r="P2843" s="594"/>
    </row>
    <row r="2844" spans="16:16">
      <c r="P2844" s="594"/>
    </row>
    <row r="2845" spans="16:16">
      <c r="P2845" s="594"/>
    </row>
    <row r="2846" spans="16:16">
      <c r="P2846" s="594"/>
    </row>
    <row r="2847" spans="16:16">
      <c r="P2847" s="594"/>
    </row>
    <row r="2848" spans="16:16">
      <c r="P2848" s="594"/>
    </row>
    <row r="2849" spans="16:16">
      <c r="P2849" s="594"/>
    </row>
    <row r="2850" spans="16:16">
      <c r="P2850" s="594"/>
    </row>
    <row r="2851" spans="16:16">
      <c r="P2851" s="594"/>
    </row>
    <row r="2852" spans="16:16">
      <c r="P2852" s="594"/>
    </row>
    <row r="2853" spans="16:16">
      <c r="P2853" s="594"/>
    </row>
    <row r="2854" spans="16:16">
      <c r="P2854" s="594"/>
    </row>
    <row r="2855" spans="16:16">
      <c r="P2855" s="594"/>
    </row>
    <row r="2856" spans="16:16">
      <c r="P2856" s="594"/>
    </row>
    <row r="2857" spans="16:16">
      <c r="P2857" s="594"/>
    </row>
    <row r="2858" spans="16:16">
      <c r="P2858" s="594"/>
    </row>
    <row r="2859" spans="16:16">
      <c r="P2859" s="594"/>
    </row>
    <row r="2860" spans="16:16">
      <c r="P2860" s="594"/>
    </row>
    <row r="2861" spans="16:16">
      <c r="P2861" s="594"/>
    </row>
    <row r="2862" spans="16:16">
      <c r="P2862" s="594"/>
    </row>
    <row r="2863" spans="16:16">
      <c r="P2863" s="594"/>
    </row>
    <row r="2864" spans="16:16">
      <c r="P2864" s="594"/>
    </row>
    <row r="2865" spans="16:16">
      <c r="P2865" s="594"/>
    </row>
    <row r="2866" spans="16:16">
      <c r="P2866" s="594"/>
    </row>
    <row r="2867" spans="16:16">
      <c r="P2867" s="594"/>
    </row>
    <row r="2868" spans="16:16">
      <c r="P2868" s="594"/>
    </row>
    <row r="2869" spans="16:16">
      <c r="P2869" s="594"/>
    </row>
    <row r="2870" spans="16:16">
      <c r="P2870" s="594"/>
    </row>
    <row r="2871" spans="16:16">
      <c r="P2871" s="594"/>
    </row>
    <row r="2872" spans="16:16">
      <c r="P2872" s="594"/>
    </row>
    <row r="2873" spans="16:16">
      <c r="P2873" s="594"/>
    </row>
    <row r="2874" spans="16:16">
      <c r="P2874" s="594"/>
    </row>
    <row r="2875" spans="16:16">
      <c r="P2875" s="594"/>
    </row>
    <row r="2876" spans="16:16">
      <c r="P2876" s="594"/>
    </row>
    <row r="2877" spans="16:16">
      <c r="P2877" s="594"/>
    </row>
    <row r="2878" spans="16:16">
      <c r="P2878" s="594"/>
    </row>
    <row r="2879" spans="16:16">
      <c r="P2879" s="594"/>
    </row>
    <row r="2880" spans="16:16">
      <c r="P2880" s="594"/>
    </row>
    <row r="2881" spans="16:16">
      <c r="P2881" s="594"/>
    </row>
    <row r="2882" spans="16:16">
      <c r="P2882" s="594"/>
    </row>
    <row r="2883" spans="16:16">
      <c r="P2883" s="594"/>
    </row>
    <row r="2884" spans="16:16">
      <c r="P2884" s="594"/>
    </row>
    <row r="2885" spans="16:16">
      <c r="P2885" s="594"/>
    </row>
    <row r="2886" spans="16:16">
      <c r="P2886" s="594"/>
    </row>
    <row r="2887" spans="16:16">
      <c r="P2887" s="594"/>
    </row>
    <row r="2888" spans="16:16">
      <c r="P2888" s="594"/>
    </row>
    <row r="2889" spans="16:16">
      <c r="P2889" s="594"/>
    </row>
    <row r="2890" spans="16:16">
      <c r="P2890" s="594"/>
    </row>
    <row r="2891" spans="16:16">
      <c r="P2891" s="594"/>
    </row>
    <row r="2892" spans="16:16">
      <c r="P2892" s="594"/>
    </row>
    <row r="2893" spans="16:16">
      <c r="P2893" s="594"/>
    </row>
    <row r="2894" spans="16:16">
      <c r="P2894" s="594"/>
    </row>
    <row r="2895" spans="16:16">
      <c r="P2895" s="594"/>
    </row>
    <row r="2896" spans="16:16">
      <c r="P2896" s="594"/>
    </row>
    <row r="2897" spans="16:16">
      <c r="P2897" s="594"/>
    </row>
    <row r="2898" spans="16:16">
      <c r="P2898" s="594"/>
    </row>
    <row r="2899" spans="16:16">
      <c r="P2899" s="594"/>
    </row>
    <row r="2900" spans="16:16">
      <c r="P2900" s="594"/>
    </row>
    <row r="2901" spans="16:16">
      <c r="P2901" s="594"/>
    </row>
    <row r="2902" spans="16:16">
      <c r="P2902" s="594"/>
    </row>
    <row r="2903" spans="16:16">
      <c r="P2903" s="594"/>
    </row>
    <row r="2904" spans="16:16">
      <c r="P2904" s="594"/>
    </row>
    <row r="2905" spans="16:16">
      <c r="P2905" s="594"/>
    </row>
    <row r="2906" spans="16:16">
      <c r="P2906" s="594"/>
    </row>
    <row r="2907" spans="16:16">
      <c r="P2907" s="594"/>
    </row>
    <row r="2908" spans="16:16">
      <c r="P2908" s="594"/>
    </row>
    <row r="2909" spans="16:16">
      <c r="P2909" s="594"/>
    </row>
    <row r="2910" spans="16:16">
      <c r="P2910" s="594"/>
    </row>
    <row r="2911" spans="16:16">
      <c r="P2911" s="594"/>
    </row>
    <row r="2912" spans="16:16">
      <c r="P2912" s="594"/>
    </row>
    <row r="2913" spans="16:16">
      <c r="P2913" s="594"/>
    </row>
    <row r="2914" spans="16:16">
      <c r="P2914" s="594"/>
    </row>
    <row r="2915" spans="16:16">
      <c r="P2915" s="594"/>
    </row>
    <row r="2916" spans="16:16">
      <c r="P2916" s="594"/>
    </row>
    <row r="2917" spans="16:16">
      <c r="P2917" s="594"/>
    </row>
    <row r="2918" spans="16:16">
      <c r="P2918" s="594"/>
    </row>
    <row r="2919" spans="16:16">
      <c r="P2919" s="594"/>
    </row>
    <row r="2920" spans="16:16">
      <c r="P2920" s="594"/>
    </row>
    <row r="2921" spans="16:16">
      <c r="P2921" s="594"/>
    </row>
    <row r="2922" spans="16:16">
      <c r="P2922" s="594"/>
    </row>
    <row r="2923" spans="16:16">
      <c r="P2923" s="594"/>
    </row>
    <row r="2924" spans="16:16">
      <c r="P2924" s="594"/>
    </row>
    <row r="2925" spans="16:16">
      <c r="P2925" s="594"/>
    </row>
    <row r="2926" spans="16:16">
      <c r="P2926" s="594"/>
    </row>
    <row r="2927" spans="16:16">
      <c r="P2927" s="594"/>
    </row>
    <row r="2928" spans="16:16">
      <c r="P2928" s="594"/>
    </row>
    <row r="2929" spans="16:16">
      <c r="P2929" s="594"/>
    </row>
    <row r="2930" spans="16:16">
      <c r="P2930" s="594"/>
    </row>
    <row r="2931" spans="16:16">
      <c r="P2931" s="594"/>
    </row>
    <row r="2932" spans="16:16">
      <c r="P2932" s="594"/>
    </row>
    <row r="2933" spans="16:16">
      <c r="P2933" s="594"/>
    </row>
    <row r="2934" spans="16:16">
      <c r="P2934" s="594"/>
    </row>
    <row r="2935" spans="16:16">
      <c r="P2935" s="594"/>
    </row>
    <row r="2936" spans="16:16">
      <c r="P2936" s="594"/>
    </row>
    <row r="2937" spans="16:16">
      <c r="P2937" s="594"/>
    </row>
    <row r="2938" spans="16:16">
      <c r="P2938" s="594"/>
    </row>
    <row r="2939" spans="16:16">
      <c r="P2939" s="594"/>
    </row>
    <row r="2940" spans="16:16">
      <c r="P2940" s="594"/>
    </row>
    <row r="2941" spans="16:16">
      <c r="P2941" s="594"/>
    </row>
    <row r="2942" spans="16:16">
      <c r="P2942" s="594"/>
    </row>
    <row r="2943" spans="16:16">
      <c r="P2943" s="594"/>
    </row>
    <row r="2944" spans="16:16">
      <c r="P2944" s="594"/>
    </row>
    <row r="2945" spans="16:16">
      <c r="P2945" s="594"/>
    </row>
    <row r="2946" spans="16:16">
      <c r="P2946" s="594"/>
    </row>
    <row r="2947" spans="16:16">
      <c r="P2947" s="594"/>
    </row>
    <row r="2948" spans="16:16">
      <c r="P2948" s="594"/>
    </row>
    <row r="2949" spans="16:16">
      <c r="P2949" s="594"/>
    </row>
    <row r="2950" spans="16:16">
      <c r="P2950" s="594"/>
    </row>
    <row r="2951" spans="16:16">
      <c r="P2951" s="594"/>
    </row>
    <row r="2952" spans="16:16">
      <c r="P2952" s="594"/>
    </row>
    <row r="2953" spans="16:16">
      <c r="P2953" s="594"/>
    </row>
    <row r="2954" spans="16:16">
      <c r="P2954" s="594"/>
    </row>
    <row r="2955" spans="16:16">
      <c r="P2955" s="594"/>
    </row>
    <row r="2956" spans="16:16">
      <c r="P2956" s="594"/>
    </row>
    <row r="2957" spans="16:16">
      <c r="P2957" s="594"/>
    </row>
    <row r="2958" spans="16:16">
      <c r="P2958" s="594"/>
    </row>
    <row r="2959" spans="16:16">
      <c r="P2959" s="594"/>
    </row>
    <row r="2960" spans="16:16">
      <c r="P2960" s="594"/>
    </row>
    <row r="2961" spans="16:16">
      <c r="P2961" s="594"/>
    </row>
    <row r="2962" spans="16:16">
      <c r="P2962" s="594"/>
    </row>
    <row r="2963" spans="16:16">
      <c r="P2963" s="594"/>
    </row>
    <row r="2964" spans="16:16">
      <c r="P2964" s="594"/>
    </row>
    <row r="2965" spans="16:16">
      <c r="P2965" s="594"/>
    </row>
    <row r="2966" spans="16:16">
      <c r="P2966" s="594"/>
    </row>
    <row r="2967" spans="16:16">
      <c r="P2967" s="594"/>
    </row>
    <row r="2968" spans="16:16">
      <c r="P2968" s="594"/>
    </row>
    <row r="2969" spans="16:16">
      <c r="P2969" s="594"/>
    </row>
    <row r="2970" spans="16:16">
      <c r="P2970" s="594"/>
    </row>
    <row r="2971" spans="16:16">
      <c r="P2971" s="594"/>
    </row>
    <row r="2972" spans="16:16">
      <c r="P2972" s="594"/>
    </row>
    <row r="2973" spans="16:16">
      <c r="P2973" s="594"/>
    </row>
    <row r="2974" spans="16:16">
      <c r="P2974" s="594"/>
    </row>
    <row r="2975" spans="16:16">
      <c r="P2975" s="594"/>
    </row>
    <row r="2976" spans="16:16">
      <c r="P2976" s="594"/>
    </row>
    <row r="2977" spans="16:16">
      <c r="P2977" s="594"/>
    </row>
    <row r="2978" spans="16:16">
      <c r="P2978" s="594"/>
    </row>
    <row r="2979" spans="16:16">
      <c r="P2979" s="594"/>
    </row>
    <row r="2980" spans="16:16">
      <c r="P2980" s="594"/>
    </row>
    <row r="2981" spans="16:16">
      <c r="P2981" s="594"/>
    </row>
    <row r="2982" spans="16:16">
      <c r="P2982" s="594"/>
    </row>
    <row r="2983" spans="16:16">
      <c r="P2983" s="594"/>
    </row>
    <row r="2984" spans="16:16">
      <c r="P2984" s="594"/>
    </row>
    <row r="2985" spans="16:16">
      <c r="P2985" s="594"/>
    </row>
    <row r="2986" spans="16:16">
      <c r="P2986" s="594"/>
    </row>
    <row r="2987" spans="16:16">
      <c r="P2987" s="594"/>
    </row>
    <row r="2988" spans="16:16">
      <c r="P2988" s="594"/>
    </row>
    <row r="2989" spans="16:16">
      <c r="P2989" s="594"/>
    </row>
    <row r="2990" spans="16:16">
      <c r="P2990" s="594"/>
    </row>
    <row r="2991" spans="16:16">
      <c r="P2991" s="594"/>
    </row>
    <row r="2992" spans="16:16">
      <c r="P2992" s="594"/>
    </row>
    <row r="2993" spans="16:16">
      <c r="P2993" s="594"/>
    </row>
    <row r="2994" spans="16:16">
      <c r="P2994" s="594"/>
    </row>
    <row r="2995" spans="16:16">
      <c r="P2995" s="594"/>
    </row>
    <row r="2996" spans="16:16">
      <c r="P2996" s="594"/>
    </row>
    <row r="2997" spans="16:16">
      <c r="P2997" s="594"/>
    </row>
    <row r="2998" spans="16:16">
      <c r="P2998" s="594"/>
    </row>
    <row r="2999" spans="16:16">
      <c r="P2999" s="594"/>
    </row>
    <row r="3000" spans="16:16">
      <c r="P3000" s="594"/>
    </row>
    <row r="3001" spans="16:16">
      <c r="P3001" s="594"/>
    </row>
    <row r="3002" spans="16:16">
      <c r="P3002" s="594"/>
    </row>
    <row r="3003" spans="16:16">
      <c r="P3003" s="594"/>
    </row>
    <row r="3004" spans="16:16">
      <c r="P3004" s="594"/>
    </row>
    <row r="3005" spans="16:16">
      <c r="P3005" s="594"/>
    </row>
    <row r="3006" spans="16:16">
      <c r="P3006" s="594"/>
    </row>
    <row r="3007" spans="16:16">
      <c r="P3007" s="594"/>
    </row>
    <row r="3008" spans="16:16">
      <c r="P3008" s="594"/>
    </row>
    <row r="3009" spans="16:16">
      <c r="P3009" s="594"/>
    </row>
    <row r="3010" spans="16:16">
      <c r="P3010" s="594"/>
    </row>
    <row r="3011" spans="16:16">
      <c r="P3011" s="594"/>
    </row>
    <row r="3012" spans="16:16">
      <c r="P3012" s="594"/>
    </row>
    <row r="3013" spans="16:16">
      <c r="P3013" s="594"/>
    </row>
    <row r="3014" spans="16:16">
      <c r="P3014" s="594"/>
    </row>
    <row r="3015" spans="16:16">
      <c r="P3015" s="594"/>
    </row>
    <row r="3016" spans="16:16">
      <c r="P3016" s="594"/>
    </row>
    <row r="3017" spans="16:16">
      <c r="P3017" s="594"/>
    </row>
    <row r="3018" spans="16:16">
      <c r="P3018" s="594"/>
    </row>
    <row r="3019" spans="16:16">
      <c r="P3019" s="594"/>
    </row>
    <row r="3020" spans="16:16">
      <c r="P3020" s="594"/>
    </row>
    <row r="3021" spans="16:16">
      <c r="P3021" s="594"/>
    </row>
    <row r="3022" spans="16:16">
      <c r="P3022" s="594"/>
    </row>
    <row r="3023" spans="16:16">
      <c r="P3023" s="594"/>
    </row>
    <row r="3024" spans="16:16">
      <c r="P3024" s="594"/>
    </row>
    <row r="3025" spans="16:16">
      <c r="P3025" s="594"/>
    </row>
    <row r="3026" spans="16:16">
      <c r="P3026" s="594"/>
    </row>
    <row r="3027" spans="16:16">
      <c r="P3027" s="594"/>
    </row>
    <row r="3028" spans="16:16">
      <c r="P3028" s="594"/>
    </row>
    <row r="3029" spans="16:16">
      <c r="P3029" s="594"/>
    </row>
    <row r="3030" spans="16:16">
      <c r="P3030" s="594"/>
    </row>
    <row r="3031" spans="16:16">
      <c r="P3031" s="594"/>
    </row>
    <row r="3032" spans="16:16">
      <c r="P3032" s="594"/>
    </row>
    <row r="3033" spans="16:16">
      <c r="P3033" s="594"/>
    </row>
    <row r="3034" spans="16:16">
      <c r="P3034" s="594"/>
    </row>
    <row r="3035" spans="16:16">
      <c r="P3035" s="594"/>
    </row>
    <row r="3036" spans="16:16">
      <c r="P3036" s="594"/>
    </row>
    <row r="3037" spans="16:16">
      <c r="P3037" s="594"/>
    </row>
    <row r="3038" spans="16:16">
      <c r="P3038" s="594"/>
    </row>
    <row r="3039" spans="16:16">
      <c r="P3039" s="594"/>
    </row>
    <row r="3040" spans="16:16">
      <c r="P3040" s="594"/>
    </row>
    <row r="3041" spans="16:16">
      <c r="P3041" s="594"/>
    </row>
    <row r="3042" spans="16:16">
      <c r="P3042" s="594"/>
    </row>
    <row r="3043" spans="16:16">
      <c r="P3043" s="594"/>
    </row>
    <row r="3044" spans="16:16">
      <c r="P3044" s="594"/>
    </row>
    <row r="3045" spans="16:16">
      <c r="P3045" s="594"/>
    </row>
    <row r="3046" spans="16:16">
      <c r="P3046" s="594"/>
    </row>
    <row r="3047" spans="16:16">
      <c r="P3047" s="594"/>
    </row>
    <row r="3048" spans="16:16">
      <c r="P3048" s="594"/>
    </row>
    <row r="3049" spans="16:16">
      <c r="P3049" s="594"/>
    </row>
    <row r="3050" spans="16:16">
      <c r="P3050" s="594"/>
    </row>
    <row r="3051" spans="16:16">
      <c r="P3051" s="594"/>
    </row>
    <row r="3052" spans="16:16">
      <c r="P3052" s="594"/>
    </row>
    <row r="3053" spans="16:16">
      <c r="P3053" s="594"/>
    </row>
    <row r="3054" spans="16:16">
      <c r="P3054" s="594"/>
    </row>
    <row r="3055" spans="16:16">
      <c r="P3055" s="594"/>
    </row>
    <row r="3056" spans="16:16">
      <c r="P3056" s="594"/>
    </row>
    <row r="3057" spans="16:16">
      <c r="P3057" s="594"/>
    </row>
    <row r="3058" spans="16:16">
      <c r="P3058" s="594"/>
    </row>
    <row r="3059" spans="16:16">
      <c r="P3059" s="594"/>
    </row>
    <row r="3060" spans="16:16">
      <c r="P3060" s="594"/>
    </row>
    <row r="3061" spans="16:16">
      <c r="P3061" s="594"/>
    </row>
    <row r="3062" spans="16:16">
      <c r="P3062" s="594"/>
    </row>
    <row r="3063" spans="16:16">
      <c r="P3063" s="594"/>
    </row>
    <row r="3064" spans="16:16">
      <c r="P3064" s="594"/>
    </row>
    <row r="3065" spans="16:16">
      <c r="P3065" s="594"/>
    </row>
    <row r="3066" spans="16:16">
      <c r="P3066" s="594"/>
    </row>
    <row r="3067" spans="16:16">
      <c r="P3067" s="594"/>
    </row>
    <row r="3068" spans="16:16">
      <c r="P3068" s="594"/>
    </row>
    <row r="3069" spans="16:16">
      <c r="P3069" s="594"/>
    </row>
    <row r="3070" spans="16:16">
      <c r="P3070" s="594"/>
    </row>
    <row r="3071" spans="16:16">
      <c r="P3071" s="594"/>
    </row>
    <row r="3072" spans="16:16">
      <c r="P3072" s="594"/>
    </row>
    <row r="3073" spans="16:16">
      <c r="P3073" s="594"/>
    </row>
    <row r="3074" spans="16:16">
      <c r="P3074" s="594"/>
    </row>
    <row r="3075" spans="16:16">
      <c r="P3075" s="594"/>
    </row>
    <row r="3076" spans="16:16">
      <c r="P3076" s="594"/>
    </row>
    <row r="3077" spans="16:16">
      <c r="P3077" s="594"/>
    </row>
    <row r="3078" spans="16:16">
      <c r="P3078" s="594"/>
    </row>
    <row r="3079" spans="16:16">
      <c r="P3079" s="594"/>
    </row>
    <row r="3080" spans="16:16">
      <c r="P3080" s="594"/>
    </row>
    <row r="3081" spans="16:16">
      <c r="P3081" s="594"/>
    </row>
    <row r="3082" spans="16:16">
      <c r="P3082" s="594"/>
    </row>
    <row r="3083" spans="16:16">
      <c r="P3083" s="594"/>
    </row>
    <row r="3084" spans="16:16">
      <c r="P3084" s="594"/>
    </row>
    <row r="3085" spans="16:16">
      <c r="P3085" s="594"/>
    </row>
    <row r="3086" spans="16:16">
      <c r="P3086" s="594"/>
    </row>
    <row r="3087" spans="16:16">
      <c r="P3087" s="594"/>
    </row>
    <row r="3088" spans="16:16">
      <c r="P3088" s="594"/>
    </row>
    <row r="3089" spans="16:16">
      <c r="P3089" s="594"/>
    </row>
    <row r="3090" spans="16:16">
      <c r="P3090" s="594"/>
    </row>
    <row r="3091" spans="16:16">
      <c r="P3091" s="594"/>
    </row>
    <row r="3092" spans="16:16">
      <c r="P3092" s="594"/>
    </row>
    <row r="3093" spans="16:16">
      <c r="P3093" s="594"/>
    </row>
    <row r="3094" spans="16:16">
      <c r="P3094" s="594"/>
    </row>
    <row r="3095" spans="16:16">
      <c r="P3095" s="594"/>
    </row>
    <row r="3096" spans="16:16">
      <c r="P3096" s="594"/>
    </row>
    <row r="3097" spans="16:16">
      <c r="P3097" s="594"/>
    </row>
    <row r="3098" spans="16:16">
      <c r="P3098" s="594"/>
    </row>
    <row r="3099" spans="16:16">
      <c r="P3099" s="594"/>
    </row>
    <row r="3100" spans="16:16">
      <c r="P3100" s="594"/>
    </row>
    <row r="3101" spans="16:16">
      <c r="P3101" s="594"/>
    </row>
    <row r="3102" spans="16:16">
      <c r="P3102" s="594"/>
    </row>
    <row r="3103" spans="16:16">
      <c r="P3103" s="594"/>
    </row>
    <row r="3104" spans="16:16">
      <c r="P3104" s="594"/>
    </row>
    <row r="3105" spans="16:16">
      <c r="P3105" s="594"/>
    </row>
    <row r="3106" spans="16:16">
      <c r="P3106" s="594"/>
    </row>
    <row r="3107" spans="16:16">
      <c r="P3107" s="594"/>
    </row>
    <row r="3108" spans="16:16">
      <c r="P3108" s="594"/>
    </row>
    <row r="3109" spans="16:16">
      <c r="P3109" s="594"/>
    </row>
    <row r="3110" spans="16:16">
      <c r="P3110" s="594"/>
    </row>
    <row r="3111" spans="16:16">
      <c r="P3111" s="594"/>
    </row>
    <row r="3112" spans="16:16">
      <c r="P3112" s="594"/>
    </row>
    <row r="3113" spans="16:16">
      <c r="P3113" s="594"/>
    </row>
    <row r="3114" spans="16:16">
      <c r="P3114" s="594"/>
    </row>
    <row r="3115" spans="16:16">
      <c r="P3115" s="594"/>
    </row>
    <row r="3116" spans="16:16">
      <c r="P3116" s="594"/>
    </row>
    <row r="3117" spans="16:16">
      <c r="P3117" s="594"/>
    </row>
    <row r="3118" spans="16:16">
      <c r="P3118" s="594"/>
    </row>
    <row r="3119" spans="16:16">
      <c r="P3119" s="594"/>
    </row>
    <row r="3120" spans="16:16">
      <c r="P3120" s="594"/>
    </row>
    <row r="3121" spans="16:16">
      <c r="P3121" s="594"/>
    </row>
    <row r="3122" spans="16:16">
      <c r="P3122" s="594"/>
    </row>
    <row r="3123" spans="16:16">
      <c r="P3123" s="594"/>
    </row>
    <row r="3124" spans="16:16">
      <c r="P3124" s="594"/>
    </row>
    <row r="3125" spans="16:16">
      <c r="P3125" s="594"/>
    </row>
    <row r="3126" spans="16:16">
      <c r="P3126" s="594"/>
    </row>
    <row r="3127" spans="16:16">
      <c r="P3127" s="594"/>
    </row>
    <row r="3128" spans="16:16">
      <c r="P3128" s="594"/>
    </row>
    <row r="3129" spans="16:16">
      <c r="P3129" s="594"/>
    </row>
    <row r="3130" spans="16:16">
      <c r="P3130" s="594"/>
    </row>
    <row r="3131" spans="16:16">
      <c r="P3131" s="594"/>
    </row>
    <row r="3132" spans="16:16">
      <c r="P3132" s="594"/>
    </row>
    <row r="3133" spans="16:16">
      <c r="P3133" s="594"/>
    </row>
    <row r="3134" spans="16:16">
      <c r="P3134" s="594"/>
    </row>
    <row r="3135" spans="16:16">
      <c r="P3135" s="594"/>
    </row>
    <row r="3136" spans="16:16">
      <c r="P3136" s="594"/>
    </row>
    <row r="3137" spans="16:16">
      <c r="P3137" s="594"/>
    </row>
    <row r="3138" spans="16:16">
      <c r="P3138" s="594"/>
    </row>
    <row r="3139" spans="16:16">
      <c r="P3139" s="594"/>
    </row>
    <row r="3140" spans="16:16">
      <c r="P3140" s="594"/>
    </row>
    <row r="3141" spans="16:16">
      <c r="P3141" s="594"/>
    </row>
    <row r="3142" spans="16:16">
      <c r="P3142" s="594"/>
    </row>
    <row r="3143" spans="16:16">
      <c r="P3143" s="594"/>
    </row>
    <row r="3144" spans="16:16">
      <c r="P3144" s="594"/>
    </row>
    <row r="3145" spans="16:16">
      <c r="P3145" s="594"/>
    </row>
    <row r="3146" spans="16:16">
      <c r="P3146" s="594"/>
    </row>
    <row r="3147" spans="16:16">
      <c r="P3147" s="594"/>
    </row>
    <row r="3148" spans="16:16">
      <c r="P3148" s="594"/>
    </row>
    <row r="3149" spans="16:16">
      <c r="P3149" s="594"/>
    </row>
    <row r="3150" spans="16:16">
      <c r="P3150" s="594"/>
    </row>
    <row r="3151" spans="16:16">
      <c r="P3151" s="594"/>
    </row>
    <row r="3152" spans="16:16">
      <c r="P3152" s="594"/>
    </row>
    <row r="3153" spans="16:16">
      <c r="P3153" s="594"/>
    </row>
    <row r="3154" spans="16:16">
      <c r="P3154" s="594"/>
    </row>
    <row r="3155" spans="16:16">
      <c r="P3155" s="594"/>
    </row>
    <row r="3156" spans="16:16">
      <c r="P3156" s="594"/>
    </row>
    <row r="3157" spans="16:16">
      <c r="P3157" s="594"/>
    </row>
    <row r="3158" spans="16:16">
      <c r="P3158" s="594"/>
    </row>
    <row r="3159" spans="16:16">
      <c r="P3159" s="594"/>
    </row>
    <row r="3160" spans="16:16">
      <c r="P3160" s="594"/>
    </row>
    <row r="3161" spans="16:16">
      <c r="P3161" s="594"/>
    </row>
    <row r="3162" spans="16:16">
      <c r="P3162" s="594"/>
    </row>
    <row r="3163" spans="16:16">
      <c r="P3163" s="594"/>
    </row>
    <row r="3164" spans="16:16">
      <c r="P3164" s="594"/>
    </row>
    <row r="3165" spans="16:16">
      <c r="P3165" s="594"/>
    </row>
    <row r="3166" spans="16:16">
      <c r="P3166" s="594"/>
    </row>
    <row r="3167" spans="16:16">
      <c r="P3167" s="594"/>
    </row>
    <row r="3168" spans="16:16">
      <c r="P3168" s="594"/>
    </row>
    <row r="3169" spans="16:16">
      <c r="P3169" s="594"/>
    </row>
    <row r="3170" spans="16:16">
      <c r="P3170" s="594"/>
    </row>
    <row r="3171" spans="16:16">
      <c r="P3171" s="594"/>
    </row>
    <row r="3172" spans="16:16">
      <c r="P3172" s="594"/>
    </row>
    <row r="3173" spans="16:16">
      <c r="P3173" s="594"/>
    </row>
    <row r="3174" spans="16:16">
      <c r="P3174" s="594"/>
    </row>
    <row r="3175" spans="16:16">
      <c r="P3175" s="594"/>
    </row>
    <row r="3176" spans="16:16">
      <c r="P3176" s="594"/>
    </row>
    <row r="3177" spans="16:16">
      <c r="P3177" s="594"/>
    </row>
    <row r="3178" spans="16:16">
      <c r="P3178" s="594"/>
    </row>
    <row r="3179" spans="16:16">
      <c r="P3179" s="594"/>
    </row>
    <row r="3180" spans="16:16">
      <c r="P3180" s="594"/>
    </row>
    <row r="3181" spans="16:16">
      <c r="P3181" s="594"/>
    </row>
    <row r="3182" spans="16:16">
      <c r="P3182" s="594"/>
    </row>
    <row r="3183" spans="16:16">
      <c r="P3183" s="594"/>
    </row>
    <row r="3184" spans="16:16">
      <c r="P3184" s="594"/>
    </row>
    <row r="3185" spans="16:16">
      <c r="P3185" s="594"/>
    </row>
    <row r="3186" spans="16:16">
      <c r="P3186" s="594"/>
    </row>
    <row r="3187" spans="16:16">
      <c r="P3187" s="594"/>
    </row>
    <row r="3188" spans="16:16">
      <c r="P3188" s="594"/>
    </row>
    <row r="3189" spans="16:16">
      <c r="P3189" s="594"/>
    </row>
    <row r="3190" spans="16:16">
      <c r="P3190" s="594"/>
    </row>
    <row r="3191" spans="16:16">
      <c r="P3191" s="594"/>
    </row>
    <row r="3192" spans="16:16">
      <c r="P3192" s="594"/>
    </row>
    <row r="3193" spans="16:16">
      <c r="P3193" s="594"/>
    </row>
    <row r="3194" spans="16:16">
      <c r="P3194" s="594"/>
    </row>
    <row r="3195" spans="16:16">
      <c r="P3195" s="594"/>
    </row>
    <row r="3196" spans="16:16">
      <c r="P3196" s="594"/>
    </row>
    <row r="3197" spans="16:16">
      <c r="P3197" s="594"/>
    </row>
    <row r="3198" spans="16:16">
      <c r="P3198" s="594"/>
    </row>
    <row r="3199" spans="16:16">
      <c r="P3199" s="594"/>
    </row>
    <row r="3200" spans="16:16">
      <c r="P3200" s="594"/>
    </row>
    <row r="3201" spans="16:16">
      <c r="P3201" s="594"/>
    </row>
    <row r="3202" spans="16:16">
      <c r="P3202" s="594"/>
    </row>
    <row r="3203" spans="16:16">
      <c r="P3203" s="594"/>
    </row>
    <row r="3204" spans="16:16">
      <c r="P3204" s="594"/>
    </row>
    <row r="3205" spans="16:16">
      <c r="P3205" s="594"/>
    </row>
    <row r="3206" spans="16:16">
      <c r="P3206" s="594"/>
    </row>
    <row r="3207" spans="16:16">
      <c r="P3207" s="594"/>
    </row>
    <row r="3208" spans="16:16">
      <c r="P3208" s="594"/>
    </row>
    <row r="3209" spans="16:16">
      <c r="P3209" s="594"/>
    </row>
    <row r="3210" spans="16:16">
      <c r="P3210" s="594"/>
    </row>
    <row r="3211" spans="16:16">
      <c r="P3211" s="594"/>
    </row>
    <row r="3212" spans="16:16">
      <c r="P3212" s="594"/>
    </row>
    <row r="3213" spans="16:16">
      <c r="P3213" s="594"/>
    </row>
    <row r="3214" spans="16:16">
      <c r="P3214" s="594"/>
    </row>
    <row r="3215" spans="16:16">
      <c r="P3215" s="594"/>
    </row>
    <row r="3216" spans="16:16">
      <c r="P3216" s="594"/>
    </row>
    <row r="3217" spans="16:16">
      <c r="P3217" s="594"/>
    </row>
    <row r="3218" spans="16:16">
      <c r="P3218" s="594"/>
    </row>
    <row r="3219" spans="16:16">
      <c r="P3219" s="594"/>
    </row>
    <row r="3220" spans="16:16">
      <c r="P3220" s="594"/>
    </row>
    <row r="3221" spans="16:16">
      <c r="P3221" s="594"/>
    </row>
    <row r="3222" spans="16:16">
      <c r="P3222" s="594"/>
    </row>
    <row r="3223" spans="16:16">
      <c r="P3223" s="594"/>
    </row>
    <row r="3224" spans="16:16">
      <c r="P3224" s="594"/>
    </row>
    <row r="3225" spans="16:16">
      <c r="P3225" s="594"/>
    </row>
    <row r="3226" spans="16:16">
      <c r="P3226" s="594"/>
    </row>
    <row r="3227" spans="16:16">
      <c r="P3227" s="594"/>
    </row>
    <row r="3228" spans="16:16">
      <c r="P3228" s="594"/>
    </row>
    <row r="3229" spans="16:16">
      <c r="P3229" s="594"/>
    </row>
    <row r="3230" spans="16:16">
      <c r="P3230" s="594"/>
    </row>
    <row r="3231" spans="16:16">
      <c r="P3231" s="594"/>
    </row>
    <row r="3232" spans="16:16">
      <c r="P3232" s="594"/>
    </row>
    <row r="3233" spans="16:16">
      <c r="P3233" s="594"/>
    </row>
    <row r="3234" spans="16:16">
      <c r="P3234" s="594"/>
    </row>
    <row r="3235" spans="16:16">
      <c r="P3235" s="594"/>
    </row>
    <row r="3236" spans="16:16">
      <c r="P3236" s="594"/>
    </row>
    <row r="3237" spans="16:16">
      <c r="P3237" s="594"/>
    </row>
    <row r="3238" spans="16:16">
      <c r="P3238" s="594"/>
    </row>
    <row r="3239" spans="16:16">
      <c r="P3239" s="594"/>
    </row>
    <row r="3240" spans="16:16">
      <c r="P3240" s="594"/>
    </row>
    <row r="3241" spans="16:16">
      <c r="P3241" s="594"/>
    </row>
    <row r="3242" spans="16:16">
      <c r="P3242" s="594"/>
    </row>
    <row r="3243" spans="16:16">
      <c r="P3243" s="594"/>
    </row>
    <row r="3244" spans="16:16">
      <c r="P3244" s="594"/>
    </row>
    <row r="3245" spans="16:16">
      <c r="P3245" s="594"/>
    </row>
    <row r="3246" spans="16:16">
      <c r="P3246" s="594"/>
    </row>
    <row r="3247" spans="16:16">
      <c r="P3247" s="594"/>
    </row>
    <row r="3248" spans="16:16">
      <c r="P3248" s="594"/>
    </row>
    <row r="3249" spans="16:16">
      <c r="P3249" s="594"/>
    </row>
    <row r="3250" spans="16:16">
      <c r="P3250" s="594"/>
    </row>
    <row r="3251" spans="16:16">
      <c r="P3251" s="594"/>
    </row>
    <row r="3252" spans="16:16">
      <c r="P3252" s="594"/>
    </row>
    <row r="3253" spans="16:16">
      <c r="P3253" s="594"/>
    </row>
    <row r="3254" spans="16:16">
      <c r="P3254" s="594"/>
    </row>
    <row r="3255" spans="16:16">
      <c r="P3255" s="594"/>
    </row>
    <row r="3256" spans="16:16">
      <c r="P3256" s="594"/>
    </row>
    <row r="3257" spans="16:16">
      <c r="P3257" s="594"/>
    </row>
    <row r="3258" spans="16:16">
      <c r="P3258" s="594"/>
    </row>
    <row r="3259" spans="16:16">
      <c r="P3259" s="594"/>
    </row>
    <row r="3260" spans="16:16">
      <c r="P3260" s="594"/>
    </row>
    <row r="3261" spans="16:16">
      <c r="P3261" s="594"/>
    </row>
    <row r="3262" spans="16:16">
      <c r="P3262" s="594"/>
    </row>
    <row r="3263" spans="16:16">
      <c r="P3263" s="594"/>
    </row>
    <row r="3264" spans="16:16">
      <c r="P3264" s="594"/>
    </row>
    <row r="3265" spans="16:16">
      <c r="P3265" s="594"/>
    </row>
    <row r="3266" spans="16:16">
      <c r="P3266" s="594"/>
    </row>
    <row r="3267" spans="16:16">
      <c r="P3267" s="594"/>
    </row>
    <row r="3268" spans="16:16">
      <c r="P3268" s="594"/>
    </row>
    <row r="3269" spans="16:16">
      <c r="P3269" s="594"/>
    </row>
    <row r="3270" spans="16:16">
      <c r="P3270" s="594"/>
    </row>
    <row r="3271" spans="16:16">
      <c r="P3271" s="594"/>
    </row>
    <row r="3272" spans="16:16">
      <c r="P3272" s="594"/>
    </row>
    <row r="3273" spans="16:16">
      <c r="P3273" s="594"/>
    </row>
    <row r="3274" spans="16:16">
      <c r="P3274" s="594"/>
    </row>
    <row r="3275" spans="16:16">
      <c r="P3275" s="594"/>
    </row>
    <row r="3276" spans="16:16">
      <c r="P3276" s="594"/>
    </row>
    <row r="3277" spans="16:16">
      <c r="P3277" s="594"/>
    </row>
    <row r="3278" spans="16:16">
      <c r="P3278" s="594"/>
    </row>
    <row r="3279" spans="16:16">
      <c r="P3279" s="594"/>
    </row>
    <row r="3280" spans="16:16">
      <c r="P3280" s="594"/>
    </row>
    <row r="3281" spans="16:16">
      <c r="P3281" s="594"/>
    </row>
    <row r="3282" spans="16:16">
      <c r="P3282" s="594"/>
    </row>
    <row r="3283" spans="16:16">
      <c r="P3283" s="594"/>
    </row>
    <row r="3284" spans="16:16">
      <c r="P3284" s="594"/>
    </row>
    <row r="3285" spans="16:16">
      <c r="P3285" s="594"/>
    </row>
    <row r="3286" spans="16:16">
      <c r="P3286" s="594"/>
    </row>
    <row r="3287" spans="16:16">
      <c r="P3287" s="594"/>
    </row>
    <row r="3288" spans="16:16">
      <c r="P3288" s="594"/>
    </row>
    <row r="3289" spans="16:16">
      <c r="P3289" s="594"/>
    </row>
    <row r="3290" spans="16:16">
      <c r="P3290" s="594"/>
    </row>
    <row r="3291" spans="16:16">
      <c r="P3291" s="594"/>
    </row>
    <row r="3292" spans="16:16">
      <c r="P3292" s="594"/>
    </row>
    <row r="3293" spans="16:16">
      <c r="P3293" s="594"/>
    </row>
    <row r="3294" spans="16:16">
      <c r="P3294" s="594"/>
    </row>
    <row r="3295" spans="16:16">
      <c r="P3295" s="594"/>
    </row>
    <row r="3296" spans="16:16">
      <c r="P3296" s="594"/>
    </row>
    <row r="3297" spans="16:16">
      <c r="P3297" s="594"/>
    </row>
    <row r="3298" spans="16:16">
      <c r="P3298" s="594"/>
    </row>
    <row r="3299" spans="16:16">
      <c r="P3299" s="594"/>
    </row>
    <row r="3300" spans="16:16">
      <c r="P3300" s="594"/>
    </row>
    <row r="3301" spans="16:16">
      <c r="P3301" s="594"/>
    </row>
    <row r="3302" spans="16:16">
      <c r="P3302" s="594"/>
    </row>
    <row r="3303" spans="16:16">
      <c r="P3303" s="594"/>
    </row>
    <row r="3304" spans="16:16">
      <c r="P3304" s="594"/>
    </row>
    <row r="3305" spans="16:16">
      <c r="P3305" s="594"/>
    </row>
    <row r="3306" spans="16:16">
      <c r="P3306" s="594"/>
    </row>
    <row r="3307" spans="16:16">
      <c r="P3307" s="594"/>
    </row>
    <row r="3308" spans="16:16">
      <c r="P3308" s="594"/>
    </row>
    <row r="3309" spans="16:16">
      <c r="P3309" s="594"/>
    </row>
    <row r="3310" spans="16:16">
      <c r="P3310" s="594"/>
    </row>
    <row r="3311" spans="16:16">
      <c r="P3311" s="594"/>
    </row>
    <row r="3312" spans="16:16">
      <c r="P3312" s="594"/>
    </row>
    <row r="3313" spans="16:16">
      <c r="P3313" s="594"/>
    </row>
    <row r="3314" spans="16:16">
      <c r="P3314" s="594"/>
    </row>
    <row r="3315" spans="16:16">
      <c r="P3315" s="594"/>
    </row>
    <row r="3316" spans="16:16">
      <c r="P3316" s="594"/>
    </row>
    <row r="3317" spans="16:16">
      <c r="P3317" s="594"/>
    </row>
    <row r="3318" spans="16:16">
      <c r="P3318" s="594"/>
    </row>
    <row r="3319" spans="16:16">
      <c r="P3319" s="594"/>
    </row>
    <row r="3320" spans="16:16">
      <c r="P3320" s="594"/>
    </row>
    <row r="3321" spans="16:16">
      <c r="P3321" s="594"/>
    </row>
    <row r="3322" spans="16:16">
      <c r="P3322" s="594"/>
    </row>
    <row r="3323" spans="16:16">
      <c r="P3323" s="594"/>
    </row>
    <row r="3324" spans="16:16">
      <c r="P3324" s="594"/>
    </row>
    <row r="3325" spans="16:16">
      <c r="P3325" s="594"/>
    </row>
    <row r="3326" spans="16:16">
      <c r="P3326" s="594"/>
    </row>
    <row r="3327" spans="16:16">
      <c r="P3327" s="594"/>
    </row>
    <row r="3328" spans="16:16">
      <c r="P3328" s="594"/>
    </row>
    <row r="3329" spans="16:16">
      <c r="P3329" s="594"/>
    </row>
    <row r="3330" spans="16:16">
      <c r="P3330" s="594"/>
    </row>
    <row r="3331" spans="16:16">
      <c r="P3331" s="594"/>
    </row>
    <row r="3332" spans="16:16">
      <c r="P3332" s="594"/>
    </row>
    <row r="3333" spans="16:16">
      <c r="P3333" s="594"/>
    </row>
    <row r="3334" spans="16:16">
      <c r="P3334" s="594"/>
    </row>
    <row r="3335" spans="16:16">
      <c r="P3335" s="594"/>
    </row>
    <row r="3336" spans="16:16">
      <c r="P3336" s="594"/>
    </row>
    <row r="3337" spans="16:16">
      <c r="P3337" s="594"/>
    </row>
    <row r="3338" spans="16:16">
      <c r="P3338" s="594"/>
    </row>
    <row r="3339" spans="16:16">
      <c r="P3339" s="594"/>
    </row>
    <row r="3340" spans="16:16">
      <c r="P3340" s="594"/>
    </row>
    <row r="3341" spans="16:16">
      <c r="P3341" s="594"/>
    </row>
    <row r="3342" spans="16:16">
      <c r="P3342" s="594"/>
    </row>
    <row r="3343" spans="16:16">
      <c r="P3343" s="594"/>
    </row>
    <row r="3344" spans="16:16">
      <c r="P3344" s="594"/>
    </row>
    <row r="3345" spans="16:16">
      <c r="P3345" s="594"/>
    </row>
    <row r="3346" spans="16:16">
      <c r="P3346" s="594"/>
    </row>
    <row r="3347" spans="16:16">
      <c r="P3347" s="594"/>
    </row>
    <row r="3348" spans="16:16">
      <c r="P3348" s="594"/>
    </row>
    <row r="3349" spans="16:16">
      <c r="P3349" s="594"/>
    </row>
    <row r="3350" spans="16:16">
      <c r="P3350" s="594"/>
    </row>
    <row r="3351" spans="16:16">
      <c r="P3351" s="594"/>
    </row>
    <row r="3352" spans="16:16">
      <c r="P3352" s="594"/>
    </row>
    <row r="3353" spans="16:16">
      <c r="P3353" s="594"/>
    </row>
    <row r="3354" spans="16:16">
      <c r="P3354" s="594"/>
    </row>
    <row r="3355" spans="16:16">
      <c r="P3355" s="594"/>
    </row>
    <row r="3356" spans="16:16">
      <c r="P3356" s="594"/>
    </row>
    <row r="3357" spans="16:16">
      <c r="P3357" s="594"/>
    </row>
    <row r="3358" spans="16:16">
      <c r="P3358" s="594"/>
    </row>
    <row r="3359" spans="16:16">
      <c r="P3359" s="594"/>
    </row>
    <row r="3360" spans="16:16">
      <c r="P3360" s="594"/>
    </row>
    <row r="3361" spans="16:16">
      <c r="P3361" s="594"/>
    </row>
    <row r="3362" spans="16:16">
      <c r="P3362" s="594"/>
    </row>
    <row r="3363" spans="16:16">
      <c r="P3363" s="594"/>
    </row>
    <row r="3364" spans="16:16">
      <c r="P3364" s="594"/>
    </row>
    <row r="3365" spans="16:16">
      <c r="P3365" s="594"/>
    </row>
    <row r="3366" spans="16:16">
      <c r="P3366" s="594"/>
    </row>
    <row r="3367" spans="16:16">
      <c r="P3367" s="594"/>
    </row>
    <row r="3368" spans="16:16">
      <c r="P3368" s="594"/>
    </row>
    <row r="3369" spans="16:16">
      <c r="P3369" s="594"/>
    </row>
    <row r="3370" spans="16:16">
      <c r="P3370" s="594"/>
    </row>
    <row r="3371" spans="16:16">
      <c r="P3371" s="594"/>
    </row>
    <row r="3372" spans="16:16">
      <c r="P3372" s="594"/>
    </row>
    <row r="3373" spans="16:16">
      <c r="P3373" s="594"/>
    </row>
    <row r="3374" spans="16:16">
      <c r="P3374" s="594"/>
    </row>
    <row r="3375" spans="16:16">
      <c r="P3375" s="594"/>
    </row>
    <row r="3376" spans="16:16">
      <c r="P3376" s="594"/>
    </row>
    <row r="3377" spans="16:16">
      <c r="P3377" s="594"/>
    </row>
    <row r="3378" spans="16:16">
      <c r="P3378" s="594"/>
    </row>
    <row r="3379" spans="16:16">
      <c r="P3379" s="594"/>
    </row>
    <row r="3380" spans="16:16">
      <c r="P3380" s="594"/>
    </row>
    <row r="3381" spans="16:16">
      <c r="P3381" s="594"/>
    </row>
    <row r="3382" spans="16:16">
      <c r="P3382" s="594"/>
    </row>
    <row r="3383" spans="16:16">
      <c r="P3383" s="594"/>
    </row>
    <row r="3384" spans="16:16">
      <c r="P3384" s="594"/>
    </row>
    <row r="3385" spans="16:16">
      <c r="P3385" s="594"/>
    </row>
    <row r="3386" spans="16:16">
      <c r="P3386" s="594"/>
    </row>
    <row r="3387" spans="16:16">
      <c r="P3387" s="594"/>
    </row>
    <row r="3388" spans="16:16">
      <c r="P3388" s="594"/>
    </row>
    <row r="3389" spans="16:16">
      <c r="P3389" s="594"/>
    </row>
    <row r="3390" spans="16:16">
      <c r="P3390" s="594"/>
    </row>
    <row r="3391" spans="16:16">
      <c r="P3391" s="594"/>
    </row>
    <row r="3392" spans="16:16">
      <c r="P3392" s="594"/>
    </row>
    <row r="3393" spans="16:16">
      <c r="P3393" s="594"/>
    </row>
    <row r="3394" spans="16:16">
      <c r="P3394" s="594"/>
    </row>
    <row r="3395" spans="16:16">
      <c r="P3395" s="594"/>
    </row>
    <row r="3396" spans="16:16">
      <c r="P3396" s="594"/>
    </row>
    <row r="3397" spans="16:16">
      <c r="P3397" s="594"/>
    </row>
    <row r="3398" spans="16:16">
      <c r="P3398" s="594"/>
    </row>
    <row r="3399" spans="16:16">
      <c r="P3399" s="594"/>
    </row>
    <row r="3400" spans="16:16">
      <c r="P3400" s="594"/>
    </row>
    <row r="3401" spans="16:16">
      <c r="P3401" s="594"/>
    </row>
    <row r="3402" spans="16:16">
      <c r="P3402" s="594"/>
    </row>
    <row r="3403" spans="16:16">
      <c r="P3403" s="594"/>
    </row>
    <row r="3404" spans="16:16">
      <c r="P3404" s="594"/>
    </row>
    <row r="3405" spans="16:16">
      <c r="P3405" s="594"/>
    </row>
    <row r="3406" spans="16:16">
      <c r="P3406" s="594"/>
    </row>
    <row r="3407" spans="16:16">
      <c r="P3407" s="594"/>
    </row>
    <row r="3408" spans="16:16">
      <c r="P3408" s="594"/>
    </row>
    <row r="3409" spans="16:16">
      <c r="P3409" s="594"/>
    </row>
    <row r="3410" spans="16:16">
      <c r="P3410" s="594"/>
    </row>
    <row r="3411" spans="16:16">
      <c r="P3411" s="594"/>
    </row>
    <row r="3412" spans="16:16">
      <c r="P3412" s="594"/>
    </row>
    <row r="3413" spans="16:16">
      <c r="P3413" s="594"/>
    </row>
    <row r="3414" spans="16:16">
      <c r="P3414" s="594"/>
    </row>
    <row r="3415" spans="16:16">
      <c r="P3415" s="594"/>
    </row>
    <row r="3416" spans="16:16">
      <c r="P3416" s="594"/>
    </row>
    <row r="3417" spans="16:16">
      <c r="P3417" s="594"/>
    </row>
    <row r="3418" spans="16:16">
      <c r="P3418" s="594"/>
    </row>
    <row r="3419" spans="16:16">
      <c r="P3419" s="594"/>
    </row>
    <row r="3420" spans="16:16">
      <c r="P3420" s="594"/>
    </row>
    <row r="3421" spans="16:16">
      <c r="P3421" s="594"/>
    </row>
    <row r="3422" spans="16:16">
      <c r="P3422" s="594"/>
    </row>
    <row r="3423" spans="16:16">
      <c r="P3423" s="594"/>
    </row>
    <row r="3424" spans="16:16">
      <c r="P3424" s="594"/>
    </row>
    <row r="3425" spans="16:16">
      <c r="P3425" s="594"/>
    </row>
    <row r="3426" spans="16:16">
      <c r="P3426" s="594"/>
    </row>
    <row r="3427" spans="16:16">
      <c r="P3427" s="594"/>
    </row>
    <row r="3428" spans="16:16">
      <c r="P3428" s="594"/>
    </row>
    <row r="3429" spans="16:16">
      <c r="P3429" s="594"/>
    </row>
    <row r="3430" spans="16:16">
      <c r="P3430" s="594"/>
    </row>
    <row r="3431" spans="16:16">
      <c r="P3431" s="594"/>
    </row>
    <row r="3432" spans="16:16">
      <c r="P3432" s="594"/>
    </row>
    <row r="3433" spans="16:16">
      <c r="P3433" s="594"/>
    </row>
    <row r="3434" spans="16:16">
      <c r="P3434" s="594"/>
    </row>
    <row r="3435" spans="16:16">
      <c r="P3435" s="594"/>
    </row>
    <row r="3436" spans="16:16">
      <c r="P3436" s="594"/>
    </row>
    <row r="3437" spans="16:16">
      <c r="P3437" s="594"/>
    </row>
    <row r="3438" spans="16:16">
      <c r="P3438" s="594"/>
    </row>
    <row r="3439" spans="16:16">
      <c r="P3439" s="594"/>
    </row>
    <row r="3440" spans="16:16">
      <c r="P3440" s="594"/>
    </row>
    <row r="3441" spans="16:16">
      <c r="P3441" s="594"/>
    </row>
    <row r="3442" spans="16:16">
      <c r="P3442" s="594"/>
    </row>
    <row r="3443" spans="16:16">
      <c r="P3443" s="594"/>
    </row>
    <row r="3444" spans="16:16">
      <c r="P3444" s="594"/>
    </row>
    <row r="3445" spans="16:16">
      <c r="P3445" s="594"/>
    </row>
    <row r="3446" spans="16:16">
      <c r="P3446" s="594"/>
    </row>
    <row r="3447" spans="16:16">
      <c r="P3447" s="594"/>
    </row>
    <row r="3448" spans="16:16">
      <c r="P3448" s="594"/>
    </row>
    <row r="3449" spans="16:16">
      <c r="P3449" s="594"/>
    </row>
    <row r="3450" spans="16:16">
      <c r="P3450" s="594"/>
    </row>
    <row r="3451" spans="16:16">
      <c r="P3451" s="594"/>
    </row>
    <row r="3452" spans="16:16">
      <c r="P3452" s="594"/>
    </row>
    <row r="3453" spans="16:16">
      <c r="P3453" s="594"/>
    </row>
    <row r="3454" spans="16:16">
      <c r="P3454" s="594"/>
    </row>
    <row r="3455" spans="16:16">
      <c r="P3455" s="594"/>
    </row>
    <row r="3456" spans="16:16">
      <c r="P3456" s="594"/>
    </row>
    <row r="3457" spans="16:16">
      <c r="P3457" s="594"/>
    </row>
    <row r="3458" spans="16:16">
      <c r="P3458" s="594"/>
    </row>
    <row r="3459" spans="16:16">
      <c r="P3459" s="594"/>
    </row>
    <row r="3460" spans="16:16">
      <c r="P3460" s="594"/>
    </row>
    <row r="3461" spans="16:16">
      <c r="P3461" s="594"/>
    </row>
    <row r="3462" spans="16:16">
      <c r="P3462" s="594"/>
    </row>
    <row r="3463" spans="16:16">
      <c r="P3463" s="594"/>
    </row>
    <row r="3464" spans="16:16">
      <c r="P3464" s="594"/>
    </row>
    <row r="3465" spans="16:16">
      <c r="P3465" s="594"/>
    </row>
    <row r="3466" spans="16:16">
      <c r="P3466" s="594"/>
    </row>
    <row r="3467" spans="16:16">
      <c r="P3467" s="594"/>
    </row>
    <row r="3468" spans="16:16">
      <c r="P3468" s="594"/>
    </row>
    <row r="3469" spans="16:16">
      <c r="P3469" s="594"/>
    </row>
    <row r="3470" spans="16:16">
      <c r="P3470" s="594"/>
    </row>
    <row r="3471" spans="16:16">
      <c r="P3471" s="594"/>
    </row>
    <row r="3472" spans="16:16">
      <c r="P3472" s="594"/>
    </row>
    <row r="3473" spans="16:16">
      <c r="P3473" s="594"/>
    </row>
    <row r="3474" spans="16:16">
      <c r="P3474" s="594"/>
    </row>
    <row r="3475" spans="16:16">
      <c r="P3475" s="594"/>
    </row>
    <row r="3476" spans="16:16">
      <c r="P3476" s="594"/>
    </row>
    <row r="3477" spans="16:16">
      <c r="P3477" s="594"/>
    </row>
    <row r="3478" spans="16:16">
      <c r="P3478" s="594"/>
    </row>
    <row r="3479" spans="16:16">
      <c r="P3479" s="594"/>
    </row>
    <row r="3480" spans="16:16">
      <c r="P3480" s="594"/>
    </row>
    <row r="3481" spans="16:16">
      <c r="P3481" s="594"/>
    </row>
    <row r="3482" spans="16:16">
      <c r="P3482" s="594"/>
    </row>
    <row r="3483" spans="16:16">
      <c r="P3483" s="594"/>
    </row>
    <row r="3484" spans="16:16">
      <c r="P3484" s="594"/>
    </row>
    <row r="3485" spans="16:16">
      <c r="P3485" s="594"/>
    </row>
    <row r="3486" spans="16:16">
      <c r="P3486" s="594"/>
    </row>
    <row r="3487" spans="16:16">
      <c r="P3487" s="594"/>
    </row>
    <row r="3488" spans="16:16">
      <c r="P3488" s="594"/>
    </row>
    <row r="3489" spans="16:16">
      <c r="P3489" s="594"/>
    </row>
    <row r="3490" spans="16:16">
      <c r="P3490" s="594"/>
    </row>
    <row r="3491" spans="16:16">
      <c r="P3491" s="594"/>
    </row>
    <row r="3492" spans="16:16">
      <c r="P3492" s="594"/>
    </row>
    <row r="3493" spans="16:16">
      <c r="P3493" s="594"/>
    </row>
    <row r="3494" spans="16:16">
      <c r="P3494" s="594"/>
    </row>
    <row r="3495" spans="16:16">
      <c r="P3495" s="594"/>
    </row>
    <row r="3496" spans="16:16">
      <c r="P3496" s="594"/>
    </row>
    <row r="3497" spans="16:16">
      <c r="P3497" s="594"/>
    </row>
    <row r="3498" spans="16:16">
      <c r="P3498" s="594"/>
    </row>
    <row r="3499" spans="16:16">
      <c r="P3499" s="594"/>
    </row>
    <row r="3500" spans="16:16">
      <c r="P3500" s="594"/>
    </row>
    <row r="3501" spans="16:16">
      <c r="P3501" s="594"/>
    </row>
    <row r="3502" spans="16:16">
      <c r="P3502" s="594"/>
    </row>
    <row r="3503" spans="16:16">
      <c r="P3503" s="594"/>
    </row>
    <row r="3504" spans="16:16">
      <c r="P3504" s="594"/>
    </row>
    <row r="3505" spans="16:16">
      <c r="P3505" s="594"/>
    </row>
    <row r="3506" spans="16:16">
      <c r="P3506" s="594"/>
    </row>
    <row r="3507" spans="16:16">
      <c r="P3507" s="594"/>
    </row>
    <row r="3508" spans="16:16">
      <c r="P3508" s="594"/>
    </row>
    <row r="3509" spans="16:16">
      <c r="P3509" s="594"/>
    </row>
    <row r="3510" spans="16:16">
      <c r="P3510" s="594"/>
    </row>
    <row r="3511" spans="16:16">
      <c r="P3511" s="594"/>
    </row>
    <row r="3512" spans="16:16">
      <c r="P3512" s="594"/>
    </row>
    <row r="3513" spans="16:16">
      <c r="P3513" s="594"/>
    </row>
    <row r="3514" spans="16:16">
      <c r="P3514" s="594"/>
    </row>
    <row r="3515" spans="16:16">
      <c r="P3515" s="594"/>
    </row>
    <row r="3516" spans="16:16">
      <c r="P3516" s="594"/>
    </row>
    <row r="3517" spans="16:16">
      <c r="P3517" s="594"/>
    </row>
    <row r="3518" spans="16:16">
      <c r="P3518" s="594"/>
    </row>
    <row r="3519" spans="16:16">
      <c r="P3519" s="594"/>
    </row>
    <row r="3520" spans="16:16">
      <c r="P3520" s="594"/>
    </row>
    <row r="3521" spans="16:16">
      <c r="P3521" s="594"/>
    </row>
    <row r="3522" spans="16:16">
      <c r="P3522" s="594"/>
    </row>
    <row r="3523" spans="16:16">
      <c r="P3523" s="594"/>
    </row>
    <row r="3524" spans="16:16">
      <c r="P3524" s="594"/>
    </row>
    <row r="3525" spans="16:16">
      <c r="P3525" s="594"/>
    </row>
    <row r="3526" spans="16:16">
      <c r="P3526" s="594"/>
    </row>
    <row r="3527" spans="16:16">
      <c r="P3527" s="594"/>
    </row>
    <row r="3528" spans="16:16">
      <c r="P3528" s="594"/>
    </row>
    <row r="3529" spans="16:16">
      <c r="P3529" s="594"/>
    </row>
    <row r="3530" spans="16:16">
      <c r="P3530" s="594"/>
    </row>
    <row r="3531" spans="16:16">
      <c r="P3531" s="594"/>
    </row>
    <row r="3532" spans="16:16">
      <c r="P3532" s="594"/>
    </row>
    <row r="3533" spans="16:16">
      <c r="P3533" s="594"/>
    </row>
    <row r="3534" spans="16:16">
      <c r="P3534" s="594"/>
    </row>
    <row r="3535" spans="16:16">
      <c r="P3535" s="594"/>
    </row>
    <row r="3536" spans="16:16">
      <c r="P3536" s="594"/>
    </row>
    <row r="3537" spans="16:16">
      <c r="P3537" s="594"/>
    </row>
    <row r="3538" spans="16:16">
      <c r="P3538" s="594"/>
    </row>
    <row r="3539" spans="16:16">
      <c r="P3539" s="594"/>
    </row>
    <row r="3540" spans="16:16">
      <c r="P3540" s="594"/>
    </row>
    <row r="3541" spans="16:16">
      <c r="P3541" s="594"/>
    </row>
    <row r="3542" spans="16:16">
      <c r="P3542" s="594"/>
    </row>
    <row r="3543" spans="16:16">
      <c r="P3543" s="594"/>
    </row>
    <row r="3544" spans="16:16">
      <c r="P3544" s="594"/>
    </row>
    <row r="3545" spans="16:16">
      <c r="P3545" s="594"/>
    </row>
    <row r="3546" spans="16:16">
      <c r="P3546" s="594"/>
    </row>
    <row r="3547" spans="16:16">
      <c r="P3547" s="594"/>
    </row>
    <row r="3548" spans="16:16">
      <c r="P3548" s="594"/>
    </row>
    <row r="3549" spans="16:16">
      <c r="P3549" s="594"/>
    </row>
    <row r="3550" spans="16:16">
      <c r="P3550" s="594"/>
    </row>
    <row r="3551" spans="16:16">
      <c r="P3551" s="594"/>
    </row>
    <row r="3552" spans="16:16">
      <c r="P3552" s="594"/>
    </row>
    <row r="3553" spans="16:16">
      <c r="P3553" s="594"/>
    </row>
    <row r="3554" spans="16:16">
      <c r="P3554" s="594"/>
    </row>
    <row r="3555" spans="16:16">
      <c r="P3555" s="594"/>
    </row>
    <row r="3556" spans="16:16">
      <c r="P3556" s="594"/>
    </row>
    <row r="3557" spans="16:16">
      <c r="P3557" s="594"/>
    </row>
    <row r="3558" spans="16:16">
      <c r="P3558" s="594"/>
    </row>
    <row r="3559" spans="16:16">
      <c r="P3559" s="594"/>
    </row>
    <row r="3560" spans="16:16">
      <c r="P3560" s="594"/>
    </row>
    <row r="3561" spans="16:16">
      <c r="P3561" s="594"/>
    </row>
    <row r="3562" spans="16:16">
      <c r="P3562" s="594"/>
    </row>
    <row r="3563" spans="16:16">
      <c r="P3563" s="594"/>
    </row>
    <row r="3564" spans="16:16">
      <c r="P3564" s="594"/>
    </row>
    <row r="3565" spans="16:16">
      <c r="P3565" s="594"/>
    </row>
    <row r="3566" spans="16:16">
      <c r="P3566" s="594"/>
    </row>
    <row r="3567" spans="16:16">
      <c r="P3567" s="594"/>
    </row>
    <row r="3568" spans="16:16">
      <c r="P3568" s="594"/>
    </row>
    <row r="3569" spans="16:16">
      <c r="P3569" s="594"/>
    </row>
    <row r="3570" spans="16:16">
      <c r="P3570" s="594"/>
    </row>
    <row r="3571" spans="16:16">
      <c r="P3571" s="594"/>
    </row>
    <row r="3572" spans="16:16">
      <c r="P3572" s="594"/>
    </row>
    <row r="3573" spans="16:16">
      <c r="P3573" s="594"/>
    </row>
    <row r="3574" spans="16:16">
      <c r="P3574" s="594"/>
    </row>
    <row r="3575" spans="16:16">
      <c r="P3575" s="594"/>
    </row>
    <row r="3576" spans="16:16">
      <c r="P3576" s="594"/>
    </row>
    <row r="3577" spans="16:16">
      <c r="P3577" s="594"/>
    </row>
    <row r="3578" spans="16:16">
      <c r="P3578" s="594"/>
    </row>
    <row r="3579" spans="16:16">
      <c r="P3579" s="594"/>
    </row>
    <row r="3580" spans="16:16">
      <c r="P3580" s="594"/>
    </row>
    <row r="3581" spans="16:16">
      <c r="P3581" s="594"/>
    </row>
    <row r="3582" spans="16:16">
      <c r="P3582" s="594"/>
    </row>
    <row r="3583" spans="16:16">
      <c r="P3583" s="594"/>
    </row>
    <row r="3584" spans="16:16">
      <c r="P3584" s="594"/>
    </row>
    <row r="3585" spans="16:16">
      <c r="P3585" s="594"/>
    </row>
    <row r="3586" spans="16:16">
      <c r="P3586" s="594"/>
    </row>
    <row r="3587" spans="16:16">
      <c r="P3587" s="594"/>
    </row>
    <row r="3588" spans="16:16">
      <c r="P3588" s="594"/>
    </row>
    <row r="3589" spans="16:16">
      <c r="P3589" s="594"/>
    </row>
    <row r="3590" spans="16:16">
      <c r="P3590" s="594"/>
    </row>
    <row r="3591" spans="16:16">
      <c r="P3591" s="594"/>
    </row>
    <row r="3592" spans="16:16">
      <c r="P3592" s="594"/>
    </row>
    <row r="3593" spans="16:16">
      <c r="P3593" s="594"/>
    </row>
    <row r="3594" spans="16:16">
      <c r="P3594" s="594"/>
    </row>
    <row r="3595" spans="16:16">
      <c r="P3595" s="594"/>
    </row>
    <row r="3596" spans="16:16">
      <c r="P3596" s="594"/>
    </row>
    <row r="3597" spans="16:16">
      <c r="P3597" s="594"/>
    </row>
    <row r="3598" spans="16:16">
      <c r="P3598" s="594"/>
    </row>
    <row r="3599" spans="16:16">
      <c r="P3599" s="594"/>
    </row>
    <row r="3600" spans="16:16">
      <c r="P3600" s="594"/>
    </row>
    <row r="3601" spans="16:16">
      <c r="P3601" s="594"/>
    </row>
    <row r="3602" spans="16:16">
      <c r="P3602" s="594"/>
    </row>
    <row r="3603" spans="16:16">
      <c r="P3603" s="594"/>
    </row>
    <row r="3604" spans="16:16">
      <c r="P3604" s="594"/>
    </row>
    <row r="3605" spans="16:16">
      <c r="P3605" s="594"/>
    </row>
    <row r="3606" spans="16:16">
      <c r="P3606" s="594"/>
    </row>
    <row r="3607" spans="16:16">
      <c r="P3607" s="594"/>
    </row>
    <row r="3608" spans="16:16">
      <c r="P3608" s="594"/>
    </row>
    <row r="3609" spans="16:16">
      <c r="P3609" s="594"/>
    </row>
    <row r="3610" spans="16:16">
      <c r="P3610" s="594"/>
    </row>
    <row r="3611" spans="16:16">
      <c r="P3611" s="594"/>
    </row>
    <row r="3612" spans="16:16">
      <c r="P3612" s="594"/>
    </row>
    <row r="3613" spans="16:16">
      <c r="P3613" s="594"/>
    </row>
    <row r="3614" spans="16:16">
      <c r="P3614" s="594"/>
    </row>
    <row r="3615" spans="16:16">
      <c r="P3615" s="594"/>
    </row>
    <row r="3616" spans="16:16">
      <c r="P3616" s="594"/>
    </row>
    <row r="3617" spans="16:16">
      <c r="P3617" s="594"/>
    </row>
    <row r="3618" spans="16:16">
      <c r="P3618" s="594"/>
    </row>
    <row r="3619" spans="16:16">
      <c r="P3619" s="594"/>
    </row>
    <row r="3620" spans="16:16">
      <c r="P3620" s="594"/>
    </row>
    <row r="3621" spans="16:16">
      <c r="P3621" s="594"/>
    </row>
    <row r="3622" spans="16:16">
      <c r="P3622" s="594"/>
    </row>
    <row r="3623" spans="16:16">
      <c r="P3623" s="594"/>
    </row>
    <row r="3624" spans="16:16">
      <c r="P3624" s="594"/>
    </row>
    <row r="3625" spans="16:16">
      <c r="P3625" s="594"/>
    </row>
    <row r="3626" spans="16:16">
      <c r="P3626" s="594"/>
    </row>
    <row r="3627" spans="16:16">
      <c r="P3627" s="594"/>
    </row>
    <row r="3628" spans="16:16">
      <c r="P3628" s="594"/>
    </row>
    <row r="3629" spans="16:16">
      <c r="P3629" s="594"/>
    </row>
    <row r="3630" spans="16:16">
      <c r="P3630" s="594"/>
    </row>
    <row r="3631" spans="16:16">
      <c r="P3631" s="594"/>
    </row>
    <row r="3632" spans="16:16">
      <c r="P3632" s="594"/>
    </row>
    <row r="3633" spans="16:16">
      <c r="P3633" s="594"/>
    </row>
    <row r="3634" spans="16:16">
      <c r="P3634" s="594"/>
    </row>
    <row r="3635" spans="16:16">
      <c r="P3635" s="594"/>
    </row>
    <row r="3636" spans="16:16">
      <c r="P3636" s="594"/>
    </row>
    <row r="3637" spans="16:16">
      <c r="P3637" s="594"/>
    </row>
    <row r="3638" spans="16:16">
      <c r="P3638" s="594"/>
    </row>
    <row r="3639" spans="16:16">
      <c r="P3639" s="594"/>
    </row>
    <row r="3640" spans="16:16">
      <c r="P3640" s="594"/>
    </row>
    <row r="3641" spans="16:16">
      <c r="P3641" s="594"/>
    </row>
    <row r="3642" spans="16:16">
      <c r="P3642" s="594"/>
    </row>
    <row r="3643" spans="16:16">
      <c r="P3643" s="594"/>
    </row>
    <row r="3644" spans="16:16">
      <c r="P3644" s="594"/>
    </row>
    <row r="3645" spans="16:16">
      <c r="P3645" s="594"/>
    </row>
    <row r="3646" spans="16:16">
      <c r="P3646" s="594"/>
    </row>
    <row r="3647" spans="16:16">
      <c r="P3647" s="594"/>
    </row>
    <row r="3648" spans="16:16">
      <c r="P3648" s="594"/>
    </row>
    <row r="3649" spans="16:16">
      <c r="P3649" s="594"/>
    </row>
    <row r="3650" spans="16:16">
      <c r="P3650" s="594"/>
    </row>
    <row r="3651" spans="16:16">
      <c r="P3651" s="594"/>
    </row>
    <row r="3652" spans="16:16">
      <c r="P3652" s="594"/>
    </row>
    <row r="3653" spans="16:16">
      <c r="P3653" s="594"/>
    </row>
    <row r="3654" spans="16:16">
      <c r="P3654" s="594"/>
    </row>
    <row r="3655" spans="16:16">
      <c r="P3655" s="594"/>
    </row>
    <row r="3656" spans="16:16">
      <c r="P3656" s="594"/>
    </row>
    <row r="3657" spans="16:16">
      <c r="P3657" s="594"/>
    </row>
    <row r="3658" spans="16:16">
      <c r="P3658" s="594"/>
    </row>
    <row r="3659" spans="16:16">
      <c r="P3659" s="594"/>
    </row>
    <row r="3660" spans="16:16">
      <c r="P3660" s="594"/>
    </row>
    <row r="3661" spans="16:16">
      <c r="P3661" s="594"/>
    </row>
    <row r="3662" spans="16:16">
      <c r="P3662" s="594"/>
    </row>
    <row r="3663" spans="16:16">
      <c r="P3663" s="594"/>
    </row>
    <row r="3664" spans="16:16">
      <c r="P3664" s="594"/>
    </row>
    <row r="3665" spans="16:16">
      <c r="P3665" s="594"/>
    </row>
    <row r="3666" spans="16:16">
      <c r="P3666" s="594"/>
    </row>
    <row r="3667" spans="16:16">
      <c r="P3667" s="594"/>
    </row>
    <row r="3668" spans="16:16">
      <c r="P3668" s="594"/>
    </row>
    <row r="3669" spans="16:16">
      <c r="P3669" s="594"/>
    </row>
    <row r="3670" spans="16:16">
      <c r="P3670" s="594"/>
    </row>
    <row r="3671" spans="16:16">
      <c r="P3671" s="594"/>
    </row>
    <row r="3672" spans="16:16">
      <c r="P3672" s="594"/>
    </row>
    <row r="3673" spans="16:16">
      <c r="P3673" s="594"/>
    </row>
    <row r="3674" spans="16:16">
      <c r="P3674" s="594"/>
    </row>
    <row r="3675" spans="16:16">
      <c r="P3675" s="594"/>
    </row>
    <row r="3676" spans="16:16">
      <c r="P3676" s="594"/>
    </row>
    <row r="3677" spans="16:16">
      <c r="P3677" s="594"/>
    </row>
    <row r="3678" spans="16:16">
      <c r="P3678" s="594"/>
    </row>
    <row r="3679" spans="16:16">
      <c r="P3679" s="594"/>
    </row>
    <row r="3680" spans="16:16">
      <c r="P3680" s="594"/>
    </row>
    <row r="3681" spans="16:16">
      <c r="P3681" s="594"/>
    </row>
    <row r="3682" spans="16:16">
      <c r="P3682" s="594"/>
    </row>
    <row r="3683" spans="16:16">
      <c r="P3683" s="594"/>
    </row>
    <row r="3684" spans="16:16">
      <c r="P3684" s="594"/>
    </row>
    <row r="3685" spans="16:16">
      <c r="P3685" s="594"/>
    </row>
    <row r="3686" spans="16:16">
      <c r="P3686" s="594"/>
    </row>
    <row r="3687" spans="16:16">
      <c r="P3687" s="594"/>
    </row>
    <row r="3688" spans="16:16">
      <c r="P3688" s="594"/>
    </row>
    <row r="3689" spans="16:16">
      <c r="P3689" s="594"/>
    </row>
    <row r="3690" spans="16:16">
      <c r="P3690" s="594"/>
    </row>
    <row r="3691" spans="16:16">
      <c r="P3691" s="594"/>
    </row>
    <row r="3692" spans="16:16">
      <c r="P3692" s="594"/>
    </row>
    <row r="3693" spans="16:16">
      <c r="P3693" s="594"/>
    </row>
    <row r="3694" spans="16:16">
      <c r="P3694" s="594"/>
    </row>
    <row r="3695" spans="16:16">
      <c r="P3695" s="594"/>
    </row>
    <row r="3696" spans="16:16">
      <c r="P3696" s="594"/>
    </row>
    <row r="3697" spans="16:16">
      <c r="P3697" s="594"/>
    </row>
    <row r="3698" spans="16:16">
      <c r="P3698" s="594"/>
    </row>
    <row r="3699" spans="16:16">
      <c r="P3699" s="594"/>
    </row>
    <row r="3700" spans="16:16">
      <c r="P3700" s="594"/>
    </row>
    <row r="3701" spans="16:16">
      <c r="P3701" s="594"/>
    </row>
    <row r="3702" spans="16:16">
      <c r="P3702" s="594"/>
    </row>
    <row r="3703" spans="16:16">
      <c r="P3703" s="594"/>
    </row>
    <row r="3704" spans="16:16">
      <c r="P3704" s="594"/>
    </row>
    <row r="3705" spans="16:16">
      <c r="P3705" s="594"/>
    </row>
    <row r="3706" spans="16:16">
      <c r="P3706" s="594"/>
    </row>
    <row r="3707" spans="16:16">
      <c r="P3707" s="594"/>
    </row>
    <row r="3708" spans="16:16">
      <c r="P3708" s="594"/>
    </row>
    <row r="3709" spans="16:16">
      <c r="P3709" s="594"/>
    </row>
    <row r="3710" spans="16:16">
      <c r="P3710" s="594"/>
    </row>
    <row r="3711" spans="16:16">
      <c r="P3711" s="594"/>
    </row>
    <row r="3712" spans="16:16">
      <c r="P3712" s="594"/>
    </row>
    <row r="3713" spans="16:16">
      <c r="P3713" s="594"/>
    </row>
    <row r="3714" spans="16:16">
      <c r="P3714" s="594"/>
    </row>
    <row r="3715" spans="16:16">
      <c r="P3715" s="594"/>
    </row>
    <row r="3716" spans="16:16">
      <c r="P3716" s="594"/>
    </row>
    <row r="3717" spans="16:16">
      <c r="P3717" s="594"/>
    </row>
    <row r="3718" spans="16:16">
      <c r="P3718" s="594"/>
    </row>
    <row r="3719" spans="16:16">
      <c r="P3719" s="594"/>
    </row>
    <row r="3720" spans="16:16">
      <c r="P3720" s="594"/>
    </row>
    <row r="3721" spans="16:16">
      <c r="P3721" s="594"/>
    </row>
    <row r="3722" spans="16:16">
      <c r="P3722" s="594"/>
    </row>
    <row r="3723" spans="16:16">
      <c r="P3723" s="594"/>
    </row>
    <row r="3724" spans="16:16">
      <c r="P3724" s="594"/>
    </row>
    <row r="3725" spans="16:16">
      <c r="P3725" s="594"/>
    </row>
    <row r="3726" spans="16:16">
      <c r="P3726" s="594"/>
    </row>
    <row r="3727" spans="16:16">
      <c r="P3727" s="594"/>
    </row>
    <row r="3728" spans="16:16">
      <c r="P3728" s="594"/>
    </row>
    <row r="3729" spans="16:16">
      <c r="P3729" s="594"/>
    </row>
    <row r="3730" spans="16:16">
      <c r="P3730" s="594"/>
    </row>
    <row r="3731" spans="16:16">
      <c r="P3731" s="594"/>
    </row>
    <row r="3732" spans="16:16">
      <c r="P3732" s="594"/>
    </row>
    <row r="3733" spans="16:16">
      <c r="P3733" s="594"/>
    </row>
    <row r="3734" spans="16:16">
      <c r="P3734" s="594"/>
    </row>
    <row r="3735" spans="16:16">
      <c r="P3735" s="594"/>
    </row>
    <row r="3736" spans="16:16">
      <c r="P3736" s="594"/>
    </row>
    <row r="3737" spans="16:16">
      <c r="P3737" s="594"/>
    </row>
    <row r="3738" spans="16:16">
      <c r="P3738" s="594"/>
    </row>
    <row r="3739" spans="16:16">
      <c r="P3739" s="594"/>
    </row>
    <row r="3740" spans="16:16">
      <c r="P3740" s="594"/>
    </row>
    <row r="3741" spans="16:16">
      <c r="P3741" s="594"/>
    </row>
    <row r="3742" spans="16:16">
      <c r="P3742" s="594"/>
    </row>
    <row r="3743" spans="16:16">
      <c r="P3743" s="594"/>
    </row>
    <row r="3744" spans="16:16">
      <c r="P3744" s="594"/>
    </row>
    <row r="3745" spans="16:16">
      <c r="P3745" s="594"/>
    </row>
    <row r="3746" spans="16:16">
      <c r="P3746" s="594"/>
    </row>
    <row r="3747" spans="16:16">
      <c r="P3747" s="594"/>
    </row>
    <row r="3748" spans="16:16">
      <c r="P3748" s="594"/>
    </row>
    <row r="3749" spans="16:16">
      <c r="P3749" s="594"/>
    </row>
    <row r="3750" spans="16:16">
      <c r="P3750" s="594"/>
    </row>
    <row r="3751" spans="16:16">
      <c r="P3751" s="594"/>
    </row>
    <row r="3752" spans="16:16">
      <c r="P3752" s="594"/>
    </row>
    <row r="3753" spans="16:16">
      <c r="P3753" s="594"/>
    </row>
    <row r="3754" spans="16:16">
      <c r="P3754" s="594"/>
    </row>
    <row r="3755" spans="16:16">
      <c r="P3755" s="594"/>
    </row>
    <row r="3756" spans="16:16">
      <c r="P3756" s="594"/>
    </row>
    <row r="3757" spans="16:16">
      <c r="P3757" s="594"/>
    </row>
    <row r="3758" spans="16:16">
      <c r="P3758" s="594"/>
    </row>
    <row r="3759" spans="16:16">
      <c r="P3759" s="594"/>
    </row>
    <row r="3760" spans="16:16">
      <c r="P3760" s="594"/>
    </row>
    <row r="3761" spans="16:16">
      <c r="P3761" s="594"/>
    </row>
    <row r="3762" spans="16:16">
      <c r="P3762" s="594"/>
    </row>
    <row r="3763" spans="16:16">
      <c r="P3763" s="594"/>
    </row>
    <row r="3764" spans="16:16">
      <c r="P3764" s="594"/>
    </row>
    <row r="3765" spans="16:16">
      <c r="P3765" s="594"/>
    </row>
    <row r="3766" spans="16:16">
      <c r="P3766" s="594"/>
    </row>
    <row r="3767" spans="16:16">
      <c r="P3767" s="594"/>
    </row>
    <row r="3768" spans="16:16">
      <c r="P3768" s="594"/>
    </row>
    <row r="3769" spans="16:16">
      <c r="P3769" s="594"/>
    </row>
    <row r="3770" spans="16:16">
      <c r="P3770" s="594"/>
    </row>
    <row r="3771" spans="16:16">
      <c r="P3771" s="594"/>
    </row>
    <row r="3772" spans="16:16">
      <c r="P3772" s="594"/>
    </row>
    <row r="3773" spans="16:16">
      <c r="P3773" s="594"/>
    </row>
    <row r="3774" spans="16:16">
      <c r="P3774" s="594"/>
    </row>
    <row r="3775" spans="16:16">
      <c r="P3775" s="594"/>
    </row>
    <row r="3776" spans="16:16">
      <c r="P3776" s="594"/>
    </row>
    <row r="3777" spans="16:16">
      <c r="P3777" s="594"/>
    </row>
    <row r="3778" spans="16:16">
      <c r="P3778" s="594"/>
    </row>
    <row r="3779" spans="16:16">
      <c r="P3779" s="594"/>
    </row>
    <row r="3780" spans="16:16">
      <c r="P3780" s="594"/>
    </row>
    <row r="3781" spans="16:16">
      <c r="P3781" s="594"/>
    </row>
    <row r="3782" spans="16:16">
      <c r="P3782" s="594"/>
    </row>
    <row r="3783" spans="16:16">
      <c r="P3783" s="594"/>
    </row>
    <row r="3784" spans="16:16">
      <c r="P3784" s="594"/>
    </row>
    <row r="3785" spans="16:16">
      <c r="P3785" s="594"/>
    </row>
    <row r="3786" spans="16:16">
      <c r="P3786" s="594"/>
    </row>
    <row r="3787" spans="16:16">
      <c r="P3787" s="594"/>
    </row>
    <row r="3788" spans="16:16">
      <c r="P3788" s="594"/>
    </row>
    <row r="3789" spans="16:16">
      <c r="P3789" s="594"/>
    </row>
    <row r="3790" spans="16:16">
      <c r="P3790" s="594"/>
    </row>
    <row r="3791" spans="16:16">
      <c r="P3791" s="594"/>
    </row>
    <row r="3792" spans="16:16">
      <c r="P3792" s="594"/>
    </row>
    <row r="3793" spans="16:16">
      <c r="P3793" s="594"/>
    </row>
    <row r="3794" spans="16:16">
      <c r="P3794" s="594"/>
    </row>
    <row r="3795" spans="16:16">
      <c r="P3795" s="594"/>
    </row>
    <row r="3796" spans="16:16">
      <c r="P3796" s="594"/>
    </row>
    <row r="3797" spans="16:16">
      <c r="P3797" s="594"/>
    </row>
    <row r="3798" spans="16:16">
      <c r="P3798" s="594"/>
    </row>
    <row r="3799" spans="16:16">
      <c r="P3799" s="594"/>
    </row>
    <row r="3800" spans="16:16">
      <c r="P3800" s="594"/>
    </row>
    <row r="3801" spans="16:16">
      <c r="P3801" s="594"/>
    </row>
    <row r="3802" spans="16:16">
      <c r="P3802" s="594"/>
    </row>
    <row r="3803" spans="16:16">
      <c r="P3803" s="594"/>
    </row>
    <row r="3804" spans="16:16">
      <c r="P3804" s="594"/>
    </row>
    <row r="3805" spans="16:16">
      <c r="P3805" s="594"/>
    </row>
    <row r="3806" spans="16:16">
      <c r="P3806" s="594"/>
    </row>
    <row r="3807" spans="16:16">
      <c r="P3807" s="594"/>
    </row>
    <row r="3808" spans="16:16">
      <c r="P3808" s="594"/>
    </row>
    <row r="3809" spans="16:16">
      <c r="P3809" s="594"/>
    </row>
    <row r="3810" spans="16:16">
      <c r="P3810" s="594"/>
    </row>
    <row r="3811" spans="16:16">
      <c r="P3811" s="594"/>
    </row>
    <row r="3812" spans="16:16">
      <c r="P3812" s="594"/>
    </row>
    <row r="3813" spans="16:16">
      <c r="P3813" s="594"/>
    </row>
    <row r="3814" spans="16:16">
      <c r="P3814" s="594"/>
    </row>
    <row r="3815" spans="16:16">
      <c r="P3815" s="594"/>
    </row>
    <row r="3816" spans="16:16">
      <c r="P3816" s="594"/>
    </row>
    <row r="3817" spans="16:16">
      <c r="P3817" s="594"/>
    </row>
    <row r="3818" spans="16:16">
      <c r="P3818" s="594"/>
    </row>
    <row r="3819" spans="16:16">
      <c r="P3819" s="594"/>
    </row>
    <row r="3820" spans="16:16">
      <c r="P3820" s="594"/>
    </row>
    <row r="3821" spans="16:16">
      <c r="P3821" s="594"/>
    </row>
    <row r="3822" spans="16:16">
      <c r="P3822" s="594"/>
    </row>
    <row r="3823" spans="16:16">
      <c r="P3823" s="594"/>
    </row>
    <row r="3824" spans="16:16">
      <c r="P3824" s="594"/>
    </row>
    <row r="3825" spans="16:16">
      <c r="P3825" s="594"/>
    </row>
    <row r="3826" spans="16:16">
      <c r="P3826" s="594"/>
    </row>
    <row r="3827" spans="16:16">
      <c r="P3827" s="594"/>
    </row>
    <row r="3828" spans="16:16">
      <c r="P3828" s="594"/>
    </row>
    <row r="3829" spans="16:16">
      <c r="P3829" s="594"/>
    </row>
    <row r="3830" spans="16:16">
      <c r="P3830" s="594"/>
    </row>
    <row r="3831" spans="16:16">
      <c r="P3831" s="594"/>
    </row>
    <row r="3832" spans="16:16">
      <c r="P3832" s="594"/>
    </row>
    <row r="3833" spans="16:16">
      <c r="P3833" s="594"/>
    </row>
    <row r="3834" spans="16:16">
      <c r="P3834" s="594"/>
    </row>
    <row r="3835" spans="16:16">
      <c r="P3835" s="594"/>
    </row>
    <row r="3836" spans="16:16">
      <c r="P3836" s="594"/>
    </row>
    <row r="3837" spans="16:16">
      <c r="P3837" s="594"/>
    </row>
    <row r="3838" spans="16:16">
      <c r="P3838" s="594"/>
    </row>
    <row r="3839" spans="16:16">
      <c r="P3839" s="594"/>
    </row>
    <row r="3840" spans="16:16">
      <c r="P3840" s="594"/>
    </row>
    <row r="3841" spans="16:16">
      <c r="P3841" s="594"/>
    </row>
    <row r="3842" spans="16:16">
      <c r="P3842" s="594"/>
    </row>
    <row r="3843" spans="16:16">
      <c r="P3843" s="594"/>
    </row>
    <row r="3844" spans="16:16">
      <c r="P3844" s="594"/>
    </row>
    <row r="3845" spans="16:16">
      <c r="P3845" s="594"/>
    </row>
    <row r="3846" spans="16:16">
      <c r="P3846" s="594"/>
    </row>
    <row r="3847" spans="16:16">
      <c r="P3847" s="594"/>
    </row>
    <row r="3848" spans="16:16">
      <c r="P3848" s="594"/>
    </row>
    <row r="3849" spans="16:16">
      <c r="P3849" s="594"/>
    </row>
    <row r="3850" spans="16:16">
      <c r="P3850" s="594"/>
    </row>
    <row r="3851" spans="16:16">
      <c r="P3851" s="594"/>
    </row>
    <row r="3852" spans="16:16">
      <c r="P3852" s="594"/>
    </row>
    <row r="3853" spans="16:16">
      <c r="P3853" s="594"/>
    </row>
    <row r="3854" spans="16:16">
      <c r="P3854" s="594"/>
    </row>
    <row r="3855" spans="16:16">
      <c r="P3855" s="594"/>
    </row>
    <row r="3856" spans="16:16">
      <c r="P3856" s="594"/>
    </row>
    <row r="3857" spans="16:16">
      <c r="P3857" s="594"/>
    </row>
    <row r="3858" spans="16:16">
      <c r="P3858" s="594"/>
    </row>
    <row r="3859" spans="16:16">
      <c r="P3859" s="594"/>
    </row>
    <row r="3860" spans="16:16">
      <c r="P3860" s="594"/>
    </row>
    <row r="3861" spans="16:16">
      <c r="P3861" s="594"/>
    </row>
    <row r="3862" spans="16:16">
      <c r="P3862" s="594"/>
    </row>
    <row r="3863" spans="16:16">
      <c r="P3863" s="594"/>
    </row>
    <row r="3864" spans="16:16">
      <c r="P3864" s="594"/>
    </row>
    <row r="3865" spans="16:16">
      <c r="P3865" s="594"/>
    </row>
    <row r="3866" spans="16:16">
      <c r="P3866" s="594"/>
    </row>
    <row r="3867" spans="16:16">
      <c r="P3867" s="594"/>
    </row>
    <row r="3868" spans="16:16">
      <c r="P3868" s="594"/>
    </row>
    <row r="3869" spans="16:16">
      <c r="P3869" s="594"/>
    </row>
    <row r="3870" spans="16:16">
      <c r="P3870" s="594"/>
    </row>
    <row r="3871" spans="16:16">
      <c r="P3871" s="594"/>
    </row>
    <row r="3872" spans="16:16">
      <c r="P3872" s="594"/>
    </row>
    <row r="3873" spans="16:16">
      <c r="P3873" s="594"/>
    </row>
    <row r="3874" spans="16:16">
      <c r="P3874" s="594"/>
    </row>
    <row r="3875" spans="16:16">
      <c r="P3875" s="594"/>
    </row>
    <row r="3876" spans="16:16">
      <c r="P3876" s="594"/>
    </row>
    <row r="3877" spans="16:16">
      <c r="P3877" s="594"/>
    </row>
    <row r="3878" spans="16:16">
      <c r="P3878" s="594"/>
    </row>
    <row r="3879" spans="16:16">
      <c r="P3879" s="594"/>
    </row>
    <row r="3880" spans="16:16">
      <c r="P3880" s="594"/>
    </row>
    <row r="3881" spans="16:16">
      <c r="P3881" s="594"/>
    </row>
    <row r="3882" spans="16:16">
      <c r="P3882" s="594"/>
    </row>
    <row r="3883" spans="16:16">
      <c r="P3883" s="594"/>
    </row>
    <row r="3884" spans="16:16">
      <c r="P3884" s="594"/>
    </row>
    <row r="3885" spans="16:16">
      <c r="P3885" s="594"/>
    </row>
    <row r="3886" spans="16:16">
      <c r="P3886" s="594"/>
    </row>
    <row r="3887" spans="16:16">
      <c r="P3887" s="594"/>
    </row>
    <row r="3888" spans="16:16">
      <c r="P3888" s="594"/>
    </row>
    <row r="3889" spans="16:16">
      <c r="P3889" s="594"/>
    </row>
    <row r="3890" spans="16:16">
      <c r="P3890" s="594"/>
    </row>
    <row r="3891" spans="16:16">
      <c r="P3891" s="594"/>
    </row>
    <row r="3892" spans="16:16">
      <c r="P3892" s="594"/>
    </row>
    <row r="3893" spans="16:16">
      <c r="P3893" s="594"/>
    </row>
    <row r="3894" spans="16:16">
      <c r="P3894" s="594"/>
    </row>
    <row r="3895" spans="16:16">
      <c r="P3895" s="594"/>
    </row>
    <row r="3896" spans="16:16">
      <c r="P3896" s="594"/>
    </row>
    <row r="3897" spans="16:16">
      <c r="P3897" s="594"/>
    </row>
    <row r="3898" spans="16:16">
      <c r="P3898" s="594"/>
    </row>
    <row r="3899" spans="16:16">
      <c r="P3899" s="594"/>
    </row>
    <row r="3900" spans="16:16">
      <c r="P3900" s="594"/>
    </row>
    <row r="3901" spans="16:16">
      <c r="P3901" s="594"/>
    </row>
    <row r="3902" spans="16:16">
      <c r="P3902" s="594"/>
    </row>
    <row r="3903" spans="16:16">
      <c r="P3903" s="594"/>
    </row>
    <row r="3904" spans="16:16">
      <c r="P3904" s="594"/>
    </row>
    <row r="3905" spans="16:16">
      <c r="P3905" s="594"/>
    </row>
    <row r="3906" spans="16:16">
      <c r="P3906" s="594"/>
    </row>
    <row r="3907" spans="16:16">
      <c r="P3907" s="594"/>
    </row>
    <row r="3908" spans="16:16">
      <c r="P3908" s="594"/>
    </row>
    <row r="3909" spans="16:16">
      <c r="P3909" s="594"/>
    </row>
    <row r="3910" spans="16:16">
      <c r="P3910" s="594"/>
    </row>
    <row r="3911" spans="16:16">
      <c r="P3911" s="594"/>
    </row>
    <row r="3912" spans="16:16">
      <c r="P3912" s="594"/>
    </row>
    <row r="3913" spans="16:16">
      <c r="P3913" s="594"/>
    </row>
    <row r="3914" spans="16:16">
      <c r="P3914" s="594"/>
    </row>
    <row r="3915" spans="16:16">
      <c r="P3915" s="594"/>
    </row>
    <row r="3916" spans="16:16">
      <c r="P3916" s="594"/>
    </row>
    <row r="3917" spans="16:16">
      <c r="P3917" s="594"/>
    </row>
    <row r="3918" spans="16:16">
      <c r="P3918" s="594"/>
    </row>
    <row r="3919" spans="16:16">
      <c r="P3919" s="594"/>
    </row>
    <row r="3920" spans="16:16">
      <c r="P3920" s="594"/>
    </row>
    <row r="3921" spans="16:16">
      <c r="P3921" s="594"/>
    </row>
    <row r="3922" spans="16:16">
      <c r="P3922" s="594"/>
    </row>
    <row r="3923" spans="16:16">
      <c r="P3923" s="594"/>
    </row>
    <row r="3924" spans="16:16">
      <c r="P3924" s="594"/>
    </row>
    <row r="3925" spans="16:16">
      <c r="P3925" s="594"/>
    </row>
    <row r="3926" spans="16:16">
      <c r="P3926" s="594"/>
    </row>
    <row r="3927" spans="16:16">
      <c r="P3927" s="594"/>
    </row>
    <row r="3928" spans="16:16">
      <c r="P3928" s="594"/>
    </row>
    <row r="3929" spans="16:16">
      <c r="P3929" s="594"/>
    </row>
    <row r="3930" spans="16:16">
      <c r="P3930" s="594"/>
    </row>
    <row r="3931" spans="16:16">
      <c r="P3931" s="594"/>
    </row>
    <row r="3932" spans="16:16">
      <c r="P3932" s="594"/>
    </row>
    <row r="3933" spans="16:16">
      <c r="P3933" s="594"/>
    </row>
    <row r="3934" spans="16:16">
      <c r="P3934" s="594"/>
    </row>
    <row r="3935" spans="16:16">
      <c r="P3935" s="594"/>
    </row>
    <row r="3936" spans="16:16">
      <c r="P3936" s="594"/>
    </row>
    <row r="3937" spans="16:16">
      <c r="P3937" s="594"/>
    </row>
    <row r="3938" spans="16:16">
      <c r="P3938" s="594"/>
    </row>
    <row r="3939" spans="16:16">
      <c r="P3939" s="594"/>
    </row>
    <row r="3940" spans="16:16">
      <c r="P3940" s="594"/>
    </row>
    <row r="3941" spans="16:16">
      <c r="P3941" s="594"/>
    </row>
    <row r="3942" spans="16:16">
      <c r="P3942" s="594"/>
    </row>
    <row r="3943" spans="16:16">
      <c r="P3943" s="594"/>
    </row>
    <row r="3944" spans="16:16">
      <c r="P3944" s="594"/>
    </row>
    <row r="3945" spans="16:16">
      <c r="P3945" s="594"/>
    </row>
    <row r="3946" spans="16:16">
      <c r="P3946" s="594"/>
    </row>
    <row r="3947" spans="16:16">
      <c r="P3947" s="594"/>
    </row>
    <row r="3948" spans="16:16">
      <c r="P3948" s="594"/>
    </row>
    <row r="3949" spans="16:16">
      <c r="P3949" s="594"/>
    </row>
    <row r="3950" spans="16:16">
      <c r="P3950" s="594"/>
    </row>
    <row r="3951" spans="16:16">
      <c r="P3951" s="594"/>
    </row>
    <row r="3952" spans="16:16">
      <c r="P3952" s="594"/>
    </row>
    <row r="3953" spans="16:16">
      <c r="P3953" s="594"/>
    </row>
    <row r="3954" spans="16:16">
      <c r="P3954" s="594"/>
    </row>
    <row r="3955" spans="16:16">
      <c r="P3955" s="594"/>
    </row>
    <row r="3956" spans="16:16">
      <c r="P3956" s="594"/>
    </row>
    <row r="3957" spans="16:16">
      <c r="P3957" s="594"/>
    </row>
    <row r="3958" spans="16:16">
      <c r="P3958" s="594"/>
    </row>
    <row r="3959" spans="16:16">
      <c r="P3959" s="594"/>
    </row>
    <row r="3960" spans="16:16">
      <c r="P3960" s="594"/>
    </row>
    <row r="3961" spans="16:16">
      <c r="P3961" s="594"/>
    </row>
    <row r="3962" spans="16:16">
      <c r="P3962" s="594"/>
    </row>
    <row r="3963" spans="16:16">
      <c r="P3963" s="594"/>
    </row>
    <row r="3964" spans="16:16">
      <c r="P3964" s="594"/>
    </row>
    <row r="3965" spans="16:16">
      <c r="P3965" s="594"/>
    </row>
    <row r="3966" spans="16:16">
      <c r="P3966" s="594"/>
    </row>
    <row r="3967" spans="16:16">
      <c r="P3967" s="594"/>
    </row>
    <row r="3968" spans="16:16">
      <c r="P3968" s="594"/>
    </row>
    <row r="3969" spans="16:16">
      <c r="P3969" s="594"/>
    </row>
    <row r="3970" spans="16:16">
      <c r="P3970" s="594"/>
    </row>
    <row r="3971" spans="16:16">
      <c r="P3971" s="594"/>
    </row>
    <row r="3972" spans="16:16">
      <c r="P3972" s="594"/>
    </row>
    <row r="3973" spans="16:16">
      <c r="P3973" s="594"/>
    </row>
    <row r="3974" spans="16:16">
      <c r="P3974" s="594"/>
    </row>
    <row r="3975" spans="16:16">
      <c r="P3975" s="594"/>
    </row>
    <row r="3976" spans="16:16">
      <c r="P3976" s="594"/>
    </row>
    <row r="3977" spans="16:16">
      <c r="P3977" s="594"/>
    </row>
    <row r="3978" spans="16:16">
      <c r="P3978" s="594"/>
    </row>
    <row r="3979" spans="16:16">
      <c r="P3979" s="594"/>
    </row>
    <row r="3980" spans="16:16">
      <c r="P3980" s="594"/>
    </row>
    <row r="3981" spans="16:16">
      <c r="P3981" s="594"/>
    </row>
    <row r="3982" spans="16:16">
      <c r="P3982" s="594"/>
    </row>
    <row r="3983" spans="16:16">
      <c r="P3983" s="594"/>
    </row>
    <row r="3984" spans="16:16">
      <c r="P3984" s="594"/>
    </row>
    <row r="3985" spans="16:16">
      <c r="P3985" s="594"/>
    </row>
    <row r="3986" spans="16:16">
      <c r="P3986" s="594"/>
    </row>
    <row r="3987" spans="16:16">
      <c r="P3987" s="594"/>
    </row>
    <row r="3988" spans="16:16">
      <c r="P3988" s="594"/>
    </row>
    <row r="3989" spans="16:16">
      <c r="P3989" s="594"/>
    </row>
    <row r="3990" spans="16:16">
      <c r="P3990" s="594"/>
    </row>
    <row r="3991" spans="16:16">
      <c r="P3991" s="594"/>
    </row>
    <row r="3992" spans="16:16">
      <c r="P3992" s="594"/>
    </row>
    <row r="3993" spans="16:16">
      <c r="P3993" s="594"/>
    </row>
    <row r="3994" spans="16:16">
      <c r="P3994" s="594"/>
    </row>
    <row r="3995" spans="16:16">
      <c r="P3995" s="594"/>
    </row>
    <row r="3996" spans="16:16">
      <c r="P3996" s="594"/>
    </row>
    <row r="3997" spans="16:16">
      <c r="P3997" s="594"/>
    </row>
    <row r="3998" spans="16:16">
      <c r="P3998" s="594"/>
    </row>
    <row r="3999" spans="16:16">
      <c r="P3999" s="594"/>
    </row>
    <row r="4000" spans="16:16">
      <c r="P4000" s="594"/>
    </row>
    <row r="4001" spans="16:16">
      <c r="P4001" s="594"/>
    </row>
    <row r="4002" spans="16:16">
      <c r="P4002" s="594"/>
    </row>
    <row r="4003" spans="16:16">
      <c r="P4003" s="594"/>
    </row>
    <row r="4004" spans="16:16">
      <c r="P4004" s="594"/>
    </row>
    <row r="4005" spans="16:16">
      <c r="P4005" s="594"/>
    </row>
    <row r="4006" spans="16:16">
      <c r="P4006" s="594"/>
    </row>
    <row r="4007" spans="16:16">
      <c r="P4007" s="594"/>
    </row>
    <row r="4008" spans="16:16">
      <c r="P4008" s="594"/>
    </row>
    <row r="4009" spans="16:16">
      <c r="P4009" s="594"/>
    </row>
    <row r="4010" spans="16:16">
      <c r="P4010" s="594"/>
    </row>
    <row r="4011" spans="16:16">
      <c r="P4011" s="594"/>
    </row>
    <row r="4012" spans="16:16">
      <c r="P4012" s="594"/>
    </row>
    <row r="4013" spans="16:16">
      <c r="P4013" s="594"/>
    </row>
    <row r="4014" spans="16:16">
      <c r="P4014" s="594"/>
    </row>
    <row r="4015" spans="16:16">
      <c r="P4015" s="594"/>
    </row>
    <row r="4016" spans="16:16">
      <c r="P4016" s="594"/>
    </row>
    <row r="4017" spans="16:16">
      <c r="P4017" s="594"/>
    </row>
    <row r="4018" spans="16:16">
      <c r="P4018" s="594"/>
    </row>
    <row r="4019" spans="16:16">
      <c r="P4019" s="594"/>
    </row>
    <row r="4020" spans="16:16">
      <c r="P4020" s="594"/>
    </row>
    <row r="4021" spans="16:16">
      <c r="P4021" s="594"/>
    </row>
    <row r="4022" spans="16:16">
      <c r="P4022" s="594"/>
    </row>
    <row r="4023" spans="16:16">
      <c r="P4023" s="594"/>
    </row>
    <row r="4024" spans="16:16">
      <c r="P4024" s="594"/>
    </row>
    <row r="4025" spans="16:16">
      <c r="P4025" s="594"/>
    </row>
    <row r="4026" spans="16:16">
      <c r="P4026" s="594"/>
    </row>
    <row r="4027" spans="16:16">
      <c r="P4027" s="594"/>
    </row>
    <row r="4028" spans="16:16">
      <c r="P4028" s="594"/>
    </row>
    <row r="4029" spans="16:16">
      <c r="P4029" s="594"/>
    </row>
    <row r="4030" spans="16:16">
      <c r="P4030" s="594"/>
    </row>
    <row r="4031" spans="16:16">
      <c r="P4031" s="594"/>
    </row>
    <row r="4032" spans="16:16">
      <c r="P4032" s="594"/>
    </row>
    <row r="4033" spans="16:16">
      <c r="P4033" s="594"/>
    </row>
    <row r="4034" spans="16:16">
      <c r="P4034" s="594"/>
    </row>
    <row r="4035" spans="16:16">
      <c r="P4035" s="594"/>
    </row>
    <row r="4036" spans="16:16">
      <c r="P4036" s="594"/>
    </row>
    <row r="4037" spans="16:16">
      <c r="P4037" s="594"/>
    </row>
    <row r="4038" spans="16:16">
      <c r="P4038" s="594"/>
    </row>
    <row r="4039" spans="16:16">
      <c r="P4039" s="594"/>
    </row>
    <row r="4040" spans="16:16">
      <c r="P4040" s="594"/>
    </row>
    <row r="4041" spans="16:16">
      <c r="P4041" s="594"/>
    </row>
    <row r="4042" spans="16:16">
      <c r="P4042" s="594"/>
    </row>
    <row r="4043" spans="16:16">
      <c r="P4043" s="594"/>
    </row>
    <row r="4044" spans="16:16">
      <c r="P4044" s="594"/>
    </row>
    <row r="4045" spans="16:16">
      <c r="P4045" s="594"/>
    </row>
    <row r="4046" spans="16:16">
      <c r="P4046" s="594"/>
    </row>
    <row r="4047" spans="16:16">
      <c r="P4047" s="594"/>
    </row>
    <row r="4048" spans="16:16">
      <c r="P4048" s="594"/>
    </row>
    <row r="4049" spans="16:16">
      <c r="P4049" s="594"/>
    </row>
    <row r="4050" spans="16:16">
      <c r="P4050" s="594"/>
    </row>
    <row r="4051" spans="16:16">
      <c r="P4051" s="594"/>
    </row>
    <row r="4052" spans="16:16">
      <c r="P4052" s="594"/>
    </row>
    <row r="4053" spans="16:16">
      <c r="P4053" s="594"/>
    </row>
    <row r="4054" spans="16:16">
      <c r="P4054" s="594"/>
    </row>
    <row r="4055" spans="16:16">
      <c r="P4055" s="594"/>
    </row>
    <row r="4056" spans="16:16">
      <c r="P4056" s="594"/>
    </row>
    <row r="4057" spans="16:16">
      <c r="P4057" s="594"/>
    </row>
    <row r="4058" spans="16:16">
      <c r="P4058" s="594"/>
    </row>
    <row r="4059" spans="16:16">
      <c r="P4059" s="594"/>
    </row>
    <row r="4060" spans="16:16">
      <c r="P4060" s="594"/>
    </row>
    <row r="4061" spans="16:16">
      <c r="P4061" s="594"/>
    </row>
    <row r="4062" spans="16:16">
      <c r="P4062" s="594"/>
    </row>
    <row r="4063" spans="16:16">
      <c r="P4063" s="594"/>
    </row>
    <row r="4064" spans="16:16">
      <c r="P4064" s="594"/>
    </row>
    <row r="4065" spans="16:16">
      <c r="P4065" s="594"/>
    </row>
    <row r="4066" spans="16:16">
      <c r="P4066" s="594"/>
    </row>
    <row r="4067" spans="16:16">
      <c r="P4067" s="594"/>
    </row>
    <row r="4068" spans="16:16">
      <c r="P4068" s="594"/>
    </row>
    <row r="4069" spans="16:16">
      <c r="P4069" s="594"/>
    </row>
    <row r="4070" spans="16:16">
      <c r="P4070" s="594"/>
    </row>
    <row r="4071" spans="16:16">
      <c r="P4071" s="594"/>
    </row>
    <row r="4072" spans="16:16">
      <c r="P4072" s="594"/>
    </row>
    <row r="4073" spans="16:16">
      <c r="P4073" s="594"/>
    </row>
    <row r="4074" spans="16:16">
      <c r="P4074" s="594"/>
    </row>
    <row r="4075" spans="16:16">
      <c r="P4075" s="594"/>
    </row>
    <row r="4076" spans="16:16">
      <c r="P4076" s="594"/>
    </row>
    <row r="4077" spans="16:16">
      <c r="P4077" s="594"/>
    </row>
    <row r="4078" spans="16:16">
      <c r="P4078" s="594"/>
    </row>
    <row r="4079" spans="16:16">
      <c r="P4079" s="594"/>
    </row>
    <row r="4080" spans="16:16">
      <c r="P4080" s="594"/>
    </row>
    <row r="4081" spans="16:16">
      <c r="P4081" s="594"/>
    </row>
    <row r="4082" spans="16:16">
      <c r="P4082" s="594"/>
    </row>
    <row r="4083" spans="16:16">
      <c r="P4083" s="594"/>
    </row>
    <row r="4084" spans="16:16">
      <c r="P4084" s="594"/>
    </row>
    <row r="4085" spans="16:16">
      <c r="P4085" s="594"/>
    </row>
    <row r="4086" spans="16:16">
      <c r="P4086" s="594"/>
    </row>
    <row r="4087" spans="16:16">
      <c r="P4087" s="594"/>
    </row>
    <row r="4088" spans="16:16">
      <c r="P4088" s="594"/>
    </row>
    <row r="4089" spans="16:16">
      <c r="P4089" s="594"/>
    </row>
    <row r="4090" spans="16:16">
      <c r="P4090" s="594"/>
    </row>
    <row r="4091" spans="16:16">
      <c r="P4091" s="594"/>
    </row>
    <row r="4092" spans="16:16">
      <c r="P4092" s="594"/>
    </row>
    <row r="4093" spans="16:16">
      <c r="P4093" s="594"/>
    </row>
    <row r="4094" spans="16:16">
      <c r="P4094" s="594"/>
    </row>
    <row r="4095" spans="16:16">
      <c r="P4095" s="594"/>
    </row>
    <row r="4096" spans="16:16">
      <c r="P4096" s="594"/>
    </row>
    <row r="4097" spans="16:16">
      <c r="P4097" s="594"/>
    </row>
    <row r="4098" spans="16:16">
      <c r="P4098" s="594"/>
    </row>
    <row r="4099" spans="16:16">
      <c r="P4099" s="594"/>
    </row>
    <row r="4100" spans="16:16">
      <c r="P4100" s="594"/>
    </row>
    <row r="4101" spans="16:16">
      <c r="P4101" s="594"/>
    </row>
    <row r="4102" spans="16:16">
      <c r="P4102" s="594"/>
    </row>
    <row r="4103" spans="16:16">
      <c r="P4103" s="594"/>
    </row>
    <row r="4104" spans="16:16">
      <c r="P4104" s="594"/>
    </row>
    <row r="4105" spans="16:16">
      <c r="P4105" s="594"/>
    </row>
    <row r="4106" spans="16:16">
      <c r="P4106" s="594"/>
    </row>
    <row r="4107" spans="16:16">
      <c r="P4107" s="594"/>
    </row>
    <row r="4108" spans="16:16">
      <c r="P4108" s="594"/>
    </row>
    <row r="4109" spans="16:16">
      <c r="P4109" s="594"/>
    </row>
    <row r="4110" spans="16:16">
      <c r="P4110" s="594"/>
    </row>
    <row r="4111" spans="16:16">
      <c r="P4111" s="594"/>
    </row>
    <row r="4112" spans="16:16">
      <c r="P4112" s="594"/>
    </row>
    <row r="4113" spans="16:16">
      <c r="P4113" s="594"/>
    </row>
    <row r="4114" spans="16:16">
      <c r="P4114" s="594"/>
    </row>
    <row r="4115" spans="16:16">
      <c r="P4115" s="594"/>
    </row>
    <row r="4116" spans="16:16">
      <c r="P4116" s="594"/>
    </row>
    <row r="4117" spans="16:16">
      <c r="P4117" s="594"/>
    </row>
    <row r="4118" spans="16:16">
      <c r="P4118" s="594"/>
    </row>
    <row r="4119" spans="16:16">
      <c r="P4119" s="594"/>
    </row>
    <row r="4120" spans="16:16">
      <c r="P4120" s="594"/>
    </row>
    <row r="4121" spans="16:16">
      <c r="P4121" s="594"/>
    </row>
    <row r="4122" spans="16:16">
      <c r="P4122" s="594"/>
    </row>
    <row r="4123" spans="16:16">
      <c r="P4123" s="594"/>
    </row>
    <row r="4124" spans="16:16">
      <c r="P4124" s="594"/>
    </row>
    <row r="4125" spans="16:16">
      <c r="P4125" s="594"/>
    </row>
    <row r="4126" spans="16:16">
      <c r="P4126" s="594"/>
    </row>
    <row r="4127" spans="16:16">
      <c r="P4127" s="594"/>
    </row>
    <row r="4128" spans="16:16">
      <c r="P4128" s="594"/>
    </row>
    <row r="4129" spans="16:16">
      <c r="P4129" s="594"/>
    </row>
    <row r="4130" spans="16:16">
      <c r="P4130" s="594"/>
    </row>
    <row r="4131" spans="16:16">
      <c r="P4131" s="594"/>
    </row>
    <row r="4132" spans="16:16">
      <c r="P4132" s="594"/>
    </row>
    <row r="4133" spans="16:16">
      <c r="P4133" s="594"/>
    </row>
    <row r="4134" spans="16:16">
      <c r="P4134" s="594"/>
    </row>
    <row r="4135" spans="16:16">
      <c r="P4135" s="594"/>
    </row>
    <row r="4136" spans="16:16">
      <c r="P4136" s="594"/>
    </row>
    <row r="4137" spans="16:16">
      <c r="P4137" s="594"/>
    </row>
    <row r="4138" spans="16:16">
      <c r="P4138" s="594"/>
    </row>
    <row r="4139" spans="16:16">
      <c r="P4139" s="594"/>
    </row>
    <row r="4140" spans="16:16">
      <c r="P4140" s="594"/>
    </row>
    <row r="4141" spans="16:16">
      <c r="P4141" s="594"/>
    </row>
    <row r="4142" spans="16:16">
      <c r="P4142" s="594"/>
    </row>
    <row r="4143" spans="16:16">
      <c r="P4143" s="594"/>
    </row>
    <row r="4144" spans="16:16">
      <c r="P4144" s="594"/>
    </row>
    <row r="4145" spans="16:16">
      <c r="P4145" s="594"/>
    </row>
    <row r="4146" spans="16:16">
      <c r="P4146" s="594"/>
    </row>
    <row r="4147" spans="16:16">
      <c r="P4147" s="594"/>
    </row>
    <row r="4148" spans="16:16">
      <c r="P4148" s="594"/>
    </row>
    <row r="4149" spans="16:16">
      <c r="P4149" s="594"/>
    </row>
    <row r="4150" spans="16:16">
      <c r="P4150" s="594"/>
    </row>
    <row r="4151" spans="16:16">
      <c r="P4151" s="594"/>
    </row>
    <row r="4152" spans="16:16">
      <c r="P4152" s="594"/>
    </row>
    <row r="4153" spans="16:16">
      <c r="P4153" s="594"/>
    </row>
    <row r="4154" spans="16:16">
      <c r="P4154" s="594"/>
    </row>
    <row r="4155" spans="16:16">
      <c r="P4155" s="594"/>
    </row>
    <row r="4156" spans="16:16">
      <c r="P4156" s="594"/>
    </row>
    <row r="4157" spans="16:16">
      <c r="P4157" s="594"/>
    </row>
    <row r="4158" spans="16:16">
      <c r="P4158" s="594"/>
    </row>
    <row r="4159" spans="16:16">
      <c r="P4159" s="594"/>
    </row>
    <row r="4160" spans="16:16">
      <c r="P4160" s="594"/>
    </row>
    <row r="4161" spans="16:16">
      <c r="P4161" s="594"/>
    </row>
    <row r="4162" spans="16:16">
      <c r="P4162" s="594"/>
    </row>
    <row r="4163" spans="16:16">
      <c r="P4163" s="594"/>
    </row>
    <row r="4164" spans="16:16">
      <c r="P4164" s="594"/>
    </row>
    <row r="4165" spans="16:16">
      <c r="P4165" s="594"/>
    </row>
    <row r="4166" spans="16:16">
      <c r="P4166" s="594"/>
    </row>
    <row r="4167" spans="16:16">
      <c r="P4167" s="594"/>
    </row>
    <row r="4168" spans="16:16">
      <c r="P4168" s="594"/>
    </row>
    <row r="4169" spans="16:16">
      <c r="P4169" s="594"/>
    </row>
    <row r="4170" spans="16:16">
      <c r="P4170" s="594"/>
    </row>
    <row r="4171" spans="16:16">
      <c r="P4171" s="594"/>
    </row>
    <row r="4172" spans="16:16">
      <c r="P4172" s="594"/>
    </row>
    <row r="4173" spans="16:16">
      <c r="P4173" s="594"/>
    </row>
    <row r="4174" spans="16:16">
      <c r="P4174" s="594"/>
    </row>
    <row r="4175" spans="16:16">
      <c r="P4175" s="594"/>
    </row>
    <row r="4176" spans="16:16">
      <c r="P4176" s="594"/>
    </row>
    <row r="4177" spans="16:16">
      <c r="P4177" s="594"/>
    </row>
    <row r="4178" spans="16:16">
      <c r="P4178" s="594"/>
    </row>
    <row r="4179" spans="16:16">
      <c r="P4179" s="594"/>
    </row>
    <row r="4180" spans="16:16">
      <c r="P4180" s="594"/>
    </row>
    <row r="4181" spans="16:16">
      <c r="P4181" s="594"/>
    </row>
    <row r="4182" spans="16:16">
      <c r="P4182" s="594"/>
    </row>
    <row r="4183" spans="16:16">
      <c r="P4183" s="594"/>
    </row>
    <row r="4184" spans="16:16">
      <c r="P4184" s="594"/>
    </row>
    <row r="4185" spans="16:16">
      <c r="P4185" s="594"/>
    </row>
    <row r="4186" spans="16:16">
      <c r="P4186" s="594"/>
    </row>
    <row r="4187" spans="16:16">
      <c r="P4187" s="594"/>
    </row>
    <row r="4188" spans="16:16">
      <c r="P4188" s="594"/>
    </row>
    <row r="4189" spans="16:16">
      <c r="P4189" s="594"/>
    </row>
    <row r="4190" spans="16:16">
      <c r="P4190" s="594"/>
    </row>
    <row r="4191" spans="16:16">
      <c r="P4191" s="594"/>
    </row>
    <row r="4192" spans="16:16">
      <c r="P4192" s="594"/>
    </row>
    <row r="4193" spans="16:16">
      <c r="P4193" s="594"/>
    </row>
    <row r="4194" spans="16:16">
      <c r="P4194" s="594"/>
    </row>
    <row r="4195" spans="16:16">
      <c r="P4195" s="594"/>
    </row>
    <row r="4196" spans="16:16">
      <c r="P4196" s="594"/>
    </row>
    <row r="4197" spans="16:16">
      <c r="P4197" s="594"/>
    </row>
    <row r="4198" spans="16:16">
      <c r="P4198" s="594"/>
    </row>
    <row r="4199" spans="16:16">
      <c r="P4199" s="594"/>
    </row>
    <row r="4200" spans="16:16">
      <c r="P4200" s="594"/>
    </row>
    <row r="4201" spans="16:16">
      <c r="P4201" s="594"/>
    </row>
    <row r="4202" spans="16:16">
      <c r="P4202" s="594"/>
    </row>
    <row r="4203" spans="16:16">
      <c r="P4203" s="594"/>
    </row>
    <row r="4204" spans="16:16">
      <c r="P4204" s="594"/>
    </row>
    <row r="4205" spans="16:16">
      <c r="P4205" s="594"/>
    </row>
    <row r="4206" spans="16:16">
      <c r="P4206" s="594"/>
    </row>
    <row r="4207" spans="16:16">
      <c r="P4207" s="594"/>
    </row>
    <row r="4208" spans="16:16">
      <c r="P4208" s="594"/>
    </row>
    <row r="4209" spans="16:16">
      <c r="P4209" s="594"/>
    </row>
    <row r="4210" spans="16:16">
      <c r="P4210" s="594"/>
    </row>
    <row r="4211" spans="16:16">
      <c r="P4211" s="594"/>
    </row>
    <row r="4212" spans="16:16">
      <c r="P4212" s="594"/>
    </row>
    <row r="4213" spans="16:16">
      <c r="P4213" s="594"/>
    </row>
    <row r="4214" spans="16:16">
      <c r="P4214" s="594"/>
    </row>
    <row r="4215" spans="16:16">
      <c r="P4215" s="594"/>
    </row>
    <row r="4216" spans="16:16">
      <c r="P4216" s="594"/>
    </row>
    <row r="4217" spans="16:16">
      <c r="P4217" s="594"/>
    </row>
    <row r="4218" spans="16:16">
      <c r="P4218" s="594"/>
    </row>
    <row r="4219" spans="16:16">
      <c r="P4219" s="594"/>
    </row>
    <row r="4220" spans="16:16">
      <c r="P4220" s="594"/>
    </row>
    <row r="4221" spans="16:16">
      <c r="P4221" s="594"/>
    </row>
    <row r="4222" spans="16:16">
      <c r="P4222" s="594"/>
    </row>
    <row r="4223" spans="16:16">
      <c r="P4223" s="594"/>
    </row>
    <row r="4224" spans="16:16">
      <c r="P4224" s="594"/>
    </row>
    <row r="4225" spans="16:16">
      <c r="P4225" s="594"/>
    </row>
    <row r="4226" spans="16:16">
      <c r="P4226" s="594"/>
    </row>
    <row r="4227" spans="16:16">
      <c r="P4227" s="594"/>
    </row>
    <row r="4228" spans="16:16">
      <c r="P4228" s="594"/>
    </row>
    <row r="4229" spans="16:16">
      <c r="P4229" s="594"/>
    </row>
    <row r="4230" spans="16:16">
      <c r="P4230" s="594"/>
    </row>
    <row r="4231" spans="16:16">
      <c r="P4231" s="594"/>
    </row>
    <row r="4232" spans="16:16">
      <c r="P4232" s="594"/>
    </row>
    <row r="4233" spans="16:16">
      <c r="P4233" s="594"/>
    </row>
    <row r="4234" spans="16:16">
      <c r="P4234" s="594"/>
    </row>
    <row r="4235" spans="16:16">
      <c r="P4235" s="594"/>
    </row>
    <row r="4236" spans="16:16">
      <c r="P4236" s="594"/>
    </row>
    <row r="4237" spans="16:16">
      <c r="P4237" s="594"/>
    </row>
    <row r="4238" spans="16:16">
      <c r="P4238" s="594"/>
    </row>
    <row r="4239" spans="16:16">
      <c r="P4239" s="594"/>
    </row>
    <row r="4240" spans="16:16">
      <c r="P4240" s="594"/>
    </row>
    <row r="4241" spans="16:16">
      <c r="P4241" s="594"/>
    </row>
    <row r="4242" spans="16:16">
      <c r="P4242" s="594"/>
    </row>
    <row r="4243" spans="16:16">
      <c r="P4243" s="594"/>
    </row>
    <row r="4244" spans="16:16">
      <c r="P4244" s="594"/>
    </row>
    <row r="4245" spans="16:16">
      <c r="P4245" s="594"/>
    </row>
    <row r="4246" spans="16:16">
      <c r="P4246" s="594"/>
    </row>
    <row r="4247" spans="16:16">
      <c r="P4247" s="594"/>
    </row>
    <row r="4248" spans="16:16">
      <c r="P4248" s="594"/>
    </row>
    <row r="4249" spans="16:16">
      <c r="P4249" s="594"/>
    </row>
    <row r="4250" spans="16:16">
      <c r="P4250" s="594"/>
    </row>
    <row r="4251" spans="16:16">
      <c r="P4251" s="594"/>
    </row>
    <row r="4252" spans="16:16">
      <c r="P4252" s="594"/>
    </row>
    <row r="4253" spans="16:16">
      <c r="P4253" s="594"/>
    </row>
    <row r="4254" spans="16:16">
      <c r="P4254" s="594"/>
    </row>
    <row r="4255" spans="16:16">
      <c r="P4255" s="594"/>
    </row>
    <row r="4256" spans="16:16">
      <c r="P4256" s="594"/>
    </row>
    <row r="4257" spans="16:16">
      <c r="P4257" s="594"/>
    </row>
    <row r="4258" spans="16:16">
      <c r="P4258" s="594"/>
    </row>
    <row r="4259" spans="16:16">
      <c r="P4259" s="594"/>
    </row>
    <row r="4260" spans="16:16">
      <c r="P4260" s="594"/>
    </row>
    <row r="4261" spans="16:16">
      <c r="P4261" s="594"/>
    </row>
    <row r="4262" spans="16:16">
      <c r="P4262" s="594"/>
    </row>
    <row r="4263" spans="16:16">
      <c r="P4263" s="594"/>
    </row>
    <row r="4264" spans="16:16">
      <c r="P4264" s="594"/>
    </row>
    <row r="4265" spans="16:16">
      <c r="P4265" s="594"/>
    </row>
    <row r="4266" spans="16:16">
      <c r="P4266" s="594"/>
    </row>
    <row r="4267" spans="16:16">
      <c r="P4267" s="594"/>
    </row>
    <row r="4268" spans="16:16">
      <c r="P4268" s="594"/>
    </row>
    <row r="4269" spans="16:16">
      <c r="P4269" s="594"/>
    </row>
    <row r="4270" spans="16:16">
      <c r="P4270" s="594"/>
    </row>
    <row r="4271" spans="16:16">
      <c r="P4271" s="594"/>
    </row>
    <row r="4272" spans="16:16">
      <c r="P4272" s="594"/>
    </row>
    <row r="4273" spans="16:16">
      <c r="P4273" s="594"/>
    </row>
    <row r="4274" spans="16:16">
      <c r="P4274" s="594"/>
    </row>
    <row r="4275" spans="16:16">
      <c r="P4275" s="594"/>
    </row>
    <row r="4276" spans="16:16">
      <c r="P4276" s="594"/>
    </row>
    <row r="4277" spans="16:16">
      <c r="P4277" s="594"/>
    </row>
    <row r="4278" spans="16:16">
      <c r="P4278" s="594"/>
    </row>
    <row r="4279" spans="16:16">
      <c r="P4279" s="594"/>
    </row>
    <row r="4280" spans="16:16">
      <c r="P4280" s="594"/>
    </row>
    <row r="4281" spans="16:16">
      <c r="P4281" s="594"/>
    </row>
    <row r="4282" spans="16:16">
      <c r="P4282" s="594"/>
    </row>
    <row r="4283" spans="16:16">
      <c r="P4283" s="594"/>
    </row>
    <row r="4284" spans="16:16">
      <c r="P4284" s="594"/>
    </row>
    <row r="4285" spans="16:16">
      <c r="P4285" s="594"/>
    </row>
    <row r="4286" spans="16:16">
      <c r="P4286" s="594"/>
    </row>
    <row r="4287" spans="16:16">
      <c r="P4287" s="594"/>
    </row>
    <row r="4288" spans="16:16">
      <c r="P4288" s="594"/>
    </row>
    <row r="4289" spans="16:16">
      <c r="P4289" s="594"/>
    </row>
    <row r="4290" spans="16:16">
      <c r="P4290" s="594"/>
    </row>
    <row r="4291" spans="16:16">
      <c r="P4291" s="594"/>
    </row>
    <row r="4292" spans="16:16">
      <c r="P4292" s="594"/>
    </row>
    <row r="4293" spans="16:16">
      <c r="P4293" s="594"/>
    </row>
    <row r="4294" spans="16:16">
      <c r="P4294" s="594"/>
    </row>
    <row r="4295" spans="16:16">
      <c r="P4295" s="594"/>
    </row>
    <row r="4296" spans="16:16">
      <c r="P4296" s="594"/>
    </row>
    <row r="4297" spans="16:16">
      <c r="P4297" s="594"/>
    </row>
    <row r="4298" spans="16:16">
      <c r="P4298" s="594"/>
    </row>
    <row r="4299" spans="16:16">
      <c r="P4299" s="594"/>
    </row>
    <row r="4300" spans="16:16">
      <c r="P4300" s="594"/>
    </row>
    <row r="4301" spans="16:16">
      <c r="P4301" s="594"/>
    </row>
    <row r="4302" spans="16:16">
      <c r="P4302" s="594"/>
    </row>
    <row r="4303" spans="16:16">
      <c r="P4303" s="594"/>
    </row>
    <row r="4304" spans="16:16">
      <c r="P4304" s="594"/>
    </row>
    <row r="4305" spans="16:16">
      <c r="P4305" s="594"/>
    </row>
    <row r="4306" spans="16:16">
      <c r="P4306" s="594"/>
    </row>
    <row r="4307" spans="16:16">
      <c r="P4307" s="594"/>
    </row>
    <row r="4308" spans="16:16">
      <c r="P4308" s="594"/>
    </row>
    <row r="4309" spans="16:16">
      <c r="P4309" s="594"/>
    </row>
    <row r="4310" spans="16:16">
      <c r="P4310" s="594"/>
    </row>
    <row r="4311" spans="16:16">
      <c r="P4311" s="594"/>
    </row>
    <row r="4312" spans="16:16">
      <c r="P4312" s="594"/>
    </row>
    <row r="4313" spans="16:16">
      <c r="P4313" s="594"/>
    </row>
    <row r="4314" spans="16:16">
      <c r="P4314" s="594"/>
    </row>
    <row r="4315" spans="16:16">
      <c r="P4315" s="594"/>
    </row>
    <row r="4316" spans="16:16">
      <c r="P4316" s="594"/>
    </row>
    <row r="4317" spans="16:16">
      <c r="P4317" s="594"/>
    </row>
    <row r="4318" spans="16:16">
      <c r="P4318" s="594"/>
    </row>
    <row r="4319" spans="16:16">
      <c r="P4319" s="594"/>
    </row>
    <row r="4320" spans="16:16">
      <c r="P4320" s="594"/>
    </row>
    <row r="4321" spans="16:16">
      <c r="P4321" s="594"/>
    </row>
    <row r="4322" spans="16:16">
      <c r="P4322" s="594"/>
    </row>
    <row r="4323" spans="16:16">
      <c r="P4323" s="594"/>
    </row>
    <row r="4324" spans="16:16">
      <c r="P4324" s="594"/>
    </row>
    <row r="4325" spans="16:16">
      <c r="P4325" s="594"/>
    </row>
    <row r="4326" spans="16:16">
      <c r="P4326" s="594"/>
    </row>
    <row r="4327" spans="16:16">
      <c r="P4327" s="594"/>
    </row>
    <row r="4328" spans="16:16">
      <c r="P4328" s="594"/>
    </row>
    <row r="4329" spans="16:16">
      <c r="P4329" s="594"/>
    </row>
    <row r="4330" spans="16:16">
      <c r="P4330" s="594"/>
    </row>
    <row r="4331" spans="16:16">
      <c r="P4331" s="594"/>
    </row>
    <row r="4332" spans="16:16">
      <c r="P4332" s="594"/>
    </row>
    <row r="4333" spans="16:16">
      <c r="P4333" s="594"/>
    </row>
    <row r="4334" spans="16:16">
      <c r="P4334" s="594"/>
    </row>
    <row r="4335" spans="16:16">
      <c r="P4335" s="594"/>
    </row>
    <row r="4336" spans="16:16">
      <c r="P4336" s="594"/>
    </row>
    <row r="4337" spans="16:16">
      <c r="P4337" s="594"/>
    </row>
    <row r="4338" spans="16:16">
      <c r="P4338" s="594"/>
    </row>
    <row r="4339" spans="16:16">
      <c r="P4339" s="594"/>
    </row>
    <row r="4340" spans="16:16">
      <c r="P4340" s="594"/>
    </row>
    <row r="4341" spans="16:16">
      <c r="P4341" s="594"/>
    </row>
    <row r="4342" spans="16:16">
      <c r="P4342" s="594"/>
    </row>
    <row r="4343" spans="16:16">
      <c r="P4343" s="594"/>
    </row>
    <row r="4344" spans="16:16">
      <c r="P4344" s="594"/>
    </row>
    <row r="4345" spans="16:16">
      <c r="P4345" s="594"/>
    </row>
    <row r="4346" spans="16:16">
      <c r="P4346" s="594"/>
    </row>
    <row r="4347" spans="16:16">
      <c r="P4347" s="594"/>
    </row>
    <row r="4348" spans="16:16">
      <c r="P4348" s="594"/>
    </row>
    <row r="4349" spans="16:16">
      <c r="P4349" s="594"/>
    </row>
    <row r="4350" spans="16:16">
      <c r="P4350" s="594"/>
    </row>
    <row r="4351" spans="16:16">
      <c r="P4351" s="594"/>
    </row>
    <row r="4352" spans="16:16">
      <c r="P4352" s="594"/>
    </row>
    <row r="4353" spans="16:16">
      <c r="P4353" s="594"/>
    </row>
    <row r="4354" spans="16:16">
      <c r="P4354" s="594"/>
    </row>
    <row r="4355" spans="16:16">
      <c r="P4355" s="594"/>
    </row>
    <row r="4356" spans="16:16">
      <c r="P4356" s="594"/>
    </row>
    <row r="4357" spans="16:16">
      <c r="P4357" s="594"/>
    </row>
    <row r="4358" spans="16:16">
      <c r="P4358" s="594"/>
    </row>
    <row r="4359" spans="16:16">
      <c r="P4359" s="594"/>
    </row>
    <row r="4360" spans="16:16">
      <c r="P4360" s="594"/>
    </row>
    <row r="4361" spans="16:16">
      <c r="P4361" s="594"/>
    </row>
    <row r="4362" spans="16:16">
      <c r="P4362" s="594"/>
    </row>
    <row r="4363" spans="16:16">
      <c r="P4363" s="594"/>
    </row>
    <row r="4364" spans="16:16">
      <c r="P4364" s="594"/>
    </row>
    <row r="4365" spans="16:16">
      <c r="P4365" s="594"/>
    </row>
    <row r="4366" spans="16:16">
      <c r="P4366" s="594"/>
    </row>
    <row r="4367" spans="16:16">
      <c r="P4367" s="594"/>
    </row>
    <row r="4368" spans="16:16">
      <c r="P4368" s="594"/>
    </row>
    <row r="4369" spans="16:16">
      <c r="P4369" s="594"/>
    </row>
    <row r="4370" spans="16:16">
      <c r="P4370" s="594"/>
    </row>
    <row r="4371" spans="16:16">
      <c r="P4371" s="594"/>
    </row>
    <row r="4372" spans="16:16">
      <c r="P4372" s="594"/>
    </row>
    <row r="4373" spans="16:16">
      <c r="P4373" s="594"/>
    </row>
    <row r="4374" spans="16:16">
      <c r="P4374" s="594"/>
    </row>
    <row r="4375" spans="16:16">
      <c r="P4375" s="594"/>
    </row>
    <row r="4376" spans="16:16">
      <c r="P4376" s="594"/>
    </row>
    <row r="4377" spans="16:16">
      <c r="P4377" s="594"/>
    </row>
    <row r="4378" spans="16:16">
      <c r="P4378" s="594"/>
    </row>
    <row r="4379" spans="16:16">
      <c r="P4379" s="594"/>
    </row>
    <row r="4380" spans="16:16">
      <c r="P4380" s="594"/>
    </row>
    <row r="4381" spans="16:16">
      <c r="P4381" s="594"/>
    </row>
    <row r="4382" spans="16:16">
      <c r="P4382" s="594"/>
    </row>
    <row r="4383" spans="16:16">
      <c r="P4383" s="594"/>
    </row>
    <row r="4384" spans="16:16">
      <c r="P4384" s="594"/>
    </row>
    <row r="4385" spans="16:16">
      <c r="P4385" s="594"/>
    </row>
    <row r="4386" spans="16:16">
      <c r="P4386" s="594"/>
    </row>
    <row r="4387" spans="16:16">
      <c r="P4387" s="594"/>
    </row>
    <row r="4388" spans="16:16">
      <c r="P4388" s="594"/>
    </row>
    <row r="4389" spans="16:16">
      <c r="P4389" s="594"/>
    </row>
    <row r="4390" spans="16:16">
      <c r="P4390" s="594"/>
    </row>
    <row r="4391" spans="16:16">
      <c r="P4391" s="594"/>
    </row>
    <row r="4392" spans="16:16">
      <c r="P4392" s="594"/>
    </row>
    <row r="4393" spans="16:16">
      <c r="P4393" s="594"/>
    </row>
    <row r="4394" spans="16:16">
      <c r="P4394" s="594"/>
    </row>
    <row r="4395" spans="16:16">
      <c r="P4395" s="594"/>
    </row>
    <row r="4396" spans="16:16">
      <c r="P4396" s="594"/>
    </row>
    <row r="4397" spans="16:16">
      <c r="P4397" s="594"/>
    </row>
    <row r="4398" spans="16:16">
      <c r="P4398" s="594"/>
    </row>
    <row r="4399" spans="16:16">
      <c r="P4399" s="594"/>
    </row>
    <row r="4400" spans="16:16">
      <c r="P4400" s="594"/>
    </row>
    <row r="4401" spans="16:16">
      <c r="P4401" s="594"/>
    </row>
    <row r="4402" spans="16:16">
      <c r="P4402" s="594"/>
    </row>
    <row r="4403" spans="16:16">
      <c r="P4403" s="594"/>
    </row>
    <row r="4404" spans="16:16">
      <c r="P4404" s="594"/>
    </row>
    <row r="4405" spans="16:16">
      <c r="P4405" s="594"/>
    </row>
    <row r="4406" spans="16:16">
      <c r="P4406" s="594"/>
    </row>
    <row r="4407" spans="16:16">
      <c r="P4407" s="594"/>
    </row>
    <row r="4408" spans="16:16">
      <c r="P4408" s="594"/>
    </row>
    <row r="4409" spans="16:16">
      <c r="P4409" s="594"/>
    </row>
    <row r="4410" spans="16:16">
      <c r="P4410" s="594"/>
    </row>
    <row r="4411" spans="16:16">
      <c r="P4411" s="594"/>
    </row>
    <row r="4412" spans="16:16">
      <c r="P4412" s="594"/>
    </row>
    <row r="4413" spans="16:16">
      <c r="P4413" s="594"/>
    </row>
    <row r="4414" spans="16:16">
      <c r="P4414" s="594"/>
    </row>
    <row r="4415" spans="16:16">
      <c r="P4415" s="594"/>
    </row>
    <row r="4416" spans="16:16">
      <c r="P4416" s="594"/>
    </row>
    <row r="4417" spans="16:16">
      <c r="P4417" s="594"/>
    </row>
    <row r="4418" spans="16:16">
      <c r="P4418" s="594"/>
    </row>
    <row r="4419" spans="16:16">
      <c r="P4419" s="594"/>
    </row>
    <row r="4420" spans="16:16">
      <c r="P4420" s="594"/>
    </row>
    <row r="4421" spans="16:16">
      <c r="P4421" s="594"/>
    </row>
    <row r="4422" spans="16:16">
      <c r="P4422" s="594"/>
    </row>
    <row r="4423" spans="16:16">
      <c r="P4423" s="594"/>
    </row>
    <row r="4424" spans="16:16">
      <c r="P4424" s="594"/>
    </row>
    <row r="4425" spans="16:16">
      <c r="P4425" s="594"/>
    </row>
    <row r="4426" spans="16:16">
      <c r="P4426" s="594"/>
    </row>
    <row r="4427" spans="16:16">
      <c r="P4427" s="594"/>
    </row>
    <row r="4428" spans="16:16">
      <c r="P4428" s="594"/>
    </row>
    <row r="4429" spans="16:16">
      <c r="P4429" s="594"/>
    </row>
    <row r="4430" spans="16:16">
      <c r="P4430" s="594"/>
    </row>
    <row r="4431" spans="16:16">
      <c r="P4431" s="594"/>
    </row>
    <row r="4432" spans="16:16">
      <c r="P4432" s="594"/>
    </row>
    <row r="4433" spans="16:16">
      <c r="P4433" s="594"/>
    </row>
    <row r="4434" spans="16:16">
      <c r="P4434" s="594"/>
    </row>
    <row r="4435" spans="16:16">
      <c r="P4435" s="594"/>
    </row>
    <row r="4436" spans="16:16">
      <c r="P4436" s="594"/>
    </row>
    <row r="4437" spans="16:16">
      <c r="P4437" s="594"/>
    </row>
    <row r="4438" spans="16:16">
      <c r="P4438" s="594"/>
    </row>
    <row r="4439" spans="16:16">
      <c r="P4439" s="594"/>
    </row>
    <row r="4440" spans="16:16">
      <c r="P4440" s="594"/>
    </row>
    <row r="4441" spans="16:16">
      <c r="P4441" s="594"/>
    </row>
    <row r="4442" spans="16:16">
      <c r="P4442" s="594"/>
    </row>
    <row r="4443" spans="16:16">
      <c r="P4443" s="594"/>
    </row>
    <row r="4444" spans="16:16">
      <c r="P4444" s="594"/>
    </row>
    <row r="4445" spans="16:16">
      <c r="P4445" s="594"/>
    </row>
    <row r="4446" spans="16:16">
      <c r="P4446" s="594"/>
    </row>
    <row r="4447" spans="16:16">
      <c r="P4447" s="594"/>
    </row>
    <row r="4448" spans="16:16">
      <c r="P4448" s="594"/>
    </row>
    <row r="4449" spans="16:16">
      <c r="P4449" s="594"/>
    </row>
    <row r="4450" spans="16:16">
      <c r="P4450" s="594"/>
    </row>
    <row r="4451" spans="16:16">
      <c r="P4451" s="594"/>
    </row>
    <row r="4452" spans="16:16">
      <c r="P4452" s="594"/>
    </row>
    <row r="4453" spans="16:16">
      <c r="P4453" s="594"/>
    </row>
    <row r="4454" spans="16:16">
      <c r="P4454" s="594"/>
    </row>
    <row r="4455" spans="16:16">
      <c r="P4455" s="594"/>
    </row>
    <row r="4456" spans="16:16">
      <c r="P4456" s="594"/>
    </row>
    <row r="4457" spans="16:16">
      <c r="P4457" s="594"/>
    </row>
    <row r="4458" spans="16:16">
      <c r="P4458" s="594"/>
    </row>
    <row r="4459" spans="16:16">
      <c r="P4459" s="594"/>
    </row>
    <row r="4460" spans="16:16">
      <c r="P4460" s="594"/>
    </row>
    <row r="4461" spans="16:16">
      <c r="P4461" s="594"/>
    </row>
    <row r="4462" spans="16:16">
      <c r="P4462" s="594"/>
    </row>
    <row r="4463" spans="16:16">
      <c r="P4463" s="594"/>
    </row>
    <row r="4464" spans="16:16">
      <c r="P4464" s="594"/>
    </row>
    <row r="4465" spans="16:16">
      <c r="P4465" s="594"/>
    </row>
    <row r="4466" spans="16:16">
      <c r="P4466" s="594"/>
    </row>
    <row r="4467" spans="16:16">
      <c r="P4467" s="594"/>
    </row>
    <row r="4468" spans="16:16">
      <c r="P4468" s="594"/>
    </row>
    <row r="4469" spans="16:16">
      <c r="P4469" s="594"/>
    </row>
    <row r="4470" spans="16:16">
      <c r="P4470" s="594"/>
    </row>
    <row r="4471" spans="16:16">
      <c r="P4471" s="594"/>
    </row>
    <row r="4472" spans="16:16">
      <c r="P4472" s="594"/>
    </row>
    <row r="4473" spans="16:16">
      <c r="P4473" s="594"/>
    </row>
    <row r="4474" spans="16:16">
      <c r="P4474" s="594"/>
    </row>
    <row r="4475" spans="16:16">
      <c r="P4475" s="594"/>
    </row>
    <row r="4476" spans="16:16">
      <c r="P4476" s="594"/>
    </row>
    <row r="4477" spans="16:16">
      <c r="P4477" s="594"/>
    </row>
    <row r="4478" spans="16:16">
      <c r="P4478" s="594"/>
    </row>
    <row r="4479" spans="16:16">
      <c r="P4479" s="594"/>
    </row>
    <row r="4480" spans="16:16">
      <c r="P4480" s="594"/>
    </row>
    <row r="4481" spans="16:16">
      <c r="P4481" s="594"/>
    </row>
    <row r="4482" spans="16:16">
      <c r="P4482" s="594"/>
    </row>
    <row r="4483" spans="16:16">
      <c r="P4483" s="594"/>
    </row>
    <row r="4484" spans="16:16">
      <c r="P4484" s="594"/>
    </row>
    <row r="4485" spans="16:16">
      <c r="P4485" s="594"/>
    </row>
    <row r="4486" spans="16:16">
      <c r="P4486" s="594"/>
    </row>
    <row r="4487" spans="16:16">
      <c r="P4487" s="594"/>
    </row>
    <row r="4488" spans="16:16">
      <c r="P4488" s="594"/>
    </row>
    <row r="4489" spans="16:16">
      <c r="P4489" s="594"/>
    </row>
    <row r="4490" spans="16:16">
      <c r="P4490" s="594"/>
    </row>
    <row r="4491" spans="16:16">
      <c r="P4491" s="594"/>
    </row>
    <row r="4492" spans="16:16">
      <c r="P4492" s="594"/>
    </row>
    <row r="4493" spans="16:16">
      <c r="P4493" s="594"/>
    </row>
    <row r="4494" spans="16:16">
      <c r="P4494" s="594"/>
    </row>
    <row r="4495" spans="16:16">
      <c r="P4495" s="594"/>
    </row>
    <row r="4496" spans="16:16">
      <c r="P4496" s="594"/>
    </row>
    <row r="4497" spans="16:16">
      <c r="P4497" s="594"/>
    </row>
    <row r="4498" spans="16:16">
      <c r="P4498" s="594"/>
    </row>
    <row r="4499" spans="16:16">
      <c r="P4499" s="594"/>
    </row>
    <row r="4500" spans="16:16">
      <c r="P4500" s="594"/>
    </row>
    <row r="4501" spans="16:16">
      <c r="P4501" s="594"/>
    </row>
    <row r="4502" spans="16:16">
      <c r="P4502" s="594"/>
    </row>
    <row r="4503" spans="16:16">
      <c r="P4503" s="594"/>
    </row>
    <row r="4504" spans="16:16">
      <c r="P4504" s="594"/>
    </row>
    <row r="4505" spans="16:16">
      <c r="P4505" s="594"/>
    </row>
    <row r="4506" spans="16:16">
      <c r="P4506" s="594"/>
    </row>
    <row r="4507" spans="16:16">
      <c r="P4507" s="594"/>
    </row>
    <row r="4508" spans="16:16">
      <c r="P4508" s="594"/>
    </row>
    <row r="4509" spans="16:16">
      <c r="P4509" s="594"/>
    </row>
    <row r="4510" spans="16:16">
      <c r="P4510" s="594"/>
    </row>
    <row r="4511" spans="16:16">
      <c r="P4511" s="594"/>
    </row>
    <row r="4512" spans="16:16">
      <c r="P4512" s="594"/>
    </row>
    <row r="4513" spans="16:16">
      <c r="P4513" s="594"/>
    </row>
    <row r="4514" spans="16:16">
      <c r="P4514" s="594"/>
    </row>
    <row r="4515" spans="16:16">
      <c r="P4515" s="594"/>
    </row>
    <row r="4516" spans="16:16">
      <c r="P4516" s="594"/>
    </row>
    <row r="4517" spans="16:16">
      <c r="P4517" s="594"/>
    </row>
    <row r="4518" spans="16:16">
      <c r="P4518" s="594"/>
    </row>
    <row r="4519" spans="16:16">
      <c r="P4519" s="594"/>
    </row>
    <row r="4520" spans="16:16">
      <c r="P4520" s="594"/>
    </row>
    <row r="4521" spans="16:16">
      <c r="P4521" s="594"/>
    </row>
    <row r="4522" spans="16:16">
      <c r="P4522" s="594"/>
    </row>
    <row r="4523" spans="16:16">
      <c r="P4523" s="594"/>
    </row>
    <row r="4524" spans="16:16">
      <c r="P4524" s="594"/>
    </row>
    <row r="4525" spans="16:16">
      <c r="P4525" s="594"/>
    </row>
    <row r="4526" spans="16:16">
      <c r="P4526" s="594"/>
    </row>
    <row r="4527" spans="16:16">
      <c r="P4527" s="594"/>
    </row>
    <row r="4528" spans="16:16">
      <c r="P4528" s="594"/>
    </row>
    <row r="4529" spans="16:16">
      <c r="P4529" s="594"/>
    </row>
    <row r="4530" spans="16:16">
      <c r="P4530" s="594"/>
    </row>
    <row r="4531" spans="16:16">
      <c r="P4531" s="594"/>
    </row>
    <row r="4532" spans="16:16">
      <c r="P4532" s="594"/>
    </row>
    <row r="4533" spans="16:16">
      <c r="P4533" s="594"/>
    </row>
    <row r="4534" spans="16:16">
      <c r="P4534" s="594"/>
    </row>
    <row r="4535" spans="16:16">
      <c r="P4535" s="594"/>
    </row>
    <row r="4536" spans="16:16">
      <c r="P4536" s="594"/>
    </row>
    <row r="4537" spans="16:16">
      <c r="P4537" s="594"/>
    </row>
    <row r="4538" spans="16:16">
      <c r="P4538" s="594"/>
    </row>
    <row r="4539" spans="16:16">
      <c r="P4539" s="594"/>
    </row>
    <row r="4540" spans="16:16">
      <c r="P4540" s="594"/>
    </row>
    <row r="4541" spans="16:16">
      <c r="P4541" s="594"/>
    </row>
    <row r="4542" spans="16:16">
      <c r="P4542" s="594"/>
    </row>
    <row r="4543" spans="16:16">
      <c r="P4543" s="594"/>
    </row>
    <row r="4544" spans="16:16">
      <c r="P4544" s="594"/>
    </row>
    <row r="4545" spans="16:16">
      <c r="P4545" s="594"/>
    </row>
    <row r="4546" spans="16:16">
      <c r="P4546" s="594"/>
    </row>
    <row r="4547" spans="16:16">
      <c r="P4547" s="594"/>
    </row>
    <row r="4548" spans="16:16">
      <c r="P4548" s="594"/>
    </row>
    <row r="4549" spans="16:16">
      <c r="P4549" s="594"/>
    </row>
    <row r="4550" spans="16:16">
      <c r="P4550" s="594"/>
    </row>
    <row r="4551" spans="16:16">
      <c r="P4551" s="594"/>
    </row>
    <row r="4552" spans="16:16">
      <c r="P4552" s="594"/>
    </row>
    <row r="4553" spans="16:16">
      <c r="P4553" s="594"/>
    </row>
    <row r="4554" spans="16:16">
      <c r="P4554" s="594"/>
    </row>
    <row r="4555" spans="16:16">
      <c r="P4555" s="594"/>
    </row>
    <row r="4556" spans="16:16">
      <c r="P4556" s="594"/>
    </row>
    <row r="4557" spans="16:16">
      <c r="P4557" s="594"/>
    </row>
    <row r="4558" spans="16:16">
      <c r="P4558" s="594"/>
    </row>
    <row r="4559" spans="16:16">
      <c r="P4559" s="594"/>
    </row>
    <row r="4560" spans="16:16">
      <c r="P4560" s="594"/>
    </row>
    <row r="4561" spans="16:16">
      <c r="P4561" s="594"/>
    </row>
    <row r="4562" spans="16:16">
      <c r="P4562" s="594"/>
    </row>
    <row r="4563" spans="16:16">
      <c r="P4563" s="594"/>
    </row>
    <row r="4564" spans="16:16">
      <c r="P4564" s="594"/>
    </row>
    <row r="4565" spans="16:16">
      <c r="P4565" s="594"/>
    </row>
    <row r="4566" spans="16:16">
      <c r="P4566" s="594"/>
    </row>
    <row r="4567" spans="16:16">
      <c r="P4567" s="594"/>
    </row>
    <row r="4568" spans="16:16">
      <c r="P4568" s="594"/>
    </row>
    <row r="4569" spans="16:16">
      <c r="P4569" s="594"/>
    </row>
    <row r="4570" spans="16:16">
      <c r="P4570" s="594"/>
    </row>
    <row r="4571" spans="16:16">
      <c r="P4571" s="594"/>
    </row>
    <row r="4572" spans="16:16">
      <c r="P4572" s="594"/>
    </row>
    <row r="4573" spans="16:16">
      <c r="P4573" s="594"/>
    </row>
    <row r="4574" spans="16:16">
      <c r="P4574" s="594"/>
    </row>
    <row r="4575" spans="16:16">
      <c r="P4575" s="594"/>
    </row>
    <row r="4576" spans="16:16">
      <c r="P4576" s="594"/>
    </row>
    <row r="4577" spans="16:16">
      <c r="P4577" s="594"/>
    </row>
    <row r="4578" spans="16:16">
      <c r="P4578" s="594"/>
    </row>
    <row r="4579" spans="16:16">
      <c r="P4579" s="594"/>
    </row>
    <row r="4580" spans="16:16">
      <c r="P4580" s="594"/>
    </row>
    <row r="4581" spans="16:16">
      <c r="P4581" s="594"/>
    </row>
    <row r="4582" spans="16:16">
      <c r="P4582" s="594"/>
    </row>
    <row r="4583" spans="16:16">
      <c r="P4583" s="594"/>
    </row>
    <row r="4584" spans="16:16">
      <c r="P4584" s="594"/>
    </row>
    <row r="4585" spans="16:16">
      <c r="P4585" s="594"/>
    </row>
    <row r="4586" spans="16:16">
      <c r="P4586" s="594"/>
    </row>
    <row r="4587" spans="16:16">
      <c r="P4587" s="594"/>
    </row>
    <row r="4588" spans="16:16">
      <c r="P4588" s="594"/>
    </row>
    <row r="4589" spans="16:16">
      <c r="P4589" s="594"/>
    </row>
    <row r="4590" spans="16:16">
      <c r="P4590" s="594"/>
    </row>
    <row r="4591" spans="16:16">
      <c r="P4591" s="594"/>
    </row>
    <row r="4592" spans="16:16">
      <c r="P4592" s="594"/>
    </row>
    <row r="4593" spans="16:16">
      <c r="P4593" s="594"/>
    </row>
    <row r="4594" spans="16:16">
      <c r="P4594" s="594"/>
    </row>
    <row r="4595" spans="16:16">
      <c r="P4595" s="594"/>
    </row>
    <row r="4596" spans="16:16">
      <c r="P4596" s="594"/>
    </row>
    <row r="4597" spans="16:16">
      <c r="P4597" s="594"/>
    </row>
    <row r="4598" spans="16:16">
      <c r="P4598" s="594"/>
    </row>
    <row r="4599" spans="16:16">
      <c r="P4599" s="594"/>
    </row>
    <row r="4600" spans="16:16">
      <c r="P4600" s="594"/>
    </row>
    <row r="4601" spans="16:16">
      <c r="P4601" s="594"/>
    </row>
    <row r="4602" spans="16:16">
      <c r="P4602" s="594"/>
    </row>
    <row r="4603" spans="16:16">
      <c r="P4603" s="594"/>
    </row>
    <row r="4604" spans="16:16">
      <c r="P4604" s="594"/>
    </row>
    <row r="4605" spans="16:16">
      <c r="P4605" s="594"/>
    </row>
    <row r="4606" spans="16:16">
      <c r="P4606" s="594"/>
    </row>
    <row r="4607" spans="16:16">
      <c r="P4607" s="594"/>
    </row>
    <row r="4608" spans="16:16">
      <c r="P4608" s="594"/>
    </row>
    <row r="4609" spans="16:16">
      <c r="P4609" s="594"/>
    </row>
    <row r="4610" spans="16:16">
      <c r="P4610" s="594"/>
    </row>
    <row r="4611" spans="16:16">
      <c r="P4611" s="594"/>
    </row>
    <row r="4612" spans="16:16">
      <c r="P4612" s="594"/>
    </row>
    <row r="4613" spans="16:16">
      <c r="P4613" s="594"/>
    </row>
    <row r="4614" spans="16:16">
      <c r="P4614" s="594"/>
    </row>
    <row r="4615" spans="16:16">
      <c r="P4615" s="594"/>
    </row>
    <row r="4616" spans="16:16">
      <c r="P4616" s="594"/>
    </row>
    <row r="4617" spans="16:16">
      <c r="P4617" s="594"/>
    </row>
    <row r="4618" spans="16:16">
      <c r="P4618" s="594"/>
    </row>
    <row r="4619" spans="16:16">
      <c r="P4619" s="594"/>
    </row>
    <row r="4620" spans="16:16">
      <c r="P4620" s="594"/>
    </row>
    <row r="4621" spans="16:16">
      <c r="P4621" s="594"/>
    </row>
    <row r="4622" spans="16:16">
      <c r="P4622" s="594"/>
    </row>
    <row r="4623" spans="16:16">
      <c r="P4623" s="594"/>
    </row>
    <row r="4624" spans="16:16">
      <c r="P4624" s="594"/>
    </row>
    <row r="4625" spans="16:16">
      <c r="P4625" s="594"/>
    </row>
    <row r="4626" spans="16:16">
      <c r="P4626" s="594"/>
    </row>
    <row r="4627" spans="16:16">
      <c r="P4627" s="594"/>
    </row>
    <row r="4628" spans="16:16">
      <c r="P4628" s="594"/>
    </row>
    <row r="4629" spans="16:16">
      <c r="P4629" s="594"/>
    </row>
    <row r="4630" spans="16:16">
      <c r="P4630" s="594"/>
    </row>
    <row r="4631" spans="16:16">
      <c r="P4631" s="594"/>
    </row>
    <row r="4632" spans="16:16">
      <c r="P4632" s="594"/>
    </row>
    <row r="4633" spans="16:16">
      <c r="P4633" s="594"/>
    </row>
    <row r="4634" spans="16:16">
      <c r="P4634" s="594"/>
    </row>
    <row r="4635" spans="16:16">
      <c r="P4635" s="594"/>
    </row>
    <row r="4636" spans="16:16">
      <c r="P4636" s="594"/>
    </row>
    <row r="4637" spans="16:16">
      <c r="P4637" s="594"/>
    </row>
    <row r="4638" spans="16:16">
      <c r="P4638" s="594"/>
    </row>
    <row r="4639" spans="16:16">
      <c r="P4639" s="594"/>
    </row>
    <row r="4640" spans="16:16">
      <c r="P4640" s="594"/>
    </row>
    <row r="4641" spans="16:16">
      <c r="P4641" s="594"/>
    </row>
    <row r="4642" spans="16:16">
      <c r="P4642" s="594"/>
    </row>
    <row r="4643" spans="16:16">
      <c r="P4643" s="594"/>
    </row>
    <row r="4644" spans="16:16">
      <c r="P4644" s="594"/>
    </row>
    <row r="4645" spans="16:16">
      <c r="P4645" s="594"/>
    </row>
    <row r="4646" spans="16:16">
      <c r="P4646" s="594"/>
    </row>
    <row r="4647" spans="16:16">
      <c r="P4647" s="594"/>
    </row>
    <row r="4648" spans="16:16">
      <c r="P4648" s="594"/>
    </row>
    <row r="4649" spans="16:16">
      <c r="P4649" s="594"/>
    </row>
    <row r="4650" spans="16:16">
      <c r="P4650" s="594"/>
    </row>
    <row r="4651" spans="16:16">
      <c r="P4651" s="594"/>
    </row>
    <row r="4652" spans="16:16">
      <c r="P4652" s="594"/>
    </row>
    <row r="4653" spans="16:16">
      <c r="P4653" s="594"/>
    </row>
    <row r="4654" spans="16:16">
      <c r="P4654" s="594"/>
    </row>
    <row r="4655" spans="16:16">
      <c r="P4655" s="594"/>
    </row>
    <row r="4656" spans="16:16">
      <c r="P4656" s="594"/>
    </row>
    <row r="4657" spans="16:16">
      <c r="P4657" s="594"/>
    </row>
    <row r="4658" spans="16:16">
      <c r="P4658" s="594"/>
    </row>
    <row r="4659" spans="16:16">
      <c r="P4659" s="594"/>
    </row>
    <row r="4660" spans="16:16">
      <c r="P4660" s="594"/>
    </row>
    <row r="4661" spans="16:16">
      <c r="P4661" s="594"/>
    </row>
    <row r="4662" spans="16:16">
      <c r="P4662" s="594"/>
    </row>
    <row r="4663" spans="16:16">
      <c r="P4663" s="594"/>
    </row>
    <row r="4664" spans="16:16">
      <c r="P4664" s="594"/>
    </row>
    <row r="4665" spans="16:16">
      <c r="P4665" s="594"/>
    </row>
    <row r="4666" spans="16:16">
      <c r="P4666" s="594"/>
    </row>
    <row r="4667" spans="16:16">
      <c r="P4667" s="594"/>
    </row>
    <row r="4668" spans="16:16">
      <c r="P4668" s="594"/>
    </row>
    <row r="4669" spans="16:16">
      <c r="P4669" s="594"/>
    </row>
    <row r="4670" spans="16:16">
      <c r="P4670" s="594"/>
    </row>
    <row r="4671" spans="16:16">
      <c r="P4671" s="594"/>
    </row>
    <row r="4672" spans="16:16">
      <c r="P4672" s="594"/>
    </row>
    <row r="4673" spans="16:16">
      <c r="P4673" s="594"/>
    </row>
    <row r="4674" spans="16:16">
      <c r="P4674" s="594"/>
    </row>
    <row r="4675" spans="16:16">
      <c r="P4675" s="594"/>
    </row>
    <row r="4676" spans="16:16">
      <c r="P4676" s="594"/>
    </row>
    <row r="4677" spans="16:16">
      <c r="P4677" s="594"/>
    </row>
    <row r="4678" spans="16:16">
      <c r="P4678" s="594"/>
    </row>
    <row r="4679" spans="16:16">
      <c r="P4679" s="594"/>
    </row>
    <row r="4680" spans="16:16">
      <c r="P4680" s="594"/>
    </row>
    <row r="4681" spans="16:16">
      <c r="P4681" s="594"/>
    </row>
    <row r="4682" spans="16:16">
      <c r="P4682" s="594"/>
    </row>
    <row r="4683" spans="16:16">
      <c r="P4683" s="594"/>
    </row>
    <row r="4684" spans="16:16">
      <c r="P4684" s="594"/>
    </row>
    <row r="4685" spans="16:16">
      <c r="P4685" s="594"/>
    </row>
    <row r="4686" spans="16:16">
      <c r="P4686" s="594"/>
    </row>
    <row r="4687" spans="16:16">
      <c r="P4687" s="594"/>
    </row>
    <row r="4688" spans="16:16">
      <c r="P4688" s="594"/>
    </row>
    <row r="4689" spans="16:16">
      <c r="P4689" s="594"/>
    </row>
    <row r="4690" spans="16:16">
      <c r="P4690" s="594"/>
    </row>
    <row r="4691" spans="16:16">
      <c r="P4691" s="594"/>
    </row>
    <row r="4692" spans="16:16">
      <c r="P4692" s="594"/>
    </row>
    <row r="4693" spans="16:16">
      <c r="P4693" s="594"/>
    </row>
    <row r="4694" spans="16:16">
      <c r="P4694" s="594"/>
    </row>
    <row r="4695" spans="16:16">
      <c r="P4695" s="594"/>
    </row>
    <row r="4696" spans="16:16">
      <c r="P4696" s="594"/>
    </row>
    <row r="4697" spans="16:16">
      <c r="P4697" s="594"/>
    </row>
    <row r="4698" spans="16:16">
      <c r="P4698" s="594"/>
    </row>
    <row r="4699" spans="16:16">
      <c r="P4699" s="594"/>
    </row>
    <row r="4700" spans="16:16">
      <c r="P4700" s="594"/>
    </row>
    <row r="4701" spans="16:16">
      <c r="P4701" s="594"/>
    </row>
    <row r="4702" spans="16:16">
      <c r="P4702" s="594"/>
    </row>
    <row r="4703" spans="16:16">
      <c r="P4703" s="594"/>
    </row>
    <row r="4704" spans="16:16">
      <c r="P4704" s="594"/>
    </row>
    <row r="4705" spans="16:16">
      <c r="P4705" s="594"/>
    </row>
    <row r="4706" spans="16:16">
      <c r="P4706" s="594"/>
    </row>
    <row r="4707" spans="16:16">
      <c r="P4707" s="594"/>
    </row>
    <row r="4708" spans="16:16">
      <c r="P4708" s="594"/>
    </row>
    <row r="4709" spans="16:16">
      <c r="P4709" s="594"/>
    </row>
    <row r="4710" spans="16:16">
      <c r="P4710" s="594"/>
    </row>
    <row r="4711" spans="16:16">
      <c r="P4711" s="594"/>
    </row>
    <row r="4712" spans="16:16">
      <c r="P4712" s="594"/>
    </row>
    <row r="4713" spans="16:16">
      <c r="P4713" s="594"/>
    </row>
    <row r="4714" spans="16:16">
      <c r="P4714" s="594"/>
    </row>
    <row r="4715" spans="16:16">
      <c r="P4715" s="594"/>
    </row>
    <row r="4716" spans="16:16">
      <c r="P4716" s="594"/>
    </row>
    <row r="4717" spans="16:16">
      <c r="P4717" s="594"/>
    </row>
    <row r="4718" spans="16:16">
      <c r="P4718" s="594"/>
    </row>
    <row r="4719" spans="16:16">
      <c r="P4719" s="594"/>
    </row>
    <row r="4720" spans="16:16">
      <c r="P4720" s="594"/>
    </row>
    <row r="4721" spans="16:16">
      <c r="P4721" s="594"/>
    </row>
    <row r="4722" spans="16:16">
      <c r="P4722" s="594"/>
    </row>
    <row r="4723" spans="16:16">
      <c r="P4723" s="594"/>
    </row>
    <row r="4724" spans="16:16">
      <c r="P4724" s="594"/>
    </row>
    <row r="4725" spans="16:16">
      <c r="P4725" s="594"/>
    </row>
    <row r="4726" spans="16:16">
      <c r="P4726" s="594"/>
    </row>
    <row r="4727" spans="16:16">
      <c r="P4727" s="594"/>
    </row>
    <row r="4728" spans="16:16">
      <c r="P4728" s="594"/>
    </row>
    <row r="4729" spans="16:16">
      <c r="P4729" s="594"/>
    </row>
    <row r="4730" spans="16:16">
      <c r="P4730" s="594"/>
    </row>
    <row r="4731" spans="16:16">
      <c r="P4731" s="594"/>
    </row>
    <row r="4732" spans="16:16">
      <c r="P4732" s="594"/>
    </row>
    <row r="4733" spans="16:16">
      <c r="P4733" s="594"/>
    </row>
    <row r="4734" spans="16:16">
      <c r="P4734" s="594"/>
    </row>
    <row r="4735" spans="16:16">
      <c r="P4735" s="594"/>
    </row>
    <row r="4736" spans="16:16">
      <c r="P4736" s="594"/>
    </row>
    <row r="4737" spans="16:16">
      <c r="P4737" s="594"/>
    </row>
    <row r="4738" spans="16:16">
      <c r="P4738" s="594"/>
    </row>
    <row r="4739" spans="16:16">
      <c r="P4739" s="594"/>
    </row>
    <row r="4740" spans="16:16">
      <c r="P4740" s="594"/>
    </row>
    <row r="4741" spans="16:16">
      <c r="P4741" s="594"/>
    </row>
    <row r="4742" spans="16:16">
      <c r="P4742" s="594"/>
    </row>
    <row r="4743" spans="16:16">
      <c r="P4743" s="594"/>
    </row>
    <row r="4744" spans="16:16">
      <c r="P4744" s="594"/>
    </row>
    <row r="4745" spans="16:16">
      <c r="P4745" s="594"/>
    </row>
    <row r="4746" spans="16:16">
      <c r="P4746" s="594"/>
    </row>
    <row r="4747" spans="16:16">
      <c r="P4747" s="594"/>
    </row>
    <row r="4748" spans="16:16">
      <c r="P4748" s="594"/>
    </row>
    <row r="4749" spans="16:16">
      <c r="P4749" s="594"/>
    </row>
    <row r="4750" spans="16:16">
      <c r="P4750" s="594"/>
    </row>
    <row r="4751" spans="16:16">
      <c r="P4751" s="594"/>
    </row>
    <row r="4752" spans="16:16">
      <c r="P4752" s="594"/>
    </row>
    <row r="4753" spans="16:16">
      <c r="P4753" s="594"/>
    </row>
    <row r="4754" spans="16:16">
      <c r="P4754" s="594"/>
    </row>
    <row r="4755" spans="16:16">
      <c r="P4755" s="594"/>
    </row>
    <row r="4756" spans="16:16">
      <c r="P4756" s="594"/>
    </row>
    <row r="4757" spans="16:16">
      <c r="P4757" s="594"/>
    </row>
    <row r="4758" spans="16:16">
      <c r="P4758" s="594"/>
    </row>
    <row r="4759" spans="16:16">
      <c r="P4759" s="594"/>
    </row>
    <row r="4760" spans="16:16">
      <c r="P4760" s="594"/>
    </row>
    <row r="4761" spans="16:16">
      <c r="P4761" s="594"/>
    </row>
    <row r="4762" spans="16:16">
      <c r="P4762" s="594"/>
    </row>
    <row r="4763" spans="16:16">
      <c r="P4763" s="594"/>
    </row>
    <row r="4764" spans="16:16">
      <c r="P4764" s="594"/>
    </row>
    <row r="4765" spans="16:16">
      <c r="P4765" s="594"/>
    </row>
    <row r="4766" spans="16:16">
      <c r="P4766" s="594"/>
    </row>
    <row r="4767" spans="16:16">
      <c r="P4767" s="594"/>
    </row>
    <row r="4768" spans="16:16">
      <c r="P4768" s="594"/>
    </row>
    <row r="4769" spans="16:16">
      <c r="P4769" s="594"/>
    </row>
    <row r="4770" spans="16:16">
      <c r="P4770" s="594"/>
    </row>
    <row r="4771" spans="16:16">
      <c r="P4771" s="594"/>
    </row>
    <row r="4772" spans="16:16">
      <c r="P4772" s="594"/>
    </row>
    <row r="4773" spans="16:16">
      <c r="P4773" s="594"/>
    </row>
    <row r="4774" spans="16:16">
      <c r="P4774" s="594"/>
    </row>
    <row r="4775" spans="16:16">
      <c r="P4775" s="594"/>
    </row>
    <row r="4776" spans="16:16">
      <c r="P4776" s="594"/>
    </row>
    <row r="4777" spans="16:16">
      <c r="P4777" s="594"/>
    </row>
    <row r="4778" spans="16:16">
      <c r="P4778" s="594"/>
    </row>
    <row r="4779" spans="16:16">
      <c r="P4779" s="594"/>
    </row>
    <row r="4780" spans="16:16">
      <c r="P4780" s="594"/>
    </row>
    <row r="4781" spans="16:16">
      <c r="P4781" s="594"/>
    </row>
    <row r="4782" spans="16:16">
      <c r="P4782" s="594"/>
    </row>
    <row r="4783" spans="16:16">
      <c r="P4783" s="594"/>
    </row>
    <row r="4784" spans="16:16">
      <c r="P4784" s="594"/>
    </row>
    <row r="4785" spans="16:16">
      <c r="P4785" s="594"/>
    </row>
    <row r="4786" spans="16:16">
      <c r="P4786" s="594"/>
    </row>
    <row r="4787" spans="16:16">
      <c r="P4787" s="594"/>
    </row>
    <row r="4788" spans="16:16">
      <c r="P4788" s="594"/>
    </row>
    <row r="4789" spans="16:16">
      <c r="P4789" s="594"/>
    </row>
    <row r="4790" spans="16:16">
      <c r="P4790" s="594"/>
    </row>
    <row r="4791" spans="16:16">
      <c r="P4791" s="594"/>
    </row>
    <row r="4792" spans="16:16">
      <c r="P4792" s="594"/>
    </row>
    <row r="4793" spans="16:16">
      <c r="P4793" s="594"/>
    </row>
    <row r="4794" spans="16:16">
      <c r="P4794" s="594"/>
    </row>
    <row r="4795" spans="16:16">
      <c r="P4795" s="594"/>
    </row>
    <row r="4796" spans="16:16">
      <c r="P4796" s="594"/>
    </row>
    <row r="4797" spans="16:16">
      <c r="P4797" s="594"/>
    </row>
    <row r="4798" spans="16:16">
      <c r="P4798" s="594"/>
    </row>
    <row r="4799" spans="16:16">
      <c r="P4799" s="594"/>
    </row>
    <row r="4800" spans="16:16">
      <c r="P4800" s="594"/>
    </row>
    <row r="4801" spans="16:16">
      <c r="P4801" s="594"/>
    </row>
    <row r="4802" spans="16:16">
      <c r="P4802" s="594"/>
    </row>
    <row r="4803" spans="16:16">
      <c r="P4803" s="594"/>
    </row>
    <row r="4804" spans="16:16">
      <c r="P4804" s="594"/>
    </row>
    <row r="4805" spans="16:16">
      <c r="P4805" s="594"/>
    </row>
    <row r="4806" spans="16:16">
      <c r="P4806" s="594"/>
    </row>
    <row r="4807" spans="16:16">
      <c r="P4807" s="594"/>
    </row>
    <row r="4808" spans="16:16">
      <c r="P4808" s="594"/>
    </row>
    <row r="4809" spans="16:16">
      <c r="P4809" s="594"/>
    </row>
    <row r="4810" spans="16:16">
      <c r="P4810" s="594"/>
    </row>
    <row r="4811" spans="16:16">
      <c r="P4811" s="594"/>
    </row>
    <row r="4812" spans="16:16">
      <c r="P4812" s="594"/>
    </row>
    <row r="4813" spans="16:16">
      <c r="P4813" s="594"/>
    </row>
    <row r="4814" spans="16:16">
      <c r="P4814" s="594"/>
    </row>
    <row r="4815" spans="16:16">
      <c r="P4815" s="594"/>
    </row>
    <row r="4816" spans="16:16">
      <c r="P4816" s="594"/>
    </row>
    <row r="4817" spans="16:16">
      <c r="P4817" s="594"/>
    </row>
    <row r="4818" spans="16:16">
      <c r="P4818" s="594"/>
    </row>
    <row r="4819" spans="16:16">
      <c r="P4819" s="594"/>
    </row>
    <row r="4820" spans="16:16">
      <c r="P4820" s="594"/>
    </row>
    <row r="4821" spans="16:16">
      <c r="P4821" s="594"/>
    </row>
    <row r="4822" spans="16:16">
      <c r="P4822" s="594"/>
    </row>
    <row r="4823" spans="16:16">
      <c r="P4823" s="594"/>
    </row>
    <row r="4824" spans="16:16">
      <c r="P4824" s="594"/>
    </row>
    <row r="4825" spans="16:16">
      <c r="P4825" s="594"/>
    </row>
    <row r="4826" spans="16:16">
      <c r="P4826" s="594"/>
    </row>
    <row r="4827" spans="16:16">
      <c r="P4827" s="594"/>
    </row>
    <row r="4828" spans="16:16">
      <c r="P4828" s="594"/>
    </row>
    <row r="4829" spans="16:16">
      <c r="P4829" s="594"/>
    </row>
    <row r="4830" spans="16:16">
      <c r="P4830" s="594"/>
    </row>
    <row r="4831" spans="16:16">
      <c r="P4831" s="594"/>
    </row>
    <row r="4832" spans="16:16">
      <c r="P4832" s="594"/>
    </row>
    <row r="4833" spans="16:16">
      <c r="P4833" s="594"/>
    </row>
    <row r="4834" spans="16:16">
      <c r="P4834" s="594"/>
    </row>
    <row r="4835" spans="16:16">
      <c r="P4835" s="594"/>
    </row>
    <row r="4836" spans="16:16">
      <c r="P4836" s="594"/>
    </row>
    <row r="4837" spans="16:16">
      <c r="P4837" s="594"/>
    </row>
    <row r="4838" spans="16:16">
      <c r="P4838" s="594"/>
    </row>
    <row r="4839" spans="16:16">
      <c r="P4839" s="594"/>
    </row>
    <row r="4840" spans="16:16">
      <c r="P4840" s="594"/>
    </row>
    <row r="4841" spans="16:16">
      <c r="P4841" s="594"/>
    </row>
    <row r="4842" spans="16:16">
      <c r="P4842" s="594"/>
    </row>
    <row r="4843" spans="16:16">
      <c r="P4843" s="594"/>
    </row>
    <row r="4844" spans="16:16">
      <c r="P4844" s="594"/>
    </row>
    <row r="4845" spans="16:16">
      <c r="P4845" s="594"/>
    </row>
    <row r="4846" spans="16:16">
      <c r="P4846" s="594"/>
    </row>
    <row r="4847" spans="16:16">
      <c r="P4847" s="594"/>
    </row>
    <row r="4848" spans="16:16">
      <c r="P4848" s="594"/>
    </row>
    <row r="4849" spans="16:16">
      <c r="P4849" s="594"/>
    </row>
    <row r="4850" spans="16:16">
      <c r="P4850" s="594"/>
    </row>
    <row r="4851" spans="16:16">
      <c r="P4851" s="594"/>
    </row>
    <row r="4852" spans="16:16">
      <c r="P4852" s="594"/>
    </row>
    <row r="4853" spans="16:16">
      <c r="P4853" s="594"/>
    </row>
    <row r="4854" spans="16:16">
      <c r="P4854" s="594"/>
    </row>
    <row r="4855" spans="16:16">
      <c r="P4855" s="594"/>
    </row>
    <row r="4856" spans="16:16">
      <c r="P4856" s="594"/>
    </row>
    <row r="4857" spans="16:16">
      <c r="P4857" s="594"/>
    </row>
    <row r="4858" spans="16:16">
      <c r="P4858" s="594"/>
    </row>
    <row r="4859" spans="16:16">
      <c r="P4859" s="594"/>
    </row>
    <row r="4860" spans="16:16">
      <c r="P4860" s="594"/>
    </row>
    <row r="4861" spans="16:16">
      <c r="P4861" s="594"/>
    </row>
    <row r="4862" spans="16:16">
      <c r="P4862" s="594"/>
    </row>
    <row r="4863" spans="16:16">
      <c r="P4863" s="594"/>
    </row>
    <row r="4864" spans="16:16">
      <c r="P4864" s="594"/>
    </row>
    <row r="4865" spans="16:16">
      <c r="P4865" s="594"/>
    </row>
    <row r="4866" spans="16:16">
      <c r="P4866" s="594"/>
    </row>
    <row r="4867" spans="16:16">
      <c r="P4867" s="594"/>
    </row>
    <row r="4868" spans="16:16">
      <c r="P4868" s="594"/>
    </row>
    <row r="4869" spans="16:16">
      <c r="P4869" s="594"/>
    </row>
    <row r="4870" spans="16:16">
      <c r="P4870" s="594"/>
    </row>
    <row r="4871" spans="16:16">
      <c r="P4871" s="594"/>
    </row>
    <row r="4872" spans="16:16">
      <c r="P4872" s="594"/>
    </row>
    <row r="4873" spans="16:16">
      <c r="P4873" s="594"/>
    </row>
    <row r="4874" spans="16:16">
      <c r="P4874" s="594"/>
    </row>
    <row r="4875" spans="16:16">
      <c r="P4875" s="594"/>
    </row>
    <row r="4876" spans="16:16">
      <c r="P4876" s="594"/>
    </row>
    <row r="4877" spans="16:16">
      <c r="P4877" s="594"/>
    </row>
    <row r="4878" spans="16:16">
      <c r="P4878" s="594"/>
    </row>
    <row r="4879" spans="16:16">
      <c r="P4879" s="594"/>
    </row>
    <row r="4880" spans="16:16">
      <c r="P4880" s="594"/>
    </row>
    <row r="4881" spans="16:16">
      <c r="P4881" s="594"/>
    </row>
    <row r="4882" spans="16:16">
      <c r="P4882" s="594"/>
    </row>
    <row r="4883" spans="16:16">
      <c r="P4883" s="594"/>
    </row>
    <row r="4884" spans="16:16">
      <c r="P4884" s="594"/>
    </row>
    <row r="4885" spans="16:16">
      <c r="P4885" s="594"/>
    </row>
    <row r="4886" spans="16:16">
      <c r="P4886" s="594"/>
    </row>
    <row r="4887" spans="16:16">
      <c r="P4887" s="594"/>
    </row>
    <row r="4888" spans="16:16">
      <c r="P4888" s="594"/>
    </row>
    <row r="4889" spans="16:16">
      <c r="P4889" s="594"/>
    </row>
    <row r="4890" spans="16:16">
      <c r="P4890" s="594"/>
    </row>
    <row r="4891" spans="16:16">
      <c r="P4891" s="594"/>
    </row>
    <row r="4892" spans="16:16">
      <c r="P4892" s="594"/>
    </row>
    <row r="4893" spans="16:16">
      <c r="P4893" s="594"/>
    </row>
    <row r="4894" spans="16:16">
      <c r="P4894" s="594"/>
    </row>
    <row r="4895" spans="16:16">
      <c r="P4895" s="594"/>
    </row>
    <row r="4896" spans="16:16">
      <c r="P4896" s="594"/>
    </row>
    <row r="4897" spans="16:16">
      <c r="P4897" s="594"/>
    </row>
    <row r="4898" spans="16:16">
      <c r="P4898" s="594"/>
    </row>
    <row r="4899" spans="16:16">
      <c r="P4899" s="594"/>
    </row>
    <row r="4900" spans="16:16">
      <c r="P4900" s="594"/>
    </row>
    <row r="4901" spans="16:16">
      <c r="P4901" s="594"/>
    </row>
    <row r="4902" spans="16:16">
      <c r="P4902" s="594"/>
    </row>
    <row r="4903" spans="16:16">
      <c r="P4903" s="594"/>
    </row>
    <row r="4904" spans="16:16">
      <c r="P4904" s="594"/>
    </row>
    <row r="4905" spans="16:16">
      <c r="P4905" s="594"/>
    </row>
    <row r="4906" spans="16:16">
      <c r="P4906" s="594"/>
    </row>
    <row r="4907" spans="16:16">
      <c r="P4907" s="594"/>
    </row>
    <row r="4908" spans="16:16">
      <c r="P4908" s="594"/>
    </row>
    <row r="4909" spans="16:16">
      <c r="P4909" s="594"/>
    </row>
    <row r="4910" spans="16:16">
      <c r="P4910" s="594"/>
    </row>
    <row r="4911" spans="16:16">
      <c r="P4911" s="594"/>
    </row>
    <row r="4912" spans="16:16">
      <c r="P4912" s="594"/>
    </row>
    <row r="4913" spans="16:16">
      <c r="P4913" s="594"/>
    </row>
    <row r="4914" spans="16:16">
      <c r="P4914" s="594"/>
    </row>
    <row r="4915" spans="16:16">
      <c r="P4915" s="594"/>
    </row>
    <row r="4916" spans="16:16">
      <c r="P4916" s="594"/>
    </row>
    <row r="4917" spans="16:16">
      <c r="P4917" s="594"/>
    </row>
    <row r="4918" spans="16:16">
      <c r="P4918" s="594"/>
    </row>
    <row r="4919" spans="16:16">
      <c r="P4919" s="594"/>
    </row>
    <row r="4920" spans="16:16">
      <c r="P4920" s="594"/>
    </row>
    <row r="4921" spans="16:16">
      <c r="P4921" s="594"/>
    </row>
    <row r="4922" spans="16:16">
      <c r="P4922" s="594"/>
    </row>
    <row r="4923" spans="16:16">
      <c r="P4923" s="594"/>
    </row>
    <row r="4924" spans="16:16">
      <c r="P4924" s="594"/>
    </row>
    <row r="4925" spans="16:16">
      <c r="P4925" s="594"/>
    </row>
    <row r="4926" spans="16:16">
      <c r="P4926" s="594"/>
    </row>
    <row r="4927" spans="16:16">
      <c r="P4927" s="594"/>
    </row>
    <row r="4928" spans="16:16">
      <c r="P4928" s="594"/>
    </row>
    <row r="4929" spans="16:16">
      <c r="P4929" s="594"/>
    </row>
    <row r="4930" spans="16:16">
      <c r="P4930" s="594"/>
    </row>
    <row r="4931" spans="16:16">
      <c r="P4931" s="594"/>
    </row>
    <row r="4932" spans="16:16">
      <c r="P4932" s="594"/>
    </row>
    <row r="4933" spans="16:16">
      <c r="P4933" s="594"/>
    </row>
    <row r="4934" spans="16:16">
      <c r="P4934" s="594"/>
    </row>
    <row r="4935" spans="16:16">
      <c r="P4935" s="594"/>
    </row>
    <row r="4936" spans="16:16">
      <c r="P4936" s="594"/>
    </row>
    <row r="4937" spans="16:16">
      <c r="P4937" s="594"/>
    </row>
    <row r="4938" spans="16:16">
      <c r="P4938" s="594"/>
    </row>
    <row r="4939" spans="16:16">
      <c r="P4939" s="594"/>
    </row>
    <row r="4940" spans="16:16">
      <c r="P4940" s="594"/>
    </row>
    <row r="4941" spans="16:16">
      <c r="P4941" s="594"/>
    </row>
    <row r="4942" spans="16:16">
      <c r="P4942" s="594"/>
    </row>
    <row r="4943" spans="16:16">
      <c r="P4943" s="594"/>
    </row>
    <row r="4944" spans="16:16">
      <c r="P4944" s="594"/>
    </row>
    <row r="4945" spans="16:16">
      <c r="P4945" s="594"/>
    </row>
    <row r="4946" spans="16:16">
      <c r="P4946" s="594"/>
    </row>
    <row r="4947" spans="16:16">
      <c r="P4947" s="594"/>
    </row>
    <row r="4948" spans="16:16">
      <c r="P4948" s="594"/>
    </row>
    <row r="4949" spans="16:16">
      <c r="P4949" s="594"/>
    </row>
    <row r="4950" spans="16:16">
      <c r="P4950" s="594"/>
    </row>
    <row r="4951" spans="16:16">
      <c r="P4951" s="594"/>
    </row>
    <row r="4952" spans="16:16">
      <c r="P4952" s="594"/>
    </row>
    <row r="4953" spans="16:16">
      <c r="P4953" s="594"/>
    </row>
    <row r="4954" spans="16:16">
      <c r="P4954" s="594"/>
    </row>
    <row r="4955" spans="16:16">
      <c r="P4955" s="594"/>
    </row>
    <row r="4956" spans="16:16">
      <c r="P4956" s="594"/>
    </row>
    <row r="4957" spans="16:16">
      <c r="P4957" s="594"/>
    </row>
    <row r="4958" spans="16:16">
      <c r="P4958" s="594"/>
    </row>
    <row r="4959" spans="16:16">
      <c r="P4959" s="594"/>
    </row>
    <row r="4960" spans="16:16">
      <c r="P4960" s="594"/>
    </row>
    <row r="4961" spans="16:16">
      <c r="P4961" s="594"/>
    </row>
    <row r="4962" spans="16:16">
      <c r="P4962" s="594"/>
    </row>
    <row r="4963" spans="16:16">
      <c r="P4963" s="594"/>
    </row>
    <row r="4964" spans="16:16">
      <c r="P4964" s="594"/>
    </row>
    <row r="4965" spans="16:16">
      <c r="P4965" s="594"/>
    </row>
    <row r="4966" spans="16:16">
      <c r="P4966" s="594"/>
    </row>
    <row r="4967" spans="16:16">
      <c r="P4967" s="594"/>
    </row>
    <row r="4968" spans="16:16">
      <c r="P4968" s="594"/>
    </row>
    <row r="4969" spans="16:16">
      <c r="P4969" s="594"/>
    </row>
    <row r="4970" spans="16:16">
      <c r="P4970" s="594"/>
    </row>
    <row r="4971" spans="16:16">
      <c r="P4971" s="594"/>
    </row>
    <row r="4972" spans="16:16">
      <c r="P4972" s="594"/>
    </row>
    <row r="4973" spans="16:16">
      <c r="P4973" s="594"/>
    </row>
    <row r="4974" spans="16:16">
      <c r="P4974" s="594"/>
    </row>
    <row r="4975" spans="16:16">
      <c r="P4975" s="594"/>
    </row>
    <row r="4976" spans="16:16">
      <c r="P4976" s="594"/>
    </row>
    <row r="4977" spans="16:16">
      <c r="P4977" s="594"/>
    </row>
    <row r="4978" spans="16:16">
      <c r="P4978" s="594"/>
    </row>
    <row r="4979" spans="16:16">
      <c r="P4979" s="594"/>
    </row>
    <row r="4980" spans="16:16">
      <c r="P4980" s="594"/>
    </row>
    <row r="4981" spans="16:16">
      <c r="P4981" s="594"/>
    </row>
    <row r="4982" spans="16:16">
      <c r="P4982" s="594"/>
    </row>
    <row r="4983" spans="16:16">
      <c r="P4983" s="594"/>
    </row>
    <row r="4984" spans="16:16">
      <c r="P4984" s="594"/>
    </row>
    <row r="4985" spans="16:16">
      <c r="P4985" s="594"/>
    </row>
    <row r="4986" spans="16:16">
      <c r="P4986" s="594"/>
    </row>
    <row r="4987" spans="16:16">
      <c r="P4987" s="594"/>
    </row>
    <row r="4988" spans="16:16">
      <c r="P4988" s="594"/>
    </row>
    <row r="4989" spans="16:16">
      <c r="P4989" s="594"/>
    </row>
    <row r="4990" spans="16:16">
      <c r="P4990" s="594"/>
    </row>
    <row r="4991" spans="16:16">
      <c r="P4991" s="594"/>
    </row>
    <row r="4992" spans="16:16">
      <c r="P4992" s="594"/>
    </row>
    <row r="4993" spans="16:16">
      <c r="P4993" s="594"/>
    </row>
    <row r="4994" spans="16:16">
      <c r="P4994" s="594"/>
    </row>
    <row r="4995" spans="16:16">
      <c r="P4995" s="594"/>
    </row>
    <row r="4996" spans="16:16">
      <c r="P4996" s="594"/>
    </row>
    <row r="4997" spans="16:16">
      <c r="P4997" s="594"/>
    </row>
    <row r="4998" spans="16:16">
      <c r="P4998" s="594"/>
    </row>
    <row r="4999" spans="16:16">
      <c r="P4999" s="594"/>
    </row>
    <row r="5000" spans="16:16">
      <c r="P5000" s="594"/>
    </row>
    <row r="5001" spans="16:16">
      <c r="P5001" s="594"/>
    </row>
    <row r="5002" spans="16:16">
      <c r="P5002" s="594"/>
    </row>
    <row r="5003" spans="16:16">
      <c r="P5003" s="594"/>
    </row>
    <row r="5004" spans="16:16">
      <c r="P5004" s="594"/>
    </row>
    <row r="5005" spans="16:16">
      <c r="P5005" s="594"/>
    </row>
    <row r="5006" spans="16:16">
      <c r="P5006" s="594"/>
    </row>
    <row r="5007" spans="16:16">
      <c r="P5007" s="594"/>
    </row>
    <row r="5008" spans="16:16">
      <c r="P5008" s="594"/>
    </row>
    <row r="5009" spans="16:16">
      <c r="P5009" s="594"/>
    </row>
    <row r="5010" spans="16:16">
      <c r="P5010" s="594"/>
    </row>
    <row r="5011" spans="16:16">
      <c r="P5011" s="594"/>
    </row>
    <row r="5012" spans="16:16">
      <c r="P5012" s="594"/>
    </row>
    <row r="5013" spans="16:16">
      <c r="P5013" s="594"/>
    </row>
    <row r="5014" spans="16:16">
      <c r="P5014" s="594"/>
    </row>
    <row r="5015" spans="16:16">
      <c r="P5015" s="594"/>
    </row>
    <row r="5016" spans="16:16">
      <c r="P5016" s="594"/>
    </row>
    <row r="5017" spans="16:16">
      <c r="P5017" s="594"/>
    </row>
    <row r="5018" spans="16:16">
      <c r="P5018" s="594"/>
    </row>
    <row r="5019" spans="16:16">
      <c r="P5019" s="594"/>
    </row>
    <row r="5020" spans="16:16">
      <c r="P5020" s="594"/>
    </row>
    <row r="5021" spans="16:16">
      <c r="P5021" s="594"/>
    </row>
    <row r="5022" spans="16:16">
      <c r="P5022" s="594"/>
    </row>
    <row r="5023" spans="16:16">
      <c r="P5023" s="594"/>
    </row>
    <row r="5024" spans="16:16">
      <c r="P5024" s="594"/>
    </row>
    <row r="5025" spans="16:16">
      <c r="P5025" s="594"/>
    </row>
    <row r="5026" spans="16:16">
      <c r="P5026" s="594"/>
    </row>
    <row r="5027" spans="16:16">
      <c r="P5027" s="594"/>
    </row>
    <row r="5028" spans="16:16">
      <c r="P5028" s="594"/>
    </row>
    <row r="5029" spans="16:16">
      <c r="P5029" s="594"/>
    </row>
    <row r="5030" spans="16:16">
      <c r="P5030" s="594"/>
    </row>
    <row r="5031" spans="16:16">
      <c r="P5031" s="594"/>
    </row>
    <row r="5032" spans="16:16">
      <c r="P5032" s="594"/>
    </row>
    <row r="5033" spans="16:16">
      <c r="P5033" s="594"/>
    </row>
    <row r="5034" spans="16:16">
      <c r="P5034" s="594"/>
    </row>
    <row r="5035" spans="16:16">
      <c r="P5035" s="594"/>
    </row>
    <row r="5036" spans="16:16">
      <c r="P5036" s="594"/>
    </row>
    <row r="5037" spans="16:16">
      <c r="P5037" s="594"/>
    </row>
    <row r="5038" spans="16:16">
      <c r="P5038" s="594"/>
    </row>
    <row r="5039" spans="16:16">
      <c r="P5039" s="594"/>
    </row>
    <row r="5040" spans="16:16">
      <c r="P5040" s="594"/>
    </row>
    <row r="5041" spans="16:16">
      <c r="P5041" s="594"/>
    </row>
    <row r="5042" spans="16:16">
      <c r="P5042" s="594"/>
    </row>
    <row r="5043" spans="16:16">
      <c r="P5043" s="594"/>
    </row>
    <row r="5044" spans="16:16">
      <c r="P5044" s="594"/>
    </row>
    <row r="5045" spans="16:16">
      <c r="P5045" s="594"/>
    </row>
    <row r="5046" spans="16:16">
      <c r="P5046" s="594"/>
    </row>
    <row r="5047" spans="16:16">
      <c r="P5047" s="594"/>
    </row>
    <row r="5048" spans="16:16">
      <c r="P5048" s="594"/>
    </row>
    <row r="5049" spans="16:16">
      <c r="P5049" s="594"/>
    </row>
    <row r="5050" spans="16:16">
      <c r="P5050" s="594"/>
    </row>
    <row r="5051" spans="16:16">
      <c r="P5051" s="594"/>
    </row>
    <row r="5052" spans="16:16">
      <c r="P5052" s="594"/>
    </row>
    <row r="5053" spans="16:16">
      <c r="P5053" s="594"/>
    </row>
    <row r="5054" spans="16:16">
      <c r="P5054" s="594"/>
    </row>
    <row r="5055" spans="16:16">
      <c r="P5055" s="594"/>
    </row>
    <row r="5056" spans="16:16">
      <c r="P5056" s="594"/>
    </row>
    <row r="5057" spans="16:16">
      <c r="P5057" s="594"/>
    </row>
    <row r="5058" spans="16:16">
      <c r="P5058" s="594"/>
    </row>
    <row r="5059" spans="16:16">
      <c r="P5059" s="594"/>
    </row>
    <row r="5060" spans="16:16">
      <c r="P5060" s="594"/>
    </row>
    <row r="5061" spans="16:16">
      <c r="P5061" s="594"/>
    </row>
    <row r="5062" spans="16:16">
      <c r="P5062" s="594"/>
    </row>
    <row r="5063" spans="16:16">
      <c r="P5063" s="594"/>
    </row>
    <row r="5064" spans="16:16">
      <c r="P5064" s="594"/>
    </row>
    <row r="5065" spans="16:16">
      <c r="P5065" s="594"/>
    </row>
    <row r="5066" spans="16:16">
      <c r="P5066" s="594"/>
    </row>
    <row r="5067" spans="16:16">
      <c r="P5067" s="594"/>
    </row>
    <row r="5068" spans="16:16">
      <c r="P5068" s="594"/>
    </row>
    <row r="5069" spans="16:16">
      <c r="P5069" s="594"/>
    </row>
    <row r="5070" spans="16:16">
      <c r="P5070" s="594"/>
    </row>
    <row r="5071" spans="16:16">
      <c r="P5071" s="594"/>
    </row>
    <row r="5072" spans="16:16">
      <c r="P5072" s="594"/>
    </row>
    <row r="5073" spans="16:16">
      <c r="P5073" s="594"/>
    </row>
    <row r="5074" spans="16:16">
      <c r="P5074" s="594"/>
    </row>
    <row r="5075" spans="16:16">
      <c r="P5075" s="594"/>
    </row>
    <row r="5076" spans="16:16">
      <c r="P5076" s="594"/>
    </row>
    <row r="5077" spans="16:16">
      <c r="P5077" s="594"/>
    </row>
    <row r="5078" spans="16:16">
      <c r="P5078" s="594"/>
    </row>
    <row r="5079" spans="16:16">
      <c r="P5079" s="594"/>
    </row>
    <row r="5080" spans="16:16">
      <c r="P5080" s="594"/>
    </row>
    <row r="5081" spans="16:16">
      <c r="P5081" s="594"/>
    </row>
    <row r="5082" spans="16:16">
      <c r="P5082" s="594"/>
    </row>
    <row r="5083" spans="16:16">
      <c r="P5083" s="594"/>
    </row>
    <row r="5084" spans="16:16">
      <c r="P5084" s="594"/>
    </row>
    <row r="5085" spans="16:16">
      <c r="P5085" s="594"/>
    </row>
    <row r="5086" spans="16:16">
      <c r="P5086" s="594"/>
    </row>
    <row r="5087" spans="16:16">
      <c r="P5087" s="594"/>
    </row>
    <row r="5088" spans="16:16">
      <c r="P5088" s="594"/>
    </row>
    <row r="5089" spans="16:16">
      <c r="P5089" s="594"/>
    </row>
    <row r="5090" spans="16:16">
      <c r="P5090" s="594"/>
    </row>
    <row r="5091" spans="16:16">
      <c r="P5091" s="594"/>
    </row>
    <row r="5092" spans="16:16">
      <c r="P5092" s="594"/>
    </row>
    <row r="5093" spans="16:16">
      <c r="P5093" s="594"/>
    </row>
    <row r="5094" spans="16:16">
      <c r="P5094" s="594"/>
    </row>
    <row r="5095" spans="16:16">
      <c r="P5095" s="594"/>
    </row>
    <row r="5096" spans="16:16">
      <c r="P5096" s="594"/>
    </row>
    <row r="5097" spans="16:16">
      <c r="P5097" s="594"/>
    </row>
    <row r="5098" spans="16:16">
      <c r="P5098" s="594"/>
    </row>
    <row r="5099" spans="16:16">
      <c r="P5099" s="594"/>
    </row>
    <row r="5100" spans="16:16">
      <c r="P5100" s="594"/>
    </row>
    <row r="5101" spans="16:16">
      <c r="P5101" s="594"/>
    </row>
    <row r="5102" spans="16:16">
      <c r="P5102" s="594"/>
    </row>
    <row r="5103" spans="16:16">
      <c r="P5103" s="594"/>
    </row>
    <row r="5104" spans="16:16">
      <c r="P5104" s="594"/>
    </row>
    <row r="5105" spans="16:16">
      <c r="P5105" s="594"/>
    </row>
    <row r="5106" spans="16:16">
      <c r="P5106" s="594"/>
    </row>
    <row r="5107" spans="16:16">
      <c r="P5107" s="594"/>
    </row>
    <row r="5108" spans="16:16">
      <c r="P5108" s="594"/>
    </row>
    <row r="5109" spans="16:16">
      <c r="P5109" s="594"/>
    </row>
    <row r="5110" spans="16:16">
      <c r="P5110" s="594"/>
    </row>
    <row r="5111" spans="16:16">
      <c r="P5111" s="594"/>
    </row>
    <row r="5112" spans="16:16">
      <c r="P5112" s="594"/>
    </row>
    <row r="5113" spans="16:16">
      <c r="P5113" s="594"/>
    </row>
    <row r="5114" spans="16:16">
      <c r="P5114" s="594"/>
    </row>
    <row r="5115" spans="16:16">
      <c r="P5115" s="594"/>
    </row>
    <row r="5116" spans="16:16">
      <c r="P5116" s="594"/>
    </row>
    <row r="5117" spans="16:16">
      <c r="P5117" s="594"/>
    </row>
    <row r="5118" spans="16:16">
      <c r="P5118" s="594"/>
    </row>
    <row r="5119" spans="16:16">
      <c r="P5119" s="594"/>
    </row>
    <row r="5120" spans="16:16">
      <c r="P5120" s="594"/>
    </row>
    <row r="5121" spans="16:16">
      <c r="P5121" s="594"/>
    </row>
    <row r="5122" spans="16:16">
      <c r="P5122" s="594"/>
    </row>
    <row r="5123" spans="16:16">
      <c r="P5123" s="594"/>
    </row>
    <row r="5124" spans="16:16">
      <c r="P5124" s="594"/>
    </row>
    <row r="5125" spans="16:16">
      <c r="P5125" s="594"/>
    </row>
    <row r="5126" spans="16:16">
      <c r="P5126" s="594"/>
    </row>
    <row r="5127" spans="16:16">
      <c r="P5127" s="594"/>
    </row>
    <row r="5128" spans="16:16">
      <c r="P5128" s="594"/>
    </row>
    <row r="5129" spans="16:16">
      <c r="P5129" s="594"/>
    </row>
    <row r="5130" spans="16:16">
      <c r="P5130" s="594"/>
    </row>
    <row r="5131" spans="16:16">
      <c r="P5131" s="594"/>
    </row>
    <row r="5132" spans="16:16">
      <c r="P5132" s="594"/>
    </row>
    <row r="5133" spans="16:16">
      <c r="P5133" s="594"/>
    </row>
    <row r="5134" spans="16:16">
      <c r="P5134" s="594"/>
    </row>
    <row r="5135" spans="16:16">
      <c r="P5135" s="594"/>
    </row>
    <row r="5136" spans="16:16">
      <c r="P5136" s="594"/>
    </row>
    <row r="5137" spans="16:16">
      <c r="P5137" s="594"/>
    </row>
    <row r="5138" spans="16:16">
      <c r="P5138" s="594"/>
    </row>
    <row r="5139" spans="16:16">
      <c r="P5139" s="594"/>
    </row>
    <row r="5140" spans="16:16">
      <c r="P5140" s="594"/>
    </row>
    <row r="5141" spans="16:16">
      <c r="P5141" s="594"/>
    </row>
    <row r="5142" spans="16:16">
      <c r="P5142" s="594"/>
    </row>
    <row r="5143" spans="16:16">
      <c r="P5143" s="594"/>
    </row>
    <row r="5144" spans="16:16">
      <c r="P5144" s="594"/>
    </row>
    <row r="5145" spans="16:16">
      <c r="P5145" s="594"/>
    </row>
    <row r="5146" spans="16:16">
      <c r="P5146" s="594"/>
    </row>
    <row r="5147" spans="16:16">
      <c r="P5147" s="594"/>
    </row>
    <row r="5148" spans="16:16">
      <c r="P5148" s="594"/>
    </row>
    <row r="5149" spans="16:16">
      <c r="P5149" s="594"/>
    </row>
    <row r="5150" spans="16:16">
      <c r="P5150" s="594"/>
    </row>
    <row r="5151" spans="16:16">
      <c r="P5151" s="594"/>
    </row>
    <row r="5152" spans="16:16">
      <c r="P5152" s="594"/>
    </row>
    <row r="5153" spans="16:16">
      <c r="P5153" s="594"/>
    </row>
    <row r="5154" spans="16:16">
      <c r="P5154" s="594"/>
    </row>
    <row r="5155" spans="16:16">
      <c r="P5155" s="594"/>
    </row>
    <row r="5156" spans="16:16">
      <c r="P5156" s="594"/>
    </row>
    <row r="5157" spans="16:16">
      <c r="P5157" s="594"/>
    </row>
    <row r="5158" spans="16:16">
      <c r="P5158" s="594"/>
    </row>
    <row r="5159" spans="16:16">
      <c r="P5159" s="594"/>
    </row>
    <row r="5160" spans="16:16">
      <c r="P5160" s="594"/>
    </row>
    <row r="5161" spans="16:16">
      <c r="P5161" s="594"/>
    </row>
    <row r="5162" spans="16:16">
      <c r="P5162" s="594"/>
    </row>
    <row r="5163" spans="16:16">
      <c r="P5163" s="594"/>
    </row>
    <row r="5164" spans="16:16">
      <c r="P5164" s="594"/>
    </row>
    <row r="5165" spans="16:16">
      <c r="P5165" s="594"/>
    </row>
    <row r="5166" spans="16:16">
      <c r="P5166" s="594"/>
    </row>
    <row r="5167" spans="16:16">
      <c r="P5167" s="594"/>
    </row>
    <row r="5168" spans="16:16">
      <c r="P5168" s="594"/>
    </row>
    <row r="5169" spans="16:16">
      <c r="P5169" s="594"/>
    </row>
    <row r="5170" spans="16:16">
      <c r="P5170" s="594"/>
    </row>
    <row r="5171" spans="16:16">
      <c r="P5171" s="594"/>
    </row>
    <row r="5172" spans="16:16">
      <c r="P5172" s="594"/>
    </row>
    <row r="5173" spans="16:16">
      <c r="P5173" s="594"/>
    </row>
    <row r="5174" spans="16:16">
      <c r="P5174" s="594"/>
    </row>
    <row r="5175" spans="16:16">
      <c r="P5175" s="594"/>
    </row>
    <row r="5176" spans="16:16">
      <c r="P5176" s="594"/>
    </row>
    <row r="5177" spans="16:16">
      <c r="P5177" s="594"/>
    </row>
    <row r="5178" spans="16:16">
      <c r="P5178" s="594"/>
    </row>
    <row r="5179" spans="16:16">
      <c r="P5179" s="594"/>
    </row>
    <row r="5180" spans="16:16">
      <c r="P5180" s="594"/>
    </row>
    <row r="5181" spans="16:16">
      <c r="P5181" s="594"/>
    </row>
    <row r="5182" spans="16:16">
      <c r="P5182" s="594"/>
    </row>
    <row r="5183" spans="16:16">
      <c r="P5183" s="594"/>
    </row>
    <row r="5184" spans="16:16">
      <c r="P5184" s="594"/>
    </row>
    <row r="5185" spans="16:16">
      <c r="P5185" s="594"/>
    </row>
    <row r="5186" spans="16:16">
      <c r="P5186" s="594"/>
    </row>
    <row r="5187" spans="16:16">
      <c r="P5187" s="594"/>
    </row>
    <row r="5188" spans="16:16">
      <c r="P5188" s="594"/>
    </row>
    <row r="5189" spans="16:16">
      <c r="P5189" s="594"/>
    </row>
    <row r="5190" spans="16:16">
      <c r="P5190" s="594"/>
    </row>
    <row r="5191" spans="16:16">
      <c r="P5191" s="594"/>
    </row>
    <row r="5192" spans="16:16">
      <c r="P5192" s="594"/>
    </row>
    <row r="5193" spans="16:16">
      <c r="P5193" s="594"/>
    </row>
    <row r="5194" spans="16:16">
      <c r="P5194" s="594"/>
    </row>
    <row r="5195" spans="16:16">
      <c r="P5195" s="594"/>
    </row>
    <row r="5196" spans="16:16">
      <c r="P5196" s="594"/>
    </row>
    <row r="5197" spans="16:16">
      <c r="P5197" s="594"/>
    </row>
    <row r="5198" spans="16:16">
      <c r="P5198" s="594"/>
    </row>
    <row r="5199" spans="16:16">
      <c r="P5199" s="594"/>
    </row>
    <row r="5200" spans="16:16">
      <c r="P5200" s="594"/>
    </row>
    <row r="5201" spans="16:16">
      <c r="P5201" s="594"/>
    </row>
    <row r="5202" spans="16:16">
      <c r="P5202" s="594"/>
    </row>
    <row r="5203" spans="16:16">
      <c r="P5203" s="594"/>
    </row>
    <row r="5204" spans="16:16">
      <c r="P5204" s="594"/>
    </row>
    <row r="5205" spans="16:16">
      <c r="P5205" s="594"/>
    </row>
    <row r="5206" spans="16:16">
      <c r="P5206" s="594"/>
    </row>
    <row r="5207" spans="16:16">
      <c r="P5207" s="594"/>
    </row>
    <row r="5208" spans="16:16">
      <c r="P5208" s="594"/>
    </row>
    <row r="5209" spans="16:16">
      <c r="P5209" s="594"/>
    </row>
    <row r="5210" spans="16:16">
      <c r="P5210" s="594"/>
    </row>
    <row r="5211" spans="16:16">
      <c r="P5211" s="594"/>
    </row>
    <row r="5212" spans="16:16">
      <c r="P5212" s="594"/>
    </row>
    <row r="5213" spans="16:16">
      <c r="P5213" s="594"/>
    </row>
    <row r="5214" spans="16:16">
      <c r="P5214" s="594"/>
    </row>
    <row r="5215" spans="16:16">
      <c r="P5215" s="594"/>
    </row>
    <row r="5216" spans="16:16">
      <c r="P5216" s="594"/>
    </row>
    <row r="5217" spans="16:16">
      <c r="P5217" s="594"/>
    </row>
    <row r="5218" spans="16:16">
      <c r="P5218" s="594"/>
    </row>
    <row r="5219" spans="16:16">
      <c r="P5219" s="594"/>
    </row>
    <row r="5220" spans="16:16">
      <c r="P5220" s="594"/>
    </row>
    <row r="5221" spans="16:16">
      <c r="P5221" s="594"/>
    </row>
    <row r="5222" spans="16:16">
      <c r="P5222" s="594"/>
    </row>
    <row r="5223" spans="16:16">
      <c r="P5223" s="594"/>
    </row>
    <row r="5224" spans="16:16">
      <c r="P5224" s="594"/>
    </row>
    <row r="5225" spans="16:16">
      <c r="P5225" s="594"/>
    </row>
    <row r="5226" spans="16:16">
      <c r="P5226" s="594"/>
    </row>
    <row r="5227" spans="16:16">
      <c r="P5227" s="594"/>
    </row>
    <row r="5228" spans="16:16">
      <c r="P5228" s="594"/>
    </row>
    <row r="5229" spans="16:16">
      <c r="P5229" s="594"/>
    </row>
    <row r="5230" spans="16:16">
      <c r="P5230" s="594"/>
    </row>
    <row r="5231" spans="16:16">
      <c r="P5231" s="594"/>
    </row>
    <row r="5232" spans="16:16">
      <c r="P5232" s="594"/>
    </row>
    <row r="5233" spans="16:16">
      <c r="P5233" s="594"/>
    </row>
    <row r="5234" spans="16:16">
      <c r="P5234" s="594"/>
    </row>
    <row r="5235" spans="16:16">
      <c r="P5235" s="594"/>
    </row>
    <row r="5236" spans="16:16">
      <c r="P5236" s="594"/>
    </row>
    <row r="5237" spans="16:16">
      <c r="P5237" s="594"/>
    </row>
    <row r="5238" spans="16:16">
      <c r="P5238" s="594"/>
    </row>
    <row r="5239" spans="16:16">
      <c r="P5239" s="594"/>
    </row>
    <row r="5240" spans="16:16">
      <c r="P5240" s="594"/>
    </row>
    <row r="5241" spans="16:16">
      <c r="P5241" s="594"/>
    </row>
    <row r="5242" spans="16:16">
      <c r="P5242" s="594"/>
    </row>
    <row r="5243" spans="16:16">
      <c r="P5243" s="594"/>
    </row>
    <row r="5244" spans="16:16">
      <c r="P5244" s="594"/>
    </row>
    <row r="5245" spans="16:16">
      <c r="P5245" s="594"/>
    </row>
    <row r="5246" spans="16:16">
      <c r="P5246" s="594"/>
    </row>
    <row r="5247" spans="16:16">
      <c r="P5247" s="594"/>
    </row>
    <row r="5248" spans="16:16">
      <c r="P5248" s="594"/>
    </row>
    <row r="5249" spans="16:16">
      <c r="P5249" s="594"/>
    </row>
    <row r="5250" spans="16:16">
      <c r="P5250" s="594"/>
    </row>
    <row r="5251" spans="16:16">
      <c r="P5251" s="594"/>
    </row>
    <row r="5252" spans="16:16">
      <c r="P5252" s="594"/>
    </row>
    <row r="5253" spans="16:16">
      <c r="P5253" s="594"/>
    </row>
    <row r="5254" spans="16:16">
      <c r="P5254" s="594"/>
    </row>
    <row r="5255" spans="16:16">
      <c r="P5255" s="594"/>
    </row>
    <row r="5256" spans="16:16">
      <c r="P5256" s="594"/>
    </row>
    <row r="5257" spans="16:16">
      <c r="P5257" s="594"/>
    </row>
    <row r="5258" spans="16:16">
      <c r="P5258" s="594"/>
    </row>
    <row r="5259" spans="16:16">
      <c r="P5259" s="594"/>
    </row>
    <row r="5260" spans="16:16">
      <c r="P5260" s="594"/>
    </row>
    <row r="5261" spans="16:16">
      <c r="P5261" s="594"/>
    </row>
    <row r="5262" spans="16:16">
      <c r="P5262" s="594"/>
    </row>
    <row r="5263" spans="16:16">
      <c r="P5263" s="594"/>
    </row>
    <row r="5264" spans="16:16">
      <c r="P5264" s="594"/>
    </row>
    <row r="5265" spans="16:16">
      <c r="P5265" s="594"/>
    </row>
    <row r="5266" spans="16:16">
      <c r="P5266" s="594"/>
    </row>
    <row r="5267" spans="16:16">
      <c r="P5267" s="594"/>
    </row>
    <row r="5268" spans="16:16">
      <c r="P5268" s="594"/>
    </row>
    <row r="5269" spans="16:16">
      <c r="P5269" s="594"/>
    </row>
    <row r="5270" spans="16:16">
      <c r="P5270" s="594"/>
    </row>
    <row r="5271" spans="16:16">
      <c r="P5271" s="594"/>
    </row>
    <row r="5272" spans="16:16">
      <c r="P5272" s="594"/>
    </row>
    <row r="5273" spans="16:16">
      <c r="P5273" s="594"/>
    </row>
    <row r="5274" spans="16:16">
      <c r="P5274" s="594"/>
    </row>
    <row r="5275" spans="16:16">
      <c r="P5275" s="594"/>
    </row>
    <row r="5276" spans="16:16">
      <c r="P5276" s="594"/>
    </row>
    <row r="5277" spans="16:16">
      <c r="P5277" s="594"/>
    </row>
    <row r="5278" spans="16:16">
      <c r="P5278" s="594"/>
    </row>
    <row r="5279" spans="16:16">
      <c r="P5279" s="594"/>
    </row>
    <row r="5280" spans="16:16">
      <c r="P5280" s="594"/>
    </row>
    <row r="5281" spans="16:16">
      <c r="P5281" s="594"/>
    </row>
    <row r="5282" spans="16:16">
      <c r="P5282" s="594"/>
    </row>
    <row r="5283" spans="16:16">
      <c r="P5283" s="594"/>
    </row>
    <row r="5284" spans="16:16">
      <c r="P5284" s="594"/>
    </row>
    <row r="5285" spans="16:16">
      <c r="P5285" s="594"/>
    </row>
    <row r="5286" spans="16:16">
      <c r="P5286" s="594"/>
    </row>
    <row r="5287" spans="16:16">
      <c r="P5287" s="594"/>
    </row>
    <row r="5288" spans="16:16">
      <c r="P5288" s="594"/>
    </row>
    <row r="5289" spans="16:16">
      <c r="P5289" s="594"/>
    </row>
    <row r="5290" spans="16:16">
      <c r="P5290" s="594"/>
    </row>
    <row r="5291" spans="16:16">
      <c r="P5291" s="594"/>
    </row>
    <row r="5292" spans="16:16">
      <c r="P5292" s="594"/>
    </row>
    <row r="5293" spans="16:16">
      <c r="P5293" s="594"/>
    </row>
    <row r="5294" spans="16:16">
      <c r="P5294" s="594"/>
    </row>
    <row r="5295" spans="16:16">
      <c r="P5295" s="594"/>
    </row>
    <row r="5296" spans="16:16">
      <c r="P5296" s="594"/>
    </row>
    <row r="5297" spans="16:16">
      <c r="P5297" s="594"/>
    </row>
    <row r="5298" spans="16:16">
      <c r="P5298" s="594"/>
    </row>
    <row r="5299" spans="16:16">
      <c r="P5299" s="594"/>
    </row>
    <row r="5300" spans="16:16">
      <c r="P5300" s="594"/>
    </row>
    <row r="5301" spans="16:16">
      <c r="P5301" s="594"/>
    </row>
    <row r="5302" spans="16:16">
      <c r="P5302" s="594"/>
    </row>
    <row r="5303" spans="16:16">
      <c r="P5303" s="594"/>
    </row>
    <row r="5304" spans="16:16">
      <c r="P5304" s="594"/>
    </row>
    <row r="5305" spans="16:16">
      <c r="P5305" s="594"/>
    </row>
    <row r="5306" spans="16:16">
      <c r="P5306" s="594"/>
    </row>
    <row r="5307" spans="16:16">
      <c r="P5307" s="594"/>
    </row>
    <row r="5308" spans="16:16">
      <c r="P5308" s="594"/>
    </row>
    <row r="5309" spans="16:16">
      <c r="P5309" s="594"/>
    </row>
    <row r="5310" spans="16:16">
      <c r="P5310" s="594"/>
    </row>
    <row r="5311" spans="16:16">
      <c r="P5311" s="594"/>
    </row>
    <row r="5312" spans="16:16">
      <c r="P5312" s="594"/>
    </row>
    <row r="5313" spans="16:16">
      <c r="P5313" s="594"/>
    </row>
    <row r="5314" spans="16:16">
      <c r="P5314" s="594"/>
    </row>
    <row r="5315" spans="16:16">
      <c r="P5315" s="594"/>
    </row>
    <row r="5316" spans="16:16">
      <c r="P5316" s="594"/>
    </row>
    <row r="5317" spans="16:16">
      <c r="P5317" s="594"/>
    </row>
    <row r="5318" spans="16:16">
      <c r="P5318" s="594"/>
    </row>
    <row r="5319" spans="16:16">
      <c r="P5319" s="594"/>
    </row>
    <row r="5320" spans="16:16">
      <c r="P5320" s="594"/>
    </row>
    <row r="5321" spans="16:16">
      <c r="P5321" s="594"/>
    </row>
    <row r="5322" spans="16:16">
      <c r="P5322" s="594"/>
    </row>
    <row r="5323" spans="16:16">
      <c r="P5323" s="594"/>
    </row>
    <row r="5324" spans="16:16">
      <c r="P5324" s="594"/>
    </row>
    <row r="5325" spans="16:16">
      <c r="P5325" s="594"/>
    </row>
    <row r="5326" spans="16:16">
      <c r="P5326" s="594"/>
    </row>
    <row r="5327" spans="16:16">
      <c r="P5327" s="594"/>
    </row>
    <row r="5328" spans="16:16">
      <c r="P5328" s="594"/>
    </row>
    <row r="5329" spans="16:16">
      <c r="P5329" s="594"/>
    </row>
    <row r="5330" spans="16:16">
      <c r="P5330" s="594"/>
    </row>
    <row r="5331" spans="16:16">
      <c r="P5331" s="594"/>
    </row>
    <row r="5332" spans="16:16">
      <c r="P5332" s="594"/>
    </row>
    <row r="5333" spans="16:16">
      <c r="P5333" s="594"/>
    </row>
    <row r="5334" spans="16:16">
      <c r="P5334" s="594"/>
    </row>
    <row r="5335" spans="16:16">
      <c r="P5335" s="594"/>
    </row>
    <row r="5336" spans="16:16">
      <c r="P5336" s="594"/>
    </row>
    <row r="5337" spans="16:16">
      <c r="P5337" s="594"/>
    </row>
    <row r="5338" spans="16:16">
      <c r="P5338" s="594"/>
    </row>
    <row r="5339" spans="16:16">
      <c r="P5339" s="594"/>
    </row>
    <row r="5340" spans="16:16">
      <c r="P5340" s="594"/>
    </row>
    <row r="5341" spans="16:16">
      <c r="P5341" s="594"/>
    </row>
    <row r="5342" spans="16:16">
      <c r="P5342" s="594"/>
    </row>
    <row r="5343" spans="16:16">
      <c r="P5343" s="594"/>
    </row>
    <row r="5344" spans="16:16">
      <c r="P5344" s="594"/>
    </row>
    <row r="5345" spans="16:16">
      <c r="P5345" s="594"/>
    </row>
    <row r="5346" spans="16:16">
      <c r="P5346" s="594"/>
    </row>
    <row r="5347" spans="16:16">
      <c r="P5347" s="594"/>
    </row>
    <row r="5348" spans="16:16">
      <c r="P5348" s="594"/>
    </row>
    <row r="5349" spans="16:16">
      <c r="P5349" s="594"/>
    </row>
    <row r="5350" spans="16:16">
      <c r="P5350" s="594"/>
    </row>
    <row r="5351" spans="16:16">
      <c r="P5351" s="594"/>
    </row>
    <row r="5352" spans="16:16">
      <c r="P5352" s="594"/>
    </row>
    <row r="5353" spans="16:16">
      <c r="P5353" s="594"/>
    </row>
    <row r="5354" spans="16:16">
      <c r="P5354" s="594"/>
    </row>
    <row r="5355" spans="16:16">
      <c r="P5355" s="594"/>
    </row>
    <row r="5356" spans="16:16">
      <c r="P5356" s="594"/>
    </row>
    <row r="5357" spans="16:16">
      <c r="P5357" s="594"/>
    </row>
    <row r="5358" spans="16:16">
      <c r="P5358" s="594"/>
    </row>
    <row r="5359" spans="16:16">
      <c r="P5359" s="594"/>
    </row>
    <row r="5360" spans="16:16">
      <c r="P5360" s="594"/>
    </row>
    <row r="5361" spans="16:16">
      <c r="P5361" s="594"/>
    </row>
    <row r="5362" spans="16:16">
      <c r="P5362" s="594"/>
    </row>
    <row r="5363" spans="16:16">
      <c r="P5363" s="594"/>
    </row>
    <row r="5364" spans="16:16">
      <c r="P5364" s="594"/>
    </row>
    <row r="5365" spans="16:16">
      <c r="P5365" s="594"/>
    </row>
    <row r="5366" spans="16:16">
      <c r="P5366" s="594"/>
    </row>
    <row r="5367" spans="16:16">
      <c r="P5367" s="594"/>
    </row>
    <row r="5368" spans="16:16">
      <c r="P5368" s="594"/>
    </row>
    <row r="5369" spans="16:16">
      <c r="P5369" s="594"/>
    </row>
    <row r="5370" spans="16:16">
      <c r="P5370" s="594"/>
    </row>
    <row r="5371" spans="16:16">
      <c r="P5371" s="594"/>
    </row>
    <row r="5372" spans="16:16">
      <c r="P5372" s="594"/>
    </row>
    <row r="5373" spans="16:16">
      <c r="P5373" s="594"/>
    </row>
    <row r="5374" spans="16:16">
      <c r="P5374" s="594"/>
    </row>
    <row r="5375" spans="16:16">
      <c r="P5375" s="594"/>
    </row>
    <row r="5376" spans="16:16">
      <c r="P5376" s="594"/>
    </row>
    <row r="5377" spans="16:16">
      <c r="P5377" s="594"/>
    </row>
    <row r="5378" spans="16:16">
      <c r="P5378" s="594"/>
    </row>
    <row r="5379" spans="16:16">
      <c r="P5379" s="594"/>
    </row>
    <row r="5380" spans="16:16">
      <c r="P5380" s="594"/>
    </row>
    <row r="5381" spans="16:16">
      <c r="P5381" s="594"/>
    </row>
    <row r="5382" spans="16:16">
      <c r="P5382" s="594"/>
    </row>
    <row r="5383" spans="16:16">
      <c r="P5383" s="594"/>
    </row>
    <row r="5384" spans="16:16">
      <c r="P5384" s="594"/>
    </row>
    <row r="5385" spans="16:16">
      <c r="P5385" s="594"/>
    </row>
    <row r="5386" spans="16:16">
      <c r="P5386" s="594"/>
    </row>
    <row r="5387" spans="16:16">
      <c r="P5387" s="594"/>
    </row>
    <row r="5388" spans="16:16">
      <c r="P5388" s="594"/>
    </row>
    <row r="5389" spans="16:16">
      <c r="P5389" s="594"/>
    </row>
    <row r="5390" spans="16:16">
      <c r="P5390" s="594"/>
    </row>
    <row r="5391" spans="16:16">
      <c r="P5391" s="594"/>
    </row>
    <row r="5392" spans="16:16">
      <c r="P5392" s="594"/>
    </row>
    <row r="5393" spans="16:16">
      <c r="P5393" s="594"/>
    </row>
    <row r="5394" spans="16:16">
      <c r="P5394" s="594"/>
    </row>
    <row r="5395" spans="16:16">
      <c r="P5395" s="594"/>
    </row>
    <row r="5396" spans="16:16">
      <c r="P5396" s="594"/>
    </row>
    <row r="5397" spans="16:16">
      <c r="P5397" s="594"/>
    </row>
    <row r="5398" spans="16:16">
      <c r="P5398" s="594"/>
    </row>
    <row r="5399" spans="16:16">
      <c r="P5399" s="594"/>
    </row>
    <row r="5400" spans="16:16">
      <c r="P5400" s="594"/>
    </row>
    <row r="5401" spans="16:16">
      <c r="P5401" s="594"/>
    </row>
    <row r="5402" spans="16:16">
      <c r="P5402" s="594"/>
    </row>
    <row r="5403" spans="16:16">
      <c r="P5403" s="594"/>
    </row>
    <row r="5404" spans="16:16">
      <c r="P5404" s="594"/>
    </row>
    <row r="5405" spans="16:16">
      <c r="P5405" s="594"/>
    </row>
    <row r="5406" spans="16:16">
      <c r="P5406" s="594"/>
    </row>
    <row r="5407" spans="16:16">
      <c r="P5407" s="594"/>
    </row>
    <row r="5408" spans="16:16">
      <c r="P5408" s="594"/>
    </row>
    <row r="5409" spans="16:16">
      <c r="P5409" s="594"/>
    </row>
    <row r="5410" spans="16:16">
      <c r="P5410" s="594"/>
    </row>
    <row r="5411" spans="16:16">
      <c r="P5411" s="594"/>
    </row>
    <row r="5412" spans="16:16">
      <c r="P5412" s="594"/>
    </row>
    <row r="5413" spans="16:16">
      <c r="P5413" s="594"/>
    </row>
    <row r="5414" spans="16:16">
      <c r="P5414" s="594"/>
    </row>
    <row r="5415" spans="16:16">
      <c r="P5415" s="594"/>
    </row>
    <row r="5416" spans="16:16">
      <c r="P5416" s="594"/>
    </row>
    <row r="5417" spans="16:16">
      <c r="P5417" s="594"/>
    </row>
    <row r="5418" spans="16:16">
      <c r="P5418" s="594"/>
    </row>
    <row r="5419" spans="16:16">
      <c r="P5419" s="594"/>
    </row>
    <row r="5420" spans="16:16">
      <c r="P5420" s="594"/>
    </row>
    <row r="5421" spans="16:16">
      <c r="P5421" s="594"/>
    </row>
    <row r="5422" spans="16:16">
      <c r="P5422" s="594"/>
    </row>
    <row r="5423" spans="16:16">
      <c r="P5423" s="594"/>
    </row>
    <row r="5424" spans="16:16">
      <c r="P5424" s="594"/>
    </row>
    <row r="5425" spans="16:16">
      <c r="P5425" s="594"/>
    </row>
    <row r="5426" spans="16:16">
      <c r="P5426" s="594"/>
    </row>
    <row r="5427" spans="16:16">
      <c r="P5427" s="594"/>
    </row>
    <row r="5428" spans="16:16">
      <c r="P5428" s="594"/>
    </row>
    <row r="5429" spans="16:16">
      <c r="P5429" s="594"/>
    </row>
    <row r="5430" spans="16:16">
      <c r="P5430" s="594"/>
    </row>
    <row r="5431" spans="16:16">
      <c r="P5431" s="594"/>
    </row>
    <row r="5432" spans="16:16">
      <c r="P5432" s="594"/>
    </row>
    <row r="5433" spans="16:16">
      <c r="P5433" s="594"/>
    </row>
    <row r="5434" spans="16:16">
      <c r="P5434" s="594"/>
    </row>
    <row r="5435" spans="16:16">
      <c r="P5435" s="594"/>
    </row>
    <row r="5436" spans="16:16">
      <c r="P5436" s="594"/>
    </row>
    <row r="5437" spans="16:16">
      <c r="P5437" s="594"/>
    </row>
    <row r="5438" spans="16:16">
      <c r="P5438" s="594"/>
    </row>
    <row r="5439" spans="16:16">
      <c r="P5439" s="594"/>
    </row>
    <row r="5440" spans="16:16">
      <c r="P5440" s="594"/>
    </row>
    <row r="5441" spans="16:16">
      <c r="P5441" s="594"/>
    </row>
    <row r="5442" spans="16:16">
      <c r="P5442" s="594"/>
    </row>
    <row r="5443" spans="16:16">
      <c r="P5443" s="594"/>
    </row>
    <row r="5444" spans="16:16">
      <c r="P5444" s="594"/>
    </row>
    <row r="5445" spans="16:16">
      <c r="P5445" s="594"/>
    </row>
    <row r="5446" spans="16:16">
      <c r="P5446" s="594"/>
    </row>
    <row r="5447" spans="16:16">
      <c r="P5447" s="594"/>
    </row>
    <row r="5448" spans="16:16">
      <c r="P5448" s="594"/>
    </row>
    <row r="5449" spans="16:16">
      <c r="P5449" s="594"/>
    </row>
    <row r="5450" spans="16:16">
      <c r="P5450" s="594"/>
    </row>
    <row r="5451" spans="16:16">
      <c r="P5451" s="594"/>
    </row>
    <row r="5452" spans="16:16">
      <c r="P5452" s="594"/>
    </row>
    <row r="5453" spans="16:16">
      <c r="P5453" s="594"/>
    </row>
    <row r="5454" spans="16:16">
      <c r="P5454" s="594"/>
    </row>
    <row r="5455" spans="16:16">
      <c r="P5455" s="594"/>
    </row>
    <row r="5456" spans="16:16">
      <c r="P5456" s="594"/>
    </row>
    <row r="5457" spans="16:16">
      <c r="P5457" s="594"/>
    </row>
    <row r="5458" spans="16:16">
      <c r="P5458" s="594"/>
    </row>
    <row r="5459" spans="16:16">
      <c r="P5459" s="594"/>
    </row>
    <row r="5460" spans="16:16">
      <c r="P5460" s="594"/>
    </row>
    <row r="5461" spans="16:16">
      <c r="P5461" s="594"/>
    </row>
    <row r="5462" spans="16:16">
      <c r="P5462" s="594"/>
    </row>
    <row r="5463" spans="16:16">
      <c r="P5463" s="594"/>
    </row>
    <row r="5464" spans="16:16">
      <c r="P5464" s="594"/>
    </row>
    <row r="5465" spans="16:16">
      <c r="P5465" s="594"/>
    </row>
    <row r="5466" spans="16:16">
      <c r="P5466" s="594"/>
    </row>
    <row r="5467" spans="16:16">
      <c r="P5467" s="594"/>
    </row>
    <row r="5468" spans="16:16">
      <c r="P5468" s="594"/>
    </row>
    <row r="5469" spans="16:16">
      <c r="P5469" s="594"/>
    </row>
    <row r="5470" spans="16:16">
      <c r="P5470" s="594"/>
    </row>
    <row r="5471" spans="16:16">
      <c r="P5471" s="594"/>
    </row>
    <row r="5472" spans="16:16">
      <c r="P5472" s="594"/>
    </row>
    <row r="5473" spans="16:16">
      <c r="P5473" s="594"/>
    </row>
    <row r="5474" spans="16:16">
      <c r="P5474" s="594"/>
    </row>
    <row r="5475" spans="16:16">
      <c r="P5475" s="594"/>
    </row>
    <row r="5476" spans="16:16">
      <c r="P5476" s="594"/>
    </row>
    <row r="5477" spans="16:16">
      <c r="P5477" s="594"/>
    </row>
    <row r="5478" spans="16:16">
      <c r="P5478" s="594"/>
    </row>
    <row r="5479" spans="16:16">
      <c r="P5479" s="594"/>
    </row>
    <row r="5480" spans="16:16">
      <c r="P5480" s="594"/>
    </row>
    <row r="5481" spans="16:16">
      <c r="P5481" s="594"/>
    </row>
    <row r="5482" spans="16:16">
      <c r="P5482" s="594"/>
    </row>
    <row r="5483" spans="16:16">
      <c r="P5483" s="594"/>
    </row>
    <row r="5484" spans="16:16">
      <c r="P5484" s="594"/>
    </row>
    <row r="5485" spans="16:16">
      <c r="P5485" s="594"/>
    </row>
    <row r="5486" spans="16:16">
      <c r="P5486" s="594"/>
    </row>
    <row r="5487" spans="16:16">
      <c r="P5487" s="594"/>
    </row>
    <row r="5488" spans="16:16">
      <c r="P5488" s="594"/>
    </row>
    <row r="5489" spans="16:16">
      <c r="P5489" s="594"/>
    </row>
    <row r="5490" spans="16:16">
      <c r="P5490" s="594"/>
    </row>
    <row r="5491" spans="16:16">
      <c r="P5491" s="594"/>
    </row>
    <row r="5492" spans="16:16">
      <c r="P5492" s="594"/>
    </row>
    <row r="5493" spans="16:16">
      <c r="P5493" s="594"/>
    </row>
    <row r="5494" spans="16:16">
      <c r="P5494" s="594"/>
    </row>
    <row r="5495" spans="16:16">
      <c r="P5495" s="594"/>
    </row>
    <row r="5496" spans="16:16">
      <c r="P5496" s="594"/>
    </row>
    <row r="5497" spans="16:16">
      <c r="P5497" s="594"/>
    </row>
    <row r="5498" spans="16:16">
      <c r="P5498" s="594"/>
    </row>
    <row r="5499" spans="16:16">
      <c r="P5499" s="594"/>
    </row>
    <row r="5500" spans="16:16">
      <c r="P5500" s="594"/>
    </row>
    <row r="5501" spans="16:16">
      <c r="P5501" s="594"/>
    </row>
    <row r="5502" spans="16:16">
      <c r="P5502" s="594"/>
    </row>
    <row r="5503" spans="16:16">
      <c r="P5503" s="594"/>
    </row>
    <row r="5504" spans="16:16">
      <c r="P5504" s="594"/>
    </row>
    <row r="5505" spans="16:16">
      <c r="P5505" s="594"/>
    </row>
    <row r="5506" spans="16:16">
      <c r="P5506" s="594"/>
    </row>
    <row r="5507" spans="16:16">
      <c r="P5507" s="594"/>
    </row>
    <row r="5508" spans="16:16">
      <c r="P5508" s="594"/>
    </row>
    <row r="5509" spans="16:16">
      <c r="P5509" s="594"/>
    </row>
    <row r="5510" spans="16:16">
      <c r="P5510" s="594"/>
    </row>
    <row r="5511" spans="16:16">
      <c r="P5511" s="594"/>
    </row>
    <row r="5512" spans="16:16">
      <c r="P5512" s="594"/>
    </row>
    <row r="5513" spans="16:16">
      <c r="P5513" s="594"/>
    </row>
    <row r="5514" spans="16:16">
      <c r="P5514" s="594"/>
    </row>
    <row r="5515" spans="16:16">
      <c r="P5515" s="594"/>
    </row>
    <row r="5516" spans="16:16">
      <c r="P5516" s="594"/>
    </row>
    <row r="5517" spans="16:16">
      <c r="P5517" s="594"/>
    </row>
    <row r="5518" spans="16:16">
      <c r="P5518" s="594"/>
    </row>
    <row r="5519" spans="16:16">
      <c r="P5519" s="594"/>
    </row>
    <row r="5520" spans="16:16">
      <c r="P5520" s="594"/>
    </row>
    <row r="5521" spans="16:16">
      <c r="P5521" s="594"/>
    </row>
    <row r="5522" spans="16:16">
      <c r="P5522" s="594"/>
    </row>
    <row r="5523" spans="16:16">
      <c r="P5523" s="594"/>
    </row>
    <row r="5524" spans="16:16">
      <c r="P5524" s="594"/>
    </row>
    <row r="5525" spans="16:16">
      <c r="P5525" s="594"/>
    </row>
    <row r="5526" spans="16:16">
      <c r="P5526" s="594"/>
    </row>
    <row r="5527" spans="16:16">
      <c r="P5527" s="594"/>
    </row>
    <row r="5528" spans="16:16">
      <c r="P5528" s="594"/>
    </row>
    <row r="5529" spans="16:16">
      <c r="P5529" s="594"/>
    </row>
    <row r="5530" spans="16:16">
      <c r="P5530" s="594"/>
    </row>
    <row r="5531" spans="16:16">
      <c r="P5531" s="594"/>
    </row>
    <row r="5532" spans="16:16">
      <c r="P5532" s="594"/>
    </row>
    <row r="5533" spans="16:16">
      <c r="P5533" s="594"/>
    </row>
    <row r="5534" spans="16:16">
      <c r="P5534" s="594"/>
    </row>
    <row r="5535" spans="16:16">
      <c r="P5535" s="594"/>
    </row>
    <row r="5536" spans="16:16">
      <c r="P5536" s="594"/>
    </row>
    <row r="5537" spans="16:16">
      <c r="P5537" s="594"/>
    </row>
    <row r="5538" spans="16:16">
      <c r="P5538" s="594"/>
    </row>
    <row r="5539" spans="16:16">
      <c r="P5539" s="594"/>
    </row>
    <row r="5540" spans="16:16">
      <c r="P5540" s="594"/>
    </row>
    <row r="5541" spans="16:16">
      <c r="P5541" s="594"/>
    </row>
    <row r="5542" spans="16:16">
      <c r="P5542" s="594"/>
    </row>
    <row r="5543" spans="16:16">
      <c r="P5543" s="594"/>
    </row>
    <row r="5544" spans="16:16">
      <c r="P5544" s="594"/>
    </row>
    <row r="5545" spans="16:16">
      <c r="P5545" s="594"/>
    </row>
    <row r="5546" spans="16:16">
      <c r="P5546" s="594"/>
    </row>
    <row r="5547" spans="16:16">
      <c r="P5547" s="594"/>
    </row>
    <row r="5548" spans="16:16">
      <c r="P5548" s="594"/>
    </row>
    <row r="5549" spans="16:16">
      <c r="P5549" s="594"/>
    </row>
    <row r="5550" spans="16:16">
      <c r="P5550" s="594"/>
    </row>
    <row r="5551" spans="16:16">
      <c r="P5551" s="594"/>
    </row>
    <row r="5552" spans="16:16">
      <c r="P5552" s="594"/>
    </row>
    <row r="5553" spans="16:16">
      <c r="P5553" s="594"/>
    </row>
    <row r="5554" spans="16:16">
      <c r="P5554" s="594"/>
    </row>
    <row r="5555" spans="16:16">
      <c r="P5555" s="594"/>
    </row>
    <row r="5556" spans="16:16">
      <c r="P5556" s="594"/>
    </row>
    <row r="5557" spans="16:16">
      <c r="P5557" s="594"/>
    </row>
    <row r="5558" spans="16:16">
      <c r="P5558" s="594"/>
    </row>
    <row r="5559" spans="16:16">
      <c r="P5559" s="594"/>
    </row>
    <row r="5560" spans="16:16">
      <c r="P5560" s="594"/>
    </row>
    <row r="5561" spans="16:16">
      <c r="P5561" s="594"/>
    </row>
    <row r="5562" spans="16:16">
      <c r="P5562" s="594"/>
    </row>
    <row r="5563" spans="16:16">
      <c r="P5563" s="594"/>
    </row>
    <row r="5564" spans="16:16">
      <c r="P5564" s="594"/>
    </row>
    <row r="5565" spans="16:16">
      <c r="P5565" s="594"/>
    </row>
    <row r="5566" spans="16:16">
      <c r="P5566" s="594"/>
    </row>
    <row r="5567" spans="16:16">
      <c r="P5567" s="594"/>
    </row>
    <row r="5568" spans="16:16">
      <c r="P5568" s="594"/>
    </row>
    <row r="5569" spans="16:16">
      <c r="P5569" s="594"/>
    </row>
    <row r="5570" spans="16:16">
      <c r="P5570" s="594"/>
    </row>
    <row r="5571" spans="16:16">
      <c r="P5571" s="594"/>
    </row>
    <row r="5572" spans="16:16">
      <c r="P5572" s="594"/>
    </row>
    <row r="5573" spans="16:16">
      <c r="P5573" s="594"/>
    </row>
    <row r="5574" spans="16:16">
      <c r="P5574" s="594"/>
    </row>
    <row r="5575" spans="16:16">
      <c r="P5575" s="594"/>
    </row>
    <row r="5576" spans="16:16">
      <c r="P5576" s="594"/>
    </row>
    <row r="5577" spans="16:16">
      <c r="P5577" s="594"/>
    </row>
    <row r="5578" spans="16:16">
      <c r="P5578" s="594"/>
    </row>
    <row r="5579" spans="16:16">
      <c r="P5579" s="594"/>
    </row>
    <row r="5580" spans="16:16">
      <c r="P5580" s="594"/>
    </row>
    <row r="5581" spans="16:16">
      <c r="P5581" s="594"/>
    </row>
    <row r="5582" spans="16:16">
      <c r="P5582" s="594"/>
    </row>
    <row r="5583" spans="16:16">
      <c r="P5583" s="594"/>
    </row>
    <row r="5584" spans="16:16">
      <c r="P5584" s="594"/>
    </row>
    <row r="5585" spans="16:16">
      <c r="P5585" s="594"/>
    </row>
    <row r="5586" spans="16:16">
      <c r="P5586" s="594"/>
    </row>
    <row r="5587" spans="16:16">
      <c r="P5587" s="594"/>
    </row>
    <row r="5588" spans="16:16">
      <c r="P5588" s="594"/>
    </row>
    <row r="5589" spans="16:16">
      <c r="P5589" s="594"/>
    </row>
    <row r="5590" spans="16:16">
      <c r="P5590" s="594"/>
    </row>
    <row r="5591" spans="16:16">
      <c r="P5591" s="594"/>
    </row>
    <row r="5592" spans="16:16">
      <c r="P5592" s="594"/>
    </row>
    <row r="5593" spans="16:16">
      <c r="P5593" s="594"/>
    </row>
    <row r="5594" spans="16:16">
      <c r="P5594" s="594"/>
    </row>
    <row r="5595" spans="16:16">
      <c r="P5595" s="594"/>
    </row>
    <row r="5596" spans="16:16">
      <c r="P5596" s="594"/>
    </row>
    <row r="5597" spans="16:16">
      <c r="P5597" s="594"/>
    </row>
    <row r="5598" spans="16:16">
      <c r="P5598" s="594"/>
    </row>
    <row r="5599" spans="16:16">
      <c r="P5599" s="594"/>
    </row>
    <row r="5600" spans="16:16">
      <c r="P5600" s="594"/>
    </row>
    <row r="5601" spans="16:16">
      <c r="P5601" s="594"/>
    </row>
    <row r="5602" spans="16:16">
      <c r="P5602" s="594"/>
    </row>
    <row r="5603" spans="16:16">
      <c r="P5603" s="594"/>
    </row>
    <row r="5604" spans="16:16">
      <c r="P5604" s="594"/>
    </row>
    <row r="5605" spans="16:16">
      <c r="P5605" s="594"/>
    </row>
    <row r="5606" spans="16:16">
      <c r="P5606" s="594"/>
    </row>
    <row r="5607" spans="16:16">
      <c r="P5607" s="594"/>
    </row>
    <row r="5608" spans="16:16">
      <c r="P5608" s="594"/>
    </row>
    <row r="5609" spans="16:16">
      <c r="P5609" s="594"/>
    </row>
    <row r="5610" spans="16:16">
      <c r="P5610" s="594"/>
    </row>
    <row r="5611" spans="16:16">
      <c r="P5611" s="594"/>
    </row>
    <row r="5612" spans="16:16">
      <c r="P5612" s="594"/>
    </row>
    <row r="5613" spans="16:16">
      <c r="P5613" s="594"/>
    </row>
    <row r="5614" spans="16:16">
      <c r="P5614" s="594"/>
    </row>
    <row r="5615" spans="16:16">
      <c r="P5615" s="594"/>
    </row>
    <row r="5616" spans="16:16">
      <c r="P5616" s="594"/>
    </row>
    <row r="5617" spans="16:16">
      <c r="P5617" s="594"/>
    </row>
    <row r="5618" spans="16:16">
      <c r="P5618" s="594"/>
    </row>
    <row r="5619" spans="16:16">
      <c r="P5619" s="594"/>
    </row>
    <row r="5620" spans="16:16">
      <c r="P5620" s="594"/>
    </row>
    <row r="5621" spans="16:16">
      <c r="P5621" s="594"/>
    </row>
    <row r="5622" spans="16:16">
      <c r="P5622" s="594"/>
    </row>
    <row r="5623" spans="16:16">
      <c r="P5623" s="594"/>
    </row>
    <row r="5624" spans="16:16">
      <c r="P5624" s="594"/>
    </row>
    <row r="5625" spans="16:16">
      <c r="P5625" s="594"/>
    </row>
    <row r="5626" spans="16:16">
      <c r="P5626" s="594"/>
    </row>
    <row r="5627" spans="16:16">
      <c r="P5627" s="594"/>
    </row>
    <row r="5628" spans="16:16">
      <c r="P5628" s="594"/>
    </row>
    <row r="5629" spans="16:16">
      <c r="P5629" s="594"/>
    </row>
    <row r="5630" spans="16:16">
      <c r="P5630" s="594"/>
    </row>
    <row r="5631" spans="16:16">
      <c r="P5631" s="594"/>
    </row>
    <row r="5632" spans="16:16">
      <c r="P5632" s="594"/>
    </row>
    <row r="5633" spans="16:16">
      <c r="P5633" s="594"/>
    </row>
    <row r="5634" spans="16:16">
      <c r="P5634" s="594"/>
    </row>
    <row r="5635" spans="16:16">
      <c r="P5635" s="594"/>
    </row>
    <row r="5636" spans="16:16">
      <c r="P5636" s="594"/>
    </row>
    <row r="5637" spans="16:16">
      <c r="P5637" s="594"/>
    </row>
    <row r="5638" spans="16:16">
      <c r="P5638" s="594"/>
    </row>
    <row r="5639" spans="16:16">
      <c r="P5639" s="594"/>
    </row>
    <row r="5640" spans="16:16">
      <c r="P5640" s="594"/>
    </row>
    <row r="5641" spans="16:16">
      <c r="P5641" s="594"/>
    </row>
    <row r="5642" spans="16:16">
      <c r="P5642" s="594"/>
    </row>
    <row r="5643" spans="16:16">
      <c r="P5643" s="594"/>
    </row>
    <row r="5644" spans="16:16">
      <c r="P5644" s="594"/>
    </row>
    <row r="5645" spans="16:16">
      <c r="P5645" s="594"/>
    </row>
    <row r="5646" spans="16:16">
      <c r="P5646" s="594"/>
    </row>
    <row r="5647" spans="16:16">
      <c r="P5647" s="594"/>
    </row>
    <row r="5648" spans="16:16">
      <c r="P5648" s="594"/>
    </row>
    <row r="5649" spans="16:16">
      <c r="P5649" s="594"/>
    </row>
    <row r="5650" spans="16:16">
      <c r="P5650" s="594"/>
    </row>
    <row r="5651" spans="16:16">
      <c r="P5651" s="594"/>
    </row>
    <row r="5652" spans="16:16">
      <c r="P5652" s="594"/>
    </row>
    <row r="5653" spans="16:16">
      <c r="P5653" s="594"/>
    </row>
    <row r="5654" spans="16:16">
      <c r="P5654" s="594"/>
    </row>
    <row r="5655" spans="16:16">
      <c r="P5655" s="594"/>
    </row>
    <row r="5656" spans="16:16">
      <c r="P5656" s="594"/>
    </row>
    <row r="5657" spans="16:16">
      <c r="P5657" s="594"/>
    </row>
    <row r="5658" spans="16:16">
      <c r="P5658" s="594"/>
    </row>
    <row r="5659" spans="16:16">
      <c r="P5659" s="594"/>
    </row>
    <row r="5660" spans="16:16">
      <c r="P5660" s="594"/>
    </row>
    <row r="5661" spans="16:16">
      <c r="P5661" s="594"/>
    </row>
    <row r="5662" spans="16:16">
      <c r="P5662" s="594"/>
    </row>
    <row r="5663" spans="16:16">
      <c r="P5663" s="594"/>
    </row>
    <row r="5664" spans="16:16">
      <c r="P5664" s="594"/>
    </row>
    <row r="5665" spans="16:16">
      <c r="P5665" s="594"/>
    </row>
    <row r="5666" spans="16:16">
      <c r="P5666" s="594"/>
    </row>
    <row r="5667" spans="16:16">
      <c r="P5667" s="594"/>
    </row>
    <row r="5668" spans="16:16">
      <c r="P5668" s="594"/>
    </row>
    <row r="5669" spans="16:16">
      <c r="P5669" s="594"/>
    </row>
    <row r="5670" spans="16:16">
      <c r="P5670" s="594"/>
    </row>
    <row r="5671" spans="16:16">
      <c r="P5671" s="594"/>
    </row>
    <row r="5672" spans="16:16">
      <c r="P5672" s="594"/>
    </row>
    <row r="5673" spans="16:16">
      <c r="P5673" s="594"/>
    </row>
    <row r="5674" spans="16:16">
      <c r="P5674" s="594"/>
    </row>
    <row r="5675" spans="16:16">
      <c r="P5675" s="594"/>
    </row>
    <row r="5676" spans="16:16">
      <c r="P5676" s="594"/>
    </row>
    <row r="5677" spans="16:16">
      <c r="P5677" s="594"/>
    </row>
    <row r="5678" spans="16:16">
      <c r="P5678" s="594"/>
    </row>
    <row r="5679" spans="16:16">
      <c r="P5679" s="594"/>
    </row>
    <row r="5680" spans="16:16">
      <c r="P5680" s="594"/>
    </row>
    <row r="5681" spans="16:16">
      <c r="P5681" s="594"/>
    </row>
    <row r="5682" spans="16:16">
      <c r="P5682" s="594"/>
    </row>
    <row r="5683" spans="16:16">
      <c r="P5683" s="594"/>
    </row>
    <row r="5684" spans="16:16">
      <c r="P5684" s="594"/>
    </row>
    <row r="5685" spans="16:16">
      <c r="P5685" s="594"/>
    </row>
    <row r="5686" spans="16:16">
      <c r="P5686" s="594"/>
    </row>
    <row r="5687" spans="16:16">
      <c r="P5687" s="594"/>
    </row>
    <row r="5688" spans="16:16">
      <c r="P5688" s="594"/>
    </row>
    <row r="5689" spans="16:16">
      <c r="P5689" s="594"/>
    </row>
    <row r="5690" spans="16:16">
      <c r="P5690" s="594"/>
    </row>
    <row r="5691" spans="16:16">
      <c r="P5691" s="594"/>
    </row>
    <row r="5692" spans="16:16">
      <c r="P5692" s="594"/>
    </row>
    <row r="5693" spans="16:16">
      <c r="P5693" s="594"/>
    </row>
    <row r="5694" spans="16:16">
      <c r="P5694" s="594"/>
    </row>
    <row r="5695" spans="16:16">
      <c r="P5695" s="594"/>
    </row>
    <row r="5696" spans="16:16">
      <c r="P5696" s="594"/>
    </row>
    <row r="5697" spans="16:16">
      <c r="P5697" s="594"/>
    </row>
    <row r="5698" spans="16:16">
      <c r="P5698" s="594"/>
    </row>
    <row r="5699" spans="16:16">
      <c r="P5699" s="594"/>
    </row>
    <row r="5700" spans="16:16">
      <c r="P5700" s="594"/>
    </row>
    <row r="5701" spans="16:16">
      <c r="P5701" s="594"/>
    </row>
    <row r="5702" spans="16:16">
      <c r="P5702" s="594"/>
    </row>
    <row r="5703" spans="16:16">
      <c r="P5703" s="594"/>
    </row>
    <row r="5704" spans="16:16">
      <c r="P5704" s="594"/>
    </row>
    <row r="5705" spans="16:16">
      <c r="P5705" s="594"/>
    </row>
    <row r="5706" spans="16:16">
      <c r="P5706" s="594"/>
    </row>
    <row r="5707" spans="16:16">
      <c r="P5707" s="594"/>
    </row>
    <row r="5708" spans="16:16">
      <c r="P5708" s="594"/>
    </row>
    <row r="5709" spans="16:16">
      <c r="P5709" s="594"/>
    </row>
    <row r="5710" spans="16:16">
      <c r="P5710" s="594"/>
    </row>
    <row r="5711" spans="16:16">
      <c r="P5711" s="594"/>
    </row>
    <row r="5712" spans="16:16">
      <c r="P5712" s="594"/>
    </row>
    <row r="5713" spans="16:16">
      <c r="P5713" s="594"/>
    </row>
    <row r="5714" spans="16:16">
      <c r="P5714" s="594"/>
    </row>
    <row r="5715" spans="16:16">
      <c r="P5715" s="594"/>
    </row>
    <row r="5716" spans="16:16">
      <c r="P5716" s="594"/>
    </row>
    <row r="5717" spans="16:16">
      <c r="P5717" s="594"/>
    </row>
    <row r="5718" spans="16:16">
      <c r="P5718" s="594"/>
    </row>
    <row r="5719" spans="16:16">
      <c r="P5719" s="594"/>
    </row>
    <row r="5720" spans="16:16">
      <c r="P5720" s="594"/>
    </row>
    <row r="5721" spans="16:16">
      <c r="P5721" s="594"/>
    </row>
    <row r="5722" spans="16:16">
      <c r="P5722" s="594"/>
    </row>
    <row r="5723" spans="16:16">
      <c r="P5723" s="594"/>
    </row>
    <row r="5724" spans="16:16">
      <c r="P5724" s="594"/>
    </row>
    <row r="5725" spans="16:16">
      <c r="P5725" s="594"/>
    </row>
    <row r="5726" spans="16:16">
      <c r="P5726" s="594"/>
    </row>
    <row r="5727" spans="16:16">
      <c r="P5727" s="594"/>
    </row>
    <row r="5728" spans="16:16">
      <c r="P5728" s="594"/>
    </row>
    <row r="5729" spans="16:16">
      <c r="P5729" s="594"/>
    </row>
    <row r="5730" spans="16:16">
      <c r="P5730" s="594"/>
    </row>
    <row r="5731" spans="16:16">
      <c r="P5731" s="594"/>
    </row>
    <row r="5732" spans="16:16">
      <c r="P5732" s="594"/>
    </row>
    <row r="5733" spans="16:16">
      <c r="P5733" s="594"/>
    </row>
    <row r="5734" spans="16:16">
      <c r="P5734" s="594"/>
    </row>
    <row r="5735" spans="16:16">
      <c r="P5735" s="594"/>
    </row>
    <row r="5736" spans="16:16">
      <c r="P5736" s="594"/>
    </row>
    <row r="5737" spans="16:16">
      <c r="P5737" s="594"/>
    </row>
    <row r="5738" spans="16:16">
      <c r="P5738" s="594"/>
    </row>
    <row r="5739" spans="16:16">
      <c r="P5739" s="594"/>
    </row>
    <row r="5740" spans="16:16">
      <c r="P5740" s="594"/>
    </row>
    <row r="5741" spans="16:16">
      <c r="P5741" s="594"/>
    </row>
    <row r="5742" spans="16:16">
      <c r="P5742" s="594"/>
    </row>
    <row r="5743" spans="16:16">
      <c r="P5743" s="594"/>
    </row>
    <row r="5744" spans="16:16">
      <c r="P5744" s="594"/>
    </row>
    <row r="5745" spans="16:16">
      <c r="P5745" s="594"/>
    </row>
    <row r="5746" spans="16:16">
      <c r="P5746" s="594"/>
    </row>
    <row r="5747" spans="16:16">
      <c r="P5747" s="594"/>
    </row>
    <row r="5748" spans="16:16">
      <c r="P5748" s="594"/>
    </row>
    <row r="5749" spans="16:16">
      <c r="P5749" s="594"/>
    </row>
    <row r="5750" spans="16:16">
      <c r="P5750" s="594"/>
    </row>
    <row r="5751" spans="16:16">
      <c r="P5751" s="594"/>
    </row>
    <row r="5752" spans="16:16">
      <c r="P5752" s="594"/>
    </row>
    <row r="5753" spans="16:16">
      <c r="P5753" s="594"/>
    </row>
    <row r="5754" spans="16:16">
      <c r="P5754" s="594"/>
    </row>
    <row r="5755" spans="16:16">
      <c r="P5755" s="594"/>
    </row>
    <row r="5756" spans="16:16">
      <c r="P5756" s="594"/>
    </row>
    <row r="5757" spans="16:16">
      <c r="P5757" s="594"/>
    </row>
    <row r="5758" spans="16:16">
      <c r="P5758" s="594"/>
    </row>
    <row r="5759" spans="16:16">
      <c r="P5759" s="594"/>
    </row>
    <row r="5760" spans="16:16">
      <c r="P5760" s="594"/>
    </row>
    <row r="5761" spans="16:16">
      <c r="P5761" s="594"/>
    </row>
    <row r="5762" spans="16:16">
      <c r="P5762" s="594"/>
    </row>
    <row r="5763" spans="16:16">
      <c r="P5763" s="594"/>
    </row>
    <row r="5764" spans="16:16">
      <c r="P5764" s="594"/>
    </row>
    <row r="5765" spans="16:16">
      <c r="P5765" s="594"/>
    </row>
    <row r="5766" spans="16:16">
      <c r="P5766" s="594"/>
    </row>
    <row r="5767" spans="16:16">
      <c r="P5767" s="594"/>
    </row>
    <row r="5768" spans="16:16">
      <c r="P5768" s="594"/>
    </row>
    <row r="5769" spans="16:16">
      <c r="P5769" s="594"/>
    </row>
    <row r="5770" spans="16:16">
      <c r="P5770" s="594"/>
    </row>
    <row r="5771" spans="16:16">
      <c r="P5771" s="594"/>
    </row>
    <row r="5772" spans="16:16">
      <c r="P5772" s="594"/>
    </row>
    <row r="5773" spans="16:16">
      <c r="P5773" s="594"/>
    </row>
    <row r="5774" spans="16:16">
      <c r="P5774" s="594"/>
    </row>
    <row r="5775" spans="16:16">
      <c r="P5775" s="594"/>
    </row>
    <row r="5776" spans="16:16">
      <c r="P5776" s="594"/>
    </row>
    <row r="5777" spans="16:16">
      <c r="P5777" s="594"/>
    </row>
    <row r="5778" spans="16:16">
      <c r="P5778" s="594"/>
    </row>
    <row r="5779" spans="16:16">
      <c r="P5779" s="594"/>
    </row>
    <row r="5780" spans="16:16">
      <c r="P5780" s="594"/>
    </row>
    <row r="5781" spans="16:16">
      <c r="P5781" s="594"/>
    </row>
    <row r="5782" spans="16:16">
      <c r="P5782" s="594"/>
    </row>
    <row r="5783" spans="16:16">
      <c r="P5783" s="594"/>
    </row>
    <row r="5784" spans="16:16">
      <c r="P5784" s="594"/>
    </row>
    <row r="5785" spans="16:16">
      <c r="P5785" s="594"/>
    </row>
    <row r="5786" spans="16:16">
      <c r="P5786" s="594"/>
    </row>
    <row r="5787" spans="16:16">
      <c r="P5787" s="594"/>
    </row>
    <row r="5788" spans="16:16">
      <c r="P5788" s="594"/>
    </row>
    <row r="5789" spans="16:16">
      <c r="P5789" s="594"/>
    </row>
    <row r="5790" spans="16:16">
      <c r="P5790" s="594"/>
    </row>
    <row r="5791" spans="16:16">
      <c r="P5791" s="594"/>
    </row>
    <row r="5792" spans="16:16">
      <c r="P5792" s="594"/>
    </row>
    <row r="5793" spans="16:16">
      <c r="P5793" s="594"/>
    </row>
    <row r="5794" spans="16:16">
      <c r="P5794" s="594"/>
    </row>
    <row r="5795" spans="16:16">
      <c r="P5795" s="594"/>
    </row>
    <row r="5796" spans="16:16">
      <c r="P5796" s="594"/>
    </row>
    <row r="5797" spans="16:16">
      <c r="P5797" s="594"/>
    </row>
    <row r="5798" spans="16:16">
      <c r="P5798" s="594"/>
    </row>
    <row r="5799" spans="16:16">
      <c r="P5799" s="594"/>
    </row>
    <row r="5800" spans="16:16">
      <c r="P5800" s="594"/>
    </row>
    <row r="5801" spans="16:16">
      <c r="P5801" s="594"/>
    </row>
    <row r="5802" spans="16:16">
      <c r="P5802" s="594"/>
    </row>
    <row r="5803" spans="16:16">
      <c r="P5803" s="594"/>
    </row>
    <row r="5804" spans="16:16">
      <c r="P5804" s="594"/>
    </row>
    <row r="5805" spans="16:16">
      <c r="P5805" s="594"/>
    </row>
    <row r="5806" spans="16:16">
      <c r="P5806" s="594"/>
    </row>
    <row r="5807" spans="16:16">
      <c r="P5807" s="594"/>
    </row>
    <row r="5808" spans="16:16">
      <c r="P5808" s="594"/>
    </row>
    <row r="5809" spans="16:16">
      <c r="P5809" s="594"/>
    </row>
    <row r="5810" spans="16:16">
      <c r="P5810" s="594"/>
    </row>
    <row r="5811" spans="16:16">
      <c r="P5811" s="594"/>
    </row>
    <row r="5812" spans="16:16">
      <c r="P5812" s="594"/>
    </row>
    <row r="5813" spans="16:16">
      <c r="P5813" s="594"/>
    </row>
    <row r="5814" spans="16:16">
      <c r="P5814" s="594"/>
    </row>
    <row r="5815" spans="16:16">
      <c r="P5815" s="594"/>
    </row>
    <row r="5816" spans="16:16">
      <c r="P5816" s="594"/>
    </row>
    <row r="5817" spans="16:16">
      <c r="P5817" s="594"/>
    </row>
    <row r="5818" spans="16:16">
      <c r="P5818" s="594"/>
    </row>
    <row r="5819" spans="16:16">
      <c r="P5819" s="594"/>
    </row>
    <row r="5820" spans="16:16">
      <c r="P5820" s="594"/>
    </row>
    <row r="5821" spans="16:16">
      <c r="P5821" s="594"/>
    </row>
    <row r="5822" spans="16:16">
      <c r="P5822" s="594"/>
    </row>
    <row r="5823" spans="16:16">
      <c r="P5823" s="594"/>
    </row>
    <row r="5824" spans="16:16">
      <c r="P5824" s="594"/>
    </row>
    <row r="5825" spans="16:16">
      <c r="P5825" s="594"/>
    </row>
    <row r="5826" spans="16:16">
      <c r="P5826" s="594"/>
    </row>
    <row r="5827" spans="16:16">
      <c r="P5827" s="594"/>
    </row>
    <row r="5828" spans="16:16">
      <c r="P5828" s="594"/>
    </row>
    <row r="5829" spans="16:16">
      <c r="P5829" s="594"/>
    </row>
    <row r="5830" spans="16:16">
      <c r="P5830" s="594"/>
    </row>
    <row r="5831" spans="16:16">
      <c r="P5831" s="594"/>
    </row>
    <row r="5832" spans="16:16">
      <c r="P5832" s="594"/>
    </row>
    <row r="5833" spans="16:16">
      <c r="P5833" s="594"/>
    </row>
    <row r="5834" spans="16:16">
      <c r="P5834" s="594"/>
    </row>
    <row r="5835" spans="16:16">
      <c r="P5835" s="594"/>
    </row>
    <row r="5836" spans="16:16">
      <c r="P5836" s="594"/>
    </row>
    <row r="5837" spans="16:16">
      <c r="P5837" s="594"/>
    </row>
    <row r="5838" spans="16:16">
      <c r="P5838" s="594"/>
    </row>
    <row r="5839" spans="16:16">
      <c r="P5839" s="594"/>
    </row>
    <row r="5840" spans="16:16">
      <c r="P5840" s="594"/>
    </row>
    <row r="5841" spans="16:16">
      <c r="P5841" s="594"/>
    </row>
    <row r="5842" spans="16:16">
      <c r="P5842" s="594"/>
    </row>
    <row r="5843" spans="16:16">
      <c r="P5843" s="594"/>
    </row>
    <row r="5844" spans="16:16">
      <c r="P5844" s="594"/>
    </row>
    <row r="5845" spans="16:16">
      <c r="P5845" s="594"/>
    </row>
    <row r="5846" spans="16:16">
      <c r="P5846" s="594"/>
    </row>
    <row r="5847" spans="16:16">
      <c r="P5847" s="594"/>
    </row>
    <row r="5848" spans="16:16">
      <c r="P5848" s="594"/>
    </row>
    <row r="5849" spans="16:16">
      <c r="P5849" s="594"/>
    </row>
    <row r="5850" spans="16:16">
      <c r="P5850" s="594"/>
    </row>
    <row r="5851" spans="16:16">
      <c r="P5851" s="594"/>
    </row>
    <row r="5852" spans="16:16">
      <c r="P5852" s="594"/>
    </row>
    <row r="5853" spans="16:16">
      <c r="P5853" s="594"/>
    </row>
    <row r="5854" spans="16:16">
      <c r="P5854" s="594"/>
    </row>
    <row r="5855" spans="16:16">
      <c r="P5855" s="594"/>
    </row>
    <row r="5856" spans="16:16">
      <c r="P5856" s="594"/>
    </row>
    <row r="5857" spans="16:16">
      <c r="P5857" s="594"/>
    </row>
    <row r="5858" spans="16:16">
      <c r="P5858" s="594"/>
    </row>
    <row r="5859" spans="16:16">
      <c r="P5859" s="594"/>
    </row>
    <row r="5860" spans="16:16">
      <c r="P5860" s="594"/>
    </row>
    <row r="5861" spans="16:16">
      <c r="P5861" s="594"/>
    </row>
    <row r="5862" spans="16:16">
      <c r="P5862" s="594"/>
    </row>
    <row r="5863" spans="16:16">
      <c r="P5863" s="594"/>
    </row>
    <row r="5864" spans="16:16">
      <c r="P5864" s="594"/>
    </row>
    <row r="5865" spans="16:16">
      <c r="P5865" s="594"/>
    </row>
    <row r="5866" spans="16:16">
      <c r="P5866" s="594"/>
    </row>
    <row r="5867" spans="16:16">
      <c r="P5867" s="594"/>
    </row>
    <row r="5868" spans="16:16">
      <c r="P5868" s="594"/>
    </row>
    <row r="5869" spans="16:16">
      <c r="P5869" s="594"/>
    </row>
    <row r="5870" spans="16:16">
      <c r="P5870" s="594"/>
    </row>
    <row r="5871" spans="16:16">
      <c r="P5871" s="594"/>
    </row>
    <row r="5872" spans="16:16">
      <c r="P5872" s="594"/>
    </row>
    <row r="5873" spans="16:16">
      <c r="P5873" s="594"/>
    </row>
    <row r="5874" spans="16:16">
      <c r="P5874" s="594"/>
    </row>
    <row r="5875" spans="16:16">
      <c r="P5875" s="594"/>
    </row>
    <row r="5876" spans="16:16">
      <c r="P5876" s="594"/>
    </row>
    <row r="5877" spans="16:16">
      <c r="P5877" s="594"/>
    </row>
    <row r="5878" spans="16:16">
      <c r="P5878" s="594"/>
    </row>
    <row r="5879" spans="16:16">
      <c r="P5879" s="594"/>
    </row>
    <row r="5880" spans="16:16">
      <c r="P5880" s="594"/>
    </row>
    <row r="5881" spans="16:16">
      <c r="P5881" s="594"/>
    </row>
    <row r="5882" spans="16:16">
      <c r="P5882" s="594"/>
    </row>
    <row r="5883" spans="16:16">
      <c r="P5883" s="594"/>
    </row>
    <row r="5884" spans="16:16">
      <c r="P5884" s="594"/>
    </row>
    <row r="5885" spans="16:16">
      <c r="P5885" s="594"/>
    </row>
    <row r="5886" spans="16:16">
      <c r="P5886" s="594"/>
    </row>
    <row r="5887" spans="16:16">
      <c r="P5887" s="594"/>
    </row>
    <row r="5888" spans="16:16">
      <c r="P5888" s="594"/>
    </row>
    <row r="5889" spans="16:16">
      <c r="P5889" s="594"/>
    </row>
    <row r="5890" spans="16:16">
      <c r="P5890" s="594"/>
    </row>
    <row r="5891" spans="16:16">
      <c r="P5891" s="594"/>
    </row>
    <row r="5892" spans="16:16">
      <c r="P5892" s="594"/>
    </row>
    <row r="5893" spans="16:16">
      <c r="P5893" s="594"/>
    </row>
    <row r="5894" spans="16:16">
      <c r="P5894" s="594"/>
    </row>
    <row r="5895" spans="16:16">
      <c r="P5895" s="594"/>
    </row>
    <row r="5896" spans="16:16">
      <c r="P5896" s="594"/>
    </row>
    <row r="5897" spans="16:16">
      <c r="P5897" s="594"/>
    </row>
    <row r="5898" spans="16:16">
      <c r="P5898" s="594"/>
    </row>
    <row r="5899" spans="16:16">
      <c r="P5899" s="594"/>
    </row>
    <row r="5900" spans="16:16">
      <c r="P5900" s="594"/>
    </row>
    <row r="5901" spans="16:16">
      <c r="P5901" s="594"/>
    </row>
    <row r="5902" spans="16:16">
      <c r="P5902" s="594"/>
    </row>
    <row r="5903" spans="16:16">
      <c r="P5903" s="594"/>
    </row>
    <row r="5904" spans="16:16">
      <c r="P5904" s="594"/>
    </row>
    <row r="5905" spans="16:16">
      <c r="P5905" s="594"/>
    </row>
    <row r="5906" spans="16:16">
      <c r="P5906" s="594"/>
    </row>
    <row r="5907" spans="16:16">
      <c r="P5907" s="594"/>
    </row>
    <row r="5908" spans="16:16">
      <c r="P5908" s="594"/>
    </row>
    <row r="5909" spans="16:16">
      <c r="P5909" s="594"/>
    </row>
    <row r="5910" spans="16:16">
      <c r="P5910" s="594"/>
    </row>
    <row r="5911" spans="16:16">
      <c r="P5911" s="594"/>
    </row>
    <row r="5912" spans="16:16">
      <c r="P5912" s="594"/>
    </row>
    <row r="5913" spans="16:16">
      <c r="P5913" s="594"/>
    </row>
    <row r="5914" spans="16:16">
      <c r="P5914" s="594"/>
    </row>
    <row r="5915" spans="16:16">
      <c r="P5915" s="594"/>
    </row>
    <row r="5916" spans="16:16">
      <c r="P5916" s="594"/>
    </row>
    <row r="5917" spans="16:16">
      <c r="P5917" s="594"/>
    </row>
    <row r="5918" spans="16:16">
      <c r="P5918" s="594"/>
    </row>
    <row r="5919" spans="16:16">
      <c r="P5919" s="594"/>
    </row>
    <row r="5920" spans="16:16">
      <c r="P5920" s="594"/>
    </row>
    <row r="5921" spans="16:16">
      <c r="P5921" s="594"/>
    </row>
    <row r="5922" spans="16:16">
      <c r="P5922" s="594"/>
    </row>
    <row r="5923" spans="16:16">
      <c r="P5923" s="594"/>
    </row>
    <row r="5924" spans="16:16">
      <c r="P5924" s="594"/>
    </row>
    <row r="5925" spans="16:16">
      <c r="P5925" s="594"/>
    </row>
    <row r="5926" spans="16:16">
      <c r="P5926" s="594"/>
    </row>
    <row r="5927" spans="16:16">
      <c r="P5927" s="594"/>
    </row>
    <row r="5928" spans="16:16">
      <c r="P5928" s="594"/>
    </row>
    <row r="5929" spans="16:16">
      <c r="P5929" s="594"/>
    </row>
    <row r="5930" spans="16:16">
      <c r="P5930" s="594"/>
    </row>
    <row r="5931" spans="16:16">
      <c r="P5931" s="594"/>
    </row>
    <row r="5932" spans="16:16">
      <c r="P5932" s="594"/>
    </row>
    <row r="5933" spans="16:16">
      <c r="P5933" s="594"/>
    </row>
    <row r="5934" spans="16:16">
      <c r="P5934" s="594"/>
    </row>
    <row r="5935" spans="16:16">
      <c r="P5935" s="594"/>
    </row>
    <row r="5936" spans="16:16">
      <c r="P5936" s="594"/>
    </row>
    <row r="5937" spans="16:16">
      <c r="P5937" s="594"/>
    </row>
    <row r="5938" spans="16:16">
      <c r="P5938" s="594"/>
    </row>
    <row r="5939" spans="16:16">
      <c r="P5939" s="594"/>
    </row>
    <row r="5940" spans="16:16">
      <c r="P5940" s="594"/>
    </row>
    <row r="5941" spans="16:16">
      <c r="P5941" s="594"/>
    </row>
    <row r="5942" spans="16:16">
      <c r="P5942" s="594"/>
    </row>
    <row r="5943" spans="16:16">
      <c r="P5943" s="594"/>
    </row>
    <row r="5944" spans="16:16">
      <c r="P5944" s="594"/>
    </row>
    <row r="5945" spans="16:16">
      <c r="P5945" s="594"/>
    </row>
    <row r="5946" spans="16:16">
      <c r="P5946" s="594"/>
    </row>
    <row r="5947" spans="16:16">
      <c r="P5947" s="594"/>
    </row>
    <row r="5948" spans="16:16">
      <c r="P5948" s="594"/>
    </row>
    <row r="5949" spans="16:16">
      <c r="P5949" s="594"/>
    </row>
    <row r="5950" spans="16:16">
      <c r="P5950" s="594"/>
    </row>
    <row r="5951" spans="16:16">
      <c r="P5951" s="594"/>
    </row>
    <row r="5952" spans="16:16">
      <c r="P5952" s="594"/>
    </row>
    <row r="5953" spans="16:16">
      <c r="P5953" s="594"/>
    </row>
    <row r="5954" spans="16:16">
      <c r="P5954" s="594"/>
    </row>
    <row r="5955" spans="16:16">
      <c r="P5955" s="594"/>
    </row>
    <row r="5956" spans="16:16">
      <c r="P5956" s="594"/>
    </row>
    <row r="5957" spans="16:16">
      <c r="P5957" s="594"/>
    </row>
    <row r="5958" spans="16:16">
      <c r="P5958" s="594"/>
    </row>
    <row r="5959" spans="16:16">
      <c r="P5959" s="594"/>
    </row>
    <row r="5960" spans="16:16">
      <c r="P5960" s="594"/>
    </row>
    <row r="5961" spans="16:16">
      <c r="P5961" s="594"/>
    </row>
    <row r="5962" spans="16:16">
      <c r="P5962" s="594"/>
    </row>
    <row r="5963" spans="16:16">
      <c r="P5963" s="594"/>
    </row>
    <row r="5964" spans="16:16">
      <c r="P5964" s="594"/>
    </row>
    <row r="5965" spans="16:16">
      <c r="P5965" s="594"/>
    </row>
    <row r="5966" spans="16:16">
      <c r="P5966" s="594"/>
    </row>
    <row r="5967" spans="16:16">
      <c r="P5967" s="594"/>
    </row>
    <row r="5968" spans="16:16">
      <c r="P5968" s="594"/>
    </row>
    <row r="5969" spans="16:16">
      <c r="P5969" s="594"/>
    </row>
    <row r="5970" spans="16:16">
      <c r="P5970" s="594"/>
    </row>
    <row r="5971" spans="16:16">
      <c r="P5971" s="594"/>
    </row>
    <row r="5972" spans="16:16">
      <c r="P5972" s="594"/>
    </row>
    <row r="5973" spans="16:16">
      <c r="P5973" s="594"/>
    </row>
    <row r="5974" spans="16:16">
      <c r="P5974" s="594"/>
    </row>
    <row r="5975" spans="16:16">
      <c r="P5975" s="594"/>
    </row>
    <row r="5976" spans="16:16">
      <c r="P5976" s="594"/>
    </row>
    <row r="5977" spans="16:16">
      <c r="P5977" s="594"/>
    </row>
    <row r="5978" spans="16:16">
      <c r="P5978" s="594"/>
    </row>
    <row r="5979" spans="16:16">
      <c r="P5979" s="594"/>
    </row>
    <row r="5980" spans="16:16">
      <c r="P5980" s="594"/>
    </row>
    <row r="5981" spans="16:16">
      <c r="P5981" s="594"/>
    </row>
    <row r="5982" spans="16:16">
      <c r="P5982" s="594"/>
    </row>
    <row r="5983" spans="16:16">
      <c r="P5983" s="594"/>
    </row>
    <row r="5984" spans="16:16">
      <c r="P5984" s="594"/>
    </row>
    <row r="5985" spans="16:16">
      <c r="P5985" s="594"/>
    </row>
    <row r="5986" spans="16:16">
      <c r="P5986" s="594"/>
    </row>
    <row r="5987" spans="16:16">
      <c r="P5987" s="594"/>
    </row>
    <row r="5988" spans="16:16">
      <c r="P5988" s="594"/>
    </row>
    <row r="5989" spans="16:16">
      <c r="P5989" s="594"/>
    </row>
    <row r="5990" spans="16:16">
      <c r="P5990" s="594"/>
    </row>
    <row r="5991" spans="16:16">
      <c r="P5991" s="594"/>
    </row>
    <row r="5992" spans="16:16">
      <c r="P5992" s="594"/>
    </row>
    <row r="5993" spans="16:16">
      <c r="P5993" s="594"/>
    </row>
    <row r="5994" spans="16:16">
      <c r="P5994" s="594"/>
    </row>
    <row r="5995" spans="16:16">
      <c r="P5995" s="594"/>
    </row>
    <row r="5996" spans="16:16">
      <c r="P5996" s="594"/>
    </row>
    <row r="5997" spans="16:16">
      <c r="P5997" s="594"/>
    </row>
    <row r="5998" spans="16:16">
      <c r="P5998" s="594"/>
    </row>
    <row r="5999" spans="16:16">
      <c r="P5999" s="594"/>
    </row>
    <row r="6000" spans="16:16">
      <c r="P6000" s="594"/>
    </row>
    <row r="6001" spans="16:16">
      <c r="P6001" s="594"/>
    </row>
    <row r="6002" spans="16:16">
      <c r="P6002" s="594"/>
    </row>
    <row r="6003" spans="16:16">
      <c r="P6003" s="594"/>
    </row>
    <row r="6004" spans="16:16">
      <c r="P6004" s="594"/>
    </row>
    <row r="6005" spans="16:16">
      <c r="P6005" s="594"/>
    </row>
    <row r="6006" spans="16:16">
      <c r="P6006" s="594"/>
    </row>
    <row r="6007" spans="16:16">
      <c r="P6007" s="594"/>
    </row>
    <row r="6008" spans="16:16">
      <c r="P6008" s="594"/>
    </row>
    <row r="6009" spans="16:16">
      <c r="P6009" s="594"/>
    </row>
    <row r="6010" spans="16:16">
      <c r="P6010" s="594"/>
    </row>
    <row r="6011" spans="16:16">
      <c r="P6011" s="594"/>
    </row>
    <row r="6012" spans="16:16">
      <c r="P6012" s="594"/>
    </row>
    <row r="6013" spans="16:16">
      <c r="P6013" s="594"/>
    </row>
    <row r="6014" spans="16:16">
      <c r="P6014" s="594"/>
    </row>
    <row r="6015" spans="16:16">
      <c r="P6015" s="594"/>
    </row>
    <row r="6016" spans="16:16">
      <c r="P6016" s="594"/>
    </row>
    <row r="6017" spans="16:16">
      <c r="P6017" s="594"/>
    </row>
    <row r="6018" spans="16:16">
      <c r="P6018" s="594"/>
    </row>
    <row r="6019" spans="16:16">
      <c r="P6019" s="594"/>
    </row>
    <row r="6020" spans="16:16">
      <c r="P6020" s="594"/>
    </row>
    <row r="6021" spans="16:16">
      <c r="P6021" s="594"/>
    </row>
    <row r="6022" spans="16:16">
      <c r="P6022" s="594"/>
    </row>
    <row r="6023" spans="16:16">
      <c r="P6023" s="594"/>
    </row>
    <row r="6024" spans="16:16">
      <c r="P6024" s="594"/>
    </row>
    <row r="6025" spans="16:16">
      <c r="P6025" s="594"/>
    </row>
    <row r="6026" spans="16:16">
      <c r="P6026" s="594"/>
    </row>
    <row r="6027" spans="16:16">
      <c r="P6027" s="594"/>
    </row>
    <row r="6028" spans="16:16">
      <c r="P6028" s="594"/>
    </row>
    <row r="6029" spans="16:16">
      <c r="P6029" s="594"/>
    </row>
    <row r="6030" spans="16:16">
      <c r="P6030" s="594"/>
    </row>
    <row r="6031" spans="16:16">
      <c r="P6031" s="594"/>
    </row>
    <row r="6032" spans="16:16">
      <c r="P6032" s="594"/>
    </row>
    <row r="6033" spans="16:16">
      <c r="P6033" s="594"/>
    </row>
    <row r="6034" spans="16:16">
      <c r="P6034" s="594"/>
    </row>
    <row r="6035" spans="16:16">
      <c r="P6035" s="594"/>
    </row>
    <row r="6036" spans="16:16">
      <c r="P6036" s="594"/>
    </row>
    <row r="6037" spans="16:16">
      <c r="P6037" s="594"/>
    </row>
    <row r="6038" spans="16:16">
      <c r="P6038" s="594"/>
    </row>
    <row r="6039" spans="16:16">
      <c r="P6039" s="594"/>
    </row>
    <row r="6040" spans="16:16">
      <c r="P6040" s="594"/>
    </row>
    <row r="6041" spans="16:16">
      <c r="P6041" s="594"/>
    </row>
    <row r="6042" spans="16:16">
      <c r="P6042" s="594"/>
    </row>
    <row r="6043" spans="16:16">
      <c r="P6043" s="594"/>
    </row>
    <row r="6044" spans="16:16">
      <c r="P6044" s="594"/>
    </row>
    <row r="6045" spans="16:16">
      <c r="P6045" s="594"/>
    </row>
    <row r="6046" spans="16:16">
      <c r="P6046" s="594"/>
    </row>
    <row r="6047" spans="16:16">
      <c r="P6047" s="594"/>
    </row>
    <row r="6048" spans="16:16">
      <c r="P6048" s="594"/>
    </row>
    <row r="6049" spans="16:16">
      <c r="P6049" s="594"/>
    </row>
    <row r="6050" spans="16:16">
      <c r="P6050" s="594"/>
    </row>
    <row r="6051" spans="16:16">
      <c r="P6051" s="594"/>
    </row>
    <row r="6052" spans="16:16">
      <c r="P6052" s="594"/>
    </row>
    <row r="6053" spans="16:16">
      <c r="P6053" s="594"/>
    </row>
    <row r="6054" spans="16:16">
      <c r="P6054" s="594"/>
    </row>
    <row r="6055" spans="16:16">
      <c r="P6055" s="594"/>
    </row>
    <row r="6056" spans="16:16">
      <c r="P6056" s="594"/>
    </row>
    <row r="6057" spans="16:16">
      <c r="P6057" s="594"/>
    </row>
    <row r="6058" spans="16:16">
      <c r="P6058" s="594"/>
    </row>
    <row r="6059" spans="16:16">
      <c r="P6059" s="594"/>
    </row>
    <row r="6060" spans="16:16">
      <c r="P6060" s="594"/>
    </row>
    <row r="6061" spans="16:16">
      <c r="P6061" s="594"/>
    </row>
    <row r="6062" spans="16:16">
      <c r="P6062" s="594"/>
    </row>
    <row r="6063" spans="16:16">
      <c r="P6063" s="594"/>
    </row>
    <row r="6064" spans="16:16">
      <c r="P6064" s="594"/>
    </row>
    <row r="6065" spans="16:16">
      <c r="P6065" s="594"/>
    </row>
    <row r="6066" spans="16:16">
      <c r="P6066" s="594"/>
    </row>
    <row r="6067" spans="16:16">
      <c r="P6067" s="594"/>
    </row>
    <row r="6068" spans="16:16">
      <c r="P6068" s="594"/>
    </row>
    <row r="6069" spans="16:16">
      <c r="P6069" s="594"/>
    </row>
    <row r="6070" spans="16:16">
      <c r="P6070" s="594"/>
    </row>
    <row r="6071" spans="16:16">
      <c r="P6071" s="594"/>
    </row>
    <row r="6072" spans="16:16">
      <c r="P6072" s="594"/>
    </row>
    <row r="6073" spans="16:16">
      <c r="P6073" s="594"/>
    </row>
    <row r="6074" spans="16:16">
      <c r="P6074" s="594"/>
    </row>
    <row r="6075" spans="16:16">
      <c r="P6075" s="594"/>
    </row>
    <row r="6076" spans="16:16">
      <c r="P6076" s="594"/>
    </row>
    <row r="6077" spans="16:16">
      <c r="P6077" s="594"/>
    </row>
    <row r="6078" spans="16:16">
      <c r="P6078" s="594"/>
    </row>
    <row r="6079" spans="16:16">
      <c r="P6079" s="594"/>
    </row>
    <row r="6080" spans="16:16">
      <c r="P6080" s="594"/>
    </row>
    <row r="6081" spans="16:16">
      <c r="P6081" s="594"/>
    </row>
    <row r="6082" spans="16:16">
      <c r="P6082" s="594"/>
    </row>
    <row r="6083" spans="16:16">
      <c r="P6083" s="594"/>
    </row>
    <row r="6084" spans="16:16">
      <c r="P6084" s="594"/>
    </row>
    <row r="6085" spans="16:16">
      <c r="P6085" s="594"/>
    </row>
    <row r="6086" spans="16:16">
      <c r="P6086" s="594"/>
    </row>
    <row r="6087" spans="16:16">
      <c r="P6087" s="594"/>
    </row>
    <row r="6088" spans="16:16">
      <c r="P6088" s="594"/>
    </row>
    <row r="6089" spans="16:16">
      <c r="P6089" s="594"/>
    </row>
    <row r="6090" spans="16:16">
      <c r="P6090" s="594"/>
    </row>
    <row r="6091" spans="16:16">
      <c r="P6091" s="594"/>
    </row>
    <row r="6092" spans="16:16">
      <c r="P6092" s="594"/>
    </row>
    <row r="6093" spans="16:16">
      <c r="P6093" s="594"/>
    </row>
    <row r="6094" spans="16:16">
      <c r="P6094" s="594"/>
    </row>
    <row r="6095" spans="16:16">
      <c r="P6095" s="594"/>
    </row>
    <row r="6096" spans="16:16">
      <c r="P6096" s="594"/>
    </row>
    <row r="6097" spans="16:16">
      <c r="P6097" s="594"/>
    </row>
    <row r="6098" spans="16:16">
      <c r="P6098" s="594"/>
    </row>
    <row r="6099" spans="16:16">
      <c r="P6099" s="594"/>
    </row>
    <row r="6100" spans="16:16">
      <c r="P6100" s="594"/>
    </row>
    <row r="6101" spans="16:16">
      <c r="P6101" s="594"/>
    </row>
    <row r="6102" spans="16:16">
      <c r="P6102" s="594"/>
    </row>
    <row r="6103" spans="16:16">
      <c r="P6103" s="594"/>
    </row>
    <row r="6104" spans="16:16">
      <c r="P6104" s="594"/>
    </row>
    <row r="6105" spans="16:16">
      <c r="P6105" s="594"/>
    </row>
    <row r="6106" spans="16:16">
      <c r="P6106" s="594"/>
    </row>
    <row r="6107" spans="16:16">
      <c r="P6107" s="594"/>
    </row>
    <row r="6108" spans="16:16">
      <c r="P6108" s="594"/>
    </row>
    <row r="6109" spans="16:16">
      <c r="P6109" s="594"/>
    </row>
    <row r="6110" spans="16:16">
      <c r="P6110" s="594"/>
    </row>
    <row r="6111" spans="16:16">
      <c r="P6111" s="594"/>
    </row>
    <row r="6112" spans="16:16">
      <c r="P6112" s="594"/>
    </row>
    <row r="6113" spans="16:16">
      <c r="P6113" s="594"/>
    </row>
    <row r="6114" spans="16:16">
      <c r="P6114" s="594"/>
    </row>
    <row r="6115" spans="16:16">
      <c r="P6115" s="594"/>
    </row>
    <row r="6116" spans="16:16">
      <c r="P6116" s="594"/>
    </row>
    <row r="6117" spans="16:16">
      <c r="P6117" s="594"/>
    </row>
    <row r="6118" spans="16:16">
      <c r="P6118" s="594"/>
    </row>
    <row r="6119" spans="16:16">
      <c r="P6119" s="594"/>
    </row>
    <row r="6120" spans="16:16">
      <c r="P6120" s="594"/>
    </row>
    <row r="6121" spans="16:16">
      <c r="P6121" s="594"/>
    </row>
    <row r="6122" spans="16:16">
      <c r="P6122" s="594"/>
    </row>
    <row r="6123" spans="16:16">
      <c r="P6123" s="594"/>
    </row>
    <row r="6124" spans="16:16">
      <c r="P6124" s="594"/>
    </row>
    <row r="6125" spans="16:16">
      <c r="P6125" s="594"/>
    </row>
    <row r="6126" spans="16:16">
      <c r="P6126" s="594"/>
    </row>
    <row r="6127" spans="16:16">
      <c r="P6127" s="594"/>
    </row>
    <row r="6128" spans="16:16">
      <c r="P6128" s="594"/>
    </row>
    <row r="6129" spans="16:16">
      <c r="P6129" s="594"/>
    </row>
    <row r="6130" spans="16:16">
      <c r="P6130" s="594"/>
    </row>
    <row r="6131" spans="16:16">
      <c r="P6131" s="594"/>
    </row>
    <row r="6132" spans="16:16">
      <c r="P6132" s="594"/>
    </row>
    <row r="6133" spans="16:16">
      <c r="P6133" s="594"/>
    </row>
    <row r="6134" spans="16:16">
      <c r="P6134" s="594"/>
    </row>
    <row r="6135" spans="16:16">
      <c r="P6135" s="594"/>
    </row>
    <row r="6136" spans="16:16">
      <c r="P6136" s="594"/>
    </row>
    <row r="6137" spans="16:16">
      <c r="P6137" s="594"/>
    </row>
    <row r="6138" spans="16:16">
      <c r="P6138" s="594"/>
    </row>
    <row r="6139" spans="16:16">
      <c r="P6139" s="594"/>
    </row>
    <row r="6140" spans="16:16">
      <c r="P6140" s="594"/>
    </row>
    <row r="6141" spans="16:16">
      <c r="P6141" s="594"/>
    </row>
    <row r="6142" spans="16:16">
      <c r="P6142" s="594"/>
    </row>
    <row r="6143" spans="16:16">
      <c r="P6143" s="594"/>
    </row>
    <row r="6144" spans="16:16">
      <c r="P6144" s="594"/>
    </row>
    <row r="6145" spans="16:16">
      <c r="P6145" s="594"/>
    </row>
    <row r="6146" spans="16:16">
      <c r="P6146" s="594"/>
    </row>
    <row r="6147" spans="16:16">
      <c r="P6147" s="594"/>
    </row>
    <row r="6148" spans="16:16">
      <c r="P6148" s="594"/>
    </row>
    <row r="6149" spans="16:16">
      <c r="P6149" s="594"/>
    </row>
    <row r="6150" spans="16:16">
      <c r="P6150" s="594"/>
    </row>
    <row r="6151" spans="16:16">
      <c r="P6151" s="594"/>
    </row>
    <row r="6152" spans="16:16">
      <c r="P6152" s="594"/>
    </row>
    <row r="6153" spans="16:16">
      <c r="P6153" s="594"/>
    </row>
    <row r="6154" spans="16:16">
      <c r="P6154" s="594"/>
    </row>
    <row r="6155" spans="16:16">
      <c r="P6155" s="594"/>
    </row>
    <row r="6156" spans="16:16">
      <c r="P6156" s="594"/>
    </row>
    <row r="6157" spans="16:16">
      <c r="P6157" s="594"/>
    </row>
    <row r="6158" spans="16:16">
      <c r="P6158" s="594"/>
    </row>
    <row r="6159" spans="16:16">
      <c r="P6159" s="594"/>
    </row>
    <row r="6160" spans="16:16">
      <c r="P6160" s="594"/>
    </row>
    <row r="6161" spans="16:16">
      <c r="P6161" s="594"/>
    </row>
    <row r="6162" spans="16:16">
      <c r="P6162" s="594"/>
    </row>
    <row r="6163" spans="16:16">
      <c r="P6163" s="594"/>
    </row>
    <row r="6164" spans="16:16">
      <c r="P6164" s="594"/>
    </row>
    <row r="6165" spans="16:16">
      <c r="P6165" s="594"/>
    </row>
    <row r="6166" spans="16:16">
      <c r="P6166" s="594"/>
    </row>
    <row r="6167" spans="16:16">
      <c r="P6167" s="594"/>
    </row>
    <row r="6168" spans="16:16">
      <c r="P6168" s="594"/>
    </row>
    <row r="6169" spans="16:16">
      <c r="P6169" s="594"/>
    </row>
    <row r="6170" spans="16:16">
      <c r="P6170" s="594"/>
    </row>
    <row r="6171" spans="16:16">
      <c r="P6171" s="594"/>
    </row>
    <row r="6172" spans="16:16">
      <c r="P6172" s="594"/>
    </row>
    <row r="6173" spans="16:16">
      <c r="P6173" s="594"/>
    </row>
    <row r="6174" spans="16:16">
      <c r="P6174" s="594"/>
    </row>
    <row r="6175" spans="16:16">
      <c r="P6175" s="594"/>
    </row>
    <row r="6176" spans="16:16">
      <c r="P6176" s="594"/>
    </row>
    <row r="6177" spans="16:16">
      <c r="P6177" s="594"/>
    </row>
    <row r="6178" spans="16:16">
      <c r="P6178" s="594"/>
    </row>
    <row r="6179" spans="16:16">
      <c r="P6179" s="594"/>
    </row>
    <row r="6180" spans="16:16">
      <c r="P6180" s="594"/>
    </row>
    <row r="6181" spans="16:16">
      <c r="P6181" s="594"/>
    </row>
    <row r="6182" spans="16:16">
      <c r="P6182" s="594"/>
    </row>
    <row r="6183" spans="16:16">
      <c r="P6183" s="594"/>
    </row>
    <row r="6184" spans="16:16">
      <c r="P6184" s="594"/>
    </row>
    <row r="6185" spans="16:16">
      <c r="P6185" s="594"/>
    </row>
    <row r="6186" spans="16:16">
      <c r="P6186" s="594"/>
    </row>
    <row r="6187" spans="16:16">
      <c r="P6187" s="594"/>
    </row>
    <row r="6188" spans="16:16">
      <c r="P6188" s="594"/>
    </row>
    <row r="6189" spans="16:16">
      <c r="P6189" s="594"/>
    </row>
    <row r="6190" spans="16:16">
      <c r="P6190" s="594"/>
    </row>
    <row r="6191" spans="16:16">
      <c r="P6191" s="594"/>
    </row>
    <row r="6192" spans="16:16">
      <c r="P6192" s="594"/>
    </row>
    <row r="6193" spans="16:16">
      <c r="P6193" s="594"/>
    </row>
    <row r="6194" spans="16:16">
      <c r="P6194" s="594"/>
    </row>
    <row r="6195" spans="16:16">
      <c r="P6195" s="594"/>
    </row>
    <row r="6196" spans="16:16">
      <c r="P6196" s="594"/>
    </row>
    <row r="6197" spans="16:16">
      <c r="P6197" s="594"/>
    </row>
    <row r="6198" spans="16:16">
      <c r="P6198" s="594"/>
    </row>
    <row r="6199" spans="16:16">
      <c r="P6199" s="594"/>
    </row>
    <row r="6200" spans="16:16">
      <c r="P6200" s="594"/>
    </row>
    <row r="6201" spans="16:16">
      <c r="P6201" s="594"/>
    </row>
    <row r="6202" spans="16:16">
      <c r="P6202" s="594"/>
    </row>
    <row r="6203" spans="16:16">
      <c r="P6203" s="594"/>
    </row>
    <row r="6204" spans="16:16">
      <c r="P6204" s="594"/>
    </row>
    <row r="6205" spans="16:16">
      <c r="P6205" s="594"/>
    </row>
    <row r="6206" spans="16:16">
      <c r="P6206" s="594"/>
    </row>
    <row r="6207" spans="16:16">
      <c r="P6207" s="594"/>
    </row>
    <row r="6208" spans="16:16">
      <c r="P6208" s="594"/>
    </row>
    <row r="6209" spans="16:16">
      <c r="P6209" s="594"/>
    </row>
    <row r="6210" spans="16:16">
      <c r="P6210" s="594"/>
    </row>
    <row r="6211" spans="16:16">
      <c r="P6211" s="594"/>
    </row>
    <row r="6212" spans="16:16">
      <c r="P6212" s="594"/>
    </row>
    <row r="6213" spans="16:16">
      <c r="P6213" s="594"/>
    </row>
    <row r="6214" spans="16:16">
      <c r="P6214" s="594"/>
    </row>
    <row r="6215" spans="16:16">
      <c r="P6215" s="594"/>
    </row>
    <row r="6216" spans="16:16">
      <c r="P6216" s="594"/>
    </row>
    <row r="6217" spans="16:16">
      <c r="P6217" s="594"/>
    </row>
    <row r="6218" spans="16:16">
      <c r="P6218" s="594"/>
    </row>
    <row r="6219" spans="16:16">
      <c r="P6219" s="594"/>
    </row>
    <row r="6220" spans="16:16">
      <c r="P6220" s="594"/>
    </row>
    <row r="6221" spans="16:16">
      <c r="P6221" s="594"/>
    </row>
    <row r="6222" spans="16:16">
      <c r="P6222" s="594"/>
    </row>
    <row r="6223" spans="16:16">
      <c r="P6223" s="594"/>
    </row>
    <row r="6224" spans="16:16">
      <c r="P6224" s="594"/>
    </row>
    <row r="6225" spans="16:16">
      <c r="P6225" s="594"/>
    </row>
    <row r="6226" spans="16:16">
      <c r="P6226" s="594"/>
    </row>
    <row r="6227" spans="16:16">
      <c r="P6227" s="594"/>
    </row>
    <row r="6228" spans="16:16">
      <c r="P6228" s="594"/>
    </row>
    <row r="6229" spans="16:16">
      <c r="P6229" s="594"/>
    </row>
    <row r="6230" spans="16:16">
      <c r="P6230" s="594"/>
    </row>
    <row r="6231" spans="16:16">
      <c r="P6231" s="594"/>
    </row>
    <row r="6232" spans="16:16">
      <c r="P6232" s="594"/>
    </row>
    <row r="6233" spans="16:16">
      <c r="P6233" s="594"/>
    </row>
    <row r="6234" spans="16:16">
      <c r="P6234" s="594"/>
    </row>
    <row r="6235" spans="16:16">
      <c r="P6235" s="594"/>
    </row>
    <row r="6236" spans="16:16">
      <c r="P6236" s="594"/>
    </row>
    <row r="6237" spans="16:16">
      <c r="P6237" s="594"/>
    </row>
    <row r="6238" spans="16:16">
      <c r="P6238" s="594"/>
    </row>
    <row r="6239" spans="16:16">
      <c r="P6239" s="594"/>
    </row>
    <row r="6240" spans="16:16">
      <c r="P6240" s="594"/>
    </row>
    <row r="6241" spans="16:16">
      <c r="P6241" s="594"/>
    </row>
    <row r="6242" spans="16:16">
      <c r="P6242" s="594"/>
    </row>
    <row r="6243" spans="16:16">
      <c r="P6243" s="594"/>
    </row>
    <row r="6244" spans="16:16">
      <c r="P6244" s="594"/>
    </row>
    <row r="6245" spans="16:16">
      <c r="P6245" s="594"/>
    </row>
    <row r="6246" spans="16:16">
      <c r="P6246" s="594"/>
    </row>
    <row r="6247" spans="16:16">
      <c r="P6247" s="594"/>
    </row>
    <row r="6248" spans="16:16">
      <c r="P6248" s="594"/>
    </row>
    <row r="6249" spans="16:16">
      <c r="P6249" s="594"/>
    </row>
    <row r="6250" spans="16:16">
      <c r="P6250" s="594"/>
    </row>
    <row r="6251" spans="16:16">
      <c r="P6251" s="594"/>
    </row>
    <row r="6252" spans="16:16">
      <c r="P6252" s="594"/>
    </row>
    <row r="6253" spans="16:16">
      <c r="P6253" s="594"/>
    </row>
    <row r="6254" spans="16:16">
      <c r="P6254" s="594"/>
    </row>
    <row r="6255" spans="16:16">
      <c r="P6255" s="594"/>
    </row>
    <row r="6256" spans="16:16">
      <c r="P6256" s="594"/>
    </row>
    <row r="6257" spans="16:16">
      <c r="P6257" s="594"/>
    </row>
    <row r="6258" spans="16:16">
      <c r="P6258" s="594"/>
    </row>
    <row r="6259" spans="16:16">
      <c r="P6259" s="594"/>
    </row>
    <row r="6260" spans="16:16">
      <c r="P6260" s="594"/>
    </row>
    <row r="6261" spans="16:16">
      <c r="P6261" s="594"/>
    </row>
    <row r="6262" spans="16:16">
      <c r="P6262" s="594"/>
    </row>
    <row r="6263" spans="16:16">
      <c r="P6263" s="594"/>
    </row>
    <row r="6264" spans="16:16">
      <c r="P6264" s="594"/>
    </row>
    <row r="6265" spans="16:16">
      <c r="P6265" s="594"/>
    </row>
    <row r="6266" spans="16:16">
      <c r="P6266" s="594"/>
    </row>
    <row r="6267" spans="16:16">
      <c r="P6267" s="594"/>
    </row>
    <row r="6268" spans="16:16">
      <c r="P6268" s="594"/>
    </row>
    <row r="6269" spans="16:16">
      <c r="P6269" s="594"/>
    </row>
    <row r="6270" spans="16:16">
      <c r="P6270" s="594"/>
    </row>
    <row r="6271" spans="16:16">
      <c r="P6271" s="594"/>
    </row>
    <row r="6272" spans="16:16">
      <c r="P6272" s="594"/>
    </row>
    <row r="6273" spans="16:16">
      <c r="P6273" s="594"/>
    </row>
    <row r="6274" spans="16:16">
      <c r="P6274" s="594"/>
    </row>
    <row r="6275" spans="16:16">
      <c r="P6275" s="594"/>
    </row>
    <row r="6276" spans="16:16">
      <c r="P6276" s="594"/>
    </row>
    <row r="6277" spans="16:16">
      <c r="P6277" s="594"/>
    </row>
    <row r="6278" spans="16:16">
      <c r="P6278" s="594"/>
    </row>
    <row r="6279" spans="16:16">
      <c r="P6279" s="594"/>
    </row>
    <row r="6280" spans="16:16">
      <c r="P6280" s="594"/>
    </row>
    <row r="6281" spans="16:16">
      <c r="P6281" s="594"/>
    </row>
    <row r="6282" spans="16:16">
      <c r="P6282" s="594"/>
    </row>
    <row r="6283" spans="16:16">
      <c r="P6283" s="594"/>
    </row>
    <row r="6284" spans="16:16">
      <c r="P6284" s="594"/>
    </row>
    <row r="6285" spans="16:16">
      <c r="P6285" s="594"/>
    </row>
    <row r="6286" spans="16:16">
      <c r="P6286" s="594"/>
    </row>
    <row r="6287" spans="16:16">
      <c r="P6287" s="594"/>
    </row>
    <row r="6288" spans="16:16">
      <c r="P6288" s="594"/>
    </row>
    <row r="6289" spans="16:16">
      <c r="P6289" s="594"/>
    </row>
    <row r="6290" spans="16:16">
      <c r="P6290" s="594"/>
    </row>
    <row r="6291" spans="16:16">
      <c r="P6291" s="594"/>
    </row>
    <row r="6292" spans="16:16">
      <c r="P6292" s="594"/>
    </row>
    <row r="6293" spans="16:16">
      <c r="P6293" s="594"/>
    </row>
    <row r="6294" spans="16:16">
      <c r="P6294" s="594"/>
    </row>
    <row r="6295" spans="16:16">
      <c r="P6295" s="594"/>
    </row>
    <row r="6296" spans="16:16">
      <c r="P6296" s="594"/>
    </row>
    <row r="6297" spans="16:16">
      <c r="P6297" s="594"/>
    </row>
    <row r="6298" spans="16:16">
      <c r="P6298" s="594"/>
    </row>
    <row r="6299" spans="16:16">
      <c r="P6299" s="594"/>
    </row>
    <row r="6300" spans="16:16">
      <c r="P6300" s="594"/>
    </row>
    <row r="6301" spans="16:16">
      <c r="P6301" s="594"/>
    </row>
    <row r="6302" spans="16:16">
      <c r="P6302" s="594"/>
    </row>
    <row r="6303" spans="16:16">
      <c r="P6303" s="594"/>
    </row>
    <row r="6304" spans="16:16">
      <c r="P6304" s="594"/>
    </row>
    <row r="6305" spans="16:16">
      <c r="P6305" s="594"/>
    </row>
    <row r="6306" spans="16:16">
      <c r="P6306" s="594"/>
    </row>
    <row r="6307" spans="16:16">
      <c r="P6307" s="594"/>
    </row>
    <row r="6308" spans="16:16">
      <c r="P6308" s="594"/>
    </row>
    <row r="6309" spans="16:16">
      <c r="P6309" s="594"/>
    </row>
    <row r="6310" spans="16:16">
      <c r="P6310" s="594"/>
    </row>
    <row r="6311" spans="16:16">
      <c r="P6311" s="594"/>
    </row>
    <row r="6312" spans="16:16">
      <c r="P6312" s="594"/>
    </row>
    <row r="6313" spans="16:16">
      <c r="P6313" s="594"/>
    </row>
    <row r="6314" spans="16:16">
      <c r="P6314" s="594"/>
    </row>
    <row r="6315" spans="16:16">
      <c r="P6315" s="594"/>
    </row>
    <row r="6316" spans="16:16">
      <c r="P6316" s="594"/>
    </row>
    <row r="6317" spans="16:16">
      <c r="P6317" s="594"/>
    </row>
    <row r="6318" spans="16:16">
      <c r="P6318" s="594"/>
    </row>
    <row r="6319" spans="16:16">
      <c r="P6319" s="594"/>
    </row>
    <row r="6320" spans="16:16">
      <c r="P6320" s="594"/>
    </row>
    <row r="6321" spans="16:16">
      <c r="P6321" s="594"/>
    </row>
    <row r="6322" spans="16:16">
      <c r="P6322" s="594"/>
    </row>
    <row r="6323" spans="16:16">
      <c r="P6323" s="594"/>
    </row>
    <row r="6324" spans="16:16">
      <c r="P6324" s="594"/>
    </row>
    <row r="6325" spans="16:16">
      <c r="P6325" s="594"/>
    </row>
    <row r="6326" spans="16:16">
      <c r="P6326" s="594"/>
    </row>
    <row r="6327" spans="16:16">
      <c r="P6327" s="594"/>
    </row>
    <row r="6328" spans="16:16">
      <c r="P6328" s="594"/>
    </row>
    <row r="6329" spans="16:16">
      <c r="P6329" s="594"/>
    </row>
    <row r="6330" spans="16:16">
      <c r="P6330" s="594"/>
    </row>
    <row r="6331" spans="16:16">
      <c r="P6331" s="594"/>
    </row>
    <row r="6332" spans="16:16">
      <c r="P6332" s="594"/>
    </row>
    <row r="6333" spans="16:16">
      <c r="P6333" s="594"/>
    </row>
    <row r="6334" spans="16:16">
      <c r="P6334" s="594"/>
    </row>
    <row r="6335" spans="16:16">
      <c r="P6335" s="594"/>
    </row>
    <row r="6336" spans="16:16">
      <c r="P6336" s="594"/>
    </row>
    <row r="6337" spans="16:16">
      <c r="P6337" s="594"/>
    </row>
    <row r="6338" spans="16:16">
      <c r="P6338" s="594"/>
    </row>
    <row r="6339" spans="16:16">
      <c r="P6339" s="594"/>
    </row>
    <row r="6340" spans="16:16">
      <c r="P6340" s="594"/>
    </row>
    <row r="6341" spans="16:16">
      <c r="P6341" s="594"/>
    </row>
    <row r="6342" spans="16:16">
      <c r="P6342" s="594"/>
    </row>
    <row r="6343" spans="16:16">
      <c r="P6343" s="594"/>
    </row>
    <row r="6344" spans="16:16">
      <c r="P6344" s="594"/>
    </row>
    <row r="6345" spans="16:16">
      <c r="P6345" s="594"/>
    </row>
    <row r="6346" spans="16:16">
      <c r="P6346" s="594"/>
    </row>
    <row r="6347" spans="16:16">
      <c r="P6347" s="594"/>
    </row>
    <row r="6348" spans="16:16">
      <c r="P6348" s="594"/>
    </row>
    <row r="6349" spans="16:16">
      <c r="P6349" s="594"/>
    </row>
    <row r="6350" spans="16:16">
      <c r="P6350" s="594"/>
    </row>
    <row r="6351" spans="16:16">
      <c r="P6351" s="594"/>
    </row>
    <row r="6352" spans="16:16">
      <c r="P6352" s="594"/>
    </row>
    <row r="6353" spans="16:16">
      <c r="P6353" s="594"/>
    </row>
    <row r="6354" spans="16:16">
      <c r="P6354" s="594"/>
    </row>
    <row r="6355" spans="16:16">
      <c r="P6355" s="594"/>
    </row>
    <row r="6356" spans="16:16">
      <c r="P6356" s="594"/>
    </row>
    <row r="6357" spans="16:16">
      <c r="P6357" s="594"/>
    </row>
    <row r="6358" spans="16:16">
      <c r="P6358" s="594"/>
    </row>
    <row r="6359" spans="16:16">
      <c r="P6359" s="594"/>
    </row>
    <row r="6360" spans="16:16">
      <c r="P6360" s="594"/>
    </row>
    <row r="6361" spans="16:16">
      <c r="P6361" s="594"/>
    </row>
    <row r="6362" spans="16:16">
      <c r="P6362" s="594"/>
    </row>
    <row r="6363" spans="16:16">
      <c r="P6363" s="594"/>
    </row>
    <row r="6364" spans="16:16">
      <c r="P6364" s="594"/>
    </row>
    <row r="6365" spans="16:16">
      <c r="P6365" s="594"/>
    </row>
    <row r="6366" spans="16:16">
      <c r="P6366" s="594"/>
    </row>
    <row r="6367" spans="16:16">
      <c r="P6367" s="594"/>
    </row>
    <row r="6368" spans="16:16">
      <c r="P6368" s="594"/>
    </row>
    <row r="6369" spans="16:16">
      <c r="P6369" s="594"/>
    </row>
    <row r="6370" spans="16:16">
      <c r="P6370" s="594"/>
    </row>
    <row r="6371" spans="16:16">
      <c r="P6371" s="594"/>
    </row>
    <row r="6372" spans="16:16">
      <c r="P6372" s="594"/>
    </row>
    <row r="6373" spans="16:16">
      <c r="P6373" s="594"/>
    </row>
    <row r="6374" spans="16:16">
      <c r="P6374" s="594"/>
    </row>
    <row r="6375" spans="16:16">
      <c r="P6375" s="594"/>
    </row>
    <row r="6376" spans="16:16">
      <c r="P6376" s="594"/>
    </row>
    <row r="6377" spans="16:16">
      <c r="P6377" s="594"/>
    </row>
    <row r="6378" spans="16:16">
      <c r="P6378" s="594"/>
    </row>
    <row r="6379" spans="16:16">
      <c r="P6379" s="594"/>
    </row>
    <row r="6380" spans="16:16">
      <c r="P6380" s="594"/>
    </row>
    <row r="6381" spans="16:16">
      <c r="P6381" s="594"/>
    </row>
    <row r="6382" spans="16:16">
      <c r="P6382" s="594"/>
    </row>
    <row r="6383" spans="16:16">
      <c r="P6383" s="594"/>
    </row>
    <row r="6384" spans="16:16">
      <c r="P6384" s="594"/>
    </row>
    <row r="6385" spans="16:16">
      <c r="P6385" s="594"/>
    </row>
    <row r="6386" spans="16:16">
      <c r="P6386" s="594"/>
    </row>
    <row r="6387" spans="16:16">
      <c r="P6387" s="594"/>
    </row>
    <row r="6388" spans="16:16">
      <c r="P6388" s="594"/>
    </row>
    <row r="6389" spans="16:16">
      <c r="P6389" s="594"/>
    </row>
    <row r="6390" spans="16:16">
      <c r="P6390" s="594"/>
    </row>
    <row r="6391" spans="16:16">
      <c r="P6391" s="594"/>
    </row>
    <row r="6392" spans="16:16">
      <c r="P6392" s="594"/>
    </row>
    <row r="6393" spans="16:16">
      <c r="P6393" s="594"/>
    </row>
    <row r="6394" spans="16:16">
      <c r="P6394" s="594"/>
    </row>
    <row r="6395" spans="16:16">
      <c r="P6395" s="594"/>
    </row>
    <row r="6396" spans="16:16">
      <c r="P6396" s="594"/>
    </row>
    <row r="6397" spans="16:16">
      <c r="P6397" s="594"/>
    </row>
    <row r="6398" spans="16:16">
      <c r="P6398" s="594"/>
    </row>
    <row r="6399" spans="16:16">
      <c r="P6399" s="594"/>
    </row>
    <row r="6400" spans="16:16">
      <c r="P6400" s="594"/>
    </row>
    <row r="6401" spans="16:16">
      <c r="P6401" s="594"/>
    </row>
    <row r="6402" spans="16:16">
      <c r="P6402" s="594"/>
    </row>
    <row r="6403" spans="16:16">
      <c r="P6403" s="594"/>
    </row>
    <row r="6404" spans="16:16">
      <c r="P6404" s="594"/>
    </row>
    <row r="6405" spans="16:16">
      <c r="P6405" s="594"/>
    </row>
    <row r="6406" spans="16:16">
      <c r="P6406" s="594"/>
    </row>
    <row r="6407" spans="16:16">
      <c r="P6407" s="594"/>
    </row>
    <row r="6408" spans="16:16">
      <c r="P6408" s="594"/>
    </row>
    <row r="6409" spans="16:16">
      <c r="P6409" s="594"/>
    </row>
    <row r="6410" spans="16:16">
      <c r="P6410" s="594"/>
    </row>
    <row r="6411" spans="16:16">
      <c r="P6411" s="594"/>
    </row>
    <row r="6412" spans="16:16">
      <c r="P6412" s="594"/>
    </row>
    <row r="6413" spans="16:16">
      <c r="P6413" s="594"/>
    </row>
    <row r="6414" spans="16:16">
      <c r="P6414" s="594"/>
    </row>
    <row r="6415" spans="16:16">
      <c r="P6415" s="594"/>
    </row>
    <row r="6416" spans="16:16">
      <c r="P6416" s="594"/>
    </row>
    <row r="6417" spans="16:16">
      <c r="P6417" s="594"/>
    </row>
    <row r="6418" spans="16:16">
      <c r="P6418" s="594"/>
    </row>
    <row r="6419" spans="16:16">
      <c r="P6419" s="594"/>
    </row>
    <row r="6420" spans="16:16">
      <c r="P6420" s="594"/>
    </row>
    <row r="6421" spans="16:16">
      <c r="P6421" s="594"/>
    </row>
    <row r="6422" spans="16:16">
      <c r="P6422" s="594"/>
    </row>
    <row r="6423" spans="16:16">
      <c r="P6423" s="594"/>
    </row>
    <row r="6424" spans="16:16">
      <c r="P6424" s="594"/>
    </row>
    <row r="6425" spans="16:16">
      <c r="P6425" s="594"/>
    </row>
    <row r="6426" spans="16:16">
      <c r="P6426" s="594"/>
    </row>
    <row r="6427" spans="16:16">
      <c r="P6427" s="594"/>
    </row>
    <row r="6428" spans="16:16">
      <c r="P6428" s="594"/>
    </row>
    <row r="6429" spans="16:16">
      <c r="P6429" s="594"/>
    </row>
    <row r="6430" spans="16:16">
      <c r="P6430" s="594"/>
    </row>
    <row r="6431" spans="16:16">
      <c r="P6431" s="594"/>
    </row>
    <row r="6432" spans="16:16">
      <c r="P6432" s="594"/>
    </row>
    <row r="6433" spans="16:16">
      <c r="P6433" s="594"/>
    </row>
    <row r="6434" spans="16:16">
      <c r="P6434" s="594"/>
    </row>
    <row r="6435" spans="16:16">
      <c r="P6435" s="594"/>
    </row>
    <row r="6436" spans="16:16">
      <c r="P6436" s="594"/>
    </row>
    <row r="6437" spans="16:16">
      <c r="P6437" s="594"/>
    </row>
    <row r="6438" spans="16:16">
      <c r="P6438" s="594"/>
    </row>
    <row r="6439" spans="16:16">
      <c r="P6439" s="594"/>
    </row>
    <row r="6440" spans="16:16">
      <c r="P6440" s="594"/>
    </row>
    <row r="6441" spans="16:16">
      <c r="P6441" s="594"/>
    </row>
    <row r="6442" spans="16:16">
      <c r="P6442" s="594"/>
    </row>
    <row r="6443" spans="16:16">
      <c r="P6443" s="594"/>
    </row>
    <row r="6444" spans="16:16">
      <c r="P6444" s="594"/>
    </row>
    <row r="6445" spans="16:16">
      <c r="P6445" s="594"/>
    </row>
    <row r="6446" spans="16:16">
      <c r="P6446" s="594"/>
    </row>
    <row r="6447" spans="16:16">
      <c r="P6447" s="594"/>
    </row>
    <row r="6448" spans="16:16">
      <c r="P6448" s="594"/>
    </row>
    <row r="6449" spans="16:16">
      <c r="P6449" s="594"/>
    </row>
    <row r="6450" spans="16:16">
      <c r="P6450" s="594"/>
    </row>
    <row r="6451" spans="16:16">
      <c r="P6451" s="594"/>
    </row>
    <row r="6452" spans="16:16">
      <c r="P6452" s="594"/>
    </row>
    <row r="6453" spans="16:16">
      <c r="P6453" s="594"/>
    </row>
    <row r="6454" spans="16:16">
      <c r="P6454" s="594"/>
    </row>
    <row r="6455" spans="16:16">
      <c r="P6455" s="594"/>
    </row>
    <row r="6456" spans="16:16">
      <c r="P6456" s="594"/>
    </row>
    <row r="6457" spans="16:16">
      <c r="P6457" s="594"/>
    </row>
    <row r="6458" spans="16:16">
      <c r="P6458" s="594"/>
    </row>
    <row r="6459" spans="16:16">
      <c r="P6459" s="594"/>
    </row>
    <row r="6460" spans="16:16">
      <c r="P6460" s="594"/>
    </row>
    <row r="6461" spans="16:16">
      <c r="P6461" s="594"/>
    </row>
    <row r="6462" spans="16:16">
      <c r="P6462" s="594"/>
    </row>
    <row r="6463" spans="16:16">
      <c r="P6463" s="594"/>
    </row>
    <row r="6464" spans="16:16">
      <c r="P6464" s="594"/>
    </row>
    <row r="6465" spans="16:16">
      <c r="P6465" s="594"/>
    </row>
    <row r="6466" spans="16:16">
      <c r="P6466" s="594"/>
    </row>
    <row r="6467" spans="16:16">
      <c r="P6467" s="594"/>
    </row>
    <row r="6468" spans="16:16">
      <c r="P6468" s="594"/>
    </row>
    <row r="6469" spans="16:16">
      <c r="P6469" s="594"/>
    </row>
    <row r="6470" spans="16:16">
      <c r="P6470" s="594"/>
    </row>
    <row r="6471" spans="16:16">
      <c r="P6471" s="594"/>
    </row>
    <row r="6472" spans="16:16">
      <c r="P6472" s="594"/>
    </row>
    <row r="6473" spans="16:16">
      <c r="P6473" s="594"/>
    </row>
    <row r="6474" spans="16:16">
      <c r="P6474" s="594"/>
    </row>
    <row r="6475" spans="16:16">
      <c r="P6475" s="594"/>
    </row>
    <row r="6476" spans="16:16">
      <c r="P6476" s="594"/>
    </row>
    <row r="6477" spans="16:16">
      <c r="P6477" s="594"/>
    </row>
    <row r="6478" spans="16:16">
      <c r="P6478" s="594"/>
    </row>
    <row r="6479" spans="16:16">
      <c r="P6479" s="594"/>
    </row>
    <row r="6480" spans="16:16">
      <c r="P6480" s="594"/>
    </row>
    <row r="6481" spans="16:16">
      <c r="P6481" s="594"/>
    </row>
    <row r="6482" spans="16:16">
      <c r="P6482" s="594"/>
    </row>
    <row r="6483" spans="16:16">
      <c r="P6483" s="594"/>
    </row>
    <row r="6484" spans="16:16">
      <c r="P6484" s="594"/>
    </row>
    <row r="6485" spans="16:16">
      <c r="P6485" s="594"/>
    </row>
    <row r="6486" spans="16:16">
      <c r="P6486" s="594"/>
    </row>
    <row r="6487" spans="16:16">
      <c r="P6487" s="594"/>
    </row>
    <row r="6488" spans="16:16">
      <c r="P6488" s="594"/>
    </row>
    <row r="6489" spans="16:16">
      <c r="P6489" s="594"/>
    </row>
    <row r="6490" spans="16:16">
      <c r="P6490" s="594"/>
    </row>
    <row r="6491" spans="16:16">
      <c r="P6491" s="594"/>
    </row>
    <row r="6492" spans="16:16">
      <c r="P6492" s="594"/>
    </row>
    <row r="6493" spans="16:16">
      <c r="P6493" s="594"/>
    </row>
    <row r="6494" spans="16:16">
      <c r="P6494" s="594"/>
    </row>
    <row r="6495" spans="16:16">
      <c r="P6495" s="594"/>
    </row>
    <row r="6496" spans="16:16">
      <c r="P6496" s="594"/>
    </row>
    <row r="6497" spans="16:16">
      <c r="P6497" s="594"/>
    </row>
    <row r="6498" spans="16:16">
      <c r="P6498" s="594"/>
    </row>
    <row r="6499" spans="16:16">
      <c r="P6499" s="594"/>
    </row>
    <row r="6500" spans="16:16">
      <c r="P6500" s="594"/>
    </row>
    <row r="6501" spans="16:16">
      <c r="P6501" s="594"/>
    </row>
    <row r="6502" spans="16:16">
      <c r="P6502" s="594"/>
    </row>
    <row r="6503" spans="16:16">
      <c r="P6503" s="594"/>
    </row>
    <row r="6504" spans="16:16">
      <c r="P6504" s="594"/>
    </row>
    <row r="6505" spans="16:16">
      <c r="P6505" s="594"/>
    </row>
    <row r="6506" spans="16:16">
      <c r="P6506" s="594"/>
    </row>
    <row r="6507" spans="16:16">
      <c r="P6507" s="594"/>
    </row>
    <row r="6508" spans="16:16">
      <c r="P6508" s="594"/>
    </row>
    <row r="6509" spans="16:16">
      <c r="P6509" s="594"/>
    </row>
    <row r="6510" spans="16:16">
      <c r="P6510" s="594"/>
    </row>
    <row r="6511" spans="16:16">
      <c r="P6511" s="594"/>
    </row>
    <row r="6512" spans="16:16">
      <c r="P6512" s="594"/>
    </row>
    <row r="6513" spans="16:16">
      <c r="P6513" s="594"/>
    </row>
    <row r="6514" spans="16:16">
      <c r="P6514" s="594"/>
    </row>
    <row r="6515" spans="16:16">
      <c r="P6515" s="594"/>
    </row>
    <row r="6516" spans="16:16">
      <c r="P6516" s="594"/>
    </row>
    <row r="6517" spans="16:16">
      <c r="P6517" s="594"/>
    </row>
    <row r="6518" spans="16:16">
      <c r="P6518" s="594"/>
    </row>
    <row r="6519" spans="16:16">
      <c r="P6519" s="594"/>
    </row>
    <row r="6520" spans="16:16">
      <c r="P6520" s="594"/>
    </row>
    <row r="6521" spans="16:16">
      <c r="P6521" s="594"/>
    </row>
    <row r="6522" spans="16:16">
      <c r="P6522" s="594"/>
    </row>
    <row r="6523" spans="16:16">
      <c r="P6523" s="594"/>
    </row>
    <row r="6524" spans="16:16">
      <c r="P6524" s="594"/>
    </row>
    <row r="6525" spans="16:16">
      <c r="P6525" s="594"/>
    </row>
    <row r="6526" spans="16:16">
      <c r="P6526" s="594"/>
    </row>
    <row r="6527" spans="16:16">
      <c r="P6527" s="594"/>
    </row>
    <row r="6528" spans="16:16">
      <c r="P6528" s="594"/>
    </row>
    <row r="6529" spans="16:16">
      <c r="P6529" s="594"/>
    </row>
    <row r="6530" spans="16:16">
      <c r="P6530" s="594"/>
    </row>
    <row r="6531" spans="16:16">
      <c r="P6531" s="594"/>
    </row>
    <row r="6532" spans="16:16">
      <c r="P6532" s="594"/>
    </row>
    <row r="6533" spans="16:16">
      <c r="P6533" s="594"/>
    </row>
    <row r="6534" spans="16:16">
      <c r="P6534" s="594"/>
    </row>
    <row r="6535" spans="16:16">
      <c r="P6535" s="594"/>
    </row>
    <row r="6536" spans="16:16">
      <c r="P6536" s="594"/>
    </row>
    <row r="6537" spans="16:16">
      <c r="P6537" s="594"/>
    </row>
    <row r="6538" spans="16:16">
      <c r="P6538" s="594"/>
    </row>
    <row r="6539" spans="16:16">
      <c r="P6539" s="594"/>
    </row>
    <row r="6540" spans="16:16">
      <c r="P6540" s="594"/>
    </row>
    <row r="6541" spans="16:16">
      <c r="P6541" s="594"/>
    </row>
    <row r="6542" spans="16:16">
      <c r="P6542" s="594"/>
    </row>
    <row r="6543" spans="16:16">
      <c r="P6543" s="594"/>
    </row>
    <row r="6544" spans="16:16">
      <c r="P6544" s="594"/>
    </row>
    <row r="6545" spans="16:16">
      <c r="P6545" s="594"/>
    </row>
    <row r="6546" spans="16:16">
      <c r="P6546" s="594"/>
    </row>
    <row r="6547" spans="16:16">
      <c r="P6547" s="594"/>
    </row>
    <row r="6548" spans="16:16">
      <c r="P6548" s="594"/>
    </row>
    <row r="6549" spans="16:16">
      <c r="P6549" s="594"/>
    </row>
    <row r="6550" spans="16:16">
      <c r="P6550" s="594"/>
    </row>
    <row r="6551" spans="16:16">
      <c r="P6551" s="594"/>
    </row>
    <row r="6552" spans="16:16">
      <c r="P6552" s="594"/>
    </row>
    <row r="6553" spans="16:16">
      <c r="P6553" s="594"/>
    </row>
    <row r="6554" spans="16:16">
      <c r="P6554" s="594"/>
    </row>
    <row r="6555" spans="16:16">
      <c r="P6555" s="594"/>
    </row>
    <row r="6556" spans="16:16">
      <c r="P6556" s="594"/>
    </row>
    <row r="6557" spans="16:16">
      <c r="P6557" s="594"/>
    </row>
    <row r="6558" spans="16:16">
      <c r="P6558" s="594"/>
    </row>
    <row r="6559" spans="16:16">
      <c r="P6559" s="594"/>
    </row>
    <row r="6560" spans="16:16">
      <c r="P6560" s="594"/>
    </row>
    <row r="6561" spans="16:16">
      <c r="P6561" s="594"/>
    </row>
    <row r="6562" spans="16:16">
      <c r="P6562" s="594"/>
    </row>
    <row r="6563" spans="16:16">
      <c r="P6563" s="594"/>
    </row>
    <row r="6564" spans="16:16">
      <c r="P6564" s="594"/>
    </row>
    <row r="6565" spans="16:16">
      <c r="P6565" s="594"/>
    </row>
    <row r="6566" spans="16:16">
      <c r="P6566" s="594"/>
    </row>
    <row r="6567" spans="16:16">
      <c r="P6567" s="594"/>
    </row>
    <row r="6568" spans="16:16">
      <c r="P6568" s="594"/>
    </row>
    <row r="6569" spans="16:16">
      <c r="P6569" s="594"/>
    </row>
    <row r="6570" spans="16:16">
      <c r="P6570" s="594"/>
    </row>
    <row r="6571" spans="16:16">
      <c r="P6571" s="594"/>
    </row>
    <row r="6572" spans="16:16">
      <c r="P6572" s="594"/>
    </row>
    <row r="6573" spans="16:16">
      <c r="P6573" s="594"/>
    </row>
    <row r="6574" spans="16:16">
      <c r="P6574" s="594"/>
    </row>
    <row r="6575" spans="16:16">
      <c r="P6575" s="594"/>
    </row>
    <row r="6576" spans="16:16">
      <c r="P6576" s="594"/>
    </row>
    <row r="6577" spans="16:16">
      <c r="P6577" s="594"/>
    </row>
    <row r="6578" spans="16:16">
      <c r="P6578" s="594"/>
    </row>
    <row r="6579" spans="16:16">
      <c r="P6579" s="594"/>
    </row>
    <row r="6580" spans="16:16">
      <c r="P6580" s="594"/>
    </row>
    <row r="6581" spans="16:16">
      <c r="P6581" s="594"/>
    </row>
    <row r="6582" spans="16:16">
      <c r="P6582" s="594"/>
    </row>
    <row r="6583" spans="16:16">
      <c r="P6583" s="594"/>
    </row>
    <row r="6584" spans="16:16">
      <c r="P6584" s="594"/>
    </row>
    <row r="6585" spans="16:16">
      <c r="P6585" s="594"/>
    </row>
    <row r="6586" spans="16:16">
      <c r="P6586" s="594"/>
    </row>
    <row r="6587" spans="16:16">
      <c r="P6587" s="594"/>
    </row>
    <row r="6588" spans="16:16">
      <c r="P6588" s="594"/>
    </row>
    <row r="6589" spans="16:16">
      <c r="P6589" s="594"/>
    </row>
    <row r="6590" spans="16:16">
      <c r="P6590" s="594"/>
    </row>
    <row r="6591" spans="16:16">
      <c r="P6591" s="594"/>
    </row>
    <row r="6592" spans="16:16">
      <c r="P6592" s="594"/>
    </row>
    <row r="6593" spans="16:16">
      <c r="P6593" s="594"/>
    </row>
    <row r="6594" spans="16:16">
      <c r="P6594" s="594"/>
    </row>
    <row r="6595" spans="16:16">
      <c r="P6595" s="594"/>
    </row>
    <row r="6596" spans="16:16">
      <c r="P6596" s="594"/>
    </row>
    <row r="6597" spans="16:16">
      <c r="P6597" s="594"/>
    </row>
    <row r="6598" spans="16:16">
      <c r="P6598" s="594"/>
    </row>
    <row r="6599" spans="16:16">
      <c r="P6599" s="594"/>
    </row>
    <row r="6600" spans="16:16">
      <c r="P6600" s="594"/>
    </row>
    <row r="6601" spans="16:16">
      <c r="P6601" s="594"/>
    </row>
    <row r="6602" spans="16:16">
      <c r="P6602" s="594"/>
    </row>
    <row r="6603" spans="16:16">
      <c r="P6603" s="594"/>
    </row>
    <row r="6604" spans="16:16">
      <c r="P6604" s="594"/>
    </row>
    <row r="6605" spans="16:16">
      <c r="P6605" s="594"/>
    </row>
    <row r="6606" spans="16:16">
      <c r="P6606" s="594"/>
    </row>
    <row r="6607" spans="16:16">
      <c r="P6607" s="594"/>
    </row>
    <row r="6608" spans="16:16">
      <c r="P6608" s="594"/>
    </row>
    <row r="6609" spans="16:16">
      <c r="P6609" s="594"/>
    </row>
    <row r="6610" spans="16:16">
      <c r="P6610" s="594"/>
    </row>
    <row r="6611" spans="16:16">
      <c r="P6611" s="594"/>
    </row>
    <row r="6612" spans="16:16">
      <c r="P6612" s="594"/>
    </row>
    <row r="6613" spans="16:16">
      <c r="P6613" s="594"/>
    </row>
    <row r="6614" spans="16:16">
      <c r="P6614" s="594"/>
    </row>
    <row r="6615" spans="16:16">
      <c r="P6615" s="594"/>
    </row>
    <row r="6616" spans="16:16">
      <c r="P6616" s="594"/>
    </row>
    <row r="6617" spans="16:16">
      <c r="P6617" s="594"/>
    </row>
    <row r="6618" spans="16:16">
      <c r="P6618" s="594"/>
    </row>
    <row r="6619" spans="16:16">
      <c r="P6619" s="594"/>
    </row>
    <row r="6620" spans="16:16">
      <c r="P6620" s="594"/>
    </row>
    <row r="6621" spans="16:16">
      <c r="P6621" s="594"/>
    </row>
    <row r="6622" spans="16:16">
      <c r="P6622" s="594"/>
    </row>
    <row r="6623" spans="16:16">
      <c r="P6623" s="594"/>
    </row>
    <row r="6624" spans="16:16">
      <c r="P6624" s="594"/>
    </row>
    <row r="6625" spans="16:16">
      <c r="P6625" s="594"/>
    </row>
    <row r="6626" spans="16:16">
      <c r="P6626" s="594"/>
    </row>
    <row r="6627" spans="16:16">
      <c r="P6627" s="594"/>
    </row>
    <row r="6628" spans="16:16">
      <c r="P6628" s="594"/>
    </row>
    <row r="6629" spans="16:16">
      <c r="P6629" s="594"/>
    </row>
    <row r="6630" spans="16:16">
      <c r="P6630" s="594"/>
    </row>
    <row r="6631" spans="16:16">
      <c r="P6631" s="594"/>
    </row>
    <row r="6632" spans="16:16">
      <c r="P6632" s="594"/>
    </row>
    <row r="6633" spans="16:16">
      <c r="P6633" s="594"/>
    </row>
    <row r="6634" spans="16:16">
      <c r="P6634" s="594"/>
    </row>
    <row r="6635" spans="16:16">
      <c r="P6635" s="594"/>
    </row>
    <row r="6636" spans="16:16">
      <c r="P6636" s="594"/>
    </row>
    <row r="6637" spans="16:16">
      <c r="P6637" s="594"/>
    </row>
    <row r="6638" spans="16:16">
      <c r="P6638" s="594"/>
    </row>
    <row r="6639" spans="16:16">
      <c r="P6639" s="594"/>
    </row>
    <row r="6640" spans="16:16">
      <c r="P6640" s="594"/>
    </row>
    <row r="6641" spans="16:16">
      <c r="P6641" s="594"/>
    </row>
    <row r="6642" spans="16:16">
      <c r="P6642" s="594"/>
    </row>
    <row r="6643" spans="16:16">
      <c r="P6643" s="594"/>
    </row>
    <row r="6644" spans="16:16">
      <c r="P6644" s="594"/>
    </row>
    <row r="6645" spans="16:16">
      <c r="P6645" s="594"/>
    </row>
    <row r="6646" spans="16:16">
      <c r="P6646" s="594"/>
    </row>
    <row r="6647" spans="16:16">
      <c r="P6647" s="594"/>
    </row>
    <row r="6648" spans="16:16">
      <c r="P6648" s="594"/>
    </row>
    <row r="6649" spans="16:16">
      <c r="P6649" s="594"/>
    </row>
    <row r="6650" spans="16:16">
      <c r="P6650" s="594"/>
    </row>
    <row r="6651" spans="16:16">
      <c r="P6651" s="594"/>
    </row>
    <row r="6652" spans="16:16">
      <c r="P6652" s="594"/>
    </row>
    <row r="6653" spans="16:16">
      <c r="P6653" s="594"/>
    </row>
    <row r="6654" spans="16:16">
      <c r="P6654" s="594"/>
    </row>
    <row r="6655" spans="16:16">
      <c r="P6655" s="594"/>
    </row>
    <row r="6656" spans="16:16">
      <c r="P6656" s="594"/>
    </row>
    <row r="6657" spans="16:16">
      <c r="P6657" s="594"/>
    </row>
    <row r="6658" spans="16:16">
      <c r="P6658" s="594"/>
    </row>
    <row r="6659" spans="16:16">
      <c r="P6659" s="594"/>
    </row>
    <row r="6660" spans="16:16">
      <c r="P6660" s="594"/>
    </row>
    <row r="6661" spans="16:16">
      <c r="P6661" s="594"/>
    </row>
    <row r="6662" spans="16:16">
      <c r="P6662" s="594"/>
    </row>
    <row r="6663" spans="16:16">
      <c r="P6663" s="594"/>
    </row>
    <row r="6664" spans="16:16">
      <c r="P6664" s="594"/>
    </row>
    <row r="6665" spans="16:16">
      <c r="P6665" s="594"/>
    </row>
    <row r="6666" spans="16:16">
      <c r="P6666" s="594"/>
    </row>
    <row r="6667" spans="16:16">
      <c r="P6667" s="594"/>
    </row>
    <row r="6668" spans="16:16">
      <c r="P6668" s="594"/>
    </row>
    <row r="6669" spans="16:16">
      <c r="P6669" s="594"/>
    </row>
    <row r="6670" spans="16:16">
      <c r="P6670" s="594"/>
    </row>
    <row r="6671" spans="16:16">
      <c r="P6671" s="594"/>
    </row>
    <row r="6672" spans="16:16">
      <c r="P6672" s="594"/>
    </row>
    <row r="6673" spans="16:16">
      <c r="P6673" s="594"/>
    </row>
    <row r="6674" spans="16:16">
      <c r="P6674" s="594"/>
    </row>
    <row r="6675" spans="16:16">
      <c r="P6675" s="594"/>
    </row>
    <row r="6676" spans="16:16">
      <c r="P6676" s="594"/>
    </row>
    <row r="6677" spans="16:16">
      <c r="P6677" s="594"/>
    </row>
    <row r="6678" spans="16:16">
      <c r="P6678" s="594"/>
    </row>
    <row r="6679" spans="16:16">
      <c r="P6679" s="594"/>
    </row>
    <row r="6680" spans="16:16">
      <c r="P6680" s="594"/>
    </row>
    <row r="6681" spans="16:16">
      <c r="P6681" s="594"/>
    </row>
    <row r="6682" spans="16:16">
      <c r="P6682" s="594"/>
    </row>
    <row r="6683" spans="16:16">
      <c r="P6683" s="594"/>
    </row>
    <row r="6684" spans="16:16">
      <c r="P6684" s="594"/>
    </row>
    <row r="6685" spans="16:16">
      <c r="P6685" s="594"/>
    </row>
    <row r="6686" spans="16:16">
      <c r="P6686" s="594"/>
    </row>
    <row r="6687" spans="16:16">
      <c r="P6687" s="594"/>
    </row>
    <row r="6688" spans="16:16">
      <c r="P6688" s="594"/>
    </row>
    <row r="6689" spans="16:16">
      <c r="P6689" s="594"/>
    </row>
    <row r="6690" spans="16:16">
      <c r="P6690" s="594"/>
    </row>
    <row r="6691" spans="16:16">
      <c r="P6691" s="594"/>
    </row>
    <row r="6692" spans="16:16">
      <c r="P6692" s="594"/>
    </row>
    <row r="6693" spans="16:16">
      <c r="P6693" s="594"/>
    </row>
    <row r="6694" spans="16:16">
      <c r="P6694" s="594"/>
    </row>
    <row r="6695" spans="16:16">
      <c r="P6695" s="594"/>
    </row>
    <row r="6696" spans="16:16">
      <c r="P6696" s="594"/>
    </row>
    <row r="6697" spans="16:16">
      <c r="P6697" s="594"/>
    </row>
    <row r="6698" spans="16:16">
      <c r="P6698" s="594"/>
    </row>
    <row r="6699" spans="16:16">
      <c r="P6699" s="594"/>
    </row>
    <row r="6700" spans="16:16">
      <c r="P6700" s="594"/>
    </row>
    <row r="6701" spans="16:16">
      <c r="P6701" s="594"/>
    </row>
    <row r="6702" spans="16:16">
      <c r="P6702" s="594"/>
    </row>
    <row r="6703" spans="16:16">
      <c r="P6703" s="594"/>
    </row>
    <row r="6704" spans="16:16">
      <c r="P6704" s="594"/>
    </row>
    <row r="6705" spans="16:16">
      <c r="P6705" s="594"/>
    </row>
    <row r="6706" spans="16:16">
      <c r="P6706" s="594"/>
    </row>
    <row r="6707" spans="16:16">
      <c r="P6707" s="594"/>
    </row>
    <row r="6708" spans="16:16">
      <c r="P6708" s="594"/>
    </row>
    <row r="6709" spans="16:16">
      <c r="P6709" s="594"/>
    </row>
    <row r="6710" spans="16:16">
      <c r="P6710" s="594"/>
    </row>
    <row r="6711" spans="16:16">
      <c r="P6711" s="594"/>
    </row>
    <row r="6712" spans="16:16">
      <c r="P6712" s="594"/>
    </row>
    <row r="6713" spans="16:16">
      <c r="P6713" s="594"/>
    </row>
    <row r="6714" spans="16:16">
      <c r="P6714" s="594"/>
    </row>
    <row r="6715" spans="16:16">
      <c r="P6715" s="594"/>
    </row>
    <row r="6716" spans="16:16">
      <c r="P6716" s="594"/>
    </row>
    <row r="6717" spans="16:16">
      <c r="P6717" s="594"/>
    </row>
    <row r="6718" spans="16:16">
      <c r="P6718" s="594"/>
    </row>
    <row r="6719" spans="16:16">
      <c r="P6719" s="594"/>
    </row>
    <row r="6720" spans="16:16">
      <c r="P6720" s="594"/>
    </row>
    <row r="6721" spans="16:16">
      <c r="P6721" s="594"/>
    </row>
    <row r="6722" spans="16:16">
      <c r="P6722" s="594"/>
    </row>
    <row r="6723" spans="16:16">
      <c r="P6723" s="594"/>
    </row>
    <row r="6724" spans="16:16">
      <c r="P6724" s="594"/>
    </row>
    <row r="6725" spans="16:16">
      <c r="P6725" s="594"/>
    </row>
    <row r="6726" spans="16:16">
      <c r="P6726" s="594"/>
    </row>
    <row r="6727" spans="16:16">
      <c r="P6727" s="594"/>
    </row>
    <row r="6728" spans="16:16">
      <c r="P6728" s="594"/>
    </row>
    <row r="6729" spans="16:16">
      <c r="P6729" s="594"/>
    </row>
    <row r="6730" spans="16:16">
      <c r="P6730" s="594"/>
    </row>
    <row r="6731" spans="16:16">
      <c r="P6731" s="594"/>
    </row>
    <row r="6732" spans="16:16">
      <c r="P6732" s="594"/>
    </row>
    <row r="6733" spans="16:16">
      <c r="P6733" s="594"/>
    </row>
    <row r="6734" spans="16:16">
      <c r="P6734" s="594"/>
    </row>
    <row r="6735" spans="16:16">
      <c r="P6735" s="594"/>
    </row>
    <row r="6736" spans="16:16">
      <c r="P6736" s="594"/>
    </row>
    <row r="6737" spans="16:16">
      <c r="P6737" s="594"/>
    </row>
    <row r="6738" spans="16:16">
      <c r="P6738" s="594"/>
    </row>
    <row r="6739" spans="16:16">
      <c r="P6739" s="594"/>
    </row>
    <row r="6740" spans="16:16">
      <c r="P6740" s="594"/>
    </row>
    <row r="6741" spans="16:16">
      <c r="P6741" s="594"/>
    </row>
    <row r="6742" spans="16:16">
      <c r="P6742" s="594"/>
    </row>
    <row r="6743" spans="16:16">
      <c r="P6743" s="594"/>
    </row>
    <row r="6744" spans="16:16">
      <c r="P6744" s="594"/>
    </row>
    <row r="6745" spans="16:16">
      <c r="P6745" s="594"/>
    </row>
    <row r="6746" spans="16:16">
      <c r="P6746" s="594"/>
    </row>
    <row r="6747" spans="16:16">
      <c r="P6747" s="594"/>
    </row>
    <row r="6748" spans="16:16">
      <c r="P6748" s="594"/>
    </row>
    <row r="6749" spans="16:16">
      <c r="P6749" s="594"/>
    </row>
    <row r="6750" spans="16:16">
      <c r="P6750" s="594"/>
    </row>
    <row r="6751" spans="16:16">
      <c r="P6751" s="594"/>
    </row>
    <row r="6752" spans="16:16">
      <c r="P6752" s="594"/>
    </row>
    <row r="6753" spans="16:16">
      <c r="P6753" s="594"/>
    </row>
    <row r="6754" spans="16:16">
      <c r="P6754" s="594"/>
    </row>
    <row r="6755" spans="16:16">
      <c r="P6755" s="594"/>
    </row>
    <row r="6756" spans="16:16">
      <c r="P6756" s="594"/>
    </row>
    <row r="6757" spans="16:16">
      <c r="P6757" s="594"/>
    </row>
    <row r="6758" spans="16:16">
      <c r="P6758" s="594"/>
    </row>
    <row r="6759" spans="16:16">
      <c r="P6759" s="594"/>
    </row>
    <row r="6760" spans="16:16">
      <c r="P6760" s="594"/>
    </row>
    <row r="6761" spans="16:16">
      <c r="P6761" s="594"/>
    </row>
    <row r="6762" spans="16:16">
      <c r="P6762" s="594"/>
    </row>
    <row r="6763" spans="16:16">
      <c r="P6763" s="594"/>
    </row>
    <row r="6764" spans="16:16">
      <c r="P6764" s="594"/>
    </row>
    <row r="6765" spans="16:16">
      <c r="P6765" s="594"/>
    </row>
    <row r="6766" spans="16:16">
      <c r="P6766" s="594"/>
    </row>
    <row r="6767" spans="16:16">
      <c r="P6767" s="594"/>
    </row>
    <row r="6768" spans="16:16">
      <c r="P6768" s="594"/>
    </row>
    <row r="6769" spans="16:16">
      <c r="P6769" s="594"/>
    </row>
    <row r="6770" spans="16:16">
      <c r="P6770" s="594"/>
    </row>
    <row r="6771" spans="16:16">
      <c r="P6771" s="594"/>
    </row>
    <row r="6772" spans="16:16">
      <c r="P6772" s="594"/>
    </row>
    <row r="6773" spans="16:16">
      <c r="P6773" s="594"/>
    </row>
    <row r="6774" spans="16:16">
      <c r="P6774" s="594"/>
    </row>
    <row r="6775" spans="16:16">
      <c r="P6775" s="594"/>
    </row>
    <row r="6776" spans="16:16">
      <c r="P6776" s="594"/>
    </row>
    <row r="6777" spans="16:16">
      <c r="P6777" s="594"/>
    </row>
    <row r="6778" spans="16:16">
      <c r="P6778" s="594"/>
    </row>
    <row r="6779" spans="16:16">
      <c r="P6779" s="594"/>
    </row>
    <row r="6780" spans="16:16">
      <c r="P6780" s="594"/>
    </row>
    <row r="6781" spans="16:16">
      <c r="P6781" s="594"/>
    </row>
    <row r="6782" spans="16:16">
      <c r="P6782" s="594"/>
    </row>
    <row r="6783" spans="16:16">
      <c r="P6783" s="594"/>
    </row>
    <row r="6784" spans="16:16">
      <c r="P6784" s="594"/>
    </row>
    <row r="6785" spans="16:16">
      <c r="P6785" s="594"/>
    </row>
    <row r="6786" spans="16:16">
      <c r="P6786" s="594"/>
    </row>
    <row r="6787" spans="16:16">
      <c r="P6787" s="594"/>
    </row>
    <row r="6788" spans="16:16">
      <c r="P6788" s="594"/>
    </row>
    <row r="6789" spans="16:16">
      <c r="P6789" s="594"/>
    </row>
    <row r="6790" spans="16:16">
      <c r="P6790" s="594"/>
    </row>
    <row r="6791" spans="16:16">
      <c r="P6791" s="594"/>
    </row>
    <row r="6792" spans="16:16">
      <c r="P6792" s="594"/>
    </row>
    <row r="6793" spans="16:16">
      <c r="P6793" s="594"/>
    </row>
    <row r="6794" spans="16:16">
      <c r="P6794" s="594"/>
    </row>
    <row r="6795" spans="16:16">
      <c r="P6795" s="594"/>
    </row>
    <row r="6796" spans="16:16">
      <c r="P6796" s="594"/>
    </row>
    <row r="6797" spans="16:16">
      <c r="P6797" s="594"/>
    </row>
    <row r="6798" spans="16:16">
      <c r="P6798" s="594"/>
    </row>
    <row r="6799" spans="16:16">
      <c r="P6799" s="594"/>
    </row>
    <row r="6800" spans="16:16">
      <c r="P6800" s="594"/>
    </row>
    <row r="6801" spans="16:16">
      <c r="P6801" s="594"/>
    </row>
    <row r="6802" spans="16:16">
      <c r="P6802" s="594"/>
    </row>
    <row r="6803" spans="16:16">
      <c r="P6803" s="594"/>
    </row>
    <row r="6804" spans="16:16">
      <c r="P6804" s="594"/>
    </row>
    <row r="6805" spans="16:16">
      <c r="P6805" s="594"/>
    </row>
    <row r="6806" spans="16:16">
      <c r="P6806" s="594"/>
    </row>
    <row r="6807" spans="16:16">
      <c r="P6807" s="594"/>
    </row>
    <row r="6808" spans="16:16">
      <c r="P6808" s="594"/>
    </row>
    <row r="6809" spans="16:16">
      <c r="P6809" s="594"/>
    </row>
    <row r="6810" spans="16:16">
      <c r="P6810" s="594"/>
    </row>
    <row r="6811" spans="16:16">
      <c r="P6811" s="594"/>
    </row>
    <row r="6812" spans="16:16">
      <c r="P6812" s="594"/>
    </row>
    <row r="6813" spans="16:16">
      <c r="P6813" s="594"/>
    </row>
    <row r="6814" spans="16:16">
      <c r="P6814" s="594"/>
    </row>
    <row r="6815" spans="16:16">
      <c r="P6815" s="594"/>
    </row>
    <row r="6816" spans="16:16">
      <c r="P6816" s="594"/>
    </row>
    <row r="6817" spans="16:16">
      <c r="P6817" s="594"/>
    </row>
    <row r="6818" spans="16:16">
      <c r="P6818" s="594"/>
    </row>
    <row r="6819" spans="16:16">
      <c r="P6819" s="594"/>
    </row>
    <row r="6820" spans="16:16">
      <c r="P6820" s="594"/>
    </row>
    <row r="6821" spans="16:16">
      <c r="P6821" s="594"/>
    </row>
    <row r="6822" spans="16:16">
      <c r="P6822" s="594"/>
    </row>
    <row r="6823" spans="16:16">
      <c r="P6823" s="594"/>
    </row>
    <row r="6824" spans="16:16">
      <c r="P6824" s="594"/>
    </row>
    <row r="6825" spans="16:16">
      <c r="P6825" s="594"/>
    </row>
    <row r="6826" spans="16:16">
      <c r="P6826" s="594"/>
    </row>
    <row r="6827" spans="16:16">
      <c r="P6827" s="594"/>
    </row>
    <row r="6828" spans="16:16">
      <c r="P6828" s="594"/>
    </row>
    <row r="6829" spans="16:16">
      <c r="P6829" s="594"/>
    </row>
    <row r="6830" spans="16:16">
      <c r="P6830" s="594"/>
    </row>
    <row r="6831" spans="16:16">
      <c r="P6831" s="594"/>
    </row>
    <row r="6832" spans="16:16">
      <c r="P6832" s="594"/>
    </row>
    <row r="6833" spans="16:16">
      <c r="P6833" s="594"/>
    </row>
    <row r="6834" spans="16:16">
      <c r="P6834" s="594"/>
    </row>
    <row r="6835" spans="16:16">
      <c r="P6835" s="594"/>
    </row>
    <row r="6836" spans="16:16">
      <c r="P6836" s="594"/>
    </row>
    <row r="6837" spans="16:16">
      <c r="P6837" s="594"/>
    </row>
    <row r="6838" spans="16:16">
      <c r="P6838" s="594"/>
    </row>
    <row r="6839" spans="16:16">
      <c r="P6839" s="594"/>
    </row>
    <row r="6840" spans="16:16">
      <c r="P6840" s="594"/>
    </row>
    <row r="6841" spans="16:16">
      <c r="P6841" s="594"/>
    </row>
    <row r="6842" spans="16:16">
      <c r="P6842" s="594"/>
    </row>
    <row r="6843" spans="16:16">
      <c r="P6843" s="594"/>
    </row>
    <row r="6844" spans="16:16">
      <c r="P6844" s="594"/>
    </row>
    <row r="6845" spans="16:16">
      <c r="P6845" s="594"/>
    </row>
    <row r="6846" spans="16:16">
      <c r="P6846" s="594"/>
    </row>
    <row r="6847" spans="16:16">
      <c r="P6847" s="594"/>
    </row>
    <row r="6848" spans="16:16">
      <c r="P6848" s="594"/>
    </row>
    <row r="6849" spans="16:16">
      <c r="P6849" s="594"/>
    </row>
    <row r="6850" spans="16:16">
      <c r="P6850" s="594"/>
    </row>
    <row r="6851" spans="16:16">
      <c r="P6851" s="594"/>
    </row>
    <row r="6852" spans="16:16">
      <c r="P6852" s="594"/>
    </row>
    <row r="6853" spans="16:16">
      <c r="P6853" s="594"/>
    </row>
    <row r="6854" spans="16:16">
      <c r="P6854" s="594"/>
    </row>
    <row r="6855" spans="16:16">
      <c r="P6855" s="594"/>
    </row>
    <row r="6856" spans="16:16">
      <c r="P6856" s="594"/>
    </row>
    <row r="6857" spans="16:16">
      <c r="P6857" s="594"/>
    </row>
    <row r="6858" spans="16:16">
      <c r="P6858" s="594"/>
    </row>
    <row r="6859" spans="16:16">
      <c r="P6859" s="594"/>
    </row>
    <row r="6860" spans="16:16">
      <c r="P6860" s="594"/>
    </row>
    <row r="6861" spans="16:16">
      <c r="P6861" s="594"/>
    </row>
    <row r="6862" spans="16:16">
      <c r="P6862" s="594"/>
    </row>
    <row r="6863" spans="16:16">
      <c r="P6863" s="594"/>
    </row>
    <row r="6864" spans="16:16">
      <c r="P6864" s="594"/>
    </row>
    <row r="6865" spans="16:16">
      <c r="P6865" s="594"/>
    </row>
    <row r="6866" spans="16:16">
      <c r="P6866" s="594"/>
    </row>
    <row r="6867" spans="16:16">
      <c r="P6867" s="594"/>
    </row>
    <row r="6868" spans="16:16">
      <c r="P6868" s="594"/>
    </row>
    <row r="6869" spans="16:16">
      <c r="P6869" s="594"/>
    </row>
    <row r="6870" spans="16:16">
      <c r="P6870" s="594"/>
    </row>
    <row r="6871" spans="16:16">
      <c r="P6871" s="594"/>
    </row>
    <row r="6872" spans="16:16">
      <c r="P6872" s="594"/>
    </row>
    <row r="6873" spans="16:16">
      <c r="P6873" s="594"/>
    </row>
    <row r="6874" spans="16:16">
      <c r="P6874" s="594"/>
    </row>
    <row r="6875" spans="16:16">
      <c r="P6875" s="594"/>
    </row>
    <row r="6876" spans="16:16">
      <c r="P6876" s="594"/>
    </row>
    <row r="6877" spans="16:16">
      <c r="P6877" s="594"/>
    </row>
    <row r="6878" spans="16:16">
      <c r="P6878" s="594"/>
    </row>
    <row r="6879" spans="16:16">
      <c r="P6879" s="594"/>
    </row>
    <row r="6880" spans="16:16">
      <c r="P6880" s="594"/>
    </row>
    <row r="6881" spans="16:16">
      <c r="P6881" s="594"/>
    </row>
    <row r="6882" spans="16:16">
      <c r="P6882" s="594"/>
    </row>
    <row r="6883" spans="16:16">
      <c r="P6883" s="594"/>
    </row>
    <row r="6884" spans="16:16">
      <c r="P6884" s="594"/>
    </row>
    <row r="6885" spans="16:16">
      <c r="P6885" s="594"/>
    </row>
    <row r="6886" spans="16:16">
      <c r="P6886" s="594"/>
    </row>
    <row r="6887" spans="16:16">
      <c r="P6887" s="594"/>
    </row>
    <row r="6888" spans="16:16">
      <c r="P6888" s="594"/>
    </row>
    <row r="6889" spans="16:16">
      <c r="P6889" s="594"/>
    </row>
    <row r="6890" spans="16:16">
      <c r="P6890" s="594"/>
    </row>
    <row r="6891" spans="16:16">
      <c r="P6891" s="594"/>
    </row>
    <row r="6892" spans="16:16">
      <c r="P6892" s="594"/>
    </row>
    <row r="6893" spans="16:16">
      <c r="P6893" s="594"/>
    </row>
    <row r="6894" spans="16:16">
      <c r="P6894" s="594"/>
    </row>
    <row r="6895" spans="16:16">
      <c r="P6895" s="594"/>
    </row>
    <row r="6896" spans="16:16">
      <c r="P6896" s="594"/>
    </row>
    <row r="6897" spans="16:16">
      <c r="P6897" s="594"/>
    </row>
    <row r="6898" spans="16:16">
      <c r="P6898" s="594"/>
    </row>
    <row r="6899" spans="16:16">
      <c r="P6899" s="594"/>
    </row>
    <row r="6900" spans="16:16">
      <c r="P6900" s="594"/>
    </row>
    <row r="6901" spans="16:16">
      <c r="P6901" s="594"/>
    </row>
    <row r="6902" spans="16:16">
      <c r="P6902" s="594"/>
    </row>
    <row r="6903" spans="16:16">
      <c r="P6903" s="594"/>
    </row>
    <row r="6904" spans="16:16">
      <c r="P6904" s="594"/>
    </row>
    <row r="6905" spans="16:16">
      <c r="P6905" s="594"/>
    </row>
    <row r="6906" spans="16:16">
      <c r="P6906" s="594"/>
    </row>
    <row r="6907" spans="16:16">
      <c r="P6907" s="594"/>
    </row>
    <row r="6908" spans="16:16">
      <c r="P6908" s="594"/>
    </row>
    <row r="6909" spans="16:16">
      <c r="P6909" s="594"/>
    </row>
    <row r="6910" spans="16:16">
      <c r="P6910" s="594"/>
    </row>
    <row r="6911" spans="16:16">
      <c r="P6911" s="594"/>
    </row>
    <row r="6912" spans="16:16">
      <c r="P6912" s="594"/>
    </row>
    <row r="6913" spans="16:16">
      <c r="P6913" s="594"/>
    </row>
    <row r="6914" spans="16:16">
      <c r="P6914" s="594"/>
    </row>
    <row r="6915" spans="16:16">
      <c r="P6915" s="594"/>
    </row>
    <row r="6916" spans="16:16">
      <c r="P6916" s="594"/>
    </row>
    <row r="6917" spans="16:16">
      <c r="P6917" s="594"/>
    </row>
    <row r="6918" spans="16:16">
      <c r="P6918" s="594"/>
    </row>
    <row r="6919" spans="16:16">
      <c r="P6919" s="594"/>
    </row>
    <row r="6920" spans="16:16">
      <c r="P6920" s="594"/>
    </row>
    <row r="6921" spans="16:16">
      <c r="P6921" s="594"/>
    </row>
    <row r="6922" spans="16:16">
      <c r="P6922" s="594"/>
    </row>
    <row r="6923" spans="16:16">
      <c r="P6923" s="594"/>
    </row>
    <row r="6924" spans="16:16">
      <c r="P6924" s="594"/>
    </row>
    <row r="6925" spans="16:16">
      <c r="P6925" s="594"/>
    </row>
    <row r="6926" spans="16:16">
      <c r="P6926" s="594"/>
    </row>
    <row r="6927" spans="16:16">
      <c r="P6927" s="594"/>
    </row>
    <row r="6928" spans="16:16">
      <c r="P6928" s="594"/>
    </row>
    <row r="6929" spans="16:16">
      <c r="P6929" s="594"/>
    </row>
    <row r="6930" spans="16:16">
      <c r="P6930" s="594"/>
    </row>
    <row r="6931" spans="16:16">
      <c r="P6931" s="594"/>
    </row>
    <row r="6932" spans="16:16">
      <c r="P6932" s="594"/>
    </row>
    <row r="6933" spans="16:16">
      <c r="P6933" s="594"/>
    </row>
    <row r="6934" spans="16:16">
      <c r="P6934" s="594"/>
    </row>
    <row r="6935" spans="16:16">
      <c r="P6935" s="594"/>
    </row>
    <row r="6936" spans="16:16">
      <c r="P6936" s="594"/>
    </row>
    <row r="6937" spans="16:16">
      <c r="P6937" s="594"/>
    </row>
    <row r="6938" spans="16:16">
      <c r="P6938" s="594"/>
    </row>
    <row r="6939" spans="16:16">
      <c r="P6939" s="594"/>
    </row>
    <row r="6940" spans="16:16">
      <c r="P6940" s="594"/>
    </row>
    <row r="6941" spans="16:16">
      <c r="P6941" s="594"/>
    </row>
    <row r="6942" spans="16:16">
      <c r="P6942" s="594"/>
    </row>
    <row r="6943" spans="16:16">
      <c r="P6943" s="594"/>
    </row>
    <row r="6944" spans="16:16">
      <c r="P6944" s="594"/>
    </row>
    <row r="6945" spans="16:16">
      <c r="P6945" s="594"/>
    </row>
    <row r="6946" spans="16:16">
      <c r="P6946" s="594"/>
    </row>
    <row r="6947" spans="16:16">
      <c r="P6947" s="594"/>
    </row>
    <row r="6948" spans="16:16">
      <c r="P6948" s="594"/>
    </row>
    <row r="6949" spans="16:16">
      <c r="P6949" s="594"/>
    </row>
    <row r="6950" spans="16:16">
      <c r="P6950" s="594"/>
    </row>
    <row r="6951" spans="16:16">
      <c r="P6951" s="594"/>
    </row>
    <row r="6952" spans="16:16">
      <c r="P6952" s="594"/>
    </row>
    <row r="6953" spans="16:16">
      <c r="P6953" s="594"/>
    </row>
    <row r="6954" spans="16:16">
      <c r="P6954" s="594"/>
    </row>
    <row r="6955" spans="16:16">
      <c r="P6955" s="594"/>
    </row>
    <row r="6956" spans="16:16">
      <c r="P6956" s="594"/>
    </row>
    <row r="6957" spans="16:16">
      <c r="P6957" s="594"/>
    </row>
    <row r="6958" spans="16:16">
      <c r="P6958" s="594"/>
    </row>
    <row r="6959" spans="16:16">
      <c r="P6959" s="594"/>
    </row>
    <row r="6960" spans="16:16">
      <c r="P6960" s="594"/>
    </row>
    <row r="6961" spans="16:16">
      <c r="P6961" s="594"/>
    </row>
    <row r="6962" spans="16:16">
      <c r="P6962" s="594"/>
    </row>
    <row r="6963" spans="16:16">
      <c r="P6963" s="594"/>
    </row>
    <row r="6964" spans="16:16">
      <c r="P6964" s="594"/>
    </row>
    <row r="6965" spans="16:16">
      <c r="P6965" s="594"/>
    </row>
    <row r="6966" spans="16:16">
      <c r="P6966" s="594"/>
    </row>
    <row r="6967" spans="16:16">
      <c r="P6967" s="594"/>
    </row>
    <row r="6968" spans="16:16">
      <c r="P6968" s="594"/>
    </row>
    <row r="6969" spans="16:16">
      <c r="P6969" s="594"/>
    </row>
    <row r="6970" spans="16:16">
      <c r="P6970" s="594"/>
    </row>
    <row r="6971" spans="16:16">
      <c r="P6971" s="594"/>
    </row>
    <row r="6972" spans="16:16">
      <c r="P6972" s="594"/>
    </row>
    <row r="6973" spans="16:16">
      <c r="P6973" s="594"/>
    </row>
    <row r="6974" spans="16:16">
      <c r="P6974" s="594"/>
    </row>
    <row r="6975" spans="16:16">
      <c r="P6975" s="594"/>
    </row>
    <row r="6976" spans="16:16">
      <c r="P6976" s="594"/>
    </row>
    <row r="6977" spans="16:16">
      <c r="P6977" s="594"/>
    </row>
    <row r="6978" spans="16:16">
      <c r="P6978" s="594"/>
    </row>
    <row r="6979" spans="16:16">
      <c r="P6979" s="594"/>
    </row>
    <row r="6980" spans="16:16">
      <c r="P6980" s="594"/>
    </row>
    <row r="6981" spans="16:16">
      <c r="P6981" s="594"/>
    </row>
    <row r="6982" spans="16:16">
      <c r="P6982" s="594"/>
    </row>
    <row r="6983" spans="16:16">
      <c r="P6983" s="594"/>
    </row>
    <row r="6984" spans="16:16">
      <c r="P6984" s="594"/>
    </row>
    <row r="6985" spans="16:16">
      <c r="P6985" s="594"/>
    </row>
    <row r="6986" spans="16:16">
      <c r="P6986" s="594"/>
    </row>
    <row r="6987" spans="16:16">
      <c r="P6987" s="594"/>
    </row>
    <row r="6988" spans="16:16">
      <c r="P6988" s="594"/>
    </row>
    <row r="6989" spans="16:16">
      <c r="P6989" s="594"/>
    </row>
    <row r="6990" spans="16:16">
      <c r="P6990" s="594"/>
    </row>
    <row r="6991" spans="16:16">
      <c r="P6991" s="594"/>
    </row>
    <row r="6992" spans="16:16">
      <c r="P6992" s="594"/>
    </row>
    <row r="6993" spans="16:16">
      <c r="P6993" s="594"/>
    </row>
    <row r="6994" spans="16:16">
      <c r="P6994" s="594"/>
    </row>
    <row r="6995" spans="16:16">
      <c r="P6995" s="594"/>
    </row>
    <row r="6996" spans="16:16">
      <c r="P6996" s="594"/>
    </row>
    <row r="6997" spans="16:16">
      <c r="P6997" s="594"/>
    </row>
    <row r="6998" spans="16:16">
      <c r="P6998" s="594"/>
    </row>
    <row r="6999" spans="16:16">
      <c r="P6999" s="594"/>
    </row>
    <row r="7000" spans="16:16">
      <c r="P7000" s="594"/>
    </row>
    <row r="7001" spans="16:16">
      <c r="P7001" s="594"/>
    </row>
    <row r="7002" spans="16:16">
      <c r="P7002" s="594"/>
    </row>
    <row r="7003" spans="16:16">
      <c r="P7003" s="594"/>
    </row>
    <row r="7004" spans="16:16">
      <c r="P7004" s="594"/>
    </row>
    <row r="7005" spans="16:16">
      <c r="P7005" s="594"/>
    </row>
    <row r="7006" spans="16:16">
      <c r="P7006" s="594"/>
    </row>
    <row r="7007" spans="16:16">
      <c r="P7007" s="594"/>
    </row>
    <row r="7008" spans="16:16">
      <c r="P7008" s="594"/>
    </row>
    <row r="7009" spans="16:16">
      <c r="P7009" s="594"/>
    </row>
    <row r="7010" spans="16:16">
      <c r="P7010" s="594"/>
    </row>
    <row r="7011" spans="16:16">
      <c r="P7011" s="594"/>
    </row>
    <row r="7012" spans="16:16">
      <c r="P7012" s="594"/>
    </row>
    <row r="7013" spans="16:16">
      <c r="P7013" s="594"/>
    </row>
    <row r="7014" spans="16:16">
      <c r="P7014" s="594"/>
    </row>
    <row r="7015" spans="16:16">
      <c r="P7015" s="594"/>
    </row>
    <row r="7016" spans="16:16">
      <c r="P7016" s="594"/>
    </row>
    <row r="7017" spans="16:16">
      <c r="P7017" s="594"/>
    </row>
    <row r="7018" spans="16:16">
      <c r="P7018" s="594"/>
    </row>
    <row r="7019" spans="16:16">
      <c r="P7019" s="594"/>
    </row>
    <row r="7020" spans="16:16">
      <c r="P7020" s="594"/>
    </row>
    <row r="7021" spans="16:16">
      <c r="P7021" s="594"/>
    </row>
    <row r="7022" spans="16:16">
      <c r="P7022" s="594"/>
    </row>
    <row r="7023" spans="16:16">
      <c r="P7023" s="594"/>
    </row>
    <row r="7024" spans="16:16">
      <c r="P7024" s="594"/>
    </row>
    <row r="7025" spans="16:16">
      <c r="P7025" s="594"/>
    </row>
    <row r="7026" spans="16:16">
      <c r="P7026" s="594"/>
    </row>
    <row r="7027" spans="16:16">
      <c r="P7027" s="594"/>
    </row>
    <row r="7028" spans="16:16">
      <c r="P7028" s="594"/>
    </row>
    <row r="7029" spans="16:16">
      <c r="P7029" s="594"/>
    </row>
    <row r="7030" spans="16:16">
      <c r="P7030" s="594"/>
    </row>
    <row r="7031" spans="16:16">
      <c r="P7031" s="594"/>
    </row>
    <row r="7032" spans="16:16">
      <c r="P7032" s="594"/>
    </row>
    <row r="7033" spans="16:16">
      <c r="P7033" s="594"/>
    </row>
    <row r="7034" spans="16:16">
      <c r="P7034" s="594"/>
    </row>
    <row r="7035" spans="16:16">
      <c r="P7035" s="594"/>
    </row>
    <row r="7036" spans="16:16">
      <c r="P7036" s="594"/>
    </row>
    <row r="7037" spans="16:16">
      <c r="P7037" s="594"/>
    </row>
    <row r="7038" spans="16:16">
      <c r="P7038" s="594"/>
    </row>
    <row r="7039" spans="16:16">
      <c r="P7039" s="594"/>
    </row>
    <row r="7040" spans="16:16">
      <c r="P7040" s="594"/>
    </row>
    <row r="7041" spans="16:16">
      <c r="P7041" s="594"/>
    </row>
    <row r="7042" spans="16:16">
      <c r="P7042" s="594"/>
    </row>
    <row r="7043" spans="16:16">
      <c r="P7043" s="594"/>
    </row>
    <row r="7044" spans="16:16">
      <c r="P7044" s="594"/>
    </row>
    <row r="7045" spans="16:16">
      <c r="P7045" s="594"/>
    </row>
    <row r="7046" spans="16:16">
      <c r="P7046" s="594"/>
    </row>
    <row r="7047" spans="16:16">
      <c r="P7047" s="594"/>
    </row>
    <row r="7048" spans="16:16">
      <c r="P7048" s="594"/>
    </row>
    <row r="7049" spans="16:16">
      <c r="P7049" s="594"/>
    </row>
    <row r="7050" spans="16:16">
      <c r="P7050" s="594"/>
    </row>
    <row r="7051" spans="16:16">
      <c r="P7051" s="594"/>
    </row>
    <row r="7052" spans="16:16">
      <c r="P7052" s="594"/>
    </row>
    <row r="7053" spans="16:16">
      <c r="P7053" s="594"/>
    </row>
    <row r="7054" spans="16:16">
      <c r="P7054" s="594"/>
    </row>
    <row r="7055" spans="16:16">
      <c r="P7055" s="594"/>
    </row>
    <row r="7056" spans="16:16">
      <c r="P7056" s="594"/>
    </row>
    <row r="7057" spans="16:16">
      <c r="P7057" s="594"/>
    </row>
    <row r="7058" spans="16:16">
      <c r="P7058" s="594"/>
    </row>
    <row r="7059" spans="16:16">
      <c r="P7059" s="594"/>
    </row>
    <row r="7060" spans="16:16">
      <c r="P7060" s="594"/>
    </row>
    <row r="7061" spans="16:16">
      <c r="P7061" s="594"/>
    </row>
    <row r="7062" spans="16:16">
      <c r="P7062" s="594"/>
    </row>
    <row r="7063" spans="16:16">
      <c r="P7063" s="594"/>
    </row>
    <row r="7064" spans="16:16">
      <c r="P7064" s="594"/>
    </row>
    <row r="7065" spans="16:16">
      <c r="P7065" s="594"/>
    </row>
    <row r="7066" spans="16:16">
      <c r="P7066" s="594"/>
    </row>
    <row r="7067" spans="16:16">
      <c r="P7067" s="594"/>
    </row>
    <row r="7068" spans="16:16">
      <c r="P7068" s="594"/>
    </row>
    <row r="7069" spans="16:16">
      <c r="P7069" s="594"/>
    </row>
    <row r="7070" spans="16:16">
      <c r="P7070" s="594"/>
    </row>
    <row r="7071" spans="16:16">
      <c r="P7071" s="594"/>
    </row>
    <row r="7072" spans="16:16">
      <c r="P7072" s="594"/>
    </row>
    <row r="7073" spans="16:16">
      <c r="P7073" s="594"/>
    </row>
    <row r="7074" spans="16:16">
      <c r="P7074" s="594"/>
    </row>
    <row r="7075" spans="16:16">
      <c r="P7075" s="594"/>
    </row>
    <row r="7076" spans="16:16">
      <c r="P7076" s="594"/>
    </row>
    <row r="7077" spans="16:16">
      <c r="P7077" s="594"/>
    </row>
    <row r="7078" spans="16:16">
      <c r="P7078" s="594"/>
    </row>
    <row r="7079" spans="16:16">
      <c r="P7079" s="594"/>
    </row>
    <row r="7080" spans="16:16">
      <c r="P7080" s="594"/>
    </row>
    <row r="7081" spans="16:16">
      <c r="P7081" s="594"/>
    </row>
    <row r="7082" spans="16:16">
      <c r="P7082" s="594"/>
    </row>
    <row r="7083" spans="16:16">
      <c r="P7083" s="594"/>
    </row>
    <row r="7084" spans="16:16">
      <c r="P7084" s="594"/>
    </row>
    <row r="7085" spans="16:16">
      <c r="P7085" s="594"/>
    </row>
    <row r="7086" spans="16:16">
      <c r="P7086" s="594"/>
    </row>
    <row r="7087" spans="16:16">
      <c r="P7087" s="594"/>
    </row>
    <row r="7088" spans="16:16">
      <c r="P7088" s="594"/>
    </row>
    <row r="7089" spans="16:16">
      <c r="P7089" s="594"/>
    </row>
    <row r="7090" spans="16:16">
      <c r="P7090" s="594"/>
    </row>
    <row r="7091" spans="16:16">
      <c r="P7091" s="594"/>
    </row>
    <row r="7092" spans="16:16">
      <c r="P7092" s="594"/>
    </row>
    <row r="7093" spans="16:16">
      <c r="P7093" s="594"/>
    </row>
    <row r="7094" spans="16:16">
      <c r="P7094" s="594"/>
    </row>
    <row r="7095" spans="16:16">
      <c r="P7095" s="594"/>
    </row>
    <row r="7096" spans="16:16">
      <c r="P7096" s="594"/>
    </row>
    <row r="7097" spans="16:16">
      <c r="P7097" s="594"/>
    </row>
    <row r="7098" spans="16:16">
      <c r="P7098" s="594"/>
    </row>
    <row r="7099" spans="16:16">
      <c r="P7099" s="594"/>
    </row>
    <row r="7100" spans="16:16">
      <c r="P7100" s="594"/>
    </row>
    <row r="7101" spans="16:16">
      <c r="P7101" s="594"/>
    </row>
    <row r="7102" spans="16:16">
      <c r="P7102" s="594"/>
    </row>
    <row r="7103" spans="16:16">
      <c r="P7103" s="594"/>
    </row>
    <row r="7104" spans="16:16">
      <c r="P7104" s="594"/>
    </row>
    <row r="7105" spans="16:16">
      <c r="P7105" s="594"/>
    </row>
    <row r="7106" spans="16:16">
      <c r="P7106" s="594"/>
    </row>
    <row r="7107" spans="16:16">
      <c r="P7107" s="594"/>
    </row>
    <row r="7108" spans="16:16">
      <c r="P7108" s="594"/>
    </row>
    <row r="7109" spans="16:16">
      <c r="P7109" s="594"/>
    </row>
    <row r="7110" spans="16:16">
      <c r="P7110" s="594"/>
    </row>
    <row r="7111" spans="16:16">
      <c r="P7111" s="594"/>
    </row>
    <row r="7112" spans="16:16">
      <c r="P7112" s="594"/>
    </row>
    <row r="7113" spans="16:16">
      <c r="P7113" s="594"/>
    </row>
    <row r="7114" spans="16:16">
      <c r="P7114" s="594"/>
    </row>
    <row r="7115" spans="16:16">
      <c r="P7115" s="594"/>
    </row>
    <row r="7116" spans="16:16">
      <c r="P7116" s="594"/>
    </row>
    <row r="7117" spans="16:16">
      <c r="P7117" s="594"/>
    </row>
    <row r="7118" spans="16:16">
      <c r="P7118" s="594"/>
    </row>
    <row r="7119" spans="16:16">
      <c r="P7119" s="594"/>
    </row>
    <row r="7120" spans="16:16">
      <c r="P7120" s="594"/>
    </row>
    <row r="7121" spans="16:16">
      <c r="P7121" s="594"/>
    </row>
    <row r="7122" spans="16:16">
      <c r="P7122" s="594"/>
    </row>
    <row r="7123" spans="16:16">
      <c r="P7123" s="594"/>
    </row>
    <row r="7124" spans="16:16">
      <c r="P7124" s="594"/>
    </row>
    <row r="7125" spans="16:16">
      <c r="P7125" s="594"/>
    </row>
    <row r="7126" spans="16:16">
      <c r="P7126" s="594"/>
    </row>
    <row r="7127" spans="16:16">
      <c r="P7127" s="594"/>
    </row>
    <row r="7128" spans="16:16">
      <c r="P7128" s="594"/>
    </row>
    <row r="7129" spans="16:16">
      <c r="P7129" s="594"/>
    </row>
    <row r="7130" spans="16:16">
      <c r="P7130" s="594"/>
    </row>
    <row r="7131" spans="16:16">
      <c r="P7131" s="594"/>
    </row>
    <row r="7132" spans="16:16">
      <c r="P7132" s="594"/>
    </row>
    <row r="7133" spans="16:16">
      <c r="P7133" s="594"/>
    </row>
    <row r="7134" spans="16:16">
      <c r="P7134" s="594"/>
    </row>
    <row r="7135" spans="16:16">
      <c r="P7135" s="594"/>
    </row>
    <row r="7136" spans="16:16">
      <c r="P7136" s="594"/>
    </row>
    <row r="7137" spans="16:16">
      <c r="P7137" s="594"/>
    </row>
    <row r="7138" spans="16:16">
      <c r="P7138" s="594"/>
    </row>
    <row r="7139" spans="16:16">
      <c r="P7139" s="594"/>
    </row>
    <row r="7140" spans="16:16">
      <c r="P7140" s="594"/>
    </row>
    <row r="7141" spans="16:16">
      <c r="P7141" s="594"/>
    </row>
    <row r="7142" spans="16:16">
      <c r="P7142" s="594"/>
    </row>
    <row r="7143" spans="16:16">
      <c r="P7143" s="594"/>
    </row>
    <row r="7144" spans="16:16">
      <c r="P7144" s="594"/>
    </row>
    <row r="7145" spans="16:16">
      <c r="P7145" s="594"/>
    </row>
    <row r="7146" spans="16:16">
      <c r="P7146" s="594"/>
    </row>
    <row r="7147" spans="16:16">
      <c r="P7147" s="594"/>
    </row>
    <row r="7148" spans="16:16">
      <c r="P7148" s="594"/>
    </row>
    <row r="7149" spans="16:16">
      <c r="P7149" s="594"/>
    </row>
    <row r="7150" spans="16:16">
      <c r="P7150" s="594"/>
    </row>
    <row r="7151" spans="16:16">
      <c r="P7151" s="594"/>
    </row>
    <row r="7152" spans="16:16">
      <c r="P7152" s="594"/>
    </row>
    <row r="7153" spans="16:16">
      <c r="P7153" s="594"/>
    </row>
    <row r="7154" spans="16:16">
      <c r="P7154" s="594"/>
    </row>
    <row r="7155" spans="16:16">
      <c r="P7155" s="594"/>
    </row>
    <row r="7156" spans="16:16">
      <c r="P7156" s="594"/>
    </row>
    <row r="7157" spans="16:16">
      <c r="P7157" s="594"/>
    </row>
    <row r="7158" spans="16:16">
      <c r="P7158" s="594"/>
    </row>
    <row r="7159" spans="16:16">
      <c r="P7159" s="594"/>
    </row>
    <row r="7160" spans="16:16">
      <c r="P7160" s="594"/>
    </row>
    <row r="7161" spans="16:16">
      <c r="P7161" s="594"/>
    </row>
    <row r="7162" spans="16:16">
      <c r="P7162" s="594"/>
    </row>
    <row r="7163" spans="16:16">
      <c r="P7163" s="594"/>
    </row>
    <row r="7164" spans="16:16">
      <c r="P7164" s="594"/>
    </row>
    <row r="7165" spans="16:16">
      <c r="P7165" s="594"/>
    </row>
    <row r="7166" spans="16:16">
      <c r="P7166" s="594"/>
    </row>
    <row r="7167" spans="16:16">
      <c r="P7167" s="594"/>
    </row>
    <row r="7168" spans="16:16">
      <c r="P7168" s="594"/>
    </row>
    <row r="7169" spans="16:16">
      <c r="P7169" s="594"/>
    </row>
    <row r="7170" spans="16:16">
      <c r="P7170" s="594"/>
    </row>
    <row r="7171" spans="16:16">
      <c r="P7171" s="594"/>
    </row>
    <row r="7172" spans="16:16">
      <c r="P7172" s="594"/>
    </row>
    <row r="7173" spans="16:16">
      <c r="P7173" s="594"/>
    </row>
    <row r="7174" spans="16:16">
      <c r="P7174" s="594"/>
    </row>
    <row r="7175" spans="16:16">
      <c r="P7175" s="594"/>
    </row>
    <row r="7176" spans="16:16">
      <c r="P7176" s="594"/>
    </row>
    <row r="7177" spans="16:16">
      <c r="P7177" s="594"/>
    </row>
    <row r="7178" spans="16:16">
      <c r="P7178" s="594"/>
    </row>
    <row r="7179" spans="16:16">
      <c r="P7179" s="594"/>
    </row>
    <row r="7180" spans="16:16">
      <c r="P7180" s="594"/>
    </row>
    <row r="7181" spans="16:16">
      <c r="P7181" s="594"/>
    </row>
    <row r="7182" spans="16:16">
      <c r="P7182" s="594"/>
    </row>
    <row r="7183" spans="16:16">
      <c r="P7183" s="594"/>
    </row>
    <row r="7184" spans="16:16">
      <c r="P7184" s="594"/>
    </row>
    <row r="7185" spans="16:16">
      <c r="P7185" s="594"/>
    </row>
    <row r="7186" spans="16:16">
      <c r="P7186" s="594"/>
    </row>
    <row r="7187" spans="16:16">
      <c r="P7187" s="594"/>
    </row>
    <row r="7188" spans="16:16">
      <c r="P7188" s="594"/>
    </row>
    <row r="7189" spans="16:16">
      <c r="P7189" s="594"/>
    </row>
    <row r="7190" spans="16:16">
      <c r="P7190" s="594"/>
    </row>
    <row r="7191" spans="16:16">
      <c r="P7191" s="594"/>
    </row>
    <row r="7192" spans="16:16">
      <c r="P7192" s="594"/>
    </row>
    <row r="7193" spans="16:16">
      <c r="P7193" s="594"/>
    </row>
    <row r="7194" spans="16:16">
      <c r="P7194" s="594"/>
    </row>
    <row r="7195" spans="16:16">
      <c r="P7195" s="594"/>
    </row>
    <row r="7196" spans="16:16">
      <c r="P7196" s="594"/>
    </row>
    <row r="7197" spans="16:16">
      <c r="P7197" s="594"/>
    </row>
    <row r="7198" spans="16:16">
      <c r="P7198" s="594"/>
    </row>
    <row r="7199" spans="16:16">
      <c r="P7199" s="594"/>
    </row>
    <row r="7200" spans="16:16">
      <c r="P7200" s="594"/>
    </row>
    <row r="7201" spans="16:16">
      <c r="P7201" s="594"/>
    </row>
    <row r="7202" spans="16:16">
      <c r="P7202" s="594"/>
    </row>
    <row r="7203" spans="16:16">
      <c r="P7203" s="594"/>
    </row>
    <row r="7204" spans="16:16">
      <c r="P7204" s="594"/>
    </row>
    <row r="7205" spans="16:16">
      <c r="P7205" s="594"/>
    </row>
    <row r="7206" spans="16:16">
      <c r="P7206" s="594"/>
    </row>
    <row r="7207" spans="16:16">
      <c r="P7207" s="594"/>
    </row>
    <row r="7208" spans="16:16">
      <c r="P7208" s="594"/>
    </row>
    <row r="7209" spans="16:16">
      <c r="P7209" s="594"/>
    </row>
    <row r="7210" spans="16:16">
      <c r="P7210" s="594"/>
    </row>
    <row r="7211" spans="16:16">
      <c r="P7211" s="594"/>
    </row>
    <row r="7212" spans="16:16">
      <c r="P7212" s="594"/>
    </row>
    <row r="7213" spans="16:16">
      <c r="P7213" s="594"/>
    </row>
    <row r="7214" spans="16:16">
      <c r="P7214" s="594"/>
    </row>
    <row r="7215" spans="16:16">
      <c r="P7215" s="594"/>
    </row>
    <row r="7216" spans="16:16">
      <c r="P7216" s="594"/>
    </row>
    <row r="7217" spans="16:16">
      <c r="P7217" s="594"/>
    </row>
    <row r="7218" spans="16:16">
      <c r="P7218" s="594"/>
    </row>
    <row r="7219" spans="16:16">
      <c r="P7219" s="594"/>
    </row>
    <row r="7220" spans="16:16">
      <c r="P7220" s="594"/>
    </row>
    <row r="7221" spans="16:16">
      <c r="P7221" s="594"/>
    </row>
    <row r="7222" spans="16:16">
      <c r="P7222" s="594"/>
    </row>
    <row r="7223" spans="16:16">
      <c r="P7223" s="594"/>
    </row>
    <row r="7224" spans="16:16">
      <c r="P7224" s="594"/>
    </row>
    <row r="7225" spans="16:16">
      <c r="P7225" s="594"/>
    </row>
    <row r="7226" spans="16:16">
      <c r="P7226" s="594"/>
    </row>
    <row r="7227" spans="16:16">
      <c r="P7227" s="594"/>
    </row>
    <row r="7228" spans="16:16">
      <c r="P7228" s="594"/>
    </row>
    <row r="7229" spans="16:16">
      <c r="P7229" s="594"/>
    </row>
    <row r="7230" spans="16:16">
      <c r="P7230" s="594"/>
    </row>
    <row r="7231" spans="16:16">
      <c r="P7231" s="594"/>
    </row>
    <row r="7232" spans="16:16">
      <c r="P7232" s="594"/>
    </row>
    <row r="7233" spans="16:16">
      <c r="P7233" s="594"/>
    </row>
    <row r="7234" spans="16:16">
      <c r="P7234" s="594"/>
    </row>
    <row r="7235" spans="16:16">
      <c r="P7235" s="594"/>
    </row>
    <row r="7236" spans="16:16">
      <c r="P7236" s="594"/>
    </row>
    <row r="7237" spans="16:16">
      <c r="P7237" s="594"/>
    </row>
    <row r="7238" spans="16:16">
      <c r="P7238" s="594"/>
    </row>
    <row r="7239" spans="16:16">
      <c r="P7239" s="594"/>
    </row>
    <row r="7240" spans="16:16">
      <c r="P7240" s="594"/>
    </row>
    <row r="7241" spans="16:16">
      <c r="P7241" s="594"/>
    </row>
    <row r="7242" spans="16:16">
      <c r="P7242" s="594"/>
    </row>
    <row r="7243" spans="16:16">
      <c r="P7243" s="594"/>
    </row>
    <row r="7244" spans="16:16">
      <c r="P7244" s="594"/>
    </row>
    <row r="7245" spans="16:16">
      <c r="P7245" s="594"/>
    </row>
    <row r="7246" spans="16:16">
      <c r="P7246" s="594"/>
    </row>
    <row r="7247" spans="16:16">
      <c r="P7247" s="594"/>
    </row>
    <row r="7248" spans="16:16">
      <c r="P7248" s="594"/>
    </row>
    <row r="7249" spans="16:16">
      <c r="P7249" s="594"/>
    </row>
    <row r="7250" spans="16:16">
      <c r="P7250" s="594"/>
    </row>
    <row r="7251" spans="16:16">
      <c r="P7251" s="594"/>
    </row>
    <row r="7252" spans="16:16">
      <c r="P7252" s="594"/>
    </row>
    <row r="7253" spans="16:16">
      <c r="P7253" s="594"/>
    </row>
    <row r="7254" spans="16:16">
      <c r="P7254" s="594"/>
    </row>
    <row r="7255" spans="16:16">
      <c r="P7255" s="594"/>
    </row>
    <row r="7256" spans="16:16">
      <c r="P7256" s="594"/>
    </row>
    <row r="7257" spans="16:16">
      <c r="P7257" s="594"/>
    </row>
    <row r="7258" spans="16:16">
      <c r="P7258" s="594"/>
    </row>
    <row r="7259" spans="16:16">
      <c r="P7259" s="594"/>
    </row>
    <row r="7260" spans="16:16">
      <c r="P7260" s="594"/>
    </row>
    <row r="7261" spans="16:16">
      <c r="P7261" s="594"/>
    </row>
    <row r="7262" spans="16:16">
      <c r="P7262" s="594"/>
    </row>
    <row r="7263" spans="16:16">
      <c r="P7263" s="594"/>
    </row>
    <row r="7264" spans="16:16">
      <c r="P7264" s="594"/>
    </row>
    <row r="7265" spans="16:16">
      <c r="P7265" s="594"/>
    </row>
    <row r="7266" spans="16:16">
      <c r="P7266" s="594"/>
    </row>
    <row r="7267" spans="16:16">
      <c r="P7267" s="594"/>
    </row>
    <row r="7268" spans="16:16">
      <c r="P7268" s="594"/>
    </row>
    <row r="7269" spans="16:16">
      <c r="P7269" s="594"/>
    </row>
    <row r="7270" spans="16:16">
      <c r="P7270" s="594"/>
    </row>
    <row r="7271" spans="16:16">
      <c r="P7271" s="594"/>
    </row>
    <row r="7272" spans="16:16">
      <c r="P7272" s="594"/>
    </row>
    <row r="7273" spans="16:16">
      <c r="P7273" s="594"/>
    </row>
    <row r="7274" spans="16:16">
      <c r="P7274" s="594"/>
    </row>
    <row r="7275" spans="16:16">
      <c r="P7275" s="594"/>
    </row>
    <row r="7276" spans="16:16">
      <c r="P7276" s="594"/>
    </row>
    <row r="7277" spans="16:16">
      <c r="P7277" s="594"/>
    </row>
    <row r="7278" spans="16:16">
      <c r="P7278" s="594"/>
    </row>
    <row r="7279" spans="16:16">
      <c r="P7279" s="594"/>
    </row>
    <row r="7280" spans="16:16">
      <c r="P7280" s="594"/>
    </row>
    <row r="7281" spans="16:16">
      <c r="P7281" s="594"/>
    </row>
    <row r="7282" spans="16:16">
      <c r="P7282" s="594"/>
    </row>
    <row r="7283" spans="16:16">
      <c r="P7283" s="594"/>
    </row>
    <row r="7284" spans="16:16">
      <c r="P7284" s="594"/>
    </row>
    <row r="7285" spans="16:16">
      <c r="P7285" s="594"/>
    </row>
    <row r="7286" spans="16:16">
      <c r="P7286" s="594"/>
    </row>
    <row r="7287" spans="16:16">
      <c r="P7287" s="594"/>
    </row>
    <row r="7288" spans="16:16">
      <c r="P7288" s="594"/>
    </row>
    <row r="7289" spans="16:16">
      <c r="P7289" s="594"/>
    </row>
    <row r="7290" spans="16:16">
      <c r="P7290" s="594"/>
    </row>
    <row r="7291" spans="16:16">
      <c r="P7291" s="594"/>
    </row>
    <row r="7292" spans="16:16">
      <c r="P7292" s="594"/>
    </row>
    <row r="7293" spans="16:16">
      <c r="P7293" s="594"/>
    </row>
    <row r="7294" spans="16:16">
      <c r="P7294" s="594"/>
    </row>
    <row r="7295" spans="16:16">
      <c r="P7295" s="594"/>
    </row>
    <row r="7296" spans="16:16">
      <c r="P7296" s="594"/>
    </row>
    <row r="7297" spans="16:16">
      <c r="P7297" s="594"/>
    </row>
    <row r="7298" spans="16:16">
      <c r="P7298" s="594"/>
    </row>
    <row r="7299" spans="16:16">
      <c r="P7299" s="594"/>
    </row>
    <row r="7300" spans="16:16">
      <c r="P7300" s="594"/>
    </row>
    <row r="7301" spans="16:16">
      <c r="P7301" s="594"/>
    </row>
    <row r="7302" spans="16:16">
      <c r="P7302" s="594"/>
    </row>
    <row r="7303" spans="16:16">
      <c r="P7303" s="594"/>
    </row>
    <row r="7304" spans="16:16">
      <c r="P7304" s="594"/>
    </row>
    <row r="7305" spans="16:16">
      <c r="P7305" s="594"/>
    </row>
    <row r="7306" spans="16:16">
      <c r="P7306" s="594"/>
    </row>
    <row r="7307" spans="16:16">
      <c r="P7307" s="594"/>
    </row>
    <row r="7308" spans="16:16">
      <c r="P7308" s="594"/>
    </row>
    <row r="7309" spans="16:16">
      <c r="P7309" s="594"/>
    </row>
    <row r="7310" spans="16:16">
      <c r="P7310" s="594"/>
    </row>
    <row r="7311" spans="16:16">
      <c r="P7311" s="594"/>
    </row>
    <row r="7312" spans="16:16">
      <c r="P7312" s="594"/>
    </row>
    <row r="7313" spans="16:16">
      <c r="P7313" s="594"/>
    </row>
    <row r="7314" spans="16:16">
      <c r="P7314" s="594"/>
    </row>
    <row r="7315" spans="16:16">
      <c r="P7315" s="594"/>
    </row>
    <row r="7316" spans="16:16">
      <c r="P7316" s="594"/>
    </row>
    <row r="7317" spans="16:16">
      <c r="P7317" s="594"/>
    </row>
    <row r="7318" spans="16:16">
      <c r="P7318" s="594"/>
    </row>
    <row r="7319" spans="16:16">
      <c r="P7319" s="594"/>
    </row>
    <row r="7320" spans="16:16">
      <c r="P7320" s="594"/>
    </row>
    <row r="7321" spans="16:16">
      <c r="P7321" s="594"/>
    </row>
    <row r="7322" spans="16:16">
      <c r="P7322" s="594"/>
    </row>
    <row r="7323" spans="16:16">
      <c r="P7323" s="594"/>
    </row>
    <row r="7324" spans="16:16">
      <c r="P7324" s="594"/>
    </row>
    <row r="7325" spans="16:16">
      <c r="P7325" s="594"/>
    </row>
    <row r="7326" spans="16:16">
      <c r="P7326" s="594"/>
    </row>
    <row r="7327" spans="16:16">
      <c r="P7327" s="594"/>
    </row>
    <row r="7328" spans="16:16">
      <c r="P7328" s="594"/>
    </row>
    <row r="7329" spans="16:16">
      <c r="P7329" s="594"/>
    </row>
    <row r="7330" spans="16:16">
      <c r="P7330" s="594"/>
    </row>
    <row r="7331" spans="16:16">
      <c r="P7331" s="594"/>
    </row>
    <row r="7332" spans="16:16">
      <c r="P7332" s="594"/>
    </row>
    <row r="7333" spans="16:16">
      <c r="P7333" s="594"/>
    </row>
    <row r="7334" spans="16:16">
      <c r="P7334" s="594"/>
    </row>
    <row r="7335" spans="16:16">
      <c r="P7335" s="594"/>
    </row>
    <row r="7336" spans="16:16">
      <c r="P7336" s="594"/>
    </row>
    <row r="7337" spans="16:16">
      <c r="P7337" s="594"/>
    </row>
    <row r="7338" spans="16:16">
      <c r="P7338" s="594"/>
    </row>
    <row r="7339" spans="16:16">
      <c r="P7339" s="594"/>
    </row>
    <row r="7340" spans="16:16">
      <c r="P7340" s="594"/>
    </row>
    <row r="7341" spans="16:16">
      <c r="P7341" s="594"/>
    </row>
    <row r="7342" spans="16:16">
      <c r="P7342" s="594"/>
    </row>
    <row r="7343" spans="16:16">
      <c r="P7343" s="594"/>
    </row>
    <row r="7344" spans="16:16">
      <c r="P7344" s="594"/>
    </row>
    <row r="7345" spans="16:16">
      <c r="P7345" s="594"/>
    </row>
    <row r="7346" spans="16:16">
      <c r="P7346" s="594"/>
    </row>
    <row r="7347" spans="16:16">
      <c r="P7347" s="594"/>
    </row>
    <row r="7348" spans="16:16">
      <c r="P7348" s="594"/>
    </row>
    <row r="7349" spans="16:16">
      <c r="P7349" s="594"/>
    </row>
    <row r="7350" spans="16:16">
      <c r="P7350" s="594"/>
    </row>
    <row r="7351" spans="16:16">
      <c r="P7351" s="594"/>
    </row>
    <row r="7352" spans="16:16">
      <c r="P7352" s="594"/>
    </row>
    <row r="7353" spans="16:16">
      <c r="P7353" s="594"/>
    </row>
    <row r="7354" spans="16:16">
      <c r="P7354" s="594"/>
    </row>
    <row r="7355" spans="16:16">
      <c r="P7355" s="594"/>
    </row>
    <row r="7356" spans="16:16">
      <c r="P7356" s="594"/>
    </row>
    <row r="7357" spans="16:16">
      <c r="P7357" s="594"/>
    </row>
    <row r="7358" spans="16:16">
      <c r="P7358" s="594"/>
    </row>
    <row r="7359" spans="16:16">
      <c r="P7359" s="594"/>
    </row>
    <row r="7360" spans="16:16">
      <c r="P7360" s="594"/>
    </row>
    <row r="7361" spans="16:16">
      <c r="P7361" s="594"/>
    </row>
    <row r="7362" spans="16:16">
      <c r="P7362" s="594"/>
    </row>
    <row r="7363" spans="16:16">
      <c r="P7363" s="594"/>
    </row>
    <row r="7364" spans="16:16">
      <c r="P7364" s="594"/>
    </row>
    <row r="7365" spans="16:16">
      <c r="P7365" s="594"/>
    </row>
    <row r="7366" spans="16:16">
      <c r="P7366" s="594"/>
    </row>
    <row r="7367" spans="16:16">
      <c r="P7367" s="594"/>
    </row>
    <row r="7368" spans="16:16">
      <c r="P7368" s="594"/>
    </row>
    <row r="7369" spans="16:16">
      <c r="P7369" s="594"/>
    </row>
    <row r="7370" spans="16:16">
      <c r="P7370" s="594"/>
    </row>
    <row r="7371" spans="16:16">
      <c r="P7371" s="594"/>
    </row>
    <row r="7372" spans="16:16">
      <c r="P7372" s="594"/>
    </row>
    <row r="7373" spans="16:16">
      <c r="P7373" s="594"/>
    </row>
    <row r="7374" spans="16:16">
      <c r="P7374" s="594"/>
    </row>
    <row r="7375" spans="16:16">
      <c r="P7375" s="594"/>
    </row>
    <row r="7376" spans="16:16">
      <c r="P7376" s="594"/>
    </row>
    <row r="7377" spans="16:16">
      <c r="P7377" s="594"/>
    </row>
    <row r="7378" spans="16:16">
      <c r="P7378" s="594"/>
    </row>
    <row r="7379" spans="16:16">
      <c r="P7379" s="594"/>
    </row>
    <row r="7380" spans="16:16">
      <c r="P7380" s="594"/>
    </row>
    <row r="7381" spans="16:16">
      <c r="P7381" s="594"/>
    </row>
    <row r="7382" spans="16:16">
      <c r="P7382" s="594"/>
    </row>
    <row r="7383" spans="16:16">
      <c r="P7383" s="594"/>
    </row>
    <row r="7384" spans="16:16">
      <c r="P7384" s="594"/>
    </row>
    <row r="7385" spans="16:16">
      <c r="P7385" s="594"/>
    </row>
    <row r="7386" spans="16:16">
      <c r="P7386" s="594"/>
    </row>
    <row r="7387" spans="16:16">
      <c r="P7387" s="594"/>
    </row>
    <row r="7388" spans="16:16">
      <c r="P7388" s="594"/>
    </row>
    <row r="7389" spans="16:16">
      <c r="P7389" s="594"/>
    </row>
    <row r="7390" spans="16:16">
      <c r="P7390" s="594"/>
    </row>
    <row r="7391" spans="16:16">
      <c r="P7391" s="594"/>
    </row>
    <row r="7392" spans="16:16">
      <c r="P7392" s="594"/>
    </row>
    <row r="7393" spans="16:16">
      <c r="P7393" s="594"/>
    </row>
    <row r="7394" spans="16:16">
      <c r="P7394" s="594"/>
    </row>
    <row r="7395" spans="16:16">
      <c r="P7395" s="594"/>
    </row>
    <row r="7396" spans="16:16">
      <c r="P7396" s="594"/>
    </row>
    <row r="7397" spans="16:16">
      <c r="P7397" s="594"/>
    </row>
    <row r="7398" spans="16:16">
      <c r="P7398" s="594"/>
    </row>
    <row r="7399" spans="16:16">
      <c r="P7399" s="594"/>
    </row>
    <row r="7400" spans="16:16">
      <c r="P7400" s="594"/>
    </row>
    <row r="7401" spans="16:16">
      <c r="P7401" s="594"/>
    </row>
    <row r="7402" spans="16:16">
      <c r="P7402" s="594"/>
    </row>
    <row r="7403" spans="16:16">
      <c r="P7403" s="594"/>
    </row>
    <row r="7404" spans="16:16">
      <c r="P7404" s="594"/>
    </row>
    <row r="7405" spans="16:16">
      <c r="P7405" s="594"/>
    </row>
    <row r="7406" spans="16:16">
      <c r="P7406" s="594"/>
    </row>
    <row r="7407" spans="16:16">
      <c r="P7407" s="594"/>
    </row>
    <row r="7408" spans="16:16">
      <c r="P7408" s="594"/>
    </row>
    <row r="7409" spans="16:16">
      <c r="P7409" s="594"/>
    </row>
    <row r="7410" spans="16:16">
      <c r="P7410" s="594"/>
    </row>
    <row r="7411" spans="16:16">
      <c r="P7411" s="594"/>
    </row>
    <row r="7412" spans="16:16">
      <c r="P7412" s="594"/>
    </row>
    <row r="7413" spans="16:16">
      <c r="P7413" s="594"/>
    </row>
    <row r="7414" spans="16:16">
      <c r="P7414" s="594"/>
    </row>
    <row r="7415" spans="16:16">
      <c r="P7415" s="594"/>
    </row>
    <row r="7416" spans="16:16">
      <c r="P7416" s="594"/>
    </row>
    <row r="7417" spans="16:16">
      <c r="P7417" s="594"/>
    </row>
    <row r="7418" spans="16:16">
      <c r="P7418" s="594"/>
    </row>
    <row r="7419" spans="16:16">
      <c r="P7419" s="594"/>
    </row>
    <row r="7420" spans="16:16">
      <c r="P7420" s="594"/>
    </row>
    <row r="7421" spans="16:16">
      <c r="P7421" s="594"/>
    </row>
    <row r="7422" spans="16:16">
      <c r="P7422" s="594"/>
    </row>
    <row r="7423" spans="16:16">
      <c r="P7423" s="594"/>
    </row>
    <row r="7424" spans="16:16">
      <c r="P7424" s="594"/>
    </row>
    <row r="7425" spans="16:16">
      <c r="P7425" s="594"/>
    </row>
    <row r="7426" spans="16:16">
      <c r="P7426" s="594"/>
    </row>
    <row r="7427" spans="16:16">
      <c r="P7427" s="594"/>
    </row>
    <row r="7428" spans="16:16">
      <c r="P7428" s="594"/>
    </row>
    <row r="7429" spans="16:16">
      <c r="P7429" s="594"/>
    </row>
    <row r="7430" spans="16:16">
      <c r="P7430" s="594"/>
    </row>
    <row r="7431" spans="16:16">
      <c r="P7431" s="594"/>
    </row>
    <row r="7432" spans="16:16">
      <c r="P7432" s="594"/>
    </row>
    <row r="7433" spans="16:16">
      <c r="P7433" s="594"/>
    </row>
    <row r="7434" spans="16:16">
      <c r="P7434" s="594"/>
    </row>
    <row r="7435" spans="16:16">
      <c r="P7435" s="594"/>
    </row>
    <row r="7436" spans="16:16">
      <c r="P7436" s="594"/>
    </row>
    <row r="7437" spans="16:16">
      <c r="P7437" s="594"/>
    </row>
    <row r="7438" spans="16:16">
      <c r="P7438" s="594"/>
    </row>
    <row r="7439" spans="16:16">
      <c r="P7439" s="594"/>
    </row>
    <row r="7440" spans="16:16">
      <c r="P7440" s="594"/>
    </row>
    <row r="7441" spans="16:16">
      <c r="P7441" s="594"/>
    </row>
    <row r="7442" spans="16:16">
      <c r="P7442" s="594"/>
    </row>
    <row r="7443" spans="16:16">
      <c r="P7443" s="594"/>
    </row>
    <row r="7444" spans="16:16">
      <c r="P7444" s="594"/>
    </row>
    <row r="7445" spans="16:16">
      <c r="P7445" s="594"/>
    </row>
    <row r="7446" spans="16:16">
      <c r="P7446" s="594"/>
    </row>
    <row r="7447" spans="16:16">
      <c r="P7447" s="594"/>
    </row>
    <row r="7448" spans="16:16">
      <c r="P7448" s="594"/>
    </row>
    <row r="7449" spans="16:16">
      <c r="P7449" s="594"/>
    </row>
    <row r="7450" spans="16:16">
      <c r="P7450" s="594"/>
    </row>
    <row r="7451" spans="16:16">
      <c r="P7451" s="594"/>
    </row>
    <row r="7452" spans="16:16">
      <c r="P7452" s="594"/>
    </row>
    <row r="7453" spans="16:16">
      <c r="P7453" s="594"/>
    </row>
    <row r="7454" spans="16:16">
      <c r="P7454" s="594"/>
    </row>
    <row r="7455" spans="16:16">
      <c r="P7455" s="594"/>
    </row>
    <row r="7456" spans="16:16">
      <c r="P7456" s="594"/>
    </row>
    <row r="7457" spans="16:16">
      <c r="P7457" s="594"/>
    </row>
    <row r="7458" spans="16:16">
      <c r="P7458" s="594"/>
    </row>
    <row r="7459" spans="16:16">
      <c r="P7459" s="594"/>
    </row>
    <row r="7460" spans="16:16">
      <c r="P7460" s="594"/>
    </row>
    <row r="7461" spans="16:16">
      <c r="P7461" s="594"/>
    </row>
    <row r="7462" spans="16:16">
      <c r="P7462" s="594"/>
    </row>
    <row r="7463" spans="16:16">
      <c r="P7463" s="594"/>
    </row>
    <row r="7464" spans="16:16">
      <c r="P7464" s="594"/>
    </row>
    <row r="7465" spans="16:16">
      <c r="P7465" s="594"/>
    </row>
    <row r="7466" spans="16:16">
      <c r="P7466" s="594"/>
    </row>
    <row r="7467" spans="16:16">
      <c r="P7467" s="594"/>
    </row>
    <row r="7468" spans="16:16">
      <c r="P7468" s="594"/>
    </row>
    <row r="7469" spans="16:16">
      <c r="P7469" s="594"/>
    </row>
    <row r="7470" spans="16:16">
      <c r="P7470" s="594"/>
    </row>
    <row r="7471" spans="16:16">
      <c r="P7471" s="594"/>
    </row>
    <row r="7472" spans="16:16">
      <c r="P7472" s="594"/>
    </row>
    <row r="7473" spans="16:16">
      <c r="P7473" s="594"/>
    </row>
    <row r="7474" spans="16:16">
      <c r="P7474" s="594"/>
    </row>
    <row r="7475" spans="16:16">
      <c r="P7475" s="594"/>
    </row>
    <row r="7476" spans="16:16">
      <c r="P7476" s="594"/>
    </row>
    <row r="7477" spans="16:16">
      <c r="P7477" s="594"/>
    </row>
    <row r="7478" spans="16:16">
      <c r="P7478" s="594"/>
    </row>
    <row r="7479" spans="16:16">
      <c r="P7479" s="594"/>
    </row>
    <row r="7480" spans="16:16">
      <c r="P7480" s="594"/>
    </row>
    <row r="7481" spans="16:16">
      <c r="P7481" s="594"/>
    </row>
    <row r="7482" spans="16:16">
      <c r="P7482" s="594"/>
    </row>
    <row r="7483" spans="16:16">
      <c r="P7483" s="594"/>
    </row>
    <row r="7484" spans="16:16">
      <c r="P7484" s="594"/>
    </row>
    <row r="7485" spans="16:16">
      <c r="P7485" s="594"/>
    </row>
    <row r="7486" spans="16:16">
      <c r="P7486" s="594"/>
    </row>
    <row r="7487" spans="16:16">
      <c r="P7487" s="594"/>
    </row>
    <row r="7488" spans="16:16">
      <c r="P7488" s="594"/>
    </row>
    <row r="7489" spans="16:16">
      <c r="P7489" s="594"/>
    </row>
    <row r="7490" spans="16:16">
      <c r="P7490" s="594"/>
    </row>
    <row r="7491" spans="16:16">
      <c r="P7491" s="594"/>
    </row>
    <row r="7492" spans="16:16">
      <c r="P7492" s="594"/>
    </row>
    <row r="7493" spans="16:16">
      <c r="P7493" s="594"/>
    </row>
    <row r="7494" spans="16:16">
      <c r="P7494" s="594"/>
    </row>
    <row r="7495" spans="16:16">
      <c r="P7495" s="594"/>
    </row>
    <row r="7496" spans="16:16">
      <c r="P7496" s="594"/>
    </row>
    <row r="7497" spans="16:16">
      <c r="P7497" s="594"/>
    </row>
    <row r="7498" spans="16:16">
      <c r="P7498" s="594"/>
    </row>
    <row r="7499" spans="16:16">
      <c r="P7499" s="594"/>
    </row>
    <row r="7500" spans="16:16">
      <c r="P7500" s="594"/>
    </row>
    <row r="7501" spans="16:16">
      <c r="P7501" s="594"/>
    </row>
    <row r="7502" spans="16:16">
      <c r="P7502" s="594"/>
    </row>
    <row r="7503" spans="16:16">
      <c r="P7503" s="594"/>
    </row>
    <row r="7504" spans="16:16">
      <c r="P7504" s="594"/>
    </row>
    <row r="7505" spans="16:16">
      <c r="P7505" s="594"/>
    </row>
    <row r="7506" spans="16:16">
      <c r="P7506" s="594"/>
    </row>
    <row r="7507" spans="16:16">
      <c r="P7507" s="594"/>
    </row>
    <row r="7508" spans="16:16">
      <c r="P7508" s="594"/>
    </row>
    <row r="7509" spans="16:16">
      <c r="P7509" s="594"/>
    </row>
    <row r="7510" spans="16:16">
      <c r="P7510" s="594"/>
    </row>
    <row r="7511" spans="16:16">
      <c r="P7511" s="594"/>
    </row>
    <row r="7512" spans="16:16">
      <c r="P7512" s="594"/>
    </row>
    <row r="7513" spans="16:16">
      <c r="P7513" s="594"/>
    </row>
    <row r="7514" spans="16:16">
      <c r="P7514" s="594"/>
    </row>
    <row r="7515" spans="16:16">
      <c r="P7515" s="594"/>
    </row>
    <row r="7516" spans="16:16">
      <c r="P7516" s="594"/>
    </row>
    <row r="7517" spans="16:16">
      <c r="P7517" s="594"/>
    </row>
    <row r="7518" spans="16:16">
      <c r="P7518" s="594"/>
    </row>
    <row r="7519" spans="16:16">
      <c r="P7519" s="594"/>
    </row>
    <row r="7520" spans="16:16">
      <c r="P7520" s="594"/>
    </row>
    <row r="7521" spans="16:16">
      <c r="P7521" s="594"/>
    </row>
    <row r="7522" spans="16:16">
      <c r="P7522" s="594"/>
    </row>
    <row r="7523" spans="16:16">
      <c r="P7523" s="594"/>
    </row>
    <row r="7524" spans="16:16">
      <c r="P7524" s="594"/>
    </row>
    <row r="7525" spans="16:16">
      <c r="P7525" s="594"/>
    </row>
    <row r="7526" spans="16:16">
      <c r="P7526" s="594"/>
    </row>
    <row r="7527" spans="16:16">
      <c r="P7527" s="594"/>
    </row>
    <row r="7528" spans="16:16">
      <c r="P7528" s="594"/>
    </row>
    <row r="7529" spans="16:16">
      <c r="P7529" s="594"/>
    </row>
    <row r="7530" spans="16:16">
      <c r="P7530" s="594"/>
    </row>
    <row r="7531" spans="16:16">
      <c r="P7531" s="594"/>
    </row>
    <row r="7532" spans="16:16">
      <c r="P7532" s="594"/>
    </row>
    <row r="7533" spans="16:16">
      <c r="P7533" s="594"/>
    </row>
    <row r="7534" spans="16:16">
      <c r="P7534" s="594"/>
    </row>
    <row r="7535" spans="16:16">
      <c r="P7535" s="594"/>
    </row>
    <row r="7536" spans="16:16">
      <c r="P7536" s="594"/>
    </row>
    <row r="7537" spans="16:16">
      <c r="P7537" s="594"/>
    </row>
    <row r="7538" spans="16:16">
      <c r="P7538" s="594"/>
    </row>
    <row r="7539" spans="16:16">
      <c r="P7539" s="594"/>
    </row>
    <row r="7540" spans="16:16">
      <c r="P7540" s="594"/>
    </row>
    <row r="7541" spans="16:16">
      <c r="P7541" s="594"/>
    </row>
    <row r="7542" spans="16:16">
      <c r="P7542" s="594"/>
    </row>
    <row r="7543" spans="16:16">
      <c r="P7543" s="594"/>
    </row>
    <row r="7544" spans="16:16">
      <c r="P7544" s="594"/>
    </row>
    <row r="7545" spans="16:16">
      <c r="P7545" s="594"/>
    </row>
    <row r="7546" spans="16:16">
      <c r="P7546" s="594"/>
    </row>
    <row r="7547" spans="16:16">
      <c r="P7547" s="594"/>
    </row>
    <row r="7548" spans="16:16">
      <c r="P7548" s="594"/>
    </row>
    <row r="7549" spans="16:16">
      <c r="P7549" s="594"/>
    </row>
    <row r="7550" spans="16:16">
      <c r="P7550" s="594"/>
    </row>
    <row r="7551" spans="16:16">
      <c r="P7551" s="594"/>
    </row>
    <row r="7552" spans="16:16">
      <c r="P7552" s="594"/>
    </row>
    <row r="7553" spans="16:16">
      <c r="P7553" s="594"/>
    </row>
    <row r="7554" spans="16:16">
      <c r="P7554" s="594"/>
    </row>
    <row r="7555" spans="16:16">
      <c r="P7555" s="594"/>
    </row>
    <row r="7556" spans="16:16">
      <c r="P7556" s="594"/>
    </row>
    <row r="7557" spans="16:16">
      <c r="P7557" s="594"/>
    </row>
    <row r="7558" spans="16:16">
      <c r="P7558" s="594"/>
    </row>
    <row r="7559" spans="16:16">
      <c r="P7559" s="594"/>
    </row>
    <row r="7560" spans="16:16">
      <c r="P7560" s="594"/>
    </row>
    <row r="7561" spans="16:16">
      <c r="P7561" s="594"/>
    </row>
    <row r="7562" spans="16:16">
      <c r="P7562" s="594"/>
    </row>
    <row r="7563" spans="16:16">
      <c r="P7563" s="594"/>
    </row>
    <row r="7564" spans="16:16">
      <c r="P7564" s="594"/>
    </row>
    <row r="7565" spans="16:16">
      <c r="P7565" s="594"/>
    </row>
    <row r="7566" spans="16:16">
      <c r="P7566" s="594"/>
    </row>
    <row r="7567" spans="16:16">
      <c r="P7567" s="594"/>
    </row>
    <row r="7568" spans="16:16">
      <c r="P7568" s="594"/>
    </row>
    <row r="7569" spans="16:16">
      <c r="P7569" s="594"/>
    </row>
    <row r="7570" spans="16:16">
      <c r="P7570" s="594"/>
    </row>
    <row r="7571" spans="16:16">
      <c r="P7571" s="594"/>
    </row>
    <row r="7572" spans="16:16">
      <c r="P7572" s="594"/>
    </row>
    <row r="7573" spans="16:16">
      <c r="P7573" s="594"/>
    </row>
    <row r="7574" spans="16:16">
      <c r="P7574" s="594"/>
    </row>
    <row r="7575" spans="16:16">
      <c r="P7575" s="594"/>
    </row>
    <row r="7576" spans="16:16">
      <c r="P7576" s="594"/>
    </row>
    <row r="7577" spans="16:16">
      <c r="P7577" s="594"/>
    </row>
    <row r="7578" spans="16:16">
      <c r="P7578" s="594"/>
    </row>
    <row r="7579" spans="16:16">
      <c r="P7579" s="594"/>
    </row>
    <row r="7580" spans="16:16">
      <c r="P7580" s="594"/>
    </row>
    <row r="7581" spans="16:16">
      <c r="P7581" s="594"/>
    </row>
    <row r="7582" spans="16:16">
      <c r="P7582" s="594"/>
    </row>
    <row r="7583" spans="16:16">
      <c r="P7583" s="594"/>
    </row>
    <row r="7584" spans="16:16">
      <c r="P7584" s="594"/>
    </row>
    <row r="7585" spans="16:16">
      <c r="P7585" s="594"/>
    </row>
    <row r="7586" spans="16:16">
      <c r="P7586" s="594"/>
    </row>
    <row r="7587" spans="16:16">
      <c r="P7587" s="594"/>
    </row>
    <row r="7588" spans="16:16">
      <c r="P7588" s="594"/>
    </row>
    <row r="7589" spans="16:16">
      <c r="P7589" s="594"/>
    </row>
    <row r="7590" spans="16:16">
      <c r="P7590" s="594"/>
    </row>
    <row r="7591" spans="16:16">
      <c r="P7591" s="594"/>
    </row>
    <row r="7592" spans="16:16">
      <c r="P7592" s="594"/>
    </row>
    <row r="7593" spans="16:16">
      <c r="P7593" s="594"/>
    </row>
    <row r="7594" spans="16:16">
      <c r="P7594" s="594"/>
    </row>
    <row r="7595" spans="16:16">
      <c r="P7595" s="594"/>
    </row>
    <row r="7596" spans="16:16">
      <c r="P7596" s="594"/>
    </row>
    <row r="7597" spans="16:16">
      <c r="P7597" s="594"/>
    </row>
    <row r="7598" spans="16:16">
      <c r="P7598" s="594"/>
    </row>
    <row r="7599" spans="16:16">
      <c r="P7599" s="594"/>
    </row>
    <row r="7600" spans="16:16">
      <c r="P7600" s="594"/>
    </row>
    <row r="7601" spans="16:16">
      <c r="P7601" s="594"/>
    </row>
    <row r="7602" spans="16:16">
      <c r="P7602" s="594"/>
    </row>
    <row r="7603" spans="16:16">
      <c r="P7603" s="594"/>
    </row>
    <row r="7604" spans="16:16">
      <c r="P7604" s="594"/>
    </row>
    <row r="7605" spans="16:16">
      <c r="P7605" s="594"/>
    </row>
    <row r="7606" spans="16:16">
      <c r="P7606" s="594"/>
    </row>
    <row r="7607" spans="16:16">
      <c r="P7607" s="594"/>
    </row>
    <row r="7608" spans="16:16">
      <c r="P7608" s="594"/>
    </row>
    <row r="7609" spans="16:16">
      <c r="P7609" s="594"/>
    </row>
    <row r="7610" spans="16:16">
      <c r="P7610" s="594"/>
    </row>
    <row r="7611" spans="16:16">
      <c r="P7611" s="594"/>
    </row>
    <row r="7612" spans="16:16">
      <c r="P7612" s="594"/>
    </row>
    <row r="7613" spans="16:16">
      <c r="P7613" s="594"/>
    </row>
    <row r="7614" spans="16:16">
      <c r="P7614" s="594"/>
    </row>
    <row r="7615" spans="16:16">
      <c r="P7615" s="594"/>
    </row>
    <row r="7616" spans="16:16">
      <c r="P7616" s="594"/>
    </row>
    <row r="7617" spans="16:16">
      <c r="P7617" s="594"/>
    </row>
    <row r="7618" spans="16:16">
      <c r="P7618" s="594"/>
    </row>
    <row r="7619" spans="16:16">
      <c r="P7619" s="594"/>
    </row>
    <row r="7620" spans="16:16">
      <c r="P7620" s="594"/>
    </row>
    <row r="7621" spans="16:16">
      <c r="P7621" s="594"/>
    </row>
    <row r="7622" spans="16:16">
      <c r="P7622" s="594"/>
    </row>
    <row r="7623" spans="16:16">
      <c r="P7623" s="594"/>
    </row>
    <row r="7624" spans="16:16">
      <c r="P7624" s="594"/>
    </row>
    <row r="7625" spans="16:16">
      <c r="P7625" s="594"/>
    </row>
    <row r="7626" spans="16:16">
      <c r="P7626" s="594"/>
    </row>
    <row r="7627" spans="16:16">
      <c r="P7627" s="594"/>
    </row>
    <row r="7628" spans="16:16">
      <c r="P7628" s="594"/>
    </row>
    <row r="7629" spans="16:16">
      <c r="P7629" s="594"/>
    </row>
    <row r="7630" spans="16:16">
      <c r="P7630" s="594"/>
    </row>
    <row r="7631" spans="16:16">
      <c r="P7631" s="594"/>
    </row>
    <row r="7632" spans="16:16">
      <c r="P7632" s="594"/>
    </row>
    <row r="7633" spans="16:16">
      <c r="P7633" s="594"/>
    </row>
    <row r="7634" spans="16:16">
      <c r="P7634" s="594"/>
    </row>
    <row r="7635" spans="16:16">
      <c r="P7635" s="594"/>
    </row>
    <row r="7636" spans="16:16">
      <c r="P7636" s="594"/>
    </row>
    <row r="7637" spans="16:16">
      <c r="P7637" s="594"/>
    </row>
    <row r="7638" spans="16:16">
      <c r="P7638" s="594"/>
    </row>
    <row r="7639" spans="16:16">
      <c r="P7639" s="594"/>
    </row>
    <row r="7640" spans="16:16">
      <c r="P7640" s="594"/>
    </row>
    <row r="7641" spans="16:16">
      <c r="P7641" s="594"/>
    </row>
    <row r="7642" spans="16:16">
      <c r="P7642" s="594"/>
    </row>
    <row r="7643" spans="16:16">
      <c r="P7643" s="594"/>
    </row>
    <row r="7644" spans="16:16">
      <c r="P7644" s="594"/>
    </row>
    <row r="7645" spans="16:16">
      <c r="P7645" s="594"/>
    </row>
    <row r="7646" spans="16:16">
      <c r="P7646" s="594"/>
    </row>
    <row r="7647" spans="16:16">
      <c r="P7647" s="594"/>
    </row>
    <row r="7648" spans="16:16">
      <c r="P7648" s="594"/>
    </row>
    <row r="7649" spans="16:16">
      <c r="P7649" s="594"/>
    </row>
    <row r="7650" spans="16:16">
      <c r="P7650" s="594"/>
    </row>
    <row r="7651" spans="16:16">
      <c r="P7651" s="594"/>
    </row>
    <row r="7652" spans="16:16">
      <c r="P7652" s="594"/>
    </row>
    <row r="7653" spans="16:16">
      <c r="P7653" s="594"/>
    </row>
    <row r="7654" spans="16:16">
      <c r="P7654" s="594"/>
    </row>
    <row r="7655" spans="16:16">
      <c r="P7655" s="594"/>
    </row>
    <row r="7656" spans="16:16">
      <c r="P7656" s="594"/>
    </row>
    <row r="7657" spans="16:16">
      <c r="P7657" s="594"/>
    </row>
    <row r="7658" spans="16:16">
      <c r="P7658" s="594"/>
    </row>
    <row r="7659" spans="16:16">
      <c r="P7659" s="594"/>
    </row>
    <row r="7660" spans="16:16">
      <c r="P7660" s="594"/>
    </row>
    <row r="7661" spans="16:16">
      <c r="P7661" s="594"/>
    </row>
    <row r="7662" spans="16:16">
      <c r="P7662" s="594"/>
    </row>
    <row r="7663" spans="16:16">
      <c r="P7663" s="594"/>
    </row>
    <row r="7664" spans="16:16">
      <c r="P7664" s="594"/>
    </row>
    <row r="7665" spans="16:16">
      <c r="P7665" s="594"/>
    </row>
    <row r="7666" spans="16:16">
      <c r="P7666" s="594"/>
    </row>
    <row r="7667" spans="16:16">
      <c r="P7667" s="594"/>
    </row>
    <row r="7668" spans="16:16">
      <c r="P7668" s="594"/>
    </row>
    <row r="7669" spans="16:16">
      <c r="P7669" s="594"/>
    </row>
    <row r="7670" spans="16:16">
      <c r="P7670" s="594"/>
    </row>
    <row r="7671" spans="16:16">
      <c r="P7671" s="594"/>
    </row>
    <row r="7672" spans="16:16">
      <c r="P7672" s="594"/>
    </row>
    <row r="7673" spans="16:16">
      <c r="P7673" s="594"/>
    </row>
    <row r="7674" spans="16:16">
      <c r="P7674" s="594"/>
    </row>
    <row r="7675" spans="16:16">
      <c r="P7675" s="594"/>
    </row>
    <row r="7676" spans="16:16">
      <c r="P7676" s="594"/>
    </row>
    <row r="7677" spans="16:16">
      <c r="P7677" s="594"/>
    </row>
    <row r="7678" spans="16:16">
      <c r="P7678" s="594"/>
    </row>
    <row r="7679" spans="16:16">
      <c r="P7679" s="594"/>
    </row>
    <row r="7680" spans="16:16">
      <c r="P7680" s="594"/>
    </row>
    <row r="7681" spans="16:16">
      <c r="P7681" s="594"/>
    </row>
    <row r="7682" spans="16:16">
      <c r="P7682" s="594"/>
    </row>
    <row r="7683" spans="16:16">
      <c r="P7683" s="594"/>
    </row>
    <row r="7684" spans="16:16">
      <c r="P7684" s="594"/>
    </row>
    <row r="7685" spans="16:16">
      <c r="P7685" s="594"/>
    </row>
    <row r="7686" spans="16:16">
      <c r="P7686" s="594"/>
    </row>
    <row r="7687" spans="16:16">
      <c r="P7687" s="594"/>
    </row>
    <row r="7688" spans="16:16">
      <c r="P7688" s="594"/>
    </row>
    <row r="7689" spans="16:16">
      <c r="P7689" s="594"/>
    </row>
    <row r="7690" spans="16:16">
      <c r="P7690" s="594"/>
    </row>
    <row r="7691" spans="16:16">
      <c r="P7691" s="594"/>
    </row>
    <row r="7692" spans="16:16">
      <c r="P7692" s="594"/>
    </row>
    <row r="7693" spans="16:16">
      <c r="P7693" s="594"/>
    </row>
    <row r="7694" spans="16:16">
      <c r="P7694" s="594"/>
    </row>
    <row r="7695" spans="16:16">
      <c r="P7695" s="594"/>
    </row>
    <row r="7696" spans="16:16">
      <c r="P7696" s="594"/>
    </row>
    <row r="7697" spans="16:16">
      <c r="P7697" s="594"/>
    </row>
    <row r="7698" spans="16:16">
      <c r="P7698" s="594"/>
    </row>
    <row r="7699" spans="16:16">
      <c r="P7699" s="594"/>
    </row>
    <row r="7700" spans="16:16">
      <c r="P7700" s="594"/>
    </row>
    <row r="7701" spans="16:16">
      <c r="P7701" s="594"/>
    </row>
    <row r="7702" spans="16:16">
      <c r="P7702" s="594"/>
    </row>
    <row r="7703" spans="16:16">
      <c r="P7703" s="594"/>
    </row>
    <row r="7704" spans="16:16">
      <c r="P7704" s="594"/>
    </row>
    <row r="7705" spans="16:16">
      <c r="P7705" s="594"/>
    </row>
    <row r="7706" spans="16:16">
      <c r="P7706" s="594"/>
    </row>
    <row r="7707" spans="16:16">
      <c r="P7707" s="594"/>
    </row>
    <row r="7708" spans="16:16">
      <c r="P7708" s="594"/>
    </row>
    <row r="7709" spans="16:16">
      <c r="P7709" s="594"/>
    </row>
    <row r="7710" spans="16:16">
      <c r="P7710" s="594"/>
    </row>
    <row r="7711" spans="16:16">
      <c r="P7711" s="594"/>
    </row>
    <row r="7712" spans="16:16">
      <c r="P7712" s="594"/>
    </row>
    <row r="7713" spans="16:16">
      <c r="P7713" s="594"/>
    </row>
    <row r="7714" spans="16:16">
      <c r="P7714" s="594"/>
    </row>
    <row r="7715" spans="16:16">
      <c r="P7715" s="594"/>
    </row>
    <row r="7716" spans="16:16">
      <c r="P7716" s="594"/>
    </row>
    <row r="7717" spans="16:16">
      <c r="P7717" s="594"/>
    </row>
    <row r="7718" spans="16:16">
      <c r="P7718" s="594"/>
    </row>
    <row r="7719" spans="16:16">
      <c r="P7719" s="594"/>
    </row>
    <row r="7720" spans="16:16">
      <c r="P7720" s="594"/>
    </row>
    <row r="7721" spans="16:16">
      <c r="P7721" s="594"/>
    </row>
    <row r="7722" spans="16:16">
      <c r="P7722" s="594"/>
    </row>
    <row r="7723" spans="16:16">
      <c r="P7723" s="594"/>
    </row>
    <row r="7724" spans="16:16">
      <c r="P7724" s="594"/>
    </row>
    <row r="7725" spans="16:16">
      <c r="P7725" s="594"/>
    </row>
    <row r="7726" spans="16:16">
      <c r="P7726" s="594"/>
    </row>
    <row r="7727" spans="16:16">
      <c r="P7727" s="594"/>
    </row>
    <row r="7728" spans="16:16">
      <c r="P7728" s="594"/>
    </row>
    <row r="7729" spans="16:16">
      <c r="P7729" s="594"/>
    </row>
    <row r="7730" spans="16:16">
      <c r="P7730" s="594"/>
    </row>
    <row r="7731" spans="16:16">
      <c r="P7731" s="594"/>
    </row>
    <row r="7732" spans="16:16">
      <c r="P7732" s="594"/>
    </row>
    <row r="7733" spans="16:16">
      <c r="P7733" s="594"/>
    </row>
    <row r="7734" spans="16:16">
      <c r="P7734" s="594"/>
    </row>
    <row r="7735" spans="16:16">
      <c r="P7735" s="594"/>
    </row>
    <row r="7736" spans="16:16">
      <c r="P7736" s="594"/>
    </row>
    <row r="7737" spans="16:16">
      <c r="P7737" s="594"/>
    </row>
    <row r="7738" spans="16:16">
      <c r="P7738" s="594"/>
    </row>
    <row r="7739" spans="16:16">
      <c r="P7739" s="594"/>
    </row>
    <row r="7740" spans="16:16">
      <c r="P7740" s="594"/>
    </row>
    <row r="7741" spans="16:16">
      <c r="P7741" s="594"/>
    </row>
    <row r="7742" spans="16:16">
      <c r="P7742" s="594"/>
    </row>
    <row r="7743" spans="16:16">
      <c r="P7743" s="594"/>
    </row>
    <row r="7744" spans="16:16">
      <c r="P7744" s="594"/>
    </row>
    <row r="7745" spans="16:16">
      <c r="P7745" s="594"/>
    </row>
    <row r="7746" spans="16:16">
      <c r="P7746" s="594"/>
    </row>
    <row r="7747" spans="16:16">
      <c r="P7747" s="594"/>
    </row>
    <row r="7748" spans="16:16">
      <c r="P7748" s="594"/>
    </row>
    <row r="7749" spans="16:16">
      <c r="P7749" s="594"/>
    </row>
    <row r="7750" spans="16:16">
      <c r="P7750" s="594"/>
    </row>
    <row r="7751" spans="16:16">
      <c r="P7751" s="594"/>
    </row>
    <row r="7752" spans="16:16">
      <c r="P7752" s="594"/>
    </row>
    <row r="7753" spans="16:16">
      <c r="P7753" s="594"/>
    </row>
    <row r="7754" spans="16:16">
      <c r="P7754" s="594"/>
    </row>
    <row r="7755" spans="16:16">
      <c r="P7755" s="594"/>
    </row>
    <row r="7756" spans="16:16">
      <c r="P7756" s="594"/>
    </row>
    <row r="7757" spans="16:16">
      <c r="P7757" s="594"/>
    </row>
    <row r="7758" spans="16:16">
      <c r="P7758" s="594"/>
    </row>
    <row r="7759" spans="16:16">
      <c r="P7759" s="594"/>
    </row>
    <row r="7760" spans="16:16">
      <c r="P7760" s="594"/>
    </row>
    <row r="7761" spans="16:16">
      <c r="P7761" s="594"/>
    </row>
    <row r="7762" spans="16:16">
      <c r="P7762" s="594"/>
    </row>
    <row r="7763" spans="16:16">
      <c r="P7763" s="594"/>
    </row>
    <row r="7764" spans="16:16">
      <c r="P7764" s="594"/>
    </row>
    <row r="7765" spans="16:16">
      <c r="P7765" s="594"/>
    </row>
    <row r="7766" spans="16:16">
      <c r="P7766" s="594"/>
    </row>
    <row r="7767" spans="16:16">
      <c r="P7767" s="594"/>
    </row>
    <row r="7768" spans="16:16">
      <c r="P7768" s="594"/>
    </row>
    <row r="7769" spans="16:16">
      <c r="P7769" s="594"/>
    </row>
    <row r="7770" spans="16:16">
      <c r="P7770" s="594"/>
    </row>
    <row r="7771" spans="16:16">
      <c r="P7771" s="594"/>
    </row>
    <row r="7772" spans="16:16">
      <c r="P7772" s="594"/>
    </row>
    <row r="7773" spans="16:16">
      <c r="P7773" s="594"/>
    </row>
    <row r="7774" spans="16:16">
      <c r="P7774" s="594"/>
    </row>
    <row r="7775" spans="16:16">
      <c r="P7775" s="594"/>
    </row>
    <row r="7776" spans="16:16">
      <c r="P7776" s="594"/>
    </row>
    <row r="7777" spans="16:16">
      <c r="P7777" s="594"/>
    </row>
    <row r="7778" spans="16:16">
      <c r="P7778" s="594"/>
    </row>
    <row r="7779" spans="16:16">
      <c r="P7779" s="594"/>
    </row>
    <row r="7780" spans="16:16">
      <c r="P7780" s="594"/>
    </row>
    <row r="7781" spans="16:16">
      <c r="P7781" s="594"/>
    </row>
    <row r="7782" spans="16:16">
      <c r="P7782" s="594"/>
    </row>
    <row r="7783" spans="16:16">
      <c r="P7783" s="594"/>
    </row>
    <row r="7784" spans="16:16">
      <c r="P7784" s="594"/>
    </row>
    <row r="7785" spans="16:16">
      <c r="P7785" s="594"/>
    </row>
    <row r="7786" spans="16:16">
      <c r="P7786" s="594"/>
    </row>
    <row r="7787" spans="16:16">
      <c r="P7787" s="594"/>
    </row>
    <row r="7788" spans="16:16">
      <c r="P7788" s="594"/>
    </row>
    <row r="7789" spans="16:16">
      <c r="P7789" s="594"/>
    </row>
    <row r="7790" spans="16:16">
      <c r="P7790" s="594"/>
    </row>
    <row r="7791" spans="16:16">
      <c r="P7791" s="594"/>
    </row>
    <row r="7792" spans="16:16">
      <c r="P7792" s="594"/>
    </row>
    <row r="7793" spans="16:16">
      <c r="P7793" s="594"/>
    </row>
    <row r="7794" spans="16:16">
      <c r="P7794" s="594"/>
    </row>
    <row r="7795" spans="16:16">
      <c r="P7795" s="594"/>
    </row>
    <row r="7796" spans="16:16">
      <c r="P7796" s="594"/>
    </row>
    <row r="7797" spans="16:16">
      <c r="P7797" s="594"/>
    </row>
    <row r="7798" spans="16:16">
      <c r="P7798" s="594"/>
    </row>
    <row r="7799" spans="16:16">
      <c r="P7799" s="594"/>
    </row>
    <row r="7800" spans="16:16">
      <c r="P7800" s="594"/>
    </row>
    <row r="7801" spans="16:16">
      <c r="P7801" s="594"/>
    </row>
    <row r="7802" spans="16:16">
      <c r="P7802" s="594"/>
    </row>
    <row r="7803" spans="16:16">
      <c r="P7803" s="594"/>
    </row>
    <row r="7804" spans="16:16">
      <c r="P7804" s="594"/>
    </row>
    <row r="7805" spans="16:16">
      <c r="P7805" s="594"/>
    </row>
    <row r="7806" spans="16:16">
      <c r="P7806" s="594"/>
    </row>
    <row r="7807" spans="16:16">
      <c r="P7807" s="594"/>
    </row>
    <row r="7808" spans="16:16">
      <c r="P7808" s="594"/>
    </row>
    <row r="7809" spans="16:16">
      <c r="P7809" s="594"/>
    </row>
    <row r="7810" spans="16:16">
      <c r="P7810" s="594"/>
    </row>
    <row r="7811" spans="16:16">
      <c r="P7811" s="594"/>
    </row>
    <row r="7812" spans="16:16">
      <c r="P7812" s="594"/>
    </row>
    <row r="7813" spans="16:16">
      <c r="P7813" s="594"/>
    </row>
    <row r="7814" spans="16:16">
      <c r="P7814" s="594"/>
    </row>
    <row r="7815" spans="16:16">
      <c r="P7815" s="594"/>
    </row>
    <row r="7816" spans="16:16">
      <c r="P7816" s="594"/>
    </row>
    <row r="7817" spans="16:16">
      <c r="P7817" s="594"/>
    </row>
    <row r="7818" spans="16:16">
      <c r="P7818" s="594"/>
    </row>
    <row r="7819" spans="16:16">
      <c r="P7819" s="594"/>
    </row>
    <row r="7820" spans="16:16">
      <c r="P7820" s="594"/>
    </row>
    <row r="7821" spans="16:16">
      <c r="P7821" s="594"/>
    </row>
    <row r="7822" spans="16:16">
      <c r="P7822" s="594"/>
    </row>
    <row r="7823" spans="16:16">
      <c r="P7823" s="594"/>
    </row>
    <row r="7824" spans="16:16">
      <c r="P7824" s="594"/>
    </row>
    <row r="7825" spans="16:16">
      <c r="P7825" s="594"/>
    </row>
    <row r="7826" spans="16:16">
      <c r="P7826" s="594"/>
    </row>
    <row r="7827" spans="16:16">
      <c r="P7827" s="594"/>
    </row>
    <row r="7828" spans="16:16">
      <c r="P7828" s="594"/>
    </row>
    <row r="7829" spans="16:16">
      <c r="P7829" s="594"/>
    </row>
    <row r="7830" spans="16:16">
      <c r="P7830" s="594"/>
    </row>
    <row r="7831" spans="16:16">
      <c r="P7831" s="594"/>
    </row>
    <row r="7832" spans="16:16">
      <c r="P7832" s="594"/>
    </row>
    <row r="7833" spans="16:16">
      <c r="P7833" s="594"/>
    </row>
    <row r="7834" spans="16:16">
      <c r="P7834" s="594"/>
    </row>
    <row r="7835" spans="16:16">
      <c r="P7835" s="594"/>
    </row>
    <row r="7836" spans="16:16">
      <c r="P7836" s="594"/>
    </row>
    <row r="7837" spans="16:16">
      <c r="P7837" s="594"/>
    </row>
    <row r="7838" spans="16:16">
      <c r="P7838" s="594"/>
    </row>
    <row r="7839" spans="16:16">
      <c r="P7839" s="594"/>
    </row>
    <row r="7840" spans="16:16">
      <c r="P7840" s="594"/>
    </row>
    <row r="7841" spans="16:16">
      <c r="P7841" s="594"/>
    </row>
    <row r="7842" spans="16:16">
      <c r="P7842" s="594"/>
    </row>
    <row r="7843" spans="16:16">
      <c r="P7843" s="594"/>
    </row>
    <row r="7844" spans="16:16">
      <c r="P7844" s="594"/>
    </row>
    <row r="7845" spans="16:16">
      <c r="P7845" s="594"/>
    </row>
    <row r="7846" spans="16:16">
      <c r="P7846" s="594"/>
    </row>
    <row r="7847" spans="16:16">
      <c r="P7847" s="594"/>
    </row>
    <row r="7848" spans="16:16">
      <c r="P7848" s="594"/>
    </row>
    <row r="7849" spans="16:16">
      <c r="P7849" s="594"/>
    </row>
    <row r="7850" spans="16:16">
      <c r="P7850" s="594"/>
    </row>
    <row r="7851" spans="16:16">
      <c r="P7851" s="594"/>
    </row>
    <row r="7852" spans="16:16">
      <c r="P7852" s="594"/>
    </row>
    <row r="7853" spans="16:16">
      <c r="P7853" s="594"/>
    </row>
    <row r="7854" spans="16:16">
      <c r="P7854" s="594"/>
    </row>
    <row r="7855" spans="16:16">
      <c r="P7855" s="594"/>
    </row>
    <row r="7856" spans="16:16">
      <c r="P7856" s="594"/>
    </row>
    <row r="7857" spans="16:16">
      <c r="P7857" s="594"/>
    </row>
    <row r="7858" spans="16:16">
      <c r="P7858" s="594"/>
    </row>
    <row r="7859" spans="16:16">
      <c r="P7859" s="594"/>
    </row>
    <row r="7860" spans="16:16">
      <c r="P7860" s="594"/>
    </row>
    <row r="7861" spans="16:16">
      <c r="P7861" s="594"/>
    </row>
    <row r="7862" spans="16:16">
      <c r="P7862" s="594"/>
    </row>
    <row r="7863" spans="16:16">
      <c r="P7863" s="594"/>
    </row>
    <row r="7864" spans="16:16">
      <c r="P7864" s="594"/>
    </row>
    <row r="7865" spans="16:16">
      <c r="P7865" s="594"/>
    </row>
    <row r="7866" spans="16:16">
      <c r="P7866" s="594"/>
    </row>
    <row r="7867" spans="16:16">
      <c r="P7867" s="594"/>
    </row>
    <row r="7868" spans="16:16">
      <c r="P7868" s="594"/>
    </row>
    <row r="7869" spans="16:16">
      <c r="P7869" s="594"/>
    </row>
    <row r="7870" spans="16:16">
      <c r="P7870" s="594"/>
    </row>
    <row r="7871" spans="16:16">
      <c r="P7871" s="594"/>
    </row>
    <row r="7872" spans="16:16">
      <c r="P7872" s="594"/>
    </row>
    <row r="7873" spans="16:16">
      <c r="P7873" s="594"/>
    </row>
    <row r="7874" spans="16:16">
      <c r="P7874" s="594"/>
    </row>
    <row r="7875" spans="16:16">
      <c r="P7875" s="594"/>
    </row>
    <row r="7876" spans="16:16">
      <c r="P7876" s="594"/>
    </row>
    <row r="7877" spans="16:16">
      <c r="P7877" s="594"/>
    </row>
    <row r="7878" spans="16:16">
      <c r="P7878" s="594"/>
    </row>
    <row r="7879" spans="16:16">
      <c r="P7879" s="594"/>
    </row>
    <row r="7880" spans="16:16">
      <c r="P7880" s="594"/>
    </row>
    <row r="7881" spans="16:16">
      <c r="P7881" s="594"/>
    </row>
    <row r="7882" spans="16:16">
      <c r="P7882" s="594"/>
    </row>
    <row r="7883" spans="16:16">
      <c r="P7883" s="594"/>
    </row>
    <row r="7884" spans="16:16">
      <c r="P7884" s="594"/>
    </row>
    <row r="7885" spans="16:16">
      <c r="P7885" s="594"/>
    </row>
    <row r="7886" spans="16:16">
      <c r="P7886" s="594"/>
    </row>
    <row r="7887" spans="16:16">
      <c r="P7887" s="594"/>
    </row>
    <row r="7888" spans="16:16">
      <c r="P7888" s="594"/>
    </row>
    <row r="7889" spans="16:16">
      <c r="P7889" s="594"/>
    </row>
    <row r="7890" spans="16:16">
      <c r="P7890" s="594"/>
    </row>
    <row r="7891" spans="16:16">
      <c r="P7891" s="594"/>
    </row>
    <row r="7892" spans="16:16">
      <c r="P7892" s="594"/>
    </row>
    <row r="7893" spans="16:16">
      <c r="P7893" s="594"/>
    </row>
    <row r="7894" spans="16:16">
      <c r="P7894" s="594"/>
    </row>
    <row r="7895" spans="16:16">
      <c r="P7895" s="594"/>
    </row>
    <row r="7896" spans="16:16">
      <c r="P7896" s="594"/>
    </row>
    <row r="7897" spans="16:16">
      <c r="P7897" s="594"/>
    </row>
    <row r="7898" spans="16:16">
      <c r="P7898" s="594"/>
    </row>
    <row r="7899" spans="16:16">
      <c r="P7899" s="594"/>
    </row>
    <row r="7900" spans="16:16">
      <c r="P7900" s="594"/>
    </row>
    <row r="7901" spans="16:16">
      <c r="P7901" s="594"/>
    </row>
    <row r="7902" spans="16:16">
      <c r="P7902" s="594"/>
    </row>
    <row r="7903" spans="16:16">
      <c r="P7903" s="594"/>
    </row>
    <row r="7904" spans="16:16">
      <c r="P7904" s="594"/>
    </row>
    <row r="7905" spans="16:16">
      <c r="P7905" s="594"/>
    </row>
    <row r="7906" spans="16:16">
      <c r="P7906" s="594"/>
    </row>
    <row r="7907" spans="16:16">
      <c r="P7907" s="594"/>
    </row>
    <row r="7908" spans="16:16">
      <c r="P7908" s="594"/>
    </row>
    <row r="7909" spans="16:16">
      <c r="P7909" s="594"/>
    </row>
    <row r="7910" spans="16:16">
      <c r="P7910" s="594"/>
    </row>
    <row r="7911" spans="16:16">
      <c r="P7911" s="594"/>
    </row>
    <row r="7912" spans="16:16">
      <c r="P7912" s="594"/>
    </row>
    <row r="7913" spans="16:16">
      <c r="P7913" s="594"/>
    </row>
    <row r="7914" spans="16:16">
      <c r="P7914" s="594"/>
    </row>
    <row r="7915" spans="16:16">
      <c r="P7915" s="594"/>
    </row>
    <row r="7916" spans="16:16">
      <c r="P7916" s="594"/>
    </row>
    <row r="7917" spans="16:16">
      <c r="P7917" s="594"/>
    </row>
    <row r="7918" spans="16:16">
      <c r="P7918" s="594"/>
    </row>
    <row r="7919" spans="16:16">
      <c r="P7919" s="594"/>
    </row>
    <row r="7920" spans="16:16">
      <c r="P7920" s="594"/>
    </row>
    <row r="7921" spans="16:16">
      <c r="P7921" s="594"/>
    </row>
    <row r="7922" spans="16:16">
      <c r="P7922" s="594"/>
    </row>
    <row r="7923" spans="16:16">
      <c r="P7923" s="594"/>
    </row>
    <row r="7924" spans="16:16">
      <c r="P7924" s="594"/>
    </row>
    <row r="7925" spans="16:16">
      <c r="P7925" s="594"/>
    </row>
    <row r="7926" spans="16:16">
      <c r="P7926" s="594"/>
    </row>
    <row r="7927" spans="16:16">
      <c r="P7927" s="594"/>
    </row>
    <row r="7928" spans="16:16">
      <c r="P7928" s="594"/>
    </row>
    <row r="7929" spans="16:16">
      <c r="P7929" s="594"/>
    </row>
    <row r="7930" spans="16:16">
      <c r="P7930" s="594"/>
    </row>
    <row r="7931" spans="16:16">
      <c r="P7931" s="594"/>
    </row>
    <row r="7932" spans="16:16">
      <c r="P7932" s="594"/>
    </row>
    <row r="7933" spans="16:16">
      <c r="P7933" s="594"/>
    </row>
    <row r="7934" spans="16:16">
      <c r="P7934" s="594"/>
    </row>
    <row r="7935" spans="16:16">
      <c r="P7935" s="594"/>
    </row>
    <row r="7936" spans="16:16">
      <c r="P7936" s="594"/>
    </row>
    <row r="7937" spans="16:16">
      <c r="P7937" s="594"/>
    </row>
    <row r="7938" spans="16:16">
      <c r="P7938" s="594"/>
    </row>
    <row r="7939" spans="16:16">
      <c r="P7939" s="594"/>
    </row>
    <row r="7940" spans="16:16">
      <c r="P7940" s="594"/>
    </row>
    <row r="7941" spans="16:16">
      <c r="P7941" s="594"/>
    </row>
    <row r="7942" spans="16:16">
      <c r="P7942" s="594"/>
    </row>
    <row r="7943" spans="16:16">
      <c r="P7943" s="594"/>
    </row>
    <row r="7944" spans="16:16">
      <c r="P7944" s="594"/>
    </row>
    <row r="7945" spans="16:16">
      <c r="P7945" s="594"/>
    </row>
    <row r="7946" spans="16:16">
      <c r="P7946" s="594"/>
    </row>
    <row r="7947" spans="16:16">
      <c r="P7947" s="594"/>
    </row>
    <row r="7948" spans="16:16">
      <c r="P7948" s="594"/>
    </row>
    <row r="7949" spans="16:16">
      <c r="P7949" s="594"/>
    </row>
    <row r="7950" spans="16:16">
      <c r="P7950" s="594"/>
    </row>
    <row r="7951" spans="16:16">
      <c r="P7951" s="594"/>
    </row>
    <row r="7952" spans="16:16">
      <c r="P7952" s="594"/>
    </row>
    <row r="7953" spans="16:16">
      <c r="P7953" s="594"/>
    </row>
    <row r="7954" spans="16:16">
      <c r="P7954" s="594"/>
    </row>
    <row r="7955" spans="16:16">
      <c r="P7955" s="594"/>
    </row>
    <row r="7956" spans="16:16">
      <c r="P7956" s="594"/>
    </row>
    <row r="7957" spans="16:16">
      <c r="P7957" s="594"/>
    </row>
    <row r="7958" spans="16:16">
      <c r="P7958" s="594"/>
    </row>
    <row r="7959" spans="16:16">
      <c r="P7959" s="594"/>
    </row>
    <row r="7960" spans="16:16">
      <c r="P7960" s="594"/>
    </row>
    <row r="7961" spans="16:16">
      <c r="P7961" s="594"/>
    </row>
    <row r="7962" spans="16:16">
      <c r="P7962" s="594"/>
    </row>
    <row r="7963" spans="16:16">
      <c r="P7963" s="594"/>
    </row>
    <row r="7964" spans="16:16">
      <c r="P7964" s="594"/>
    </row>
    <row r="7965" spans="16:16">
      <c r="P7965" s="594"/>
    </row>
    <row r="7966" spans="16:16">
      <c r="P7966" s="594"/>
    </row>
    <row r="7967" spans="16:16">
      <c r="P7967" s="594"/>
    </row>
    <row r="7968" spans="16:16">
      <c r="P7968" s="594"/>
    </row>
    <row r="7969" spans="16:16">
      <c r="P7969" s="594"/>
    </row>
    <row r="7970" spans="16:16">
      <c r="P7970" s="594"/>
    </row>
    <row r="7971" spans="16:16">
      <c r="P7971" s="594"/>
    </row>
    <row r="7972" spans="16:16">
      <c r="P7972" s="594"/>
    </row>
    <row r="7973" spans="16:16">
      <c r="P7973" s="594"/>
    </row>
    <row r="7974" spans="16:16">
      <c r="P7974" s="594"/>
    </row>
    <row r="7975" spans="16:16">
      <c r="P7975" s="594"/>
    </row>
    <row r="7976" spans="16:16">
      <c r="P7976" s="594"/>
    </row>
    <row r="7977" spans="16:16">
      <c r="P7977" s="594"/>
    </row>
    <row r="7978" spans="16:16">
      <c r="P7978" s="594"/>
    </row>
    <row r="7979" spans="16:16">
      <c r="P7979" s="594"/>
    </row>
    <row r="7980" spans="16:16">
      <c r="P7980" s="594"/>
    </row>
    <row r="7981" spans="16:16">
      <c r="P7981" s="594"/>
    </row>
    <row r="7982" spans="16:16">
      <c r="P7982" s="594"/>
    </row>
    <row r="7983" spans="16:16">
      <c r="P7983" s="594"/>
    </row>
    <row r="7984" spans="16:16">
      <c r="P7984" s="594"/>
    </row>
    <row r="7985" spans="16:16">
      <c r="P7985" s="594"/>
    </row>
    <row r="7986" spans="16:16">
      <c r="P7986" s="594"/>
    </row>
    <row r="7987" spans="16:16">
      <c r="P7987" s="594"/>
    </row>
    <row r="7988" spans="16:16">
      <c r="P7988" s="594"/>
    </row>
    <row r="7989" spans="16:16">
      <c r="P7989" s="594"/>
    </row>
    <row r="7990" spans="16:16">
      <c r="P7990" s="594"/>
    </row>
    <row r="7991" spans="16:16">
      <c r="P7991" s="594"/>
    </row>
    <row r="7992" spans="16:16">
      <c r="P7992" s="594"/>
    </row>
    <row r="7993" spans="16:16">
      <c r="P7993" s="594"/>
    </row>
    <row r="7994" spans="16:16">
      <c r="P7994" s="594"/>
    </row>
    <row r="7995" spans="16:16">
      <c r="P7995" s="594"/>
    </row>
    <row r="7996" spans="16:16">
      <c r="P7996" s="594"/>
    </row>
    <row r="7997" spans="16:16">
      <c r="P7997" s="594"/>
    </row>
    <row r="7998" spans="16:16">
      <c r="P7998" s="594"/>
    </row>
    <row r="7999" spans="16:16">
      <c r="P7999" s="594"/>
    </row>
    <row r="8000" spans="16:16">
      <c r="P8000" s="594"/>
    </row>
    <row r="8001" spans="16:16">
      <c r="P8001" s="594"/>
    </row>
    <row r="8002" spans="16:16">
      <c r="P8002" s="594"/>
    </row>
    <row r="8003" spans="16:16">
      <c r="P8003" s="594"/>
    </row>
    <row r="8004" spans="16:16">
      <c r="P8004" s="594"/>
    </row>
    <row r="8005" spans="16:16">
      <c r="P8005" s="594"/>
    </row>
    <row r="8006" spans="16:16">
      <c r="P8006" s="594"/>
    </row>
    <row r="8007" spans="16:16">
      <c r="P8007" s="594"/>
    </row>
    <row r="8008" spans="16:16">
      <c r="P8008" s="594"/>
    </row>
    <row r="8009" spans="16:16">
      <c r="P8009" s="594"/>
    </row>
    <row r="8010" spans="16:16">
      <c r="P8010" s="594"/>
    </row>
    <row r="8011" spans="16:16">
      <c r="P8011" s="594"/>
    </row>
    <row r="8012" spans="16:16">
      <c r="P8012" s="594"/>
    </row>
    <row r="8013" spans="16:16">
      <c r="P8013" s="594"/>
    </row>
    <row r="8014" spans="16:16">
      <c r="P8014" s="594"/>
    </row>
    <row r="8015" spans="16:16">
      <c r="P8015" s="594"/>
    </row>
    <row r="8016" spans="16:16">
      <c r="P8016" s="594"/>
    </row>
    <row r="8017" spans="16:16">
      <c r="P8017" s="594"/>
    </row>
    <row r="8018" spans="16:16">
      <c r="P8018" s="594"/>
    </row>
    <row r="8019" spans="16:16">
      <c r="P8019" s="594"/>
    </row>
    <row r="8020" spans="16:16">
      <c r="P8020" s="594"/>
    </row>
    <row r="8021" spans="16:16">
      <c r="P8021" s="594"/>
    </row>
    <row r="8022" spans="16:16">
      <c r="P8022" s="594"/>
    </row>
    <row r="8023" spans="16:16">
      <c r="P8023" s="594"/>
    </row>
    <row r="8024" spans="16:16">
      <c r="P8024" s="594"/>
    </row>
    <row r="8025" spans="16:16">
      <c r="P8025" s="594"/>
    </row>
    <row r="8026" spans="16:16">
      <c r="P8026" s="594"/>
    </row>
    <row r="8027" spans="16:16">
      <c r="P8027" s="594"/>
    </row>
    <row r="8028" spans="16:16">
      <c r="P8028" s="594"/>
    </row>
    <row r="8029" spans="16:16">
      <c r="P8029" s="594"/>
    </row>
    <row r="8030" spans="16:16">
      <c r="P8030" s="594"/>
    </row>
    <row r="8031" spans="16:16">
      <c r="P8031" s="594"/>
    </row>
    <row r="8032" spans="16:16">
      <c r="P8032" s="594"/>
    </row>
    <row r="8033" spans="16:16">
      <c r="P8033" s="594"/>
    </row>
    <row r="8034" spans="16:16">
      <c r="P8034" s="594"/>
    </row>
    <row r="8035" spans="16:16">
      <c r="P8035" s="594"/>
    </row>
    <row r="8036" spans="16:16">
      <c r="P8036" s="594"/>
    </row>
    <row r="8037" spans="16:16">
      <c r="P8037" s="594"/>
    </row>
    <row r="8038" spans="16:16">
      <c r="P8038" s="594"/>
    </row>
    <row r="8039" spans="16:16">
      <c r="P8039" s="594"/>
    </row>
    <row r="8040" spans="16:16">
      <c r="P8040" s="594"/>
    </row>
    <row r="8041" spans="16:16">
      <c r="P8041" s="594"/>
    </row>
    <row r="8042" spans="16:16">
      <c r="P8042" s="594"/>
    </row>
    <row r="8043" spans="16:16">
      <c r="P8043" s="594"/>
    </row>
    <row r="8044" spans="16:16">
      <c r="P8044" s="594"/>
    </row>
    <row r="8045" spans="16:16">
      <c r="P8045" s="594"/>
    </row>
    <row r="8046" spans="16:16">
      <c r="P8046" s="594"/>
    </row>
    <row r="8047" spans="16:16">
      <c r="P8047" s="594"/>
    </row>
    <row r="8048" spans="16:16">
      <c r="P8048" s="594"/>
    </row>
    <row r="8049" spans="16:16">
      <c r="P8049" s="594"/>
    </row>
    <row r="8050" spans="16:16">
      <c r="P8050" s="594"/>
    </row>
    <row r="8051" spans="16:16">
      <c r="P8051" s="594"/>
    </row>
    <row r="8052" spans="16:16">
      <c r="P8052" s="594"/>
    </row>
    <row r="8053" spans="16:16">
      <c r="P8053" s="594"/>
    </row>
    <row r="8054" spans="16:16">
      <c r="P8054" s="594"/>
    </row>
    <row r="8055" spans="16:16">
      <c r="P8055" s="594"/>
    </row>
    <row r="8056" spans="16:16">
      <c r="P8056" s="594"/>
    </row>
    <row r="8057" spans="16:16">
      <c r="P8057" s="594"/>
    </row>
    <row r="8058" spans="16:16">
      <c r="P8058" s="594"/>
    </row>
    <row r="8059" spans="16:16">
      <c r="P8059" s="594"/>
    </row>
    <row r="8060" spans="16:16">
      <c r="P8060" s="594"/>
    </row>
    <row r="8061" spans="16:16">
      <c r="P8061" s="594"/>
    </row>
    <row r="8062" spans="16:16">
      <c r="P8062" s="594"/>
    </row>
    <row r="8063" spans="16:16">
      <c r="P8063" s="594"/>
    </row>
    <row r="8064" spans="16:16">
      <c r="P8064" s="594"/>
    </row>
    <row r="8065" spans="16:16">
      <c r="P8065" s="594"/>
    </row>
    <row r="8066" spans="16:16">
      <c r="P8066" s="594"/>
    </row>
    <row r="8067" spans="16:16">
      <c r="P8067" s="594"/>
    </row>
    <row r="8068" spans="16:16">
      <c r="P8068" s="594"/>
    </row>
    <row r="8069" spans="16:16">
      <c r="P8069" s="594"/>
    </row>
    <row r="8070" spans="16:16">
      <c r="P8070" s="594"/>
    </row>
    <row r="8071" spans="16:16">
      <c r="P8071" s="594"/>
    </row>
    <row r="8072" spans="16:16">
      <c r="P8072" s="594"/>
    </row>
    <row r="8073" spans="16:16">
      <c r="P8073" s="594"/>
    </row>
    <row r="8074" spans="16:16">
      <c r="P8074" s="594"/>
    </row>
    <row r="8075" spans="16:16">
      <c r="P8075" s="594"/>
    </row>
    <row r="8076" spans="16:16">
      <c r="P8076" s="594"/>
    </row>
    <row r="8077" spans="16:16">
      <c r="P8077" s="594"/>
    </row>
    <row r="8078" spans="16:16">
      <c r="P8078" s="594"/>
    </row>
    <row r="8079" spans="16:16">
      <c r="P8079" s="594"/>
    </row>
    <row r="8080" spans="16:16">
      <c r="P8080" s="594"/>
    </row>
    <row r="8081" spans="16:16">
      <c r="P8081" s="594"/>
    </row>
    <row r="8082" spans="16:16">
      <c r="P8082" s="594"/>
    </row>
    <row r="8083" spans="16:16">
      <c r="P8083" s="594"/>
    </row>
    <row r="8084" spans="16:16">
      <c r="P8084" s="594"/>
    </row>
    <row r="8085" spans="16:16">
      <c r="P8085" s="594"/>
    </row>
    <row r="8086" spans="16:16">
      <c r="P8086" s="594"/>
    </row>
    <row r="8087" spans="16:16">
      <c r="P8087" s="594"/>
    </row>
    <row r="8088" spans="16:16">
      <c r="P8088" s="594"/>
    </row>
    <row r="8089" spans="16:16">
      <c r="P8089" s="594"/>
    </row>
    <row r="8090" spans="16:16">
      <c r="P8090" s="594"/>
    </row>
    <row r="8091" spans="16:16">
      <c r="P8091" s="594"/>
    </row>
    <row r="8092" spans="16:16">
      <c r="P8092" s="594"/>
    </row>
    <row r="8093" spans="16:16">
      <c r="P8093" s="594"/>
    </row>
    <row r="8094" spans="16:16">
      <c r="P8094" s="594"/>
    </row>
    <row r="8095" spans="16:16">
      <c r="P8095" s="594"/>
    </row>
    <row r="8096" spans="16:16">
      <c r="P8096" s="594"/>
    </row>
    <row r="8097" spans="16:16">
      <c r="P8097" s="594"/>
    </row>
    <row r="8098" spans="16:16">
      <c r="P8098" s="594"/>
    </row>
    <row r="8099" spans="16:16">
      <c r="P8099" s="594"/>
    </row>
    <row r="8100" spans="16:16">
      <c r="P8100" s="594"/>
    </row>
    <row r="8101" spans="16:16">
      <c r="P8101" s="594"/>
    </row>
    <row r="8102" spans="16:16">
      <c r="P8102" s="594"/>
    </row>
    <row r="8103" spans="16:16">
      <c r="P8103" s="594"/>
    </row>
    <row r="8104" spans="16:16">
      <c r="P8104" s="594"/>
    </row>
    <row r="8105" spans="16:16">
      <c r="P8105" s="594"/>
    </row>
    <row r="8106" spans="16:16">
      <c r="P8106" s="594"/>
    </row>
    <row r="8107" spans="16:16">
      <c r="P8107" s="594"/>
    </row>
    <row r="8108" spans="16:16">
      <c r="P8108" s="594"/>
    </row>
    <row r="8109" spans="16:16">
      <c r="P8109" s="594"/>
    </row>
    <row r="8110" spans="16:16">
      <c r="P8110" s="594"/>
    </row>
    <row r="8111" spans="16:16">
      <c r="P8111" s="594"/>
    </row>
    <row r="8112" spans="16:16">
      <c r="P8112" s="594"/>
    </row>
    <row r="8113" spans="16:16">
      <c r="P8113" s="594"/>
    </row>
    <row r="8114" spans="16:16">
      <c r="P8114" s="594"/>
    </row>
    <row r="8115" spans="16:16">
      <c r="P8115" s="594"/>
    </row>
    <row r="8116" spans="16:16">
      <c r="P8116" s="594"/>
    </row>
    <row r="8117" spans="16:16">
      <c r="P8117" s="594"/>
    </row>
    <row r="8118" spans="16:16">
      <c r="P8118" s="594"/>
    </row>
    <row r="8119" spans="16:16">
      <c r="P8119" s="594"/>
    </row>
    <row r="8120" spans="16:16">
      <c r="P8120" s="594"/>
    </row>
    <row r="8121" spans="16:16">
      <c r="P8121" s="594"/>
    </row>
    <row r="8122" spans="16:16">
      <c r="P8122" s="594"/>
    </row>
    <row r="8123" spans="16:16">
      <c r="P8123" s="594"/>
    </row>
    <row r="8124" spans="16:16">
      <c r="P8124" s="594"/>
    </row>
    <row r="8125" spans="16:16">
      <c r="P8125" s="594"/>
    </row>
    <row r="8126" spans="16:16">
      <c r="P8126" s="594"/>
    </row>
    <row r="8127" spans="16:16">
      <c r="P8127" s="594"/>
    </row>
    <row r="8128" spans="16:16">
      <c r="P8128" s="594"/>
    </row>
    <row r="8129" spans="16:16">
      <c r="P8129" s="594"/>
    </row>
    <row r="8130" spans="16:16">
      <c r="P8130" s="594"/>
    </row>
    <row r="8131" spans="16:16">
      <c r="P8131" s="594"/>
    </row>
    <row r="8132" spans="16:16">
      <c r="P8132" s="594"/>
    </row>
    <row r="8133" spans="16:16">
      <c r="P8133" s="594"/>
    </row>
    <row r="8134" spans="16:16">
      <c r="P8134" s="594"/>
    </row>
    <row r="8135" spans="16:16">
      <c r="P8135" s="594"/>
    </row>
    <row r="8136" spans="16:16">
      <c r="P8136" s="594"/>
    </row>
    <row r="8137" spans="16:16">
      <c r="P8137" s="594"/>
    </row>
    <row r="8138" spans="16:16">
      <c r="P8138" s="594"/>
    </row>
    <row r="8139" spans="16:16">
      <c r="P8139" s="594"/>
    </row>
    <row r="8140" spans="16:16">
      <c r="P8140" s="594"/>
    </row>
    <row r="8141" spans="16:16">
      <c r="P8141" s="594"/>
    </row>
    <row r="8142" spans="16:16">
      <c r="P8142" s="594"/>
    </row>
    <row r="8143" spans="16:16">
      <c r="P8143" s="594"/>
    </row>
    <row r="8144" spans="16:16">
      <c r="P8144" s="594"/>
    </row>
    <row r="8145" spans="16:16">
      <c r="P8145" s="594"/>
    </row>
    <row r="8146" spans="16:16">
      <c r="P8146" s="594"/>
    </row>
    <row r="8147" spans="16:16">
      <c r="P8147" s="594"/>
    </row>
    <row r="8148" spans="16:16">
      <c r="P8148" s="594"/>
    </row>
    <row r="8149" spans="16:16">
      <c r="P8149" s="594"/>
    </row>
    <row r="8150" spans="16:16">
      <c r="P8150" s="594"/>
    </row>
    <row r="8151" spans="16:16">
      <c r="P8151" s="594"/>
    </row>
    <row r="8152" spans="16:16">
      <c r="P8152" s="594"/>
    </row>
    <row r="8153" spans="16:16">
      <c r="P8153" s="594"/>
    </row>
    <row r="8154" spans="16:16">
      <c r="P8154" s="594"/>
    </row>
    <row r="8155" spans="16:16">
      <c r="P8155" s="594"/>
    </row>
    <row r="8156" spans="16:16">
      <c r="P8156" s="594"/>
    </row>
    <row r="8157" spans="16:16">
      <c r="P8157" s="594"/>
    </row>
    <row r="8158" spans="16:16">
      <c r="P8158" s="594"/>
    </row>
    <row r="8159" spans="16:16">
      <c r="P8159" s="594"/>
    </row>
    <row r="8160" spans="16:16">
      <c r="P8160" s="594"/>
    </row>
    <row r="8161" spans="16:16">
      <c r="P8161" s="594"/>
    </row>
    <row r="8162" spans="16:16">
      <c r="P8162" s="594"/>
    </row>
    <row r="8163" spans="16:16">
      <c r="P8163" s="594"/>
    </row>
    <row r="8164" spans="16:16">
      <c r="P8164" s="594"/>
    </row>
    <row r="8165" spans="16:16">
      <c r="P8165" s="594"/>
    </row>
    <row r="8166" spans="16:16">
      <c r="P8166" s="594"/>
    </row>
    <row r="8167" spans="16:16">
      <c r="P8167" s="594"/>
    </row>
    <row r="8168" spans="16:16">
      <c r="P8168" s="594"/>
    </row>
    <row r="8169" spans="16:16">
      <c r="P8169" s="594"/>
    </row>
    <row r="8170" spans="16:16">
      <c r="P8170" s="594"/>
    </row>
    <row r="8171" spans="16:16">
      <c r="P8171" s="594"/>
    </row>
    <row r="8172" spans="16:16">
      <c r="P8172" s="594"/>
    </row>
    <row r="8173" spans="16:16">
      <c r="P8173" s="594"/>
    </row>
    <row r="8174" spans="16:16">
      <c r="P8174" s="594"/>
    </row>
    <row r="8175" spans="16:16">
      <c r="P8175" s="594"/>
    </row>
    <row r="8176" spans="16:16">
      <c r="P8176" s="594"/>
    </row>
    <row r="8177" spans="16:16">
      <c r="P8177" s="594"/>
    </row>
    <row r="8178" spans="16:16">
      <c r="P8178" s="594"/>
    </row>
    <row r="8179" spans="16:16">
      <c r="P8179" s="594"/>
    </row>
    <row r="8180" spans="16:16">
      <c r="P8180" s="594"/>
    </row>
    <row r="8181" spans="16:16">
      <c r="P8181" s="594"/>
    </row>
    <row r="8182" spans="16:16">
      <c r="P8182" s="594"/>
    </row>
    <row r="8183" spans="16:16">
      <c r="P8183" s="594"/>
    </row>
    <row r="8184" spans="16:16">
      <c r="P8184" s="594"/>
    </row>
    <row r="8185" spans="16:16">
      <c r="P8185" s="594"/>
    </row>
    <row r="8186" spans="16:16">
      <c r="P8186" s="594"/>
    </row>
    <row r="8187" spans="16:16">
      <c r="P8187" s="594"/>
    </row>
    <row r="8188" spans="16:16">
      <c r="P8188" s="594"/>
    </row>
    <row r="8189" spans="16:16">
      <c r="P8189" s="594"/>
    </row>
    <row r="8190" spans="16:16">
      <c r="P8190" s="594"/>
    </row>
    <row r="8191" spans="16:16">
      <c r="P8191" s="594"/>
    </row>
    <row r="8192" spans="16:16">
      <c r="P8192" s="594"/>
    </row>
    <row r="8193" spans="16:16">
      <c r="P8193" s="594"/>
    </row>
    <row r="8194" spans="16:16">
      <c r="P8194" s="594"/>
    </row>
    <row r="8195" spans="16:16">
      <c r="P8195" s="594"/>
    </row>
    <row r="8196" spans="16:16">
      <c r="P8196" s="594"/>
    </row>
    <row r="8197" spans="16:16">
      <c r="P8197" s="594"/>
    </row>
    <row r="8198" spans="16:16">
      <c r="P8198" s="594"/>
    </row>
    <row r="8199" spans="16:16">
      <c r="P8199" s="594"/>
    </row>
    <row r="8200" spans="16:16">
      <c r="P8200" s="594"/>
    </row>
    <row r="8201" spans="16:16">
      <c r="P8201" s="594"/>
    </row>
    <row r="8202" spans="16:16">
      <c r="P8202" s="594"/>
    </row>
    <row r="8203" spans="16:16">
      <c r="P8203" s="594"/>
    </row>
    <row r="8204" spans="16:16">
      <c r="P8204" s="594"/>
    </row>
    <row r="8205" spans="16:16">
      <c r="P8205" s="594"/>
    </row>
    <row r="8206" spans="16:16">
      <c r="P8206" s="594"/>
    </row>
    <row r="8207" spans="16:16">
      <c r="P8207" s="594"/>
    </row>
    <row r="8208" spans="16:16">
      <c r="P8208" s="594"/>
    </row>
    <row r="8209" spans="16:16">
      <c r="P8209" s="594"/>
    </row>
    <row r="8210" spans="16:16">
      <c r="P8210" s="594"/>
    </row>
    <row r="8211" spans="16:16">
      <c r="P8211" s="594"/>
    </row>
    <row r="8212" spans="16:16">
      <c r="P8212" s="594"/>
    </row>
    <row r="8213" spans="16:16">
      <c r="P8213" s="594"/>
    </row>
    <row r="8214" spans="16:16">
      <c r="P8214" s="594"/>
    </row>
    <row r="8215" spans="16:16">
      <c r="P8215" s="594"/>
    </row>
    <row r="8216" spans="16:16">
      <c r="P8216" s="594"/>
    </row>
    <row r="8217" spans="16:16">
      <c r="P8217" s="594"/>
    </row>
    <row r="8218" spans="16:16">
      <c r="P8218" s="594"/>
    </row>
    <row r="8219" spans="16:16">
      <c r="P8219" s="594"/>
    </row>
    <row r="8220" spans="16:16">
      <c r="P8220" s="594"/>
    </row>
    <row r="8221" spans="16:16">
      <c r="P8221" s="594"/>
    </row>
    <row r="8222" spans="16:16">
      <c r="P8222" s="594"/>
    </row>
    <row r="8223" spans="16:16">
      <c r="P8223" s="594"/>
    </row>
    <row r="8224" spans="16:16">
      <c r="P8224" s="594"/>
    </row>
    <row r="8225" spans="16:16">
      <c r="P8225" s="594"/>
    </row>
    <row r="8226" spans="16:16">
      <c r="P8226" s="594"/>
    </row>
    <row r="8227" spans="16:16">
      <c r="P8227" s="594"/>
    </row>
    <row r="8228" spans="16:16">
      <c r="P8228" s="594"/>
    </row>
    <row r="8229" spans="16:16">
      <c r="P8229" s="594"/>
    </row>
    <row r="8230" spans="16:16">
      <c r="P8230" s="594"/>
    </row>
    <row r="8231" spans="16:16">
      <c r="P8231" s="594"/>
    </row>
    <row r="8232" spans="16:16">
      <c r="P8232" s="594"/>
    </row>
    <row r="8233" spans="16:16">
      <c r="P8233" s="594"/>
    </row>
    <row r="8234" spans="16:16">
      <c r="P8234" s="594"/>
    </row>
    <row r="8235" spans="16:16">
      <c r="P8235" s="594"/>
    </row>
    <row r="8236" spans="16:16">
      <c r="P8236" s="594"/>
    </row>
    <row r="8237" spans="16:16">
      <c r="P8237" s="594"/>
    </row>
    <row r="8238" spans="16:16">
      <c r="P8238" s="594"/>
    </row>
    <row r="8239" spans="16:16">
      <c r="P8239" s="594"/>
    </row>
    <row r="8240" spans="16:16">
      <c r="P8240" s="594"/>
    </row>
    <row r="8241" spans="16:16">
      <c r="P8241" s="594"/>
    </row>
    <row r="8242" spans="16:16">
      <c r="P8242" s="594"/>
    </row>
    <row r="8243" spans="16:16">
      <c r="P8243" s="594"/>
    </row>
    <row r="8244" spans="16:16">
      <c r="P8244" s="594"/>
    </row>
    <row r="8245" spans="16:16">
      <c r="P8245" s="594"/>
    </row>
    <row r="8246" spans="16:16">
      <c r="P8246" s="594"/>
    </row>
    <row r="8247" spans="16:16">
      <c r="P8247" s="594"/>
    </row>
    <row r="8248" spans="16:16">
      <c r="P8248" s="594"/>
    </row>
    <row r="8249" spans="16:16">
      <c r="P8249" s="594"/>
    </row>
    <row r="8250" spans="16:16">
      <c r="P8250" s="594"/>
    </row>
    <row r="8251" spans="16:16">
      <c r="P8251" s="594"/>
    </row>
    <row r="8252" spans="16:16">
      <c r="P8252" s="594"/>
    </row>
    <row r="8253" spans="16:16">
      <c r="P8253" s="594"/>
    </row>
    <row r="8254" spans="16:16">
      <c r="P8254" s="594"/>
    </row>
    <row r="8255" spans="16:16">
      <c r="P8255" s="594"/>
    </row>
    <row r="8256" spans="16:16">
      <c r="P8256" s="594"/>
    </row>
    <row r="8257" spans="16:16">
      <c r="P8257" s="594"/>
    </row>
    <row r="8258" spans="16:16">
      <c r="P8258" s="594"/>
    </row>
    <row r="8259" spans="16:16">
      <c r="P8259" s="594"/>
    </row>
    <row r="8260" spans="16:16">
      <c r="P8260" s="594"/>
    </row>
    <row r="8261" spans="16:16">
      <c r="P8261" s="594"/>
    </row>
    <row r="8262" spans="16:16">
      <c r="P8262" s="594"/>
    </row>
    <row r="8263" spans="16:16">
      <c r="P8263" s="594"/>
    </row>
    <row r="8264" spans="16:16">
      <c r="P8264" s="594"/>
    </row>
    <row r="8265" spans="16:16">
      <c r="P8265" s="594"/>
    </row>
    <row r="8266" spans="16:16">
      <c r="P8266" s="594"/>
    </row>
    <row r="8267" spans="16:16">
      <c r="P8267" s="594"/>
    </row>
    <row r="8268" spans="16:16">
      <c r="P8268" s="594"/>
    </row>
    <row r="8269" spans="16:16">
      <c r="P8269" s="594"/>
    </row>
    <row r="8270" spans="16:16">
      <c r="P8270" s="594"/>
    </row>
    <row r="8271" spans="16:16">
      <c r="P8271" s="594"/>
    </row>
    <row r="8272" spans="16:16">
      <c r="P8272" s="594"/>
    </row>
    <row r="8273" spans="16:16">
      <c r="P8273" s="594"/>
    </row>
    <row r="8274" spans="16:16">
      <c r="P8274" s="594"/>
    </row>
    <row r="8275" spans="16:16">
      <c r="P8275" s="594"/>
    </row>
    <row r="8276" spans="16:16">
      <c r="P8276" s="594"/>
    </row>
    <row r="8277" spans="16:16">
      <c r="P8277" s="594"/>
    </row>
    <row r="8278" spans="16:16">
      <c r="P8278" s="594"/>
    </row>
    <row r="8279" spans="16:16">
      <c r="P8279" s="594"/>
    </row>
    <row r="8280" spans="16:16">
      <c r="P8280" s="594"/>
    </row>
    <row r="8281" spans="16:16">
      <c r="P8281" s="594"/>
    </row>
    <row r="8282" spans="16:16">
      <c r="P8282" s="594"/>
    </row>
    <row r="8283" spans="16:16">
      <c r="P8283" s="594"/>
    </row>
    <row r="8284" spans="16:16">
      <c r="P8284" s="594"/>
    </row>
    <row r="8285" spans="16:16">
      <c r="P8285" s="594"/>
    </row>
    <row r="8286" spans="16:16">
      <c r="P8286" s="594"/>
    </row>
    <row r="8287" spans="16:16">
      <c r="P8287" s="594"/>
    </row>
    <row r="8288" spans="16:16">
      <c r="P8288" s="594"/>
    </row>
    <row r="8289" spans="16:16">
      <c r="P8289" s="594"/>
    </row>
    <row r="8290" spans="16:16">
      <c r="P8290" s="594"/>
    </row>
    <row r="8291" spans="16:16">
      <c r="P8291" s="594"/>
    </row>
    <row r="8292" spans="16:16">
      <c r="P8292" s="594"/>
    </row>
    <row r="8293" spans="16:16">
      <c r="P8293" s="594"/>
    </row>
    <row r="8294" spans="16:16">
      <c r="P8294" s="594"/>
    </row>
    <row r="8295" spans="16:16">
      <c r="P8295" s="594"/>
    </row>
    <row r="8296" spans="16:16">
      <c r="P8296" s="594"/>
    </row>
    <row r="8297" spans="16:16">
      <c r="P8297" s="594"/>
    </row>
    <row r="8298" spans="16:16">
      <c r="P8298" s="594"/>
    </row>
    <row r="8299" spans="16:16">
      <c r="P8299" s="594"/>
    </row>
    <row r="8300" spans="16:16">
      <c r="P8300" s="594"/>
    </row>
    <row r="8301" spans="16:16">
      <c r="P8301" s="594"/>
    </row>
    <row r="8302" spans="16:16">
      <c r="P8302" s="594"/>
    </row>
    <row r="8303" spans="16:16">
      <c r="P8303" s="594"/>
    </row>
    <row r="8304" spans="16:16">
      <c r="P8304" s="594"/>
    </row>
    <row r="8305" spans="16:16">
      <c r="P8305" s="594"/>
    </row>
    <row r="8306" spans="16:16">
      <c r="P8306" s="594"/>
    </row>
    <row r="8307" spans="16:16">
      <c r="P8307" s="594"/>
    </row>
    <row r="8308" spans="16:16">
      <c r="P8308" s="594"/>
    </row>
    <row r="8309" spans="16:16">
      <c r="P8309" s="594"/>
    </row>
    <row r="8310" spans="16:16">
      <c r="P8310" s="594"/>
    </row>
    <row r="8311" spans="16:16">
      <c r="P8311" s="594"/>
    </row>
    <row r="8312" spans="16:16">
      <c r="P8312" s="594"/>
    </row>
    <row r="8313" spans="16:16">
      <c r="P8313" s="594"/>
    </row>
    <row r="8314" spans="16:16">
      <c r="P8314" s="594"/>
    </row>
    <row r="8315" spans="16:16">
      <c r="P8315" s="594"/>
    </row>
    <row r="8316" spans="16:16">
      <c r="P8316" s="594"/>
    </row>
    <row r="8317" spans="16:16">
      <c r="P8317" s="594"/>
    </row>
    <row r="8318" spans="16:16">
      <c r="P8318" s="594"/>
    </row>
    <row r="8319" spans="16:16">
      <c r="P8319" s="594"/>
    </row>
    <row r="8320" spans="16:16">
      <c r="P8320" s="594"/>
    </row>
    <row r="8321" spans="16:16">
      <c r="P8321" s="594"/>
    </row>
    <row r="8322" spans="16:16">
      <c r="P8322" s="594"/>
    </row>
    <row r="8323" spans="16:16">
      <c r="P8323" s="594"/>
    </row>
    <row r="8324" spans="16:16">
      <c r="P8324" s="594"/>
    </row>
    <row r="8325" spans="16:16">
      <c r="P8325" s="594"/>
    </row>
    <row r="8326" spans="16:16">
      <c r="P8326" s="594"/>
    </row>
    <row r="8327" spans="16:16">
      <c r="P8327" s="594"/>
    </row>
    <row r="8328" spans="16:16">
      <c r="P8328" s="594"/>
    </row>
    <row r="8329" spans="16:16">
      <c r="P8329" s="594"/>
    </row>
    <row r="8330" spans="16:16">
      <c r="P8330" s="594"/>
    </row>
    <row r="8331" spans="16:16">
      <c r="P8331" s="594"/>
    </row>
    <row r="8332" spans="16:16">
      <c r="P8332" s="594"/>
    </row>
    <row r="8333" spans="16:16">
      <c r="P8333" s="594"/>
    </row>
    <row r="8334" spans="16:16">
      <c r="P8334" s="594"/>
    </row>
    <row r="8335" spans="16:16">
      <c r="P8335" s="594"/>
    </row>
    <row r="8336" spans="16:16">
      <c r="P8336" s="594"/>
    </row>
    <row r="8337" spans="16:16">
      <c r="P8337" s="594"/>
    </row>
    <row r="8338" spans="16:16">
      <c r="P8338" s="594"/>
    </row>
    <row r="8339" spans="16:16">
      <c r="P8339" s="594"/>
    </row>
    <row r="8340" spans="16:16">
      <c r="P8340" s="594"/>
    </row>
    <row r="8341" spans="16:16">
      <c r="P8341" s="594"/>
    </row>
    <row r="8342" spans="16:16">
      <c r="P8342" s="594"/>
    </row>
    <row r="8343" spans="16:16">
      <c r="P8343" s="594"/>
    </row>
    <row r="8344" spans="16:16">
      <c r="P8344" s="594"/>
    </row>
    <row r="8345" spans="16:16">
      <c r="P8345" s="594"/>
    </row>
    <row r="8346" spans="16:16">
      <c r="P8346" s="594"/>
    </row>
    <row r="8347" spans="16:16">
      <c r="P8347" s="594"/>
    </row>
    <row r="8348" spans="16:16">
      <c r="P8348" s="594"/>
    </row>
    <row r="8349" spans="16:16">
      <c r="P8349" s="594"/>
    </row>
    <row r="8350" spans="16:16">
      <c r="P8350" s="594"/>
    </row>
    <row r="8351" spans="16:16">
      <c r="P8351" s="594"/>
    </row>
    <row r="8352" spans="16:16">
      <c r="P8352" s="594"/>
    </row>
    <row r="8353" spans="16:16">
      <c r="P8353" s="594"/>
    </row>
    <row r="8354" spans="16:16">
      <c r="P8354" s="594"/>
    </row>
    <row r="8355" spans="16:16">
      <c r="P8355" s="594"/>
    </row>
    <row r="8356" spans="16:16">
      <c r="P8356" s="594"/>
    </row>
    <row r="8357" spans="16:16">
      <c r="P8357" s="594"/>
    </row>
    <row r="8358" spans="16:16">
      <c r="P8358" s="594"/>
    </row>
    <row r="8359" spans="16:16">
      <c r="P8359" s="594"/>
    </row>
    <row r="8360" spans="16:16">
      <c r="P8360" s="594"/>
    </row>
    <row r="8361" spans="16:16">
      <c r="P8361" s="594"/>
    </row>
    <row r="8362" spans="16:16">
      <c r="P8362" s="594"/>
    </row>
    <row r="8363" spans="16:16">
      <c r="P8363" s="594"/>
    </row>
    <row r="8364" spans="16:16">
      <c r="P8364" s="594"/>
    </row>
    <row r="8365" spans="16:16">
      <c r="P8365" s="594"/>
    </row>
    <row r="8366" spans="16:16">
      <c r="P8366" s="594"/>
    </row>
    <row r="8367" spans="16:16">
      <c r="P8367" s="594"/>
    </row>
    <row r="8368" spans="16:16">
      <c r="P8368" s="594"/>
    </row>
    <row r="8369" spans="16:16">
      <c r="P8369" s="594"/>
    </row>
    <row r="8370" spans="16:16">
      <c r="P8370" s="594"/>
    </row>
    <row r="8371" spans="16:16">
      <c r="P8371" s="594"/>
    </row>
    <row r="8372" spans="16:16">
      <c r="P8372" s="594"/>
    </row>
    <row r="8373" spans="16:16">
      <c r="P8373" s="594"/>
    </row>
    <row r="8374" spans="16:16">
      <c r="P8374" s="594"/>
    </row>
    <row r="8375" spans="16:16">
      <c r="P8375" s="594"/>
    </row>
    <row r="8376" spans="16:16">
      <c r="P8376" s="594"/>
    </row>
    <row r="8377" spans="16:16">
      <c r="P8377" s="594"/>
    </row>
    <row r="8378" spans="16:16">
      <c r="P8378" s="594"/>
    </row>
    <row r="8379" spans="16:16">
      <c r="P8379" s="594"/>
    </row>
    <row r="8380" spans="16:16">
      <c r="P8380" s="594"/>
    </row>
    <row r="8381" spans="16:16">
      <c r="P8381" s="594"/>
    </row>
    <row r="8382" spans="16:16">
      <c r="P8382" s="594"/>
    </row>
    <row r="8383" spans="16:16">
      <c r="P8383" s="594"/>
    </row>
    <row r="8384" spans="16:16">
      <c r="P8384" s="594"/>
    </row>
    <row r="8385" spans="16:16">
      <c r="P8385" s="594"/>
    </row>
    <row r="8386" spans="16:16">
      <c r="P8386" s="594"/>
    </row>
    <row r="8387" spans="16:16">
      <c r="P8387" s="594"/>
    </row>
    <row r="8388" spans="16:16">
      <c r="P8388" s="594"/>
    </row>
    <row r="8389" spans="16:16">
      <c r="P8389" s="594"/>
    </row>
    <row r="8390" spans="16:16">
      <c r="P8390" s="594"/>
    </row>
    <row r="8391" spans="16:16">
      <c r="P8391" s="594"/>
    </row>
    <row r="8392" spans="16:16">
      <c r="P8392" s="594"/>
    </row>
    <row r="8393" spans="16:16">
      <c r="P8393" s="594"/>
    </row>
    <row r="8394" spans="16:16">
      <c r="P8394" s="594"/>
    </row>
    <row r="8395" spans="16:16">
      <c r="P8395" s="594"/>
    </row>
    <row r="8396" spans="16:16">
      <c r="P8396" s="594"/>
    </row>
    <row r="8397" spans="16:16">
      <c r="P8397" s="594"/>
    </row>
    <row r="8398" spans="16:16">
      <c r="P8398" s="594"/>
    </row>
    <row r="8399" spans="16:16">
      <c r="P8399" s="594"/>
    </row>
    <row r="8400" spans="16:16">
      <c r="P8400" s="594"/>
    </row>
    <row r="8401" spans="16:16">
      <c r="P8401" s="594"/>
    </row>
    <row r="8402" spans="16:16">
      <c r="P8402" s="594"/>
    </row>
    <row r="8403" spans="16:16">
      <c r="P8403" s="594"/>
    </row>
    <row r="8404" spans="16:16">
      <c r="P8404" s="594"/>
    </row>
    <row r="8405" spans="16:16">
      <c r="P8405" s="594"/>
    </row>
    <row r="8406" spans="16:16">
      <c r="P8406" s="594"/>
    </row>
    <row r="8407" spans="16:16">
      <c r="P8407" s="594"/>
    </row>
    <row r="8408" spans="16:16">
      <c r="P8408" s="594"/>
    </row>
    <row r="8409" spans="16:16">
      <c r="P8409" s="594"/>
    </row>
    <row r="8410" spans="16:16">
      <c r="P8410" s="594"/>
    </row>
    <row r="8411" spans="16:16">
      <c r="P8411" s="594"/>
    </row>
    <row r="8412" spans="16:16">
      <c r="P8412" s="594"/>
    </row>
    <row r="8413" spans="16:16">
      <c r="P8413" s="594"/>
    </row>
    <row r="8414" spans="16:16">
      <c r="P8414" s="594"/>
    </row>
    <row r="8415" spans="16:16">
      <c r="P8415" s="594"/>
    </row>
    <row r="8416" spans="16:16">
      <c r="P8416" s="594"/>
    </row>
    <row r="8417" spans="16:16">
      <c r="P8417" s="594"/>
    </row>
    <row r="8418" spans="16:16">
      <c r="P8418" s="594"/>
    </row>
    <row r="8419" spans="16:16">
      <c r="P8419" s="594"/>
    </row>
    <row r="8420" spans="16:16">
      <c r="P8420" s="594"/>
    </row>
    <row r="8421" spans="16:16">
      <c r="P8421" s="594"/>
    </row>
    <row r="8422" spans="16:16">
      <c r="P8422" s="594"/>
    </row>
    <row r="8423" spans="16:16">
      <c r="P8423" s="594"/>
    </row>
    <row r="8424" spans="16:16">
      <c r="P8424" s="594"/>
    </row>
    <row r="8425" spans="16:16">
      <c r="P8425" s="594"/>
    </row>
    <row r="8426" spans="16:16">
      <c r="P8426" s="594"/>
    </row>
    <row r="8427" spans="16:16">
      <c r="P8427" s="594"/>
    </row>
    <row r="8428" spans="16:16">
      <c r="P8428" s="594"/>
    </row>
    <row r="8429" spans="16:16">
      <c r="P8429" s="594"/>
    </row>
    <row r="8430" spans="16:16">
      <c r="P8430" s="594"/>
    </row>
    <row r="8431" spans="16:16">
      <c r="P8431" s="594"/>
    </row>
    <row r="8432" spans="16:16">
      <c r="P8432" s="594"/>
    </row>
    <row r="8433" spans="16:16">
      <c r="P8433" s="594"/>
    </row>
    <row r="8434" spans="16:16">
      <c r="P8434" s="594"/>
    </row>
    <row r="8435" spans="16:16">
      <c r="P8435" s="594"/>
    </row>
    <row r="8436" spans="16:16">
      <c r="P8436" s="594"/>
    </row>
    <row r="8437" spans="16:16">
      <c r="P8437" s="594"/>
    </row>
    <row r="8438" spans="16:16">
      <c r="P8438" s="594"/>
    </row>
    <row r="8439" spans="16:16">
      <c r="P8439" s="594"/>
    </row>
    <row r="8440" spans="16:16">
      <c r="P8440" s="594"/>
    </row>
    <row r="8441" spans="16:16">
      <c r="P8441" s="594"/>
    </row>
    <row r="8442" spans="16:16">
      <c r="P8442" s="594"/>
    </row>
    <row r="8443" spans="16:16">
      <c r="P8443" s="594"/>
    </row>
    <row r="8444" spans="16:16">
      <c r="P8444" s="594"/>
    </row>
    <row r="8445" spans="16:16">
      <c r="P8445" s="594"/>
    </row>
    <row r="8446" spans="16:16">
      <c r="P8446" s="594"/>
    </row>
    <row r="8447" spans="16:16">
      <c r="P8447" s="594"/>
    </row>
    <row r="8448" spans="16:16">
      <c r="P8448" s="594"/>
    </row>
    <row r="8449" spans="16:16">
      <c r="P8449" s="594"/>
    </row>
    <row r="8450" spans="16:16">
      <c r="P8450" s="594"/>
    </row>
    <row r="8451" spans="16:16">
      <c r="P8451" s="594"/>
    </row>
    <row r="8452" spans="16:16">
      <c r="P8452" s="594"/>
    </row>
    <row r="8453" spans="16:16">
      <c r="P8453" s="594"/>
    </row>
    <row r="8454" spans="16:16">
      <c r="P8454" s="594"/>
    </row>
    <row r="8455" spans="16:16">
      <c r="P8455" s="594"/>
    </row>
    <row r="8456" spans="16:16">
      <c r="P8456" s="594"/>
    </row>
    <row r="8457" spans="16:16">
      <c r="P8457" s="594"/>
    </row>
    <row r="8458" spans="16:16">
      <c r="P8458" s="594"/>
    </row>
    <row r="8459" spans="16:16">
      <c r="P8459" s="594"/>
    </row>
    <row r="8460" spans="16:16">
      <c r="P8460" s="594"/>
    </row>
    <row r="8461" spans="16:16">
      <c r="P8461" s="594"/>
    </row>
    <row r="8462" spans="16:16">
      <c r="P8462" s="594"/>
    </row>
    <row r="8463" spans="16:16">
      <c r="P8463" s="594"/>
    </row>
    <row r="8464" spans="16:16">
      <c r="P8464" s="594"/>
    </row>
    <row r="8465" spans="16:16">
      <c r="P8465" s="594"/>
    </row>
    <row r="8466" spans="16:16">
      <c r="P8466" s="594"/>
    </row>
    <row r="8467" spans="16:16">
      <c r="P8467" s="594"/>
    </row>
    <row r="8468" spans="16:16">
      <c r="P8468" s="594"/>
    </row>
    <row r="8469" spans="16:16">
      <c r="P8469" s="594"/>
    </row>
    <row r="8470" spans="16:16">
      <c r="P8470" s="594"/>
    </row>
    <row r="8471" spans="16:16">
      <c r="P8471" s="594"/>
    </row>
    <row r="8472" spans="16:16">
      <c r="P8472" s="594"/>
    </row>
    <row r="8473" spans="16:16">
      <c r="P8473" s="594"/>
    </row>
    <row r="8474" spans="16:16">
      <c r="P8474" s="594"/>
    </row>
    <row r="8475" spans="16:16">
      <c r="P8475" s="594"/>
    </row>
    <row r="8476" spans="16:16">
      <c r="P8476" s="594"/>
    </row>
    <row r="8477" spans="16:16">
      <c r="P8477" s="594"/>
    </row>
    <row r="8478" spans="16:16">
      <c r="P8478" s="594"/>
    </row>
    <row r="8479" spans="16:16">
      <c r="P8479" s="594"/>
    </row>
    <row r="8480" spans="16:16">
      <c r="P8480" s="594"/>
    </row>
    <row r="8481" spans="16:16">
      <c r="P8481" s="594"/>
    </row>
    <row r="8482" spans="16:16">
      <c r="P8482" s="594"/>
    </row>
    <row r="8483" spans="16:16">
      <c r="P8483" s="594"/>
    </row>
    <row r="8484" spans="16:16">
      <c r="P8484" s="594"/>
    </row>
    <row r="8485" spans="16:16">
      <c r="P8485" s="594"/>
    </row>
    <row r="8486" spans="16:16">
      <c r="P8486" s="594"/>
    </row>
    <row r="8487" spans="16:16">
      <c r="P8487" s="594"/>
    </row>
    <row r="8488" spans="16:16">
      <c r="P8488" s="594"/>
    </row>
    <row r="8489" spans="16:16">
      <c r="P8489" s="594"/>
    </row>
    <row r="8490" spans="16:16">
      <c r="P8490" s="594"/>
    </row>
    <row r="8491" spans="16:16">
      <c r="P8491" s="594"/>
    </row>
    <row r="8492" spans="16:16">
      <c r="P8492" s="594"/>
    </row>
    <row r="8493" spans="16:16">
      <c r="P8493" s="594"/>
    </row>
    <row r="8494" spans="16:16">
      <c r="P8494" s="594"/>
    </row>
    <row r="8495" spans="16:16">
      <c r="P8495" s="594"/>
    </row>
    <row r="8496" spans="16:16">
      <c r="P8496" s="594"/>
    </row>
    <row r="8497" spans="16:16">
      <c r="P8497" s="594"/>
    </row>
    <row r="8498" spans="16:16">
      <c r="P8498" s="594"/>
    </row>
    <row r="8499" spans="16:16">
      <c r="P8499" s="594"/>
    </row>
    <row r="8500" spans="16:16">
      <c r="P8500" s="594"/>
    </row>
    <row r="8501" spans="16:16">
      <c r="P8501" s="594"/>
    </row>
    <row r="8502" spans="16:16">
      <c r="P8502" s="594"/>
    </row>
    <row r="8503" spans="16:16">
      <c r="P8503" s="594"/>
    </row>
    <row r="8504" spans="16:16">
      <c r="P8504" s="594"/>
    </row>
    <row r="8505" spans="16:16">
      <c r="P8505" s="594"/>
    </row>
    <row r="8506" spans="16:16">
      <c r="P8506" s="594"/>
    </row>
    <row r="8507" spans="16:16">
      <c r="P8507" s="594"/>
    </row>
    <row r="8508" spans="16:16">
      <c r="P8508" s="594"/>
    </row>
    <row r="8509" spans="16:16">
      <c r="P8509" s="594"/>
    </row>
    <row r="8510" spans="16:16">
      <c r="P8510" s="594"/>
    </row>
    <row r="8511" spans="16:16">
      <c r="P8511" s="594"/>
    </row>
    <row r="8512" spans="16:16">
      <c r="P8512" s="594"/>
    </row>
    <row r="8513" spans="16:16">
      <c r="P8513" s="594"/>
    </row>
    <row r="8514" spans="16:16">
      <c r="P8514" s="594"/>
    </row>
    <row r="8515" spans="16:16">
      <c r="P8515" s="594"/>
    </row>
    <row r="8516" spans="16:16">
      <c r="P8516" s="594"/>
    </row>
    <row r="8517" spans="16:16">
      <c r="P8517" s="594"/>
    </row>
    <row r="8518" spans="16:16">
      <c r="P8518" s="594"/>
    </row>
    <row r="8519" spans="16:16">
      <c r="P8519" s="594"/>
    </row>
    <row r="8520" spans="16:16">
      <c r="P8520" s="594"/>
    </row>
    <row r="8521" spans="16:16">
      <c r="P8521" s="594"/>
    </row>
    <row r="8522" spans="16:16">
      <c r="P8522" s="594"/>
    </row>
    <row r="8523" spans="16:16">
      <c r="P8523" s="594"/>
    </row>
    <row r="8524" spans="16:16">
      <c r="P8524" s="594"/>
    </row>
    <row r="8525" spans="16:16">
      <c r="P8525" s="594"/>
    </row>
    <row r="8526" spans="16:16">
      <c r="P8526" s="594"/>
    </row>
    <row r="8527" spans="16:16">
      <c r="P8527" s="594"/>
    </row>
    <row r="8528" spans="16:16">
      <c r="P8528" s="594"/>
    </row>
    <row r="8529" spans="16:16">
      <c r="P8529" s="594"/>
    </row>
    <row r="8530" spans="16:16">
      <c r="P8530" s="594"/>
    </row>
    <row r="8531" spans="16:16">
      <c r="P8531" s="594"/>
    </row>
    <row r="8532" spans="16:16">
      <c r="P8532" s="594"/>
    </row>
    <row r="8533" spans="16:16">
      <c r="P8533" s="594"/>
    </row>
    <row r="8534" spans="16:16">
      <c r="P8534" s="594"/>
    </row>
    <row r="8535" spans="16:16">
      <c r="P8535" s="594"/>
    </row>
    <row r="8536" spans="16:16">
      <c r="P8536" s="594"/>
    </row>
    <row r="8537" spans="16:16">
      <c r="P8537" s="594"/>
    </row>
    <row r="8538" spans="16:16">
      <c r="P8538" s="594"/>
    </row>
    <row r="8539" spans="16:16">
      <c r="P8539" s="594"/>
    </row>
    <row r="8540" spans="16:16">
      <c r="P8540" s="594"/>
    </row>
    <row r="8541" spans="16:16">
      <c r="P8541" s="594"/>
    </row>
    <row r="8542" spans="16:16">
      <c r="P8542" s="594"/>
    </row>
    <row r="8543" spans="16:16">
      <c r="P8543" s="594"/>
    </row>
    <row r="8544" spans="16:16">
      <c r="P8544" s="594"/>
    </row>
    <row r="8545" spans="16:16">
      <c r="P8545" s="594"/>
    </row>
    <row r="8546" spans="16:16">
      <c r="P8546" s="594"/>
    </row>
    <row r="8547" spans="16:16">
      <c r="P8547" s="594"/>
    </row>
    <row r="8548" spans="16:16">
      <c r="P8548" s="594"/>
    </row>
    <row r="8549" spans="16:16">
      <c r="P8549" s="594"/>
    </row>
    <row r="8550" spans="16:16">
      <c r="P8550" s="594"/>
    </row>
    <row r="8551" spans="16:16">
      <c r="P8551" s="594"/>
    </row>
    <row r="8552" spans="16:16">
      <c r="P8552" s="594"/>
    </row>
    <row r="8553" spans="16:16">
      <c r="P8553" s="594"/>
    </row>
    <row r="8554" spans="16:16">
      <c r="P8554" s="594"/>
    </row>
    <row r="8555" spans="16:16">
      <c r="P8555" s="594"/>
    </row>
    <row r="8556" spans="16:16">
      <c r="P8556" s="594"/>
    </row>
    <row r="8557" spans="16:16">
      <c r="P8557" s="594"/>
    </row>
    <row r="8558" spans="16:16">
      <c r="P8558" s="594"/>
    </row>
    <row r="8559" spans="16:16">
      <c r="P8559" s="594"/>
    </row>
    <row r="8560" spans="16:16">
      <c r="P8560" s="594"/>
    </row>
    <row r="8561" spans="16:16">
      <c r="P8561" s="594"/>
    </row>
    <row r="8562" spans="16:16">
      <c r="P8562" s="594"/>
    </row>
    <row r="8563" spans="16:16">
      <c r="P8563" s="594"/>
    </row>
    <row r="8564" spans="16:16">
      <c r="P8564" s="594"/>
    </row>
    <row r="8565" spans="16:16">
      <c r="P8565" s="594"/>
    </row>
    <row r="8566" spans="16:16">
      <c r="P8566" s="594"/>
    </row>
    <row r="8567" spans="16:16">
      <c r="P8567" s="594"/>
    </row>
    <row r="8568" spans="16:16">
      <c r="P8568" s="594"/>
    </row>
    <row r="8569" spans="16:16">
      <c r="P8569" s="594"/>
    </row>
    <row r="8570" spans="16:16">
      <c r="P8570" s="594"/>
    </row>
    <row r="8571" spans="16:16">
      <c r="P8571" s="594"/>
    </row>
    <row r="8572" spans="16:16">
      <c r="P8572" s="594"/>
    </row>
    <row r="8573" spans="16:16">
      <c r="P8573" s="594"/>
    </row>
    <row r="8574" spans="16:16">
      <c r="P8574" s="594"/>
    </row>
    <row r="8575" spans="16:16">
      <c r="P8575" s="594"/>
    </row>
    <row r="8576" spans="16:16">
      <c r="P8576" s="594"/>
    </row>
    <row r="8577" spans="16:16">
      <c r="P8577" s="594"/>
    </row>
    <row r="8578" spans="16:16">
      <c r="P8578" s="594"/>
    </row>
    <row r="8579" spans="16:16">
      <c r="P8579" s="594"/>
    </row>
    <row r="8580" spans="16:16">
      <c r="P8580" s="594"/>
    </row>
    <row r="8581" spans="16:16">
      <c r="P8581" s="594"/>
    </row>
    <row r="8582" spans="16:16">
      <c r="P8582" s="594"/>
    </row>
    <row r="8583" spans="16:16">
      <c r="P8583" s="594"/>
    </row>
    <row r="8584" spans="16:16">
      <c r="P8584" s="594"/>
    </row>
    <row r="8585" spans="16:16">
      <c r="P8585" s="594"/>
    </row>
    <row r="8586" spans="16:16">
      <c r="P8586" s="594"/>
    </row>
    <row r="8587" spans="16:16">
      <c r="P8587" s="594"/>
    </row>
    <row r="8588" spans="16:16">
      <c r="P8588" s="594"/>
    </row>
    <row r="8589" spans="16:16">
      <c r="P8589" s="594"/>
    </row>
    <row r="8590" spans="16:16">
      <c r="P8590" s="594"/>
    </row>
    <row r="8591" spans="16:16">
      <c r="P8591" s="594"/>
    </row>
    <row r="8592" spans="16:16">
      <c r="P8592" s="594"/>
    </row>
    <row r="8593" spans="16:16">
      <c r="P8593" s="594"/>
    </row>
    <row r="8594" spans="16:16">
      <c r="P8594" s="594"/>
    </row>
    <row r="8595" spans="16:16">
      <c r="P8595" s="594"/>
    </row>
    <row r="8596" spans="16:16">
      <c r="P8596" s="594"/>
    </row>
    <row r="8597" spans="16:16">
      <c r="P8597" s="594"/>
    </row>
    <row r="8598" spans="16:16">
      <c r="P8598" s="594"/>
    </row>
    <row r="8599" spans="16:16">
      <c r="P8599" s="594"/>
    </row>
    <row r="8600" spans="16:16">
      <c r="P8600" s="594"/>
    </row>
    <row r="8601" spans="16:16">
      <c r="P8601" s="594"/>
    </row>
    <row r="8602" spans="16:16">
      <c r="P8602" s="594"/>
    </row>
    <row r="8603" spans="16:16">
      <c r="P8603" s="594"/>
    </row>
    <row r="8604" spans="16:16">
      <c r="P8604" s="594"/>
    </row>
    <row r="8605" spans="16:16">
      <c r="P8605" s="594"/>
    </row>
    <row r="8606" spans="16:16">
      <c r="P8606" s="594"/>
    </row>
    <row r="8607" spans="16:16">
      <c r="P8607" s="594"/>
    </row>
    <row r="8608" spans="16:16">
      <c r="P8608" s="594"/>
    </row>
    <row r="8609" spans="16:16">
      <c r="P8609" s="594"/>
    </row>
    <row r="8610" spans="16:16">
      <c r="P8610" s="594"/>
    </row>
    <row r="8611" spans="16:16">
      <c r="P8611" s="594"/>
    </row>
    <row r="8612" spans="16:16">
      <c r="P8612" s="594"/>
    </row>
    <row r="8613" spans="16:16">
      <c r="P8613" s="594"/>
    </row>
    <row r="8614" spans="16:16">
      <c r="P8614" s="594"/>
    </row>
    <row r="8615" spans="16:16">
      <c r="P8615" s="594"/>
    </row>
    <row r="8616" spans="16:16">
      <c r="P8616" s="594"/>
    </row>
    <row r="8617" spans="16:16">
      <c r="P8617" s="594"/>
    </row>
    <row r="8618" spans="16:16">
      <c r="P8618" s="594"/>
    </row>
    <row r="8619" spans="16:16">
      <c r="P8619" s="594"/>
    </row>
    <row r="8620" spans="16:16">
      <c r="P8620" s="594"/>
    </row>
    <row r="8621" spans="16:16">
      <c r="P8621" s="594"/>
    </row>
    <row r="8622" spans="16:16">
      <c r="P8622" s="594"/>
    </row>
    <row r="8623" spans="16:16">
      <c r="P8623" s="594"/>
    </row>
    <row r="8624" spans="16:16">
      <c r="P8624" s="594"/>
    </row>
    <row r="8625" spans="16:16">
      <c r="P8625" s="594"/>
    </row>
    <row r="8626" spans="16:16">
      <c r="P8626" s="594"/>
    </row>
    <row r="8627" spans="16:16">
      <c r="P8627" s="594"/>
    </row>
    <row r="8628" spans="16:16">
      <c r="P8628" s="594"/>
    </row>
    <row r="8629" spans="16:16">
      <c r="P8629" s="594"/>
    </row>
    <row r="8630" spans="16:16">
      <c r="P8630" s="594"/>
    </row>
    <row r="8631" spans="16:16">
      <c r="P8631" s="594"/>
    </row>
    <row r="8632" spans="16:16">
      <c r="P8632" s="594"/>
    </row>
    <row r="8633" spans="16:16">
      <c r="P8633" s="594"/>
    </row>
    <row r="8634" spans="16:16">
      <c r="P8634" s="594"/>
    </row>
    <row r="8635" spans="16:16">
      <c r="P8635" s="594"/>
    </row>
    <row r="8636" spans="16:16">
      <c r="P8636" s="594"/>
    </row>
    <row r="8637" spans="16:16">
      <c r="P8637" s="594"/>
    </row>
    <row r="8638" spans="16:16">
      <c r="P8638" s="594"/>
    </row>
    <row r="8639" spans="16:16">
      <c r="P8639" s="594"/>
    </row>
    <row r="8640" spans="16:16">
      <c r="P8640" s="594"/>
    </row>
    <row r="8641" spans="16:16">
      <c r="P8641" s="594"/>
    </row>
    <row r="8642" spans="16:16">
      <c r="P8642" s="594"/>
    </row>
    <row r="8643" spans="16:16">
      <c r="P8643" s="594"/>
    </row>
    <row r="8644" spans="16:16">
      <c r="P8644" s="594"/>
    </row>
    <row r="8645" spans="16:16">
      <c r="P8645" s="594"/>
    </row>
    <row r="8646" spans="16:16">
      <c r="P8646" s="594"/>
    </row>
    <row r="8647" spans="16:16">
      <c r="P8647" s="594"/>
    </row>
    <row r="8648" spans="16:16">
      <c r="P8648" s="594"/>
    </row>
    <row r="8649" spans="16:16">
      <c r="P8649" s="594"/>
    </row>
    <row r="8650" spans="16:16">
      <c r="P8650" s="594"/>
    </row>
    <row r="8651" spans="16:16">
      <c r="P8651" s="594"/>
    </row>
    <row r="8652" spans="16:16">
      <c r="P8652" s="594"/>
    </row>
    <row r="8653" spans="16:16">
      <c r="P8653" s="594"/>
    </row>
    <row r="8654" spans="16:16">
      <c r="P8654" s="594"/>
    </row>
    <row r="8655" spans="16:16">
      <c r="P8655" s="594"/>
    </row>
    <row r="8656" spans="16:16">
      <c r="P8656" s="594"/>
    </row>
    <row r="8657" spans="16:16">
      <c r="P8657" s="594"/>
    </row>
    <row r="8658" spans="16:16">
      <c r="P8658" s="594"/>
    </row>
    <row r="8659" spans="16:16">
      <c r="P8659" s="594"/>
    </row>
    <row r="8660" spans="16:16">
      <c r="P8660" s="594"/>
    </row>
    <row r="8661" spans="16:16">
      <c r="P8661" s="594"/>
    </row>
    <row r="8662" spans="16:16">
      <c r="P8662" s="594"/>
    </row>
    <row r="8663" spans="16:16">
      <c r="P8663" s="594"/>
    </row>
    <row r="8664" spans="16:16">
      <c r="P8664" s="594"/>
    </row>
    <row r="8665" spans="16:16">
      <c r="P8665" s="594"/>
    </row>
    <row r="8666" spans="16:16">
      <c r="P8666" s="594"/>
    </row>
    <row r="8667" spans="16:16">
      <c r="P8667" s="594"/>
    </row>
    <row r="8668" spans="16:16">
      <c r="P8668" s="594"/>
    </row>
    <row r="8669" spans="16:16">
      <c r="P8669" s="594"/>
    </row>
    <row r="8670" spans="16:16">
      <c r="P8670" s="594"/>
    </row>
    <row r="8671" spans="16:16">
      <c r="P8671" s="594"/>
    </row>
    <row r="8672" spans="16:16">
      <c r="P8672" s="594"/>
    </row>
    <row r="8673" spans="16:16">
      <c r="P8673" s="594"/>
    </row>
    <row r="8674" spans="16:16">
      <c r="P8674" s="594"/>
    </row>
    <row r="8675" spans="16:16">
      <c r="P8675" s="594"/>
    </row>
    <row r="8676" spans="16:16">
      <c r="P8676" s="594"/>
    </row>
    <row r="8677" spans="16:16">
      <c r="P8677" s="594"/>
    </row>
    <row r="8678" spans="16:16">
      <c r="P8678" s="594"/>
    </row>
    <row r="8679" spans="16:16">
      <c r="P8679" s="594"/>
    </row>
    <row r="8680" spans="16:16">
      <c r="P8680" s="594"/>
    </row>
    <row r="8681" spans="16:16">
      <c r="P8681" s="594"/>
    </row>
    <row r="8682" spans="16:16">
      <c r="P8682" s="594"/>
    </row>
    <row r="8683" spans="16:16">
      <c r="P8683" s="594"/>
    </row>
    <row r="8684" spans="16:16">
      <c r="P8684" s="594"/>
    </row>
    <row r="8685" spans="16:16">
      <c r="P8685" s="594"/>
    </row>
    <row r="8686" spans="16:16">
      <c r="P8686" s="594"/>
    </row>
    <row r="8687" spans="16:16">
      <c r="P8687" s="594"/>
    </row>
    <row r="8688" spans="16:16">
      <c r="P8688" s="594"/>
    </row>
    <row r="8689" spans="16:16">
      <c r="P8689" s="594"/>
    </row>
    <row r="8690" spans="16:16">
      <c r="P8690" s="594"/>
    </row>
    <row r="8691" spans="16:16">
      <c r="P8691" s="594"/>
    </row>
    <row r="8692" spans="16:16">
      <c r="P8692" s="594"/>
    </row>
    <row r="8693" spans="16:16">
      <c r="P8693" s="594"/>
    </row>
    <row r="8694" spans="16:16">
      <c r="P8694" s="594"/>
    </row>
    <row r="8695" spans="16:16">
      <c r="P8695" s="594"/>
    </row>
    <row r="8696" spans="16:16">
      <c r="P8696" s="594"/>
    </row>
    <row r="8697" spans="16:16">
      <c r="P8697" s="594"/>
    </row>
    <row r="8698" spans="16:16">
      <c r="P8698" s="594"/>
    </row>
    <row r="8699" spans="16:16">
      <c r="P8699" s="594"/>
    </row>
    <row r="8700" spans="16:16">
      <c r="P8700" s="594"/>
    </row>
    <row r="8701" spans="16:16">
      <c r="P8701" s="594"/>
    </row>
    <row r="8702" spans="16:16">
      <c r="P8702" s="594"/>
    </row>
    <row r="8703" spans="16:16">
      <c r="P8703" s="594"/>
    </row>
    <row r="8704" spans="16:16">
      <c r="P8704" s="594"/>
    </row>
    <row r="8705" spans="16:16">
      <c r="P8705" s="594"/>
    </row>
    <row r="8706" spans="16:16">
      <c r="P8706" s="594"/>
    </row>
    <row r="8707" spans="16:16">
      <c r="P8707" s="594"/>
    </row>
    <row r="8708" spans="16:16">
      <c r="P8708" s="594"/>
    </row>
    <row r="8709" spans="16:16">
      <c r="P8709" s="594"/>
    </row>
    <row r="8710" spans="16:16">
      <c r="P8710" s="594"/>
    </row>
    <row r="8711" spans="16:16">
      <c r="P8711" s="594"/>
    </row>
    <row r="8712" spans="16:16">
      <c r="P8712" s="594"/>
    </row>
    <row r="8713" spans="16:16">
      <c r="P8713" s="594"/>
    </row>
    <row r="8714" spans="16:16">
      <c r="P8714" s="594"/>
    </row>
    <row r="8715" spans="16:16">
      <c r="P8715" s="594"/>
    </row>
    <row r="8716" spans="16:16">
      <c r="P8716" s="594"/>
    </row>
    <row r="8717" spans="16:16">
      <c r="P8717" s="594"/>
    </row>
    <row r="8718" spans="16:16">
      <c r="P8718" s="594"/>
    </row>
    <row r="8719" spans="16:16">
      <c r="P8719" s="594"/>
    </row>
    <row r="8720" spans="16:16">
      <c r="P8720" s="594"/>
    </row>
    <row r="8721" spans="16:16">
      <c r="P8721" s="594"/>
    </row>
    <row r="8722" spans="16:16">
      <c r="P8722" s="594"/>
    </row>
    <row r="8723" spans="16:16">
      <c r="P8723" s="594"/>
    </row>
    <row r="8724" spans="16:16">
      <c r="P8724" s="594"/>
    </row>
    <row r="8725" spans="16:16">
      <c r="P8725" s="594"/>
    </row>
    <row r="8726" spans="16:16">
      <c r="P8726" s="594"/>
    </row>
    <row r="8727" spans="16:16">
      <c r="P8727" s="594"/>
    </row>
    <row r="8728" spans="16:16">
      <c r="P8728" s="594"/>
    </row>
    <row r="8729" spans="16:16">
      <c r="P8729" s="594"/>
    </row>
    <row r="8730" spans="16:16">
      <c r="P8730" s="594"/>
    </row>
    <row r="8731" spans="16:16">
      <c r="P8731" s="594"/>
    </row>
    <row r="8732" spans="16:16">
      <c r="P8732" s="594"/>
    </row>
    <row r="8733" spans="16:16">
      <c r="P8733" s="594"/>
    </row>
    <row r="8734" spans="16:16">
      <c r="P8734" s="594"/>
    </row>
    <row r="8735" spans="16:16">
      <c r="P8735" s="594"/>
    </row>
    <row r="8736" spans="16:16">
      <c r="P8736" s="594"/>
    </row>
    <row r="8737" spans="16:16">
      <c r="P8737" s="594"/>
    </row>
    <row r="8738" spans="16:16">
      <c r="P8738" s="594"/>
    </row>
    <row r="8739" spans="16:16">
      <c r="P8739" s="594"/>
    </row>
    <row r="8740" spans="16:16">
      <c r="P8740" s="594"/>
    </row>
    <row r="8741" spans="16:16">
      <c r="P8741" s="594"/>
    </row>
    <row r="8742" spans="16:16">
      <c r="P8742" s="594"/>
    </row>
    <row r="8743" spans="16:16">
      <c r="P8743" s="594"/>
    </row>
    <row r="8744" spans="16:16">
      <c r="P8744" s="594"/>
    </row>
    <row r="8745" spans="16:16">
      <c r="P8745" s="594"/>
    </row>
    <row r="8746" spans="16:16">
      <c r="P8746" s="594"/>
    </row>
    <row r="8747" spans="16:16">
      <c r="P8747" s="594"/>
    </row>
    <row r="8748" spans="16:16">
      <c r="P8748" s="594"/>
    </row>
    <row r="8749" spans="16:16">
      <c r="P8749" s="594"/>
    </row>
    <row r="8750" spans="16:16">
      <c r="P8750" s="594"/>
    </row>
    <row r="8751" spans="16:16">
      <c r="P8751" s="594"/>
    </row>
    <row r="8752" spans="16:16">
      <c r="P8752" s="594"/>
    </row>
    <row r="8753" spans="16:16">
      <c r="P8753" s="594"/>
    </row>
    <row r="8754" spans="16:16">
      <c r="P8754" s="594"/>
    </row>
    <row r="8755" spans="16:16">
      <c r="P8755" s="594"/>
    </row>
    <row r="8756" spans="16:16">
      <c r="P8756" s="594"/>
    </row>
    <row r="8757" spans="16:16">
      <c r="P8757" s="594"/>
    </row>
    <row r="8758" spans="16:16">
      <c r="P8758" s="594"/>
    </row>
    <row r="8759" spans="16:16">
      <c r="P8759" s="594"/>
    </row>
    <row r="8760" spans="16:16">
      <c r="P8760" s="594"/>
    </row>
    <row r="8761" spans="16:16">
      <c r="P8761" s="594"/>
    </row>
    <row r="8762" spans="16:16">
      <c r="P8762" s="594"/>
    </row>
    <row r="8763" spans="16:16">
      <c r="P8763" s="594"/>
    </row>
    <row r="8764" spans="16:16">
      <c r="P8764" s="594"/>
    </row>
    <row r="8765" spans="16:16">
      <c r="P8765" s="594"/>
    </row>
    <row r="8766" spans="16:16">
      <c r="P8766" s="594"/>
    </row>
    <row r="8767" spans="16:16">
      <c r="P8767" s="594"/>
    </row>
    <row r="8768" spans="16:16">
      <c r="P8768" s="594"/>
    </row>
    <row r="8769" spans="16:16">
      <c r="P8769" s="594"/>
    </row>
    <row r="8770" spans="16:16">
      <c r="P8770" s="594"/>
    </row>
    <row r="8771" spans="16:16">
      <c r="P8771" s="594"/>
    </row>
    <row r="8772" spans="16:16">
      <c r="P8772" s="594"/>
    </row>
    <row r="8773" spans="16:16">
      <c r="P8773" s="594"/>
    </row>
    <row r="8774" spans="16:16">
      <c r="P8774" s="594"/>
    </row>
    <row r="8775" spans="16:16">
      <c r="P8775" s="594"/>
    </row>
    <row r="8776" spans="16:16">
      <c r="P8776" s="594"/>
    </row>
    <row r="8777" spans="16:16">
      <c r="P8777" s="594"/>
    </row>
    <row r="8778" spans="16:16">
      <c r="P8778" s="594"/>
    </row>
    <row r="8779" spans="16:16">
      <c r="P8779" s="594"/>
    </row>
    <row r="8780" spans="16:16">
      <c r="P8780" s="594"/>
    </row>
    <row r="8781" spans="16:16">
      <c r="P8781" s="594"/>
    </row>
    <row r="8782" spans="16:16">
      <c r="P8782" s="594"/>
    </row>
    <row r="8783" spans="16:16">
      <c r="P8783" s="594"/>
    </row>
    <row r="8784" spans="16:16">
      <c r="P8784" s="594"/>
    </row>
    <row r="8785" spans="16:16">
      <c r="P8785" s="594"/>
    </row>
    <row r="8786" spans="16:16">
      <c r="P8786" s="594"/>
    </row>
    <row r="8787" spans="16:16">
      <c r="P8787" s="594"/>
    </row>
    <row r="8788" spans="16:16">
      <c r="P8788" s="594"/>
    </row>
    <row r="8789" spans="16:16">
      <c r="P8789" s="594"/>
    </row>
    <row r="8790" spans="16:16">
      <c r="P8790" s="594"/>
    </row>
    <row r="8791" spans="16:16">
      <c r="P8791" s="594"/>
    </row>
    <row r="8792" spans="16:16">
      <c r="P8792" s="594"/>
    </row>
    <row r="8793" spans="16:16">
      <c r="P8793" s="594"/>
    </row>
    <row r="8794" spans="16:16">
      <c r="P8794" s="594"/>
    </row>
    <row r="8795" spans="16:16">
      <c r="P8795" s="594"/>
    </row>
    <row r="8796" spans="16:16">
      <c r="P8796" s="594"/>
    </row>
    <row r="8797" spans="16:16">
      <c r="P8797" s="594"/>
    </row>
    <row r="8798" spans="16:16">
      <c r="P8798" s="594"/>
    </row>
    <row r="8799" spans="16:16">
      <c r="P8799" s="594"/>
    </row>
    <row r="8800" spans="16:16">
      <c r="P8800" s="594"/>
    </row>
    <row r="8801" spans="16:16">
      <c r="P8801" s="594"/>
    </row>
    <row r="8802" spans="16:16">
      <c r="P8802" s="594"/>
    </row>
    <row r="8803" spans="16:16">
      <c r="P8803" s="594"/>
    </row>
    <row r="8804" spans="16:16">
      <c r="P8804" s="594"/>
    </row>
    <row r="8805" spans="16:16">
      <c r="P8805" s="594"/>
    </row>
    <row r="8806" spans="16:16">
      <c r="P8806" s="594"/>
    </row>
    <row r="8807" spans="16:16">
      <c r="P8807" s="594"/>
    </row>
    <row r="8808" spans="16:16">
      <c r="P8808" s="594"/>
    </row>
    <row r="8809" spans="16:16">
      <c r="P8809" s="594"/>
    </row>
    <row r="8810" spans="16:16">
      <c r="P8810" s="594"/>
    </row>
    <row r="8811" spans="16:16">
      <c r="P8811" s="594"/>
    </row>
    <row r="8812" spans="16:16">
      <c r="P8812" s="594"/>
    </row>
    <row r="8813" spans="16:16">
      <c r="P8813" s="594"/>
    </row>
    <row r="8814" spans="16:16">
      <c r="P8814" s="594"/>
    </row>
    <row r="8815" spans="16:16">
      <c r="P8815" s="594"/>
    </row>
    <row r="8816" spans="16:16">
      <c r="P8816" s="594"/>
    </row>
    <row r="8817" spans="16:16">
      <c r="P8817" s="594"/>
    </row>
    <row r="8818" spans="16:16">
      <c r="P8818" s="594"/>
    </row>
    <row r="8819" spans="16:16">
      <c r="P8819" s="594"/>
    </row>
    <row r="8820" spans="16:16">
      <c r="P8820" s="594"/>
    </row>
    <row r="8821" spans="16:16">
      <c r="P8821" s="594"/>
    </row>
    <row r="8822" spans="16:16">
      <c r="P8822" s="594"/>
    </row>
    <row r="8823" spans="16:16">
      <c r="P8823" s="594"/>
    </row>
    <row r="8824" spans="16:16">
      <c r="P8824" s="594"/>
    </row>
    <row r="8825" spans="16:16">
      <c r="P8825" s="594"/>
    </row>
    <row r="8826" spans="16:16">
      <c r="P8826" s="594"/>
    </row>
    <row r="8827" spans="16:16">
      <c r="P8827" s="594"/>
    </row>
    <row r="8828" spans="16:16">
      <c r="P8828" s="594"/>
    </row>
    <row r="8829" spans="16:16">
      <c r="P8829" s="594"/>
    </row>
    <row r="8830" spans="16:16">
      <c r="P8830" s="594"/>
    </row>
    <row r="8831" spans="16:16">
      <c r="P8831" s="594"/>
    </row>
    <row r="8832" spans="16:16">
      <c r="P8832" s="594"/>
    </row>
    <row r="8833" spans="16:16">
      <c r="P8833" s="594"/>
    </row>
    <row r="8834" spans="16:16">
      <c r="P8834" s="594"/>
    </row>
    <row r="8835" spans="16:16">
      <c r="P8835" s="594"/>
    </row>
    <row r="8836" spans="16:16">
      <c r="P8836" s="594"/>
    </row>
    <row r="8837" spans="16:16">
      <c r="P8837" s="594"/>
    </row>
    <row r="8838" spans="16:16">
      <c r="P8838" s="594"/>
    </row>
    <row r="8839" spans="16:16">
      <c r="P8839" s="594"/>
    </row>
    <row r="8840" spans="16:16">
      <c r="P8840" s="594"/>
    </row>
    <row r="8841" spans="16:16">
      <c r="P8841" s="594"/>
    </row>
    <row r="8842" spans="16:16">
      <c r="P8842" s="594"/>
    </row>
    <row r="8843" spans="16:16">
      <c r="P8843" s="594"/>
    </row>
    <row r="8844" spans="16:16">
      <c r="P8844" s="594"/>
    </row>
    <row r="8845" spans="16:16">
      <c r="P8845" s="594"/>
    </row>
    <row r="8846" spans="16:16">
      <c r="P8846" s="594"/>
    </row>
    <row r="8847" spans="16:16">
      <c r="P8847" s="594"/>
    </row>
    <row r="8848" spans="16:16">
      <c r="P8848" s="594"/>
    </row>
    <row r="8849" spans="16:16">
      <c r="P8849" s="594"/>
    </row>
    <row r="8850" spans="16:16">
      <c r="P8850" s="594"/>
    </row>
    <row r="8851" spans="16:16">
      <c r="P8851" s="594"/>
    </row>
    <row r="8852" spans="16:16">
      <c r="P8852" s="594"/>
    </row>
    <row r="8853" spans="16:16">
      <c r="P8853" s="594"/>
    </row>
    <row r="8854" spans="16:16">
      <c r="P8854" s="594"/>
    </row>
    <row r="8855" spans="16:16">
      <c r="P8855" s="594"/>
    </row>
    <row r="8856" spans="16:16">
      <c r="P8856" s="594"/>
    </row>
    <row r="8857" spans="16:16">
      <c r="P8857" s="594"/>
    </row>
    <row r="8858" spans="16:16">
      <c r="P8858" s="594"/>
    </row>
    <row r="8859" spans="16:16">
      <c r="P8859" s="594"/>
    </row>
    <row r="8860" spans="16:16">
      <c r="P8860" s="594"/>
    </row>
    <row r="8861" spans="16:16">
      <c r="P8861" s="594"/>
    </row>
    <row r="8862" spans="16:16">
      <c r="P8862" s="594"/>
    </row>
    <row r="8863" spans="16:16">
      <c r="P8863" s="594"/>
    </row>
    <row r="8864" spans="16:16">
      <c r="P8864" s="594"/>
    </row>
    <row r="8865" spans="16:16">
      <c r="P8865" s="594"/>
    </row>
    <row r="8866" spans="16:16">
      <c r="P8866" s="594"/>
    </row>
    <row r="8867" spans="16:16">
      <c r="P8867" s="594"/>
    </row>
    <row r="8868" spans="16:16">
      <c r="P8868" s="594"/>
    </row>
    <row r="8869" spans="16:16">
      <c r="P8869" s="594"/>
    </row>
    <row r="8870" spans="16:16">
      <c r="P8870" s="594"/>
    </row>
    <row r="8871" spans="16:16">
      <c r="P8871" s="594"/>
    </row>
    <row r="8872" spans="16:16">
      <c r="P8872" s="594"/>
    </row>
    <row r="8873" spans="16:16">
      <c r="P8873" s="594"/>
    </row>
    <row r="8874" spans="16:16">
      <c r="P8874" s="594"/>
    </row>
    <row r="8875" spans="16:16">
      <c r="P8875" s="594"/>
    </row>
    <row r="8876" spans="16:16">
      <c r="P8876" s="594"/>
    </row>
    <row r="8877" spans="16:16">
      <c r="P8877" s="594"/>
    </row>
    <row r="8878" spans="16:16">
      <c r="P8878" s="594"/>
    </row>
    <row r="8879" spans="16:16">
      <c r="P8879" s="594"/>
    </row>
    <row r="8880" spans="16:16">
      <c r="P8880" s="594"/>
    </row>
    <row r="8881" spans="16:16">
      <c r="P8881" s="594"/>
    </row>
    <row r="8882" spans="16:16">
      <c r="P8882" s="594"/>
    </row>
    <row r="8883" spans="16:16">
      <c r="P8883" s="594"/>
    </row>
    <row r="8884" spans="16:16">
      <c r="P8884" s="594"/>
    </row>
    <row r="8885" spans="16:16">
      <c r="P8885" s="594"/>
    </row>
    <row r="8886" spans="16:16">
      <c r="P8886" s="594"/>
    </row>
    <row r="8887" spans="16:16">
      <c r="P8887" s="594"/>
    </row>
    <row r="8888" spans="16:16">
      <c r="P8888" s="594"/>
    </row>
    <row r="8889" spans="16:16">
      <c r="P8889" s="594"/>
    </row>
    <row r="8890" spans="16:16">
      <c r="P8890" s="594"/>
    </row>
    <row r="8891" spans="16:16">
      <c r="P8891" s="594"/>
    </row>
    <row r="8892" spans="16:16">
      <c r="P8892" s="594"/>
    </row>
    <row r="8893" spans="16:16">
      <c r="P8893" s="594"/>
    </row>
    <row r="8894" spans="16:16">
      <c r="P8894" s="594"/>
    </row>
    <row r="8895" spans="16:16">
      <c r="P8895" s="594"/>
    </row>
    <row r="8896" spans="16:16">
      <c r="P8896" s="594"/>
    </row>
    <row r="8897" spans="16:16">
      <c r="P8897" s="594"/>
    </row>
    <row r="8898" spans="16:16">
      <c r="P8898" s="594"/>
    </row>
    <row r="8899" spans="16:16">
      <c r="P8899" s="594"/>
    </row>
    <row r="8900" spans="16:16">
      <c r="P8900" s="594"/>
    </row>
    <row r="8901" spans="16:16">
      <c r="P8901" s="594"/>
    </row>
    <row r="8902" spans="16:16">
      <c r="P8902" s="594"/>
    </row>
    <row r="8903" spans="16:16">
      <c r="P8903" s="594"/>
    </row>
    <row r="8904" spans="16:16">
      <c r="P8904" s="594"/>
    </row>
    <row r="8905" spans="16:16">
      <c r="P8905" s="594"/>
    </row>
    <row r="8906" spans="16:16">
      <c r="P8906" s="594"/>
    </row>
    <row r="8907" spans="16:16">
      <c r="P8907" s="594"/>
    </row>
    <row r="8908" spans="16:16">
      <c r="P8908" s="594"/>
    </row>
    <row r="8909" spans="16:16">
      <c r="P8909" s="594"/>
    </row>
    <row r="8910" spans="16:16">
      <c r="P8910" s="594"/>
    </row>
    <row r="8911" spans="16:16">
      <c r="P8911" s="594"/>
    </row>
    <row r="8912" spans="16:16">
      <c r="P8912" s="594"/>
    </row>
    <row r="8913" spans="16:16">
      <c r="P8913" s="594"/>
    </row>
    <row r="8914" spans="16:16">
      <c r="P8914" s="594"/>
    </row>
    <row r="8915" spans="16:16">
      <c r="P8915" s="594"/>
    </row>
    <row r="8916" spans="16:16">
      <c r="P8916" s="594"/>
    </row>
    <row r="8917" spans="16:16">
      <c r="P8917" s="594"/>
    </row>
    <row r="8918" spans="16:16">
      <c r="P8918" s="594"/>
    </row>
    <row r="8919" spans="16:16">
      <c r="P8919" s="594"/>
    </row>
    <row r="8920" spans="16:16">
      <c r="P8920" s="594"/>
    </row>
    <row r="8921" spans="16:16">
      <c r="P8921" s="594"/>
    </row>
    <row r="8922" spans="16:16">
      <c r="P8922" s="594"/>
    </row>
    <row r="8923" spans="16:16">
      <c r="P8923" s="594"/>
    </row>
    <row r="8924" spans="16:16">
      <c r="P8924" s="594"/>
    </row>
    <row r="8925" spans="16:16">
      <c r="P8925" s="594"/>
    </row>
    <row r="8926" spans="16:16">
      <c r="P8926" s="594"/>
    </row>
    <row r="8927" spans="16:16">
      <c r="P8927" s="594"/>
    </row>
    <row r="8928" spans="16:16">
      <c r="P8928" s="594"/>
    </row>
    <row r="8929" spans="16:16">
      <c r="P8929" s="594"/>
    </row>
    <row r="8930" spans="16:16">
      <c r="P8930" s="594"/>
    </row>
    <row r="8931" spans="16:16">
      <c r="P8931" s="594"/>
    </row>
    <row r="8932" spans="16:16">
      <c r="P8932" s="594"/>
    </row>
    <row r="8933" spans="16:16">
      <c r="P8933" s="594"/>
    </row>
    <row r="8934" spans="16:16">
      <c r="P8934" s="594"/>
    </row>
    <row r="8935" spans="16:16">
      <c r="P8935" s="594"/>
    </row>
    <row r="8936" spans="16:16">
      <c r="P8936" s="594"/>
    </row>
    <row r="8937" spans="16:16">
      <c r="P8937" s="594"/>
    </row>
    <row r="8938" spans="16:16">
      <c r="P8938" s="594"/>
    </row>
    <row r="8939" spans="16:16">
      <c r="P8939" s="594"/>
    </row>
    <row r="8940" spans="16:16">
      <c r="P8940" s="594"/>
    </row>
    <row r="8941" spans="16:16">
      <c r="P8941" s="594"/>
    </row>
    <row r="8942" spans="16:16">
      <c r="P8942" s="594"/>
    </row>
    <row r="8943" spans="16:16">
      <c r="P8943" s="594"/>
    </row>
    <row r="8944" spans="16:16">
      <c r="P8944" s="594"/>
    </row>
    <row r="8945" spans="16:16">
      <c r="P8945" s="594"/>
    </row>
    <row r="8946" spans="16:16">
      <c r="P8946" s="594"/>
    </row>
    <row r="8947" spans="16:16">
      <c r="P8947" s="594"/>
    </row>
    <row r="8948" spans="16:16">
      <c r="P8948" s="594"/>
    </row>
    <row r="8949" spans="16:16">
      <c r="P8949" s="594"/>
    </row>
    <row r="8950" spans="16:16">
      <c r="P8950" s="594"/>
    </row>
    <row r="8951" spans="16:16">
      <c r="P8951" s="594"/>
    </row>
    <row r="8952" spans="16:16">
      <c r="P8952" s="594"/>
    </row>
    <row r="8953" spans="16:16">
      <c r="P8953" s="594"/>
    </row>
    <row r="8954" spans="16:16">
      <c r="P8954" s="594"/>
    </row>
    <row r="8955" spans="16:16">
      <c r="P8955" s="594"/>
    </row>
    <row r="8956" spans="16:16">
      <c r="P8956" s="594"/>
    </row>
    <row r="8957" spans="16:16">
      <c r="P8957" s="594"/>
    </row>
    <row r="8958" spans="16:16">
      <c r="P8958" s="594"/>
    </row>
    <row r="8959" spans="16:16">
      <c r="P8959" s="594"/>
    </row>
    <row r="8960" spans="16:16">
      <c r="P8960" s="594"/>
    </row>
    <row r="8961" spans="16:16">
      <c r="P8961" s="594"/>
    </row>
    <row r="8962" spans="16:16">
      <c r="P8962" s="594"/>
    </row>
    <row r="8963" spans="16:16">
      <c r="P8963" s="594"/>
    </row>
    <row r="8964" spans="16:16">
      <c r="P8964" s="594"/>
    </row>
    <row r="8965" spans="16:16">
      <c r="P8965" s="594"/>
    </row>
    <row r="8966" spans="16:16">
      <c r="P8966" s="594"/>
    </row>
    <row r="8967" spans="16:16">
      <c r="P8967" s="594"/>
    </row>
    <row r="8968" spans="16:16">
      <c r="P8968" s="594"/>
    </row>
    <row r="8969" spans="16:16">
      <c r="P8969" s="594"/>
    </row>
    <row r="8970" spans="16:16">
      <c r="P8970" s="594"/>
    </row>
    <row r="8971" spans="16:16">
      <c r="P8971" s="594"/>
    </row>
    <row r="8972" spans="16:16">
      <c r="P8972" s="594"/>
    </row>
    <row r="8973" spans="16:16">
      <c r="P8973" s="594"/>
    </row>
    <row r="8974" spans="16:16">
      <c r="P8974" s="594"/>
    </row>
    <row r="8975" spans="16:16">
      <c r="P8975" s="594"/>
    </row>
    <row r="8976" spans="16:16">
      <c r="P8976" s="594"/>
    </row>
    <row r="8977" spans="16:16">
      <c r="P8977" s="594"/>
    </row>
    <row r="8978" spans="16:16">
      <c r="P8978" s="594"/>
    </row>
    <row r="8979" spans="16:16">
      <c r="P8979" s="594"/>
    </row>
    <row r="8980" spans="16:16">
      <c r="P8980" s="594"/>
    </row>
    <row r="8981" spans="16:16">
      <c r="P8981" s="594"/>
    </row>
    <row r="8982" spans="16:16">
      <c r="P8982" s="594"/>
    </row>
    <row r="8983" spans="16:16">
      <c r="P8983" s="594"/>
    </row>
    <row r="8984" spans="16:16">
      <c r="P8984" s="594"/>
    </row>
    <row r="8985" spans="16:16">
      <c r="P8985" s="594"/>
    </row>
    <row r="8986" spans="16:16">
      <c r="P8986" s="594"/>
    </row>
    <row r="8987" spans="16:16">
      <c r="P8987" s="594"/>
    </row>
    <row r="8988" spans="16:16">
      <c r="P8988" s="594"/>
    </row>
    <row r="8989" spans="16:16">
      <c r="P8989" s="594"/>
    </row>
    <row r="8990" spans="16:16">
      <c r="P8990" s="594"/>
    </row>
    <row r="8991" spans="16:16">
      <c r="P8991" s="594"/>
    </row>
    <row r="8992" spans="16:16">
      <c r="P8992" s="594"/>
    </row>
    <row r="8993" spans="16:16">
      <c r="P8993" s="594"/>
    </row>
    <row r="8994" spans="16:16">
      <c r="P8994" s="594"/>
    </row>
    <row r="8995" spans="16:16">
      <c r="P8995" s="594"/>
    </row>
    <row r="8996" spans="16:16">
      <c r="P8996" s="594"/>
    </row>
    <row r="8997" spans="16:16">
      <c r="P8997" s="594"/>
    </row>
    <row r="8998" spans="16:16">
      <c r="P8998" s="594"/>
    </row>
    <row r="8999" spans="16:16">
      <c r="P8999" s="594"/>
    </row>
    <row r="9000" spans="16:16">
      <c r="P9000" s="594"/>
    </row>
    <row r="9001" spans="16:16">
      <c r="P9001" s="594"/>
    </row>
    <row r="9002" spans="16:16">
      <c r="P9002" s="594"/>
    </row>
    <row r="9003" spans="16:16">
      <c r="P9003" s="594"/>
    </row>
    <row r="9004" spans="16:16">
      <c r="P9004" s="594"/>
    </row>
    <row r="9005" spans="16:16">
      <c r="P9005" s="594"/>
    </row>
    <row r="9006" spans="16:16">
      <c r="P9006" s="594"/>
    </row>
    <row r="9007" spans="16:16">
      <c r="P9007" s="594"/>
    </row>
    <row r="9008" spans="16:16">
      <c r="P9008" s="594"/>
    </row>
    <row r="9009" spans="16:16">
      <c r="P9009" s="594"/>
    </row>
    <row r="9010" spans="16:16">
      <c r="P9010" s="594"/>
    </row>
    <row r="9011" spans="16:16">
      <c r="P9011" s="594"/>
    </row>
    <row r="9012" spans="16:16">
      <c r="P9012" s="594"/>
    </row>
    <row r="9013" spans="16:16">
      <c r="P9013" s="594"/>
    </row>
    <row r="9014" spans="16:16">
      <c r="P9014" s="594"/>
    </row>
    <row r="9015" spans="16:16">
      <c r="P9015" s="594"/>
    </row>
    <row r="9016" spans="16:16">
      <c r="P9016" s="594"/>
    </row>
    <row r="9017" spans="16:16">
      <c r="P9017" s="594"/>
    </row>
    <row r="9018" spans="16:16">
      <c r="P9018" s="594"/>
    </row>
    <row r="9019" spans="16:16">
      <c r="P9019" s="594"/>
    </row>
    <row r="9020" spans="16:16">
      <c r="P9020" s="594"/>
    </row>
    <row r="9021" spans="16:16">
      <c r="P9021" s="594"/>
    </row>
    <row r="9022" spans="16:16">
      <c r="P9022" s="594"/>
    </row>
    <row r="9023" spans="16:16">
      <c r="P9023" s="594"/>
    </row>
    <row r="9024" spans="16:16">
      <c r="P9024" s="594"/>
    </row>
    <row r="9025" spans="16:16">
      <c r="P9025" s="594"/>
    </row>
    <row r="9026" spans="16:16">
      <c r="P9026" s="594"/>
    </row>
    <row r="9027" spans="16:16">
      <c r="P9027" s="594"/>
    </row>
    <row r="9028" spans="16:16">
      <c r="P9028" s="594"/>
    </row>
    <row r="9029" spans="16:16">
      <c r="P9029" s="594"/>
    </row>
    <row r="9030" spans="16:16">
      <c r="P9030" s="594"/>
    </row>
    <row r="9031" spans="16:16">
      <c r="P9031" s="594"/>
    </row>
    <row r="9032" spans="16:16">
      <c r="P9032" s="594"/>
    </row>
    <row r="9033" spans="16:16">
      <c r="P9033" s="594"/>
    </row>
    <row r="9034" spans="16:16">
      <c r="P9034" s="594"/>
    </row>
    <row r="9035" spans="16:16">
      <c r="P9035" s="594"/>
    </row>
    <row r="9036" spans="16:16">
      <c r="P9036" s="594"/>
    </row>
    <row r="9037" spans="16:16">
      <c r="P9037" s="594"/>
    </row>
    <row r="9038" spans="16:16">
      <c r="P9038" s="594"/>
    </row>
    <row r="9039" spans="16:16">
      <c r="P9039" s="594"/>
    </row>
    <row r="9040" spans="16:16">
      <c r="P9040" s="594"/>
    </row>
    <row r="9041" spans="16:16">
      <c r="P9041" s="594"/>
    </row>
    <row r="9042" spans="16:16">
      <c r="P9042" s="594"/>
    </row>
    <row r="9043" spans="16:16">
      <c r="P9043" s="594"/>
    </row>
    <row r="9044" spans="16:16">
      <c r="P9044" s="594"/>
    </row>
    <row r="9045" spans="16:16">
      <c r="P9045" s="594"/>
    </row>
    <row r="9046" spans="16:16">
      <c r="P9046" s="594"/>
    </row>
    <row r="9047" spans="16:16">
      <c r="P9047" s="594"/>
    </row>
    <row r="9048" spans="16:16">
      <c r="P9048" s="594"/>
    </row>
    <row r="9049" spans="16:16">
      <c r="P9049" s="594"/>
    </row>
    <row r="9050" spans="16:16">
      <c r="P9050" s="594"/>
    </row>
    <row r="9051" spans="16:16">
      <c r="P9051" s="594"/>
    </row>
    <row r="9052" spans="16:16">
      <c r="P9052" s="594"/>
    </row>
    <row r="9053" spans="16:16">
      <c r="P9053" s="594"/>
    </row>
    <row r="9054" spans="16:16">
      <c r="P9054" s="594"/>
    </row>
    <row r="9055" spans="16:16">
      <c r="P9055" s="594"/>
    </row>
    <row r="9056" spans="16:16">
      <c r="P9056" s="594"/>
    </row>
    <row r="9057" spans="16:16">
      <c r="P9057" s="594"/>
    </row>
    <row r="9058" spans="16:16">
      <c r="P9058" s="594"/>
    </row>
    <row r="9059" spans="16:16">
      <c r="P9059" s="594"/>
    </row>
    <row r="9060" spans="16:16">
      <c r="P9060" s="594"/>
    </row>
    <row r="9061" spans="16:16">
      <c r="P9061" s="594"/>
    </row>
    <row r="9062" spans="16:16">
      <c r="P9062" s="594"/>
    </row>
    <row r="9063" spans="16:16">
      <c r="P9063" s="594"/>
    </row>
    <row r="9064" spans="16:16">
      <c r="P9064" s="594"/>
    </row>
    <row r="9065" spans="16:16">
      <c r="P9065" s="594"/>
    </row>
    <row r="9066" spans="16:16">
      <c r="P9066" s="594"/>
    </row>
    <row r="9067" spans="16:16">
      <c r="P9067" s="594"/>
    </row>
    <row r="9068" spans="16:16">
      <c r="P9068" s="594"/>
    </row>
    <row r="9069" spans="16:16">
      <c r="P9069" s="594"/>
    </row>
    <row r="9070" spans="16:16">
      <c r="P9070" s="594"/>
    </row>
    <row r="9071" spans="16:16">
      <c r="P9071" s="594"/>
    </row>
    <row r="9072" spans="16:16">
      <c r="P9072" s="594"/>
    </row>
    <row r="9073" spans="16:16">
      <c r="P9073" s="594"/>
    </row>
    <row r="9074" spans="16:16">
      <c r="P9074" s="594"/>
    </row>
    <row r="9075" spans="16:16">
      <c r="P9075" s="594"/>
    </row>
    <row r="9076" spans="16:16">
      <c r="P9076" s="594"/>
    </row>
    <row r="9077" spans="16:16">
      <c r="P9077" s="594"/>
    </row>
    <row r="9078" spans="16:16">
      <c r="P9078" s="594"/>
    </row>
    <row r="9079" spans="16:16">
      <c r="P9079" s="594"/>
    </row>
    <row r="9080" spans="16:16">
      <c r="P9080" s="594"/>
    </row>
    <row r="9081" spans="16:16">
      <c r="P9081" s="594"/>
    </row>
    <row r="9082" spans="16:16">
      <c r="P9082" s="594"/>
    </row>
    <row r="9083" spans="16:16">
      <c r="P9083" s="594"/>
    </row>
    <row r="9084" spans="16:16">
      <c r="P9084" s="594"/>
    </row>
    <row r="9085" spans="16:16">
      <c r="P9085" s="594"/>
    </row>
    <row r="9086" spans="16:16">
      <c r="P9086" s="594"/>
    </row>
    <row r="9087" spans="16:16">
      <c r="P9087" s="594"/>
    </row>
    <row r="9088" spans="16:16">
      <c r="P9088" s="594"/>
    </row>
    <row r="9089" spans="16:16">
      <c r="P9089" s="594"/>
    </row>
    <row r="9090" spans="16:16">
      <c r="P9090" s="594"/>
    </row>
    <row r="9091" spans="16:16">
      <c r="P9091" s="594"/>
    </row>
    <row r="9092" spans="16:16">
      <c r="P9092" s="594"/>
    </row>
    <row r="9093" spans="16:16">
      <c r="P9093" s="594"/>
    </row>
    <row r="9094" spans="16:16">
      <c r="P9094" s="594"/>
    </row>
    <row r="9095" spans="16:16">
      <c r="P9095" s="594"/>
    </row>
    <row r="9096" spans="16:16">
      <c r="P9096" s="594"/>
    </row>
    <row r="9097" spans="16:16">
      <c r="P9097" s="594"/>
    </row>
    <row r="9098" spans="16:16">
      <c r="P9098" s="594"/>
    </row>
    <row r="9099" spans="16:16">
      <c r="P9099" s="594"/>
    </row>
    <row r="9100" spans="16:16">
      <c r="P9100" s="594"/>
    </row>
    <row r="9101" spans="16:16">
      <c r="P9101" s="594"/>
    </row>
    <row r="9102" spans="16:16">
      <c r="P9102" s="594"/>
    </row>
    <row r="9103" spans="16:16">
      <c r="P9103" s="594"/>
    </row>
    <row r="9104" spans="16:16">
      <c r="P9104" s="594"/>
    </row>
    <row r="9105" spans="16:16">
      <c r="P9105" s="594"/>
    </row>
    <row r="9106" spans="16:16">
      <c r="P9106" s="594"/>
    </row>
    <row r="9107" spans="16:16">
      <c r="P9107" s="594"/>
    </row>
    <row r="9108" spans="16:16">
      <c r="P9108" s="594"/>
    </row>
    <row r="9109" spans="16:16">
      <c r="P9109" s="594"/>
    </row>
    <row r="9110" spans="16:16">
      <c r="P9110" s="594"/>
    </row>
    <row r="9111" spans="16:16">
      <c r="P9111" s="594"/>
    </row>
    <row r="9112" spans="16:16">
      <c r="P9112" s="594"/>
    </row>
    <row r="9113" spans="16:16">
      <c r="P9113" s="594"/>
    </row>
    <row r="9114" spans="16:16">
      <c r="P9114" s="594"/>
    </row>
    <row r="9115" spans="16:16">
      <c r="P9115" s="594"/>
    </row>
    <row r="9116" spans="16:16">
      <c r="P9116" s="594"/>
    </row>
    <row r="9117" spans="16:16">
      <c r="P9117" s="594"/>
    </row>
    <row r="9118" spans="16:16">
      <c r="P9118" s="594"/>
    </row>
    <row r="9119" spans="16:16">
      <c r="P9119" s="594"/>
    </row>
    <row r="9120" spans="16:16">
      <c r="P9120" s="594"/>
    </row>
    <row r="9121" spans="16:16">
      <c r="P9121" s="594"/>
    </row>
    <row r="9122" spans="16:16">
      <c r="P9122" s="594"/>
    </row>
    <row r="9123" spans="16:16">
      <c r="P9123" s="594"/>
    </row>
    <row r="9124" spans="16:16">
      <c r="P9124" s="594"/>
    </row>
    <row r="9125" spans="16:16">
      <c r="P9125" s="594"/>
    </row>
    <row r="9126" spans="16:16">
      <c r="P9126" s="594"/>
    </row>
    <row r="9127" spans="16:16">
      <c r="P9127" s="594"/>
    </row>
    <row r="9128" spans="16:16">
      <c r="P9128" s="594"/>
    </row>
    <row r="9129" spans="16:16">
      <c r="P9129" s="594"/>
    </row>
    <row r="9130" spans="16:16">
      <c r="P9130" s="594"/>
    </row>
    <row r="9131" spans="16:16">
      <c r="P9131" s="594"/>
    </row>
    <row r="9132" spans="16:16">
      <c r="P9132" s="594"/>
    </row>
    <row r="9133" spans="16:16">
      <c r="P9133" s="594"/>
    </row>
    <row r="9134" spans="16:16">
      <c r="P9134" s="594"/>
    </row>
    <row r="9135" spans="16:16">
      <c r="P9135" s="594"/>
    </row>
    <row r="9136" spans="16:16">
      <c r="P9136" s="594"/>
    </row>
    <row r="9137" spans="16:16">
      <c r="P9137" s="594"/>
    </row>
    <row r="9138" spans="16:16">
      <c r="P9138" s="594"/>
    </row>
    <row r="9139" spans="16:16">
      <c r="P9139" s="594"/>
    </row>
    <row r="9140" spans="16:16">
      <c r="P9140" s="594"/>
    </row>
    <row r="9141" spans="16:16">
      <c r="P9141" s="594"/>
    </row>
    <row r="9142" spans="16:16">
      <c r="P9142" s="594"/>
    </row>
    <row r="9143" spans="16:16">
      <c r="P9143" s="594"/>
    </row>
    <row r="9144" spans="16:16">
      <c r="P9144" s="594"/>
    </row>
    <row r="9145" spans="16:16">
      <c r="P9145" s="594"/>
    </row>
    <row r="9146" spans="16:16">
      <c r="P9146" s="594"/>
    </row>
    <row r="9147" spans="16:16">
      <c r="P9147" s="594"/>
    </row>
    <row r="9148" spans="16:16">
      <c r="P9148" s="594"/>
    </row>
    <row r="9149" spans="16:16">
      <c r="P9149" s="594"/>
    </row>
    <row r="9150" spans="16:16">
      <c r="P9150" s="594"/>
    </row>
    <row r="9151" spans="16:16">
      <c r="P9151" s="594"/>
    </row>
    <row r="9152" spans="16:16">
      <c r="P9152" s="594"/>
    </row>
    <row r="9153" spans="16:16">
      <c r="P9153" s="594"/>
    </row>
    <row r="9154" spans="16:16">
      <c r="P9154" s="594"/>
    </row>
    <row r="9155" spans="16:16">
      <c r="P9155" s="594"/>
    </row>
    <row r="9156" spans="16:16">
      <c r="P9156" s="594"/>
    </row>
    <row r="9157" spans="16:16">
      <c r="P9157" s="594"/>
    </row>
    <row r="9158" spans="16:16">
      <c r="P9158" s="594"/>
    </row>
    <row r="9159" spans="16:16">
      <c r="P9159" s="594"/>
    </row>
    <row r="9160" spans="16:16">
      <c r="P9160" s="594"/>
    </row>
    <row r="9161" spans="16:16">
      <c r="P9161" s="594"/>
    </row>
    <row r="9162" spans="16:16">
      <c r="P9162" s="594"/>
    </row>
    <row r="9163" spans="16:16">
      <c r="P9163" s="594"/>
    </row>
    <row r="9164" spans="16:16">
      <c r="P9164" s="594"/>
    </row>
    <row r="9165" spans="16:16">
      <c r="P9165" s="594"/>
    </row>
    <row r="9166" spans="16:16">
      <c r="P9166" s="594"/>
    </row>
    <row r="9167" spans="16:16">
      <c r="P9167" s="594"/>
    </row>
    <row r="9168" spans="16:16">
      <c r="P9168" s="594"/>
    </row>
    <row r="9169" spans="16:16">
      <c r="P9169" s="594"/>
    </row>
    <row r="9170" spans="16:16">
      <c r="P9170" s="594"/>
    </row>
    <row r="9171" spans="16:16">
      <c r="P9171" s="594"/>
    </row>
    <row r="9172" spans="16:16">
      <c r="P9172" s="594"/>
    </row>
    <row r="9173" spans="16:16">
      <c r="P9173" s="594"/>
    </row>
    <row r="9174" spans="16:16">
      <c r="P9174" s="594"/>
    </row>
    <row r="9175" spans="16:16">
      <c r="P9175" s="594"/>
    </row>
    <row r="9176" spans="16:16">
      <c r="P9176" s="594"/>
    </row>
    <row r="9177" spans="16:16">
      <c r="P9177" s="594"/>
    </row>
    <row r="9178" spans="16:16">
      <c r="P9178" s="594"/>
    </row>
    <row r="9179" spans="16:16">
      <c r="P9179" s="594"/>
    </row>
    <row r="9180" spans="16:16">
      <c r="P9180" s="594"/>
    </row>
    <row r="9181" spans="16:16">
      <c r="P9181" s="594"/>
    </row>
    <row r="9182" spans="16:16">
      <c r="P9182" s="594"/>
    </row>
    <row r="9183" spans="16:16">
      <c r="P9183" s="594"/>
    </row>
    <row r="9184" spans="16:16">
      <c r="P9184" s="594"/>
    </row>
    <row r="9185" spans="16:16">
      <c r="P9185" s="594"/>
    </row>
    <row r="9186" spans="16:16">
      <c r="P9186" s="594"/>
    </row>
    <row r="9187" spans="16:16">
      <c r="P9187" s="594"/>
    </row>
    <row r="9188" spans="16:16">
      <c r="P9188" s="594"/>
    </row>
    <row r="9189" spans="16:16">
      <c r="P9189" s="594"/>
    </row>
    <row r="9190" spans="16:16">
      <c r="P9190" s="594"/>
    </row>
    <row r="9191" spans="16:16">
      <c r="P9191" s="594"/>
    </row>
    <row r="9192" spans="16:16">
      <c r="P9192" s="594"/>
    </row>
    <row r="9193" spans="16:16">
      <c r="P9193" s="594"/>
    </row>
    <row r="9194" spans="16:16">
      <c r="P9194" s="594"/>
    </row>
    <row r="9195" spans="16:16">
      <c r="P9195" s="594"/>
    </row>
    <row r="9196" spans="16:16">
      <c r="P9196" s="594"/>
    </row>
    <row r="9197" spans="16:16">
      <c r="P9197" s="594"/>
    </row>
    <row r="9198" spans="16:16">
      <c r="P9198" s="594"/>
    </row>
    <row r="9199" spans="16:16">
      <c r="P9199" s="594"/>
    </row>
    <row r="9200" spans="16:16">
      <c r="P9200" s="594"/>
    </row>
    <row r="9201" spans="16:16">
      <c r="P9201" s="594"/>
    </row>
    <row r="9202" spans="16:16">
      <c r="P9202" s="594"/>
    </row>
    <row r="9203" spans="16:16">
      <c r="P9203" s="594"/>
    </row>
    <row r="9204" spans="16:16">
      <c r="P9204" s="594"/>
    </row>
    <row r="9205" spans="16:16">
      <c r="P9205" s="594"/>
    </row>
    <row r="9206" spans="16:16">
      <c r="P9206" s="594"/>
    </row>
    <row r="9207" spans="16:16">
      <c r="P9207" s="594"/>
    </row>
    <row r="9208" spans="16:16">
      <c r="P9208" s="594"/>
    </row>
    <row r="9209" spans="16:16">
      <c r="P9209" s="594"/>
    </row>
    <row r="9210" spans="16:16">
      <c r="P9210" s="594"/>
    </row>
    <row r="9211" spans="16:16">
      <c r="P9211" s="594"/>
    </row>
    <row r="9212" spans="16:16">
      <c r="P9212" s="594"/>
    </row>
    <row r="9213" spans="16:16">
      <c r="P9213" s="594"/>
    </row>
    <row r="9214" spans="16:16">
      <c r="P9214" s="594"/>
    </row>
    <row r="9215" spans="16:16">
      <c r="P9215" s="594"/>
    </row>
    <row r="9216" spans="16:16">
      <c r="P9216" s="594"/>
    </row>
    <row r="9217" spans="16:16">
      <c r="P9217" s="594"/>
    </row>
    <row r="9218" spans="16:16">
      <c r="P9218" s="594"/>
    </row>
    <row r="9219" spans="16:16">
      <c r="P9219" s="594"/>
    </row>
    <row r="9220" spans="16:16">
      <c r="P9220" s="594"/>
    </row>
    <row r="9221" spans="16:16">
      <c r="P9221" s="594"/>
    </row>
    <row r="9222" spans="16:16">
      <c r="P9222" s="594"/>
    </row>
    <row r="9223" spans="16:16">
      <c r="P9223" s="594"/>
    </row>
    <row r="9224" spans="16:16">
      <c r="P9224" s="594"/>
    </row>
    <row r="9225" spans="16:16">
      <c r="P9225" s="594"/>
    </row>
    <row r="9226" spans="16:16">
      <c r="P9226" s="594"/>
    </row>
    <row r="9227" spans="16:16">
      <c r="P9227" s="594"/>
    </row>
    <row r="9228" spans="16:16">
      <c r="P9228" s="594"/>
    </row>
    <row r="9229" spans="16:16">
      <c r="P9229" s="594"/>
    </row>
    <row r="9230" spans="16:16">
      <c r="P9230" s="594"/>
    </row>
    <row r="9231" spans="16:16">
      <c r="P9231" s="594"/>
    </row>
    <row r="9232" spans="16:16">
      <c r="P9232" s="594"/>
    </row>
    <row r="9233" spans="16:16">
      <c r="P9233" s="594"/>
    </row>
    <row r="9234" spans="16:16">
      <c r="P9234" s="594"/>
    </row>
    <row r="9235" spans="16:16">
      <c r="P9235" s="594"/>
    </row>
    <row r="9236" spans="16:16">
      <c r="P9236" s="594"/>
    </row>
    <row r="9237" spans="16:16">
      <c r="P9237" s="594"/>
    </row>
    <row r="9238" spans="16:16">
      <c r="P9238" s="594"/>
    </row>
    <row r="9239" spans="16:16">
      <c r="P9239" s="594"/>
    </row>
    <row r="9240" spans="16:16">
      <c r="P9240" s="594"/>
    </row>
    <row r="9241" spans="16:16">
      <c r="P9241" s="594"/>
    </row>
    <row r="9242" spans="16:16">
      <c r="P9242" s="594"/>
    </row>
    <row r="9243" spans="16:16">
      <c r="P9243" s="594"/>
    </row>
    <row r="9244" spans="16:16">
      <c r="P9244" s="594"/>
    </row>
    <row r="9245" spans="16:16">
      <c r="P9245" s="594"/>
    </row>
    <row r="9246" spans="16:16">
      <c r="P9246" s="594"/>
    </row>
    <row r="9247" spans="16:16">
      <c r="P9247" s="594"/>
    </row>
    <row r="9248" spans="16:16">
      <c r="P9248" s="594"/>
    </row>
    <row r="9249" spans="16:16">
      <c r="P9249" s="594"/>
    </row>
    <row r="9250" spans="16:16">
      <c r="P9250" s="594"/>
    </row>
    <row r="9251" spans="16:16">
      <c r="P9251" s="594"/>
    </row>
    <row r="9252" spans="16:16">
      <c r="P9252" s="594"/>
    </row>
    <row r="9253" spans="16:16">
      <c r="P9253" s="594"/>
    </row>
    <row r="9254" spans="16:16">
      <c r="P9254" s="594"/>
    </row>
    <row r="9255" spans="16:16">
      <c r="P9255" s="594"/>
    </row>
    <row r="9256" spans="16:16">
      <c r="P9256" s="594"/>
    </row>
    <row r="9257" spans="16:16">
      <c r="P9257" s="594"/>
    </row>
    <row r="9258" spans="16:16">
      <c r="P9258" s="594"/>
    </row>
    <row r="9259" spans="16:16">
      <c r="P9259" s="594"/>
    </row>
    <row r="9260" spans="16:16">
      <c r="P9260" s="594"/>
    </row>
    <row r="9261" spans="16:16">
      <c r="P9261" s="594"/>
    </row>
    <row r="9262" spans="16:16">
      <c r="P9262" s="594"/>
    </row>
    <row r="9263" spans="16:16">
      <c r="P9263" s="594"/>
    </row>
    <row r="9264" spans="16:16">
      <c r="P9264" s="594"/>
    </row>
    <row r="9265" spans="16:16">
      <c r="P9265" s="594"/>
    </row>
    <row r="9266" spans="16:16">
      <c r="P9266" s="594"/>
    </row>
    <row r="9267" spans="16:16">
      <c r="P9267" s="594"/>
    </row>
    <row r="9268" spans="16:16">
      <c r="P9268" s="594"/>
    </row>
    <row r="9269" spans="16:16">
      <c r="P9269" s="594"/>
    </row>
    <row r="9270" spans="16:16">
      <c r="P9270" s="594"/>
    </row>
    <row r="9271" spans="16:16">
      <c r="P9271" s="594"/>
    </row>
    <row r="9272" spans="16:16">
      <c r="P9272" s="594"/>
    </row>
    <row r="9273" spans="16:16">
      <c r="P9273" s="594"/>
    </row>
    <row r="9274" spans="16:16">
      <c r="P9274" s="594"/>
    </row>
    <row r="9275" spans="16:16">
      <c r="P9275" s="594"/>
    </row>
    <row r="9276" spans="16:16">
      <c r="P9276" s="594"/>
    </row>
    <row r="9277" spans="16:16">
      <c r="P9277" s="594"/>
    </row>
    <row r="9278" spans="16:16">
      <c r="P9278" s="594"/>
    </row>
    <row r="9279" spans="16:16">
      <c r="P9279" s="594"/>
    </row>
    <row r="9280" spans="16:16">
      <c r="P9280" s="594"/>
    </row>
    <row r="9281" spans="16:16">
      <c r="P9281" s="594"/>
    </row>
    <row r="9282" spans="16:16">
      <c r="P9282" s="594"/>
    </row>
    <row r="9283" spans="16:16">
      <c r="P9283" s="594"/>
    </row>
    <row r="9284" spans="16:16">
      <c r="P9284" s="594"/>
    </row>
    <row r="9285" spans="16:16">
      <c r="P9285" s="594"/>
    </row>
    <row r="9286" spans="16:16">
      <c r="P9286" s="594"/>
    </row>
    <row r="9287" spans="16:16">
      <c r="P9287" s="594"/>
    </row>
    <row r="9288" spans="16:16">
      <c r="P9288" s="594"/>
    </row>
    <row r="9289" spans="16:16">
      <c r="P9289" s="594"/>
    </row>
    <row r="9290" spans="16:16">
      <c r="P9290" s="594"/>
    </row>
    <row r="9291" spans="16:16">
      <c r="P9291" s="594"/>
    </row>
    <row r="9292" spans="16:16">
      <c r="P9292" s="594"/>
    </row>
    <row r="9293" spans="16:16">
      <c r="P9293" s="594"/>
    </row>
    <row r="9294" spans="16:16">
      <c r="P9294" s="594"/>
    </row>
    <row r="9295" spans="16:16">
      <c r="P9295" s="594"/>
    </row>
    <row r="9296" spans="16:16">
      <c r="P9296" s="594"/>
    </row>
    <row r="9297" spans="16:16">
      <c r="P9297" s="594"/>
    </row>
    <row r="9298" spans="16:16">
      <c r="P9298" s="594"/>
    </row>
    <row r="9299" spans="16:16">
      <c r="P9299" s="594"/>
    </row>
    <row r="9300" spans="16:16">
      <c r="P9300" s="594"/>
    </row>
    <row r="9301" spans="16:16">
      <c r="P9301" s="594"/>
    </row>
    <row r="9302" spans="16:16">
      <c r="P9302" s="594"/>
    </row>
    <row r="9303" spans="16:16">
      <c r="P9303" s="594"/>
    </row>
    <row r="9304" spans="16:16">
      <c r="P9304" s="594"/>
    </row>
    <row r="9305" spans="16:16">
      <c r="P9305" s="594"/>
    </row>
    <row r="9306" spans="16:16">
      <c r="P9306" s="594"/>
    </row>
    <row r="9307" spans="16:16">
      <c r="P9307" s="594"/>
    </row>
    <row r="9308" spans="16:16">
      <c r="P9308" s="594"/>
    </row>
    <row r="9309" spans="16:16">
      <c r="P9309" s="594"/>
    </row>
    <row r="9310" spans="16:16">
      <c r="P9310" s="594"/>
    </row>
    <row r="9311" spans="16:16">
      <c r="P9311" s="594"/>
    </row>
    <row r="9312" spans="16:16">
      <c r="P9312" s="594"/>
    </row>
    <row r="9313" spans="16:16">
      <c r="P9313" s="594"/>
    </row>
    <row r="9314" spans="16:16">
      <c r="P9314" s="594"/>
    </row>
    <row r="9315" spans="16:16">
      <c r="P9315" s="594"/>
    </row>
    <row r="9316" spans="16:16">
      <c r="P9316" s="594"/>
    </row>
    <row r="9317" spans="16:16">
      <c r="P9317" s="594"/>
    </row>
    <row r="9318" spans="16:16">
      <c r="P9318" s="594"/>
    </row>
    <row r="9319" spans="16:16">
      <c r="P9319" s="594"/>
    </row>
    <row r="9320" spans="16:16">
      <c r="P9320" s="594"/>
    </row>
    <row r="9321" spans="16:16">
      <c r="P9321" s="594"/>
    </row>
    <row r="9322" spans="16:16">
      <c r="P9322" s="594"/>
    </row>
    <row r="9323" spans="16:16">
      <c r="P9323" s="594"/>
    </row>
    <row r="9324" spans="16:16">
      <c r="P9324" s="594"/>
    </row>
    <row r="9325" spans="16:16">
      <c r="P9325" s="594"/>
    </row>
    <row r="9326" spans="16:16">
      <c r="P9326" s="594"/>
    </row>
    <row r="9327" spans="16:16">
      <c r="P9327" s="594"/>
    </row>
    <row r="9328" spans="16:16">
      <c r="P9328" s="594"/>
    </row>
    <row r="9329" spans="16:16">
      <c r="P9329" s="594"/>
    </row>
    <row r="9330" spans="16:16">
      <c r="P9330" s="594"/>
    </row>
    <row r="9331" spans="16:16">
      <c r="P9331" s="594"/>
    </row>
    <row r="9332" spans="16:16">
      <c r="P9332" s="594"/>
    </row>
    <row r="9333" spans="16:16">
      <c r="P9333" s="594"/>
    </row>
    <row r="9334" spans="16:16">
      <c r="P9334" s="594"/>
    </row>
    <row r="9335" spans="16:16">
      <c r="P9335" s="594"/>
    </row>
    <row r="9336" spans="16:16">
      <c r="P9336" s="594"/>
    </row>
    <row r="9337" spans="16:16">
      <c r="P9337" s="594"/>
    </row>
    <row r="9338" spans="16:16">
      <c r="P9338" s="594"/>
    </row>
    <row r="9339" spans="16:16">
      <c r="P9339" s="594"/>
    </row>
    <row r="9340" spans="16:16">
      <c r="P9340" s="594"/>
    </row>
    <row r="9341" spans="16:16">
      <c r="P9341" s="594"/>
    </row>
    <row r="9342" spans="16:16">
      <c r="P9342" s="594"/>
    </row>
    <row r="9343" spans="16:16">
      <c r="P9343" s="594"/>
    </row>
    <row r="9344" spans="16:16">
      <c r="P9344" s="594"/>
    </row>
    <row r="9345" spans="16:16">
      <c r="P9345" s="594"/>
    </row>
    <row r="9346" spans="16:16">
      <c r="P9346" s="594"/>
    </row>
    <row r="9347" spans="16:16">
      <c r="P9347" s="594"/>
    </row>
    <row r="9348" spans="16:16">
      <c r="P9348" s="594"/>
    </row>
    <row r="9349" spans="16:16">
      <c r="P9349" s="594"/>
    </row>
    <row r="9350" spans="16:16">
      <c r="P9350" s="594"/>
    </row>
    <row r="9351" spans="16:16">
      <c r="P9351" s="594"/>
    </row>
    <row r="9352" spans="16:16">
      <c r="P9352" s="594"/>
    </row>
    <row r="9353" spans="16:16">
      <c r="P9353" s="594"/>
    </row>
    <row r="9354" spans="16:16">
      <c r="P9354" s="594"/>
    </row>
    <row r="9355" spans="16:16">
      <c r="P9355" s="594"/>
    </row>
    <row r="9356" spans="16:16">
      <c r="P9356" s="594"/>
    </row>
    <row r="9357" spans="16:16">
      <c r="P9357" s="594"/>
    </row>
    <row r="9358" spans="16:16">
      <c r="P9358" s="594"/>
    </row>
    <row r="9359" spans="16:16">
      <c r="P9359" s="594"/>
    </row>
    <row r="9360" spans="16:16">
      <c r="P9360" s="594"/>
    </row>
    <row r="9361" spans="16:16">
      <c r="P9361" s="594"/>
    </row>
    <row r="9362" spans="16:16">
      <c r="P9362" s="594"/>
    </row>
    <row r="9363" spans="16:16">
      <c r="P9363" s="594"/>
    </row>
    <row r="9364" spans="16:16">
      <c r="P9364" s="594"/>
    </row>
    <row r="9365" spans="16:16">
      <c r="P9365" s="594"/>
    </row>
    <row r="9366" spans="16:16">
      <c r="P9366" s="594"/>
    </row>
    <row r="9367" spans="16:16">
      <c r="P9367" s="594"/>
    </row>
    <row r="9368" spans="16:16">
      <c r="P9368" s="594"/>
    </row>
    <row r="9369" spans="16:16">
      <c r="P9369" s="594"/>
    </row>
    <row r="9370" spans="16:16">
      <c r="P9370" s="594"/>
    </row>
    <row r="9371" spans="16:16">
      <c r="P9371" s="594"/>
    </row>
    <row r="9372" spans="16:16">
      <c r="P9372" s="594"/>
    </row>
    <row r="9373" spans="16:16">
      <c r="P9373" s="594"/>
    </row>
    <row r="9374" spans="16:16">
      <c r="P9374" s="594"/>
    </row>
    <row r="9375" spans="16:16">
      <c r="P9375" s="594"/>
    </row>
    <row r="9376" spans="16:16">
      <c r="P9376" s="594"/>
    </row>
    <row r="9377" spans="16:16">
      <c r="P9377" s="594"/>
    </row>
    <row r="9378" spans="16:16">
      <c r="P9378" s="594"/>
    </row>
    <row r="9379" spans="16:16">
      <c r="P9379" s="594"/>
    </row>
    <row r="9380" spans="16:16">
      <c r="P9380" s="594"/>
    </row>
    <row r="9381" spans="16:16">
      <c r="P9381" s="594"/>
    </row>
    <row r="9382" spans="16:16">
      <c r="P9382" s="594"/>
    </row>
    <row r="9383" spans="16:16">
      <c r="P9383" s="594"/>
    </row>
    <row r="9384" spans="16:16">
      <c r="P9384" s="594"/>
    </row>
    <row r="9385" spans="16:16">
      <c r="P9385" s="594"/>
    </row>
    <row r="9386" spans="16:16">
      <c r="P9386" s="594"/>
    </row>
    <row r="9387" spans="16:16">
      <c r="P9387" s="594"/>
    </row>
    <row r="9388" spans="16:16">
      <c r="P9388" s="594"/>
    </row>
    <row r="9389" spans="16:16">
      <c r="P9389" s="594"/>
    </row>
    <row r="9390" spans="16:16">
      <c r="P9390" s="594"/>
    </row>
    <row r="9391" spans="16:16">
      <c r="P9391" s="594"/>
    </row>
    <row r="9392" spans="16:16">
      <c r="P9392" s="594"/>
    </row>
    <row r="9393" spans="16:16">
      <c r="P9393" s="594"/>
    </row>
    <row r="9394" spans="16:16">
      <c r="P9394" s="594"/>
    </row>
    <row r="9395" spans="16:16">
      <c r="P9395" s="594"/>
    </row>
    <row r="9396" spans="16:16">
      <c r="P9396" s="594"/>
    </row>
    <row r="9397" spans="16:16">
      <c r="P9397" s="594"/>
    </row>
    <row r="9398" spans="16:16">
      <c r="P9398" s="594"/>
    </row>
    <row r="9399" spans="16:16">
      <c r="P9399" s="594"/>
    </row>
    <row r="9400" spans="16:16">
      <c r="P9400" s="594"/>
    </row>
    <row r="9401" spans="16:16">
      <c r="P9401" s="594"/>
    </row>
    <row r="9402" spans="16:16">
      <c r="P9402" s="594"/>
    </row>
    <row r="9403" spans="16:16">
      <c r="P9403" s="594"/>
    </row>
    <row r="9404" spans="16:16">
      <c r="P9404" s="594"/>
    </row>
    <row r="9405" spans="16:16">
      <c r="P9405" s="594"/>
    </row>
    <row r="9406" spans="16:16">
      <c r="P9406" s="594"/>
    </row>
    <row r="9407" spans="16:16">
      <c r="P9407" s="594"/>
    </row>
    <row r="9408" spans="16:16">
      <c r="P9408" s="594"/>
    </row>
    <row r="9409" spans="16:16">
      <c r="P9409" s="594"/>
    </row>
    <row r="9410" spans="16:16">
      <c r="P9410" s="594"/>
    </row>
    <row r="9411" spans="16:16">
      <c r="P9411" s="594"/>
    </row>
    <row r="9412" spans="16:16">
      <c r="P9412" s="594"/>
    </row>
    <row r="9413" spans="16:16">
      <c r="P9413" s="594"/>
    </row>
    <row r="9414" spans="16:16">
      <c r="P9414" s="594"/>
    </row>
    <row r="9415" spans="16:16">
      <c r="P9415" s="594"/>
    </row>
    <row r="9416" spans="16:16">
      <c r="P9416" s="594"/>
    </row>
    <row r="9417" spans="16:16">
      <c r="P9417" s="594"/>
    </row>
    <row r="9418" spans="16:16">
      <c r="P9418" s="594"/>
    </row>
    <row r="9419" spans="16:16">
      <c r="P9419" s="594"/>
    </row>
    <row r="9420" spans="16:16">
      <c r="P9420" s="594"/>
    </row>
    <row r="9421" spans="16:16">
      <c r="P9421" s="594"/>
    </row>
    <row r="9422" spans="16:16">
      <c r="P9422" s="594"/>
    </row>
    <row r="9423" spans="16:16">
      <c r="P9423" s="594"/>
    </row>
    <row r="9424" spans="16:16">
      <c r="P9424" s="594"/>
    </row>
    <row r="9425" spans="16:16">
      <c r="P9425" s="594"/>
    </row>
    <row r="9426" spans="16:16">
      <c r="P9426" s="594"/>
    </row>
    <row r="9427" spans="16:16">
      <c r="P9427" s="594"/>
    </row>
    <row r="9428" spans="16:16">
      <c r="P9428" s="594"/>
    </row>
    <row r="9429" spans="16:16">
      <c r="P9429" s="594"/>
    </row>
    <row r="9430" spans="16:16">
      <c r="P9430" s="594"/>
    </row>
    <row r="9431" spans="16:16">
      <c r="P9431" s="594"/>
    </row>
    <row r="9432" spans="16:16">
      <c r="P9432" s="594"/>
    </row>
    <row r="9433" spans="16:16">
      <c r="P9433" s="594"/>
    </row>
    <row r="9434" spans="16:16">
      <c r="P9434" s="594"/>
    </row>
    <row r="9435" spans="16:16">
      <c r="P9435" s="594"/>
    </row>
    <row r="9436" spans="16:16">
      <c r="P9436" s="594"/>
    </row>
    <row r="9437" spans="16:16">
      <c r="P9437" s="594"/>
    </row>
    <row r="9438" spans="16:16">
      <c r="P9438" s="594"/>
    </row>
    <row r="9439" spans="16:16">
      <c r="P9439" s="594"/>
    </row>
    <row r="9440" spans="16:16">
      <c r="P9440" s="594"/>
    </row>
    <row r="9441" spans="16:16">
      <c r="P9441" s="594"/>
    </row>
    <row r="9442" spans="16:16">
      <c r="P9442" s="594"/>
    </row>
    <row r="9443" spans="16:16">
      <c r="P9443" s="594"/>
    </row>
    <row r="9444" spans="16:16">
      <c r="P9444" s="594"/>
    </row>
    <row r="9445" spans="16:16">
      <c r="P9445" s="594"/>
    </row>
    <row r="9446" spans="16:16">
      <c r="P9446" s="594"/>
    </row>
    <row r="9447" spans="16:16">
      <c r="P9447" s="594"/>
    </row>
    <row r="9448" spans="16:16">
      <c r="P9448" s="594"/>
    </row>
    <row r="9449" spans="16:16">
      <c r="P9449" s="594"/>
    </row>
    <row r="9450" spans="16:16">
      <c r="P9450" s="594"/>
    </row>
    <row r="9451" spans="16:16">
      <c r="P9451" s="594"/>
    </row>
    <row r="9452" spans="16:16">
      <c r="P9452" s="594"/>
    </row>
    <row r="9453" spans="16:16">
      <c r="P9453" s="594"/>
    </row>
    <row r="9454" spans="16:16">
      <c r="P9454" s="594"/>
    </row>
    <row r="9455" spans="16:16">
      <c r="P9455" s="594"/>
    </row>
    <row r="9456" spans="16:16">
      <c r="P9456" s="594"/>
    </row>
    <row r="9457" spans="16:16">
      <c r="P9457" s="594"/>
    </row>
    <row r="9458" spans="16:16">
      <c r="P9458" s="594"/>
    </row>
    <row r="9459" spans="16:16">
      <c r="P9459" s="594"/>
    </row>
    <row r="9460" spans="16:16">
      <c r="P9460" s="594"/>
    </row>
    <row r="9461" spans="16:16">
      <c r="P9461" s="594"/>
    </row>
    <row r="9462" spans="16:16">
      <c r="P9462" s="594"/>
    </row>
    <row r="9463" spans="16:16">
      <c r="P9463" s="594"/>
    </row>
    <row r="9464" spans="16:16">
      <c r="P9464" s="594"/>
    </row>
    <row r="9465" spans="16:16">
      <c r="P9465" s="594"/>
    </row>
    <row r="9466" spans="16:16">
      <c r="P9466" s="594"/>
    </row>
    <row r="9467" spans="16:16">
      <c r="P9467" s="594"/>
    </row>
    <row r="9468" spans="16:16">
      <c r="P9468" s="594"/>
    </row>
    <row r="9469" spans="16:16">
      <c r="P9469" s="594"/>
    </row>
    <row r="9470" spans="16:16">
      <c r="P9470" s="594"/>
    </row>
    <row r="9471" spans="16:16">
      <c r="P9471" s="594"/>
    </row>
    <row r="9472" spans="16:16">
      <c r="P9472" s="594"/>
    </row>
    <row r="9473" spans="16:16">
      <c r="P9473" s="594"/>
    </row>
    <row r="9474" spans="16:16">
      <c r="P9474" s="594"/>
    </row>
    <row r="9475" spans="16:16">
      <c r="P9475" s="594"/>
    </row>
    <row r="9476" spans="16:16">
      <c r="P9476" s="594"/>
    </row>
    <row r="9477" spans="16:16">
      <c r="P9477" s="594"/>
    </row>
    <row r="9478" spans="16:16">
      <c r="P9478" s="594"/>
    </row>
    <row r="9479" spans="16:16">
      <c r="P9479" s="594"/>
    </row>
    <row r="9480" spans="16:16">
      <c r="P9480" s="594"/>
    </row>
    <row r="9481" spans="16:16">
      <c r="P9481" s="594"/>
    </row>
    <row r="9482" spans="16:16">
      <c r="P9482" s="594"/>
    </row>
    <row r="9483" spans="16:16">
      <c r="P9483" s="594"/>
    </row>
    <row r="9484" spans="16:16">
      <c r="P9484" s="594"/>
    </row>
    <row r="9485" spans="16:16">
      <c r="P9485" s="594"/>
    </row>
    <row r="9486" spans="16:16">
      <c r="P9486" s="594"/>
    </row>
    <row r="9487" spans="16:16">
      <c r="P9487" s="594"/>
    </row>
    <row r="9488" spans="16:16">
      <c r="P9488" s="594"/>
    </row>
    <row r="9489" spans="16:16">
      <c r="P9489" s="594"/>
    </row>
    <row r="9490" spans="16:16">
      <c r="P9490" s="594"/>
    </row>
    <row r="9491" spans="16:16">
      <c r="P9491" s="594"/>
    </row>
    <row r="9492" spans="16:16">
      <c r="P9492" s="594"/>
    </row>
    <row r="9493" spans="16:16">
      <c r="P9493" s="594"/>
    </row>
    <row r="9494" spans="16:16">
      <c r="P9494" s="594"/>
    </row>
    <row r="9495" spans="16:16">
      <c r="P9495" s="594"/>
    </row>
    <row r="9496" spans="16:16">
      <c r="P9496" s="594"/>
    </row>
    <row r="9497" spans="16:16">
      <c r="P9497" s="594"/>
    </row>
    <row r="9498" spans="16:16">
      <c r="P9498" s="594"/>
    </row>
    <row r="9499" spans="16:16">
      <c r="P9499" s="594"/>
    </row>
    <row r="9500" spans="16:16">
      <c r="P9500" s="594"/>
    </row>
    <row r="9501" spans="16:16">
      <c r="P9501" s="594"/>
    </row>
    <row r="9502" spans="16:16">
      <c r="P9502" s="594"/>
    </row>
    <row r="9503" spans="16:16">
      <c r="P9503" s="594"/>
    </row>
    <row r="9504" spans="16:16">
      <c r="P9504" s="594"/>
    </row>
    <row r="9505" spans="16:16">
      <c r="P9505" s="594"/>
    </row>
    <row r="9506" spans="16:16">
      <c r="P9506" s="594"/>
    </row>
    <row r="9507" spans="16:16">
      <c r="P9507" s="594"/>
    </row>
    <row r="9508" spans="16:16">
      <c r="P9508" s="594"/>
    </row>
    <row r="9509" spans="16:16">
      <c r="P9509" s="594"/>
    </row>
    <row r="9510" spans="16:16">
      <c r="P9510" s="594"/>
    </row>
    <row r="9511" spans="16:16">
      <c r="P9511" s="594"/>
    </row>
    <row r="9512" spans="16:16">
      <c r="P9512" s="594"/>
    </row>
    <row r="9513" spans="16:16">
      <c r="P9513" s="594"/>
    </row>
    <row r="9514" spans="16:16">
      <c r="P9514" s="594"/>
    </row>
    <row r="9515" spans="16:16">
      <c r="P9515" s="594"/>
    </row>
    <row r="9516" spans="16:16">
      <c r="P9516" s="594"/>
    </row>
    <row r="9517" spans="16:16">
      <c r="P9517" s="594"/>
    </row>
    <row r="9518" spans="16:16">
      <c r="P9518" s="594"/>
    </row>
    <row r="9519" spans="16:16">
      <c r="P9519" s="594"/>
    </row>
    <row r="9520" spans="16:16">
      <c r="P9520" s="594"/>
    </row>
    <row r="9521" spans="16:16">
      <c r="P9521" s="594"/>
    </row>
    <row r="9522" spans="16:16">
      <c r="P9522" s="594"/>
    </row>
    <row r="9523" spans="16:16">
      <c r="P9523" s="594"/>
    </row>
    <row r="9524" spans="16:16">
      <c r="P9524" s="594"/>
    </row>
    <row r="9525" spans="16:16">
      <c r="P9525" s="594"/>
    </row>
    <row r="9526" spans="16:16">
      <c r="P9526" s="594"/>
    </row>
    <row r="9527" spans="16:16">
      <c r="P9527" s="594"/>
    </row>
    <row r="9528" spans="16:16">
      <c r="P9528" s="594"/>
    </row>
    <row r="9529" spans="16:16">
      <c r="P9529" s="594"/>
    </row>
    <row r="9530" spans="16:16">
      <c r="P9530" s="594"/>
    </row>
    <row r="9531" spans="16:16">
      <c r="P9531" s="594"/>
    </row>
    <row r="9532" spans="16:16">
      <c r="P9532" s="594"/>
    </row>
    <row r="9533" spans="16:16">
      <c r="P9533" s="594"/>
    </row>
    <row r="9534" spans="16:16">
      <c r="P9534" s="594"/>
    </row>
    <row r="9535" spans="16:16">
      <c r="P9535" s="594"/>
    </row>
    <row r="9536" spans="16:16">
      <c r="P9536" s="594"/>
    </row>
    <row r="9537" spans="16:16">
      <c r="P9537" s="594"/>
    </row>
    <row r="9538" spans="16:16">
      <c r="P9538" s="594"/>
    </row>
    <row r="9539" spans="16:16">
      <c r="P9539" s="594"/>
    </row>
    <row r="9540" spans="16:16">
      <c r="P9540" s="594"/>
    </row>
    <row r="9541" spans="16:16">
      <c r="P9541" s="594"/>
    </row>
    <row r="9542" spans="16:16">
      <c r="P9542" s="594"/>
    </row>
    <row r="9543" spans="16:16">
      <c r="P9543" s="594"/>
    </row>
    <row r="9544" spans="16:16">
      <c r="P9544" s="594"/>
    </row>
    <row r="9545" spans="16:16">
      <c r="P9545" s="594"/>
    </row>
    <row r="9546" spans="16:16">
      <c r="P9546" s="594"/>
    </row>
    <row r="9547" spans="16:16">
      <c r="P9547" s="594"/>
    </row>
    <row r="9548" spans="16:16">
      <c r="P9548" s="594"/>
    </row>
    <row r="9549" spans="16:16">
      <c r="P9549" s="594"/>
    </row>
    <row r="9550" spans="16:16">
      <c r="P9550" s="594"/>
    </row>
    <row r="9551" spans="16:16">
      <c r="P9551" s="594"/>
    </row>
    <row r="9552" spans="16:16">
      <c r="P9552" s="594"/>
    </row>
    <row r="9553" spans="16:16">
      <c r="P9553" s="594"/>
    </row>
    <row r="9554" spans="16:16">
      <c r="P9554" s="594"/>
    </row>
    <row r="9555" spans="16:16">
      <c r="P9555" s="594"/>
    </row>
    <row r="9556" spans="16:16">
      <c r="P9556" s="594"/>
    </row>
    <row r="9557" spans="16:16">
      <c r="P9557" s="594"/>
    </row>
    <row r="9558" spans="16:16">
      <c r="P9558" s="594"/>
    </row>
    <row r="9559" spans="16:16">
      <c r="P9559" s="594"/>
    </row>
    <row r="9560" spans="16:16">
      <c r="P9560" s="594"/>
    </row>
    <row r="9561" spans="16:16">
      <c r="P9561" s="594"/>
    </row>
    <row r="9562" spans="16:16">
      <c r="P9562" s="594"/>
    </row>
    <row r="9563" spans="16:16">
      <c r="P9563" s="594"/>
    </row>
    <row r="9564" spans="16:16">
      <c r="P9564" s="594"/>
    </row>
    <row r="9565" spans="16:16">
      <c r="P9565" s="594"/>
    </row>
    <row r="9566" spans="16:16">
      <c r="P9566" s="594"/>
    </row>
    <row r="9567" spans="16:16">
      <c r="P9567" s="594"/>
    </row>
    <row r="9568" spans="16:16">
      <c r="P9568" s="594"/>
    </row>
    <row r="9569" spans="16:16">
      <c r="P9569" s="594"/>
    </row>
    <row r="9570" spans="16:16">
      <c r="P9570" s="594"/>
    </row>
    <row r="9571" spans="16:16">
      <c r="P9571" s="594"/>
    </row>
    <row r="9572" spans="16:16">
      <c r="P9572" s="594"/>
    </row>
    <row r="9573" spans="16:16">
      <c r="P9573" s="594"/>
    </row>
    <row r="9574" spans="16:16">
      <c r="P9574" s="594"/>
    </row>
    <row r="9575" spans="16:16">
      <c r="P9575" s="594"/>
    </row>
    <row r="9576" spans="16:16">
      <c r="P9576" s="594"/>
    </row>
    <row r="9577" spans="16:16">
      <c r="P9577" s="594"/>
    </row>
    <row r="9578" spans="16:16">
      <c r="P9578" s="594"/>
    </row>
    <row r="9579" spans="16:16">
      <c r="P9579" s="594"/>
    </row>
    <row r="9580" spans="16:16">
      <c r="P9580" s="594"/>
    </row>
    <row r="9581" spans="16:16">
      <c r="P9581" s="594"/>
    </row>
    <row r="9582" spans="16:16">
      <c r="P9582" s="594"/>
    </row>
    <row r="9583" spans="16:16">
      <c r="P9583" s="594"/>
    </row>
    <row r="9584" spans="16:16">
      <c r="P9584" s="594"/>
    </row>
    <row r="9585" spans="16:16">
      <c r="P9585" s="594"/>
    </row>
    <row r="9586" spans="16:16">
      <c r="P9586" s="594"/>
    </row>
    <row r="9587" spans="16:16">
      <c r="P9587" s="594"/>
    </row>
    <row r="9588" spans="16:16">
      <c r="P9588" s="594"/>
    </row>
    <row r="9589" spans="16:16">
      <c r="P9589" s="594"/>
    </row>
    <row r="9590" spans="16:16">
      <c r="P9590" s="594"/>
    </row>
    <row r="9591" spans="16:16">
      <c r="P9591" s="594"/>
    </row>
    <row r="9592" spans="16:16">
      <c r="P9592" s="594"/>
    </row>
    <row r="9593" spans="16:16">
      <c r="P9593" s="594"/>
    </row>
    <row r="9594" spans="16:16">
      <c r="P9594" s="594"/>
    </row>
    <row r="9595" spans="16:16">
      <c r="P9595" s="594"/>
    </row>
    <row r="9596" spans="16:16">
      <c r="P9596" s="594"/>
    </row>
    <row r="9597" spans="16:16">
      <c r="P9597" s="594"/>
    </row>
    <row r="9598" spans="16:16">
      <c r="P9598" s="594"/>
    </row>
    <row r="9599" spans="16:16">
      <c r="P9599" s="594"/>
    </row>
    <row r="9600" spans="16:16">
      <c r="P9600" s="594"/>
    </row>
    <row r="9601" spans="16:16">
      <c r="P9601" s="594"/>
    </row>
    <row r="9602" spans="16:16">
      <c r="P9602" s="594"/>
    </row>
    <row r="9603" spans="16:16">
      <c r="P9603" s="594"/>
    </row>
    <row r="9604" spans="16:16">
      <c r="P9604" s="594"/>
    </row>
    <row r="9605" spans="16:16">
      <c r="P9605" s="594"/>
    </row>
    <row r="9606" spans="16:16">
      <c r="P9606" s="594"/>
    </row>
    <row r="9607" spans="16:16">
      <c r="P9607" s="594"/>
    </row>
    <row r="9608" spans="16:16">
      <c r="P9608" s="594"/>
    </row>
    <row r="9609" spans="16:16">
      <c r="P9609" s="594"/>
    </row>
    <row r="9610" spans="16:16">
      <c r="P9610" s="594"/>
    </row>
    <row r="9611" spans="16:16">
      <c r="P9611" s="594"/>
    </row>
    <row r="9612" spans="16:16">
      <c r="P9612" s="594"/>
    </row>
    <row r="9613" spans="16:16">
      <c r="P9613" s="594"/>
    </row>
    <row r="9614" spans="16:16">
      <c r="P9614" s="594"/>
    </row>
    <row r="9615" spans="16:16">
      <c r="P9615" s="594"/>
    </row>
    <row r="9616" spans="16:16">
      <c r="P9616" s="594"/>
    </row>
    <row r="9617" spans="16:16">
      <c r="P9617" s="594"/>
    </row>
    <row r="9618" spans="16:16">
      <c r="P9618" s="594"/>
    </row>
    <row r="9619" spans="16:16">
      <c r="P9619" s="594"/>
    </row>
    <row r="9620" spans="16:16">
      <c r="P9620" s="594"/>
    </row>
    <row r="9621" spans="16:16">
      <c r="P9621" s="594"/>
    </row>
    <row r="9622" spans="16:16">
      <c r="P9622" s="594"/>
    </row>
    <row r="9623" spans="16:16">
      <c r="P9623" s="594"/>
    </row>
    <row r="9624" spans="16:16">
      <c r="P9624" s="594"/>
    </row>
    <row r="9625" spans="16:16">
      <c r="P9625" s="594"/>
    </row>
    <row r="9626" spans="16:16">
      <c r="P9626" s="594"/>
    </row>
    <row r="9627" spans="16:16">
      <c r="P9627" s="594"/>
    </row>
    <row r="9628" spans="16:16">
      <c r="P9628" s="594"/>
    </row>
    <row r="9629" spans="16:16">
      <c r="P9629" s="594"/>
    </row>
    <row r="9630" spans="16:16">
      <c r="P9630" s="594"/>
    </row>
    <row r="9631" spans="16:16">
      <c r="P9631" s="594"/>
    </row>
    <row r="9632" spans="16:16">
      <c r="P9632" s="594"/>
    </row>
    <row r="9633" spans="16:16">
      <c r="P9633" s="594"/>
    </row>
    <row r="9634" spans="16:16">
      <c r="P9634" s="594"/>
    </row>
    <row r="9635" spans="16:16">
      <c r="P9635" s="594"/>
    </row>
    <row r="9636" spans="16:16">
      <c r="P9636" s="594"/>
    </row>
    <row r="9637" spans="16:16">
      <c r="P9637" s="594"/>
    </row>
    <row r="9638" spans="16:16">
      <c r="P9638" s="594"/>
    </row>
    <row r="9639" spans="16:16">
      <c r="P9639" s="594"/>
    </row>
    <row r="9640" spans="16:16">
      <c r="P9640" s="594"/>
    </row>
    <row r="9641" spans="16:16">
      <c r="P9641" s="594"/>
    </row>
    <row r="9642" spans="16:16">
      <c r="P9642" s="594"/>
    </row>
    <row r="9643" spans="16:16">
      <c r="P9643" s="594"/>
    </row>
    <row r="9644" spans="16:16">
      <c r="P9644" s="594"/>
    </row>
    <row r="9645" spans="16:16">
      <c r="P9645" s="594"/>
    </row>
    <row r="9646" spans="16:16">
      <c r="P9646" s="594"/>
    </row>
    <row r="9647" spans="16:16">
      <c r="P9647" s="594"/>
    </row>
    <row r="9648" spans="16:16">
      <c r="P9648" s="594"/>
    </row>
    <row r="9649" spans="16:16">
      <c r="P9649" s="594"/>
    </row>
    <row r="9650" spans="16:16">
      <c r="P9650" s="594"/>
    </row>
    <row r="9651" spans="16:16">
      <c r="P9651" s="594"/>
    </row>
    <row r="9652" spans="16:16">
      <c r="P9652" s="594"/>
    </row>
    <row r="9653" spans="16:16">
      <c r="P9653" s="594"/>
    </row>
    <row r="9654" spans="16:16">
      <c r="P9654" s="594"/>
    </row>
    <row r="9655" spans="16:16">
      <c r="P9655" s="594"/>
    </row>
    <row r="9656" spans="16:16">
      <c r="P9656" s="594"/>
    </row>
    <row r="9657" spans="16:16">
      <c r="P9657" s="594"/>
    </row>
    <row r="9658" spans="16:16">
      <c r="P9658" s="594"/>
    </row>
    <row r="9659" spans="16:16">
      <c r="P9659" s="594"/>
    </row>
    <row r="9660" spans="16:16">
      <c r="P9660" s="594"/>
    </row>
    <row r="9661" spans="16:16">
      <c r="P9661" s="594"/>
    </row>
    <row r="9662" spans="16:16">
      <c r="P9662" s="594"/>
    </row>
    <row r="9663" spans="16:16">
      <c r="P9663" s="594"/>
    </row>
    <row r="9664" spans="16:16">
      <c r="P9664" s="594"/>
    </row>
    <row r="9665" spans="16:16">
      <c r="P9665" s="594"/>
    </row>
    <row r="9666" spans="16:16">
      <c r="P9666" s="594"/>
    </row>
    <row r="9667" spans="16:16">
      <c r="P9667" s="594"/>
    </row>
    <row r="9668" spans="16:16">
      <c r="P9668" s="594"/>
    </row>
    <row r="9669" spans="16:16">
      <c r="P9669" s="594"/>
    </row>
    <row r="9670" spans="16:16">
      <c r="P9670" s="594"/>
    </row>
    <row r="9671" spans="16:16">
      <c r="P9671" s="594"/>
    </row>
    <row r="9672" spans="16:16">
      <c r="P9672" s="594"/>
    </row>
    <row r="9673" spans="16:16">
      <c r="P9673" s="594"/>
    </row>
    <row r="9674" spans="16:16">
      <c r="P9674" s="594"/>
    </row>
    <row r="9675" spans="16:16">
      <c r="P9675" s="594"/>
    </row>
    <row r="9676" spans="16:16">
      <c r="P9676" s="594"/>
    </row>
    <row r="9677" spans="16:16">
      <c r="P9677" s="594"/>
    </row>
    <row r="9678" spans="16:16">
      <c r="P9678" s="594"/>
    </row>
    <row r="9679" spans="16:16">
      <c r="P9679" s="594"/>
    </row>
    <row r="9680" spans="16:16">
      <c r="P9680" s="594"/>
    </row>
    <row r="9681" spans="16:16">
      <c r="P9681" s="594"/>
    </row>
    <row r="9682" spans="16:16">
      <c r="P9682" s="594"/>
    </row>
    <row r="9683" spans="16:16">
      <c r="P9683" s="594"/>
    </row>
    <row r="9684" spans="16:16">
      <c r="P9684" s="594"/>
    </row>
    <row r="9685" spans="16:16">
      <c r="P9685" s="594"/>
    </row>
    <row r="9686" spans="16:16">
      <c r="P9686" s="594"/>
    </row>
    <row r="9687" spans="16:16">
      <c r="P9687" s="594"/>
    </row>
    <row r="9688" spans="16:16">
      <c r="P9688" s="594"/>
    </row>
    <row r="9689" spans="16:16">
      <c r="P9689" s="594"/>
    </row>
    <row r="9690" spans="16:16">
      <c r="P9690" s="594"/>
    </row>
    <row r="9691" spans="16:16">
      <c r="P9691" s="594"/>
    </row>
    <row r="9692" spans="16:16">
      <c r="P9692" s="594"/>
    </row>
    <row r="9693" spans="16:16">
      <c r="P9693" s="594"/>
    </row>
    <row r="9694" spans="16:16">
      <c r="P9694" s="594"/>
    </row>
    <row r="9695" spans="16:16">
      <c r="P9695" s="594"/>
    </row>
    <row r="9696" spans="16:16">
      <c r="P9696" s="594"/>
    </row>
    <row r="9697" spans="16:16">
      <c r="P9697" s="594"/>
    </row>
    <row r="9698" spans="16:16">
      <c r="P9698" s="594"/>
    </row>
    <row r="9699" spans="16:16">
      <c r="P9699" s="594"/>
    </row>
    <row r="9700" spans="16:16">
      <c r="P9700" s="594"/>
    </row>
    <row r="9701" spans="16:16">
      <c r="P9701" s="594"/>
    </row>
    <row r="9702" spans="16:16">
      <c r="P9702" s="594"/>
    </row>
    <row r="9703" spans="16:16">
      <c r="P9703" s="594"/>
    </row>
    <row r="9704" spans="16:16">
      <c r="P9704" s="594"/>
    </row>
    <row r="9705" spans="16:16">
      <c r="P9705" s="594"/>
    </row>
    <row r="9706" spans="16:16">
      <c r="P9706" s="594"/>
    </row>
    <row r="9707" spans="16:16">
      <c r="P9707" s="594"/>
    </row>
    <row r="9708" spans="16:16">
      <c r="P9708" s="594"/>
    </row>
    <row r="9709" spans="16:16">
      <c r="P9709" s="594"/>
    </row>
    <row r="9710" spans="16:16">
      <c r="P9710" s="594"/>
    </row>
    <row r="9711" spans="16:16">
      <c r="P9711" s="594"/>
    </row>
    <row r="9712" spans="16:16">
      <c r="P9712" s="594"/>
    </row>
    <row r="9713" spans="16:16">
      <c r="P9713" s="594"/>
    </row>
    <row r="9714" spans="16:16">
      <c r="P9714" s="594"/>
    </row>
    <row r="9715" spans="16:16">
      <c r="P9715" s="594"/>
    </row>
    <row r="9716" spans="16:16">
      <c r="P9716" s="594"/>
    </row>
    <row r="9717" spans="16:16">
      <c r="P9717" s="594"/>
    </row>
    <row r="9718" spans="16:16">
      <c r="P9718" s="594"/>
    </row>
    <row r="9719" spans="16:16">
      <c r="P9719" s="594"/>
    </row>
    <row r="9720" spans="16:16">
      <c r="P9720" s="594"/>
    </row>
    <row r="9721" spans="16:16">
      <c r="P9721" s="594"/>
    </row>
    <row r="9722" spans="16:16">
      <c r="P9722" s="594"/>
    </row>
    <row r="9723" spans="16:16">
      <c r="P9723" s="594"/>
    </row>
    <row r="9724" spans="16:16">
      <c r="P9724" s="594"/>
    </row>
    <row r="9725" spans="16:16">
      <c r="P9725" s="594"/>
    </row>
    <row r="9726" spans="16:16">
      <c r="P9726" s="594"/>
    </row>
    <row r="9727" spans="16:16">
      <c r="P9727" s="594"/>
    </row>
    <row r="9728" spans="16:16">
      <c r="P9728" s="594"/>
    </row>
    <row r="9729" spans="16:16">
      <c r="P9729" s="594"/>
    </row>
    <row r="9730" spans="16:16">
      <c r="P9730" s="594"/>
    </row>
    <row r="9731" spans="16:16">
      <c r="P9731" s="594"/>
    </row>
    <row r="9732" spans="16:16">
      <c r="P9732" s="594"/>
    </row>
    <row r="9733" spans="16:16">
      <c r="P9733" s="594"/>
    </row>
    <row r="9734" spans="16:16">
      <c r="P9734" s="594"/>
    </row>
    <row r="9735" spans="16:16">
      <c r="P9735" s="594"/>
    </row>
    <row r="9736" spans="16:16">
      <c r="P9736" s="594"/>
    </row>
    <row r="9737" spans="16:16">
      <c r="P9737" s="594"/>
    </row>
    <row r="9738" spans="16:16">
      <c r="P9738" s="594"/>
    </row>
    <row r="9739" spans="16:16">
      <c r="P9739" s="594"/>
    </row>
    <row r="9740" spans="16:16">
      <c r="P9740" s="594"/>
    </row>
    <row r="9741" spans="16:16">
      <c r="P9741" s="594"/>
    </row>
    <row r="9742" spans="16:16">
      <c r="P9742" s="594"/>
    </row>
    <row r="9743" spans="16:16">
      <c r="P9743" s="594"/>
    </row>
    <row r="9744" spans="16:16">
      <c r="P9744" s="594"/>
    </row>
    <row r="9745" spans="16:16">
      <c r="P9745" s="594"/>
    </row>
    <row r="9746" spans="16:16">
      <c r="P9746" s="594"/>
    </row>
    <row r="9747" spans="16:16">
      <c r="P9747" s="594"/>
    </row>
    <row r="9748" spans="16:16">
      <c r="P9748" s="594"/>
    </row>
    <row r="9749" spans="16:16">
      <c r="P9749" s="594"/>
    </row>
    <row r="9750" spans="16:16">
      <c r="P9750" s="594"/>
    </row>
    <row r="9751" spans="16:16">
      <c r="P9751" s="594"/>
    </row>
    <row r="9752" spans="16:16">
      <c r="P9752" s="594"/>
    </row>
    <row r="9753" spans="16:16">
      <c r="P9753" s="594"/>
    </row>
    <row r="9754" spans="16:16">
      <c r="P9754" s="594"/>
    </row>
    <row r="9755" spans="16:16">
      <c r="P9755" s="594"/>
    </row>
    <row r="9756" spans="16:16">
      <c r="P9756" s="594"/>
    </row>
    <row r="9757" spans="16:16">
      <c r="P9757" s="594"/>
    </row>
    <row r="9758" spans="16:16">
      <c r="P9758" s="594"/>
    </row>
    <row r="9759" spans="16:16">
      <c r="P9759" s="594"/>
    </row>
    <row r="9760" spans="16:16">
      <c r="P9760" s="594"/>
    </row>
    <row r="9761" spans="16:16">
      <c r="P9761" s="594"/>
    </row>
    <row r="9762" spans="16:16">
      <c r="P9762" s="594"/>
    </row>
    <row r="9763" spans="16:16">
      <c r="P9763" s="594"/>
    </row>
    <row r="9764" spans="16:16">
      <c r="P9764" s="594"/>
    </row>
    <row r="9765" spans="16:16">
      <c r="P9765" s="594"/>
    </row>
    <row r="9766" spans="16:16">
      <c r="P9766" s="594"/>
    </row>
    <row r="9767" spans="16:16">
      <c r="P9767" s="594"/>
    </row>
    <row r="9768" spans="16:16">
      <c r="P9768" s="594"/>
    </row>
    <row r="9769" spans="16:16">
      <c r="P9769" s="594"/>
    </row>
    <row r="9770" spans="16:16">
      <c r="P9770" s="594"/>
    </row>
    <row r="9771" spans="16:16">
      <c r="P9771" s="594"/>
    </row>
    <row r="9772" spans="16:16">
      <c r="P9772" s="594"/>
    </row>
    <row r="9773" spans="16:16">
      <c r="P9773" s="594"/>
    </row>
    <row r="9774" spans="16:16">
      <c r="P9774" s="594"/>
    </row>
    <row r="9775" spans="16:16">
      <c r="P9775" s="594"/>
    </row>
    <row r="9776" spans="16:16">
      <c r="P9776" s="594"/>
    </row>
    <row r="9777" spans="16:16">
      <c r="P9777" s="594"/>
    </row>
    <row r="9778" spans="16:16">
      <c r="P9778" s="594"/>
    </row>
    <row r="9779" spans="16:16">
      <c r="P9779" s="594"/>
    </row>
    <row r="9780" spans="16:16">
      <c r="P9780" s="594"/>
    </row>
    <row r="9781" spans="16:16">
      <c r="P9781" s="594"/>
    </row>
    <row r="9782" spans="16:16">
      <c r="P9782" s="594"/>
    </row>
    <row r="9783" spans="16:16">
      <c r="P9783" s="594"/>
    </row>
    <row r="9784" spans="16:16">
      <c r="P9784" s="594"/>
    </row>
    <row r="9785" spans="16:16">
      <c r="P9785" s="594"/>
    </row>
    <row r="9786" spans="16:16">
      <c r="P9786" s="594"/>
    </row>
    <row r="9787" spans="16:16">
      <c r="P9787" s="594"/>
    </row>
    <row r="9788" spans="16:16">
      <c r="P9788" s="594"/>
    </row>
    <row r="9789" spans="16:16">
      <c r="P9789" s="594"/>
    </row>
    <row r="9790" spans="16:16">
      <c r="P9790" s="594"/>
    </row>
    <row r="9791" spans="16:16">
      <c r="P9791" s="594"/>
    </row>
    <row r="9792" spans="16:16">
      <c r="P9792" s="594"/>
    </row>
    <row r="9793" spans="16:16">
      <c r="P9793" s="594"/>
    </row>
    <row r="9794" spans="16:16">
      <c r="P9794" s="594"/>
    </row>
    <row r="9795" spans="16:16">
      <c r="P9795" s="594"/>
    </row>
    <row r="9796" spans="16:16">
      <c r="P9796" s="594"/>
    </row>
    <row r="9797" spans="16:16">
      <c r="P9797" s="594"/>
    </row>
    <row r="9798" spans="16:16">
      <c r="P9798" s="594"/>
    </row>
    <row r="9799" spans="16:16">
      <c r="P9799" s="594"/>
    </row>
    <row r="9800" spans="16:16">
      <c r="P9800" s="594"/>
    </row>
    <row r="9801" spans="16:16">
      <c r="P9801" s="594"/>
    </row>
    <row r="9802" spans="16:16">
      <c r="P9802" s="594"/>
    </row>
    <row r="9803" spans="16:16">
      <c r="P9803" s="594"/>
    </row>
    <row r="9804" spans="16:16">
      <c r="P9804" s="594"/>
    </row>
    <row r="9805" spans="16:16">
      <c r="P9805" s="594"/>
    </row>
    <row r="9806" spans="16:16">
      <c r="P9806" s="594"/>
    </row>
    <row r="9807" spans="16:16">
      <c r="P9807" s="594"/>
    </row>
    <row r="9808" spans="16:16">
      <c r="P9808" s="594"/>
    </row>
    <row r="9809" spans="16:16">
      <c r="P9809" s="594"/>
    </row>
    <row r="9810" spans="16:16">
      <c r="P9810" s="594"/>
    </row>
    <row r="9811" spans="16:16">
      <c r="P9811" s="594"/>
    </row>
    <row r="9812" spans="16:16">
      <c r="P9812" s="594"/>
    </row>
    <row r="9813" spans="16:16">
      <c r="P9813" s="594"/>
    </row>
    <row r="9814" spans="16:16">
      <c r="P9814" s="594"/>
    </row>
    <row r="9815" spans="16:16">
      <c r="P9815" s="594"/>
    </row>
    <row r="9816" spans="16:16">
      <c r="P9816" s="594"/>
    </row>
    <row r="9817" spans="16:16">
      <c r="P9817" s="594"/>
    </row>
    <row r="9818" spans="16:16">
      <c r="P9818" s="594"/>
    </row>
    <row r="9819" spans="16:16">
      <c r="P9819" s="594"/>
    </row>
    <row r="9820" spans="16:16">
      <c r="P9820" s="594"/>
    </row>
    <row r="9821" spans="16:16">
      <c r="P9821" s="594"/>
    </row>
    <row r="9822" spans="16:16">
      <c r="P9822" s="594"/>
    </row>
    <row r="9823" spans="16:16">
      <c r="P9823" s="594"/>
    </row>
    <row r="9824" spans="16:16">
      <c r="P9824" s="594"/>
    </row>
    <row r="9825" spans="16:16">
      <c r="P9825" s="594"/>
    </row>
    <row r="9826" spans="16:16">
      <c r="P9826" s="594"/>
    </row>
    <row r="9827" spans="16:16">
      <c r="P9827" s="594"/>
    </row>
    <row r="9828" spans="16:16">
      <c r="P9828" s="594"/>
    </row>
    <row r="9829" spans="16:16">
      <c r="P9829" s="594"/>
    </row>
    <row r="9830" spans="16:16">
      <c r="P9830" s="594"/>
    </row>
    <row r="9831" spans="16:16">
      <c r="P9831" s="594"/>
    </row>
    <row r="9832" spans="16:16">
      <c r="P9832" s="594"/>
    </row>
    <row r="9833" spans="16:16">
      <c r="P9833" s="594"/>
    </row>
    <row r="9834" spans="16:16">
      <c r="P9834" s="594"/>
    </row>
    <row r="9835" spans="16:16">
      <c r="P9835" s="594"/>
    </row>
    <row r="9836" spans="16:16">
      <c r="P9836" s="594"/>
    </row>
    <row r="9837" spans="16:16">
      <c r="P9837" s="594"/>
    </row>
    <row r="9838" spans="16:16">
      <c r="P9838" s="594"/>
    </row>
    <row r="9839" spans="16:16">
      <c r="P9839" s="594"/>
    </row>
    <row r="9840" spans="16:16">
      <c r="P9840" s="594"/>
    </row>
    <row r="9841" spans="16:16">
      <c r="P9841" s="594"/>
    </row>
    <row r="9842" spans="16:16">
      <c r="P9842" s="594"/>
    </row>
    <row r="9843" spans="16:16">
      <c r="P9843" s="594"/>
    </row>
    <row r="9844" spans="16:16">
      <c r="P9844" s="594"/>
    </row>
    <row r="9845" spans="16:16">
      <c r="P9845" s="594"/>
    </row>
    <row r="9846" spans="16:16">
      <c r="P9846" s="594"/>
    </row>
    <row r="9847" spans="16:16">
      <c r="P9847" s="594"/>
    </row>
    <row r="9848" spans="16:16">
      <c r="P9848" s="594"/>
    </row>
    <row r="9849" spans="16:16">
      <c r="P9849" s="594"/>
    </row>
    <row r="9850" spans="16:16">
      <c r="P9850" s="594"/>
    </row>
    <row r="9851" spans="16:16">
      <c r="P9851" s="594"/>
    </row>
    <row r="9852" spans="16:16">
      <c r="P9852" s="594"/>
    </row>
    <row r="9853" spans="16:16">
      <c r="P9853" s="594"/>
    </row>
    <row r="9854" spans="16:16">
      <c r="P9854" s="594"/>
    </row>
    <row r="9855" spans="16:16">
      <c r="P9855" s="594"/>
    </row>
    <row r="9856" spans="16:16">
      <c r="P9856" s="594"/>
    </row>
    <row r="9857" spans="16:16">
      <c r="P9857" s="594"/>
    </row>
    <row r="9858" spans="16:16">
      <c r="P9858" s="594"/>
    </row>
    <row r="9859" spans="16:16">
      <c r="P9859" s="594"/>
    </row>
    <row r="9860" spans="16:16">
      <c r="P9860" s="594"/>
    </row>
    <row r="9861" spans="16:16">
      <c r="P9861" s="594"/>
    </row>
    <row r="9862" spans="16:16">
      <c r="P9862" s="594"/>
    </row>
    <row r="9863" spans="16:16">
      <c r="P9863" s="594"/>
    </row>
    <row r="9864" spans="16:16">
      <c r="P9864" s="594"/>
    </row>
    <row r="9865" spans="16:16">
      <c r="P9865" s="594"/>
    </row>
    <row r="9866" spans="16:16">
      <c r="P9866" s="594"/>
    </row>
    <row r="9867" spans="16:16">
      <c r="P9867" s="594"/>
    </row>
    <row r="9868" spans="16:16">
      <c r="P9868" s="594"/>
    </row>
    <row r="9869" spans="16:16">
      <c r="P9869" s="594"/>
    </row>
    <row r="9870" spans="16:16">
      <c r="P9870" s="594"/>
    </row>
    <row r="9871" spans="16:16">
      <c r="P9871" s="594"/>
    </row>
    <row r="9872" spans="16:16">
      <c r="P9872" s="594"/>
    </row>
    <row r="9873" spans="16:16">
      <c r="P9873" s="594"/>
    </row>
    <row r="9874" spans="16:16">
      <c r="P9874" s="594"/>
    </row>
    <row r="9875" spans="16:16">
      <c r="P9875" s="594"/>
    </row>
    <row r="9876" spans="16:16">
      <c r="P9876" s="594"/>
    </row>
    <row r="9877" spans="16:16">
      <c r="P9877" s="594"/>
    </row>
    <row r="9878" spans="16:16">
      <c r="P9878" s="594"/>
    </row>
    <row r="9879" spans="16:16">
      <c r="P9879" s="594"/>
    </row>
    <row r="9880" spans="16:16">
      <c r="P9880" s="594"/>
    </row>
    <row r="9881" spans="16:16">
      <c r="P9881" s="594"/>
    </row>
    <row r="9882" spans="16:16">
      <c r="P9882" s="594"/>
    </row>
    <row r="9883" spans="16:16">
      <c r="P9883" s="594"/>
    </row>
    <row r="9884" spans="16:16">
      <c r="P9884" s="594"/>
    </row>
    <row r="9885" spans="16:16">
      <c r="P9885" s="594"/>
    </row>
    <row r="9886" spans="16:16">
      <c r="P9886" s="594"/>
    </row>
    <row r="9887" spans="16:16">
      <c r="P9887" s="594"/>
    </row>
    <row r="9888" spans="16:16">
      <c r="P9888" s="594"/>
    </row>
    <row r="9889" spans="16:16">
      <c r="P9889" s="594"/>
    </row>
    <row r="9890" spans="16:16">
      <c r="P9890" s="594"/>
    </row>
    <row r="9891" spans="16:16">
      <c r="P9891" s="594"/>
    </row>
    <row r="9892" spans="16:16">
      <c r="P9892" s="594"/>
    </row>
    <row r="9893" spans="16:16">
      <c r="P9893" s="594"/>
    </row>
    <row r="9894" spans="16:16">
      <c r="P9894" s="594"/>
    </row>
    <row r="9895" spans="16:16">
      <c r="P9895" s="594"/>
    </row>
    <row r="9896" spans="16:16">
      <c r="P9896" s="594"/>
    </row>
    <row r="9897" spans="16:16">
      <c r="P9897" s="594"/>
    </row>
    <row r="9898" spans="16:16">
      <c r="P9898" s="594"/>
    </row>
    <row r="9899" spans="16:16">
      <c r="P9899" s="594"/>
    </row>
    <row r="9900" spans="16:16">
      <c r="P9900" s="594"/>
    </row>
    <row r="9901" spans="16:16">
      <c r="P9901" s="594"/>
    </row>
    <row r="9902" spans="16:16">
      <c r="P9902" s="594"/>
    </row>
    <row r="9903" spans="16:16">
      <c r="P9903" s="594"/>
    </row>
    <row r="9904" spans="16:16">
      <c r="P9904" s="594"/>
    </row>
    <row r="9905" spans="16:16">
      <c r="P9905" s="594"/>
    </row>
    <row r="9906" spans="16:16">
      <c r="P9906" s="594"/>
    </row>
    <row r="9907" spans="16:16">
      <c r="P9907" s="594"/>
    </row>
    <row r="9908" spans="16:16">
      <c r="P9908" s="594"/>
    </row>
    <row r="9909" spans="16:16">
      <c r="P9909" s="594"/>
    </row>
    <row r="9910" spans="16:16">
      <c r="P9910" s="594"/>
    </row>
    <row r="9911" spans="16:16">
      <c r="P9911" s="594"/>
    </row>
    <row r="9912" spans="16:16">
      <c r="P9912" s="594"/>
    </row>
    <row r="9913" spans="16:16">
      <c r="P9913" s="594"/>
    </row>
    <row r="9914" spans="16:16">
      <c r="P9914" s="594"/>
    </row>
    <row r="9915" spans="16:16">
      <c r="P9915" s="594"/>
    </row>
    <row r="9916" spans="16:16">
      <c r="P9916" s="594"/>
    </row>
    <row r="9917" spans="16:16">
      <c r="P9917" s="594"/>
    </row>
    <row r="9918" spans="16:16">
      <c r="P9918" s="594"/>
    </row>
    <row r="9919" spans="16:16">
      <c r="P9919" s="594"/>
    </row>
    <row r="9920" spans="16:16">
      <c r="P9920" s="594"/>
    </row>
    <row r="9921" spans="16:16">
      <c r="P9921" s="594"/>
    </row>
    <row r="9922" spans="16:16">
      <c r="P9922" s="594"/>
    </row>
    <row r="9923" spans="16:16">
      <c r="P9923" s="594"/>
    </row>
    <row r="9924" spans="16:16">
      <c r="P9924" s="594"/>
    </row>
    <row r="9925" spans="16:16">
      <c r="P9925" s="594"/>
    </row>
    <row r="9926" spans="16:16">
      <c r="P9926" s="594"/>
    </row>
    <row r="9927" spans="16:16">
      <c r="P9927" s="594"/>
    </row>
    <row r="9928" spans="16:16">
      <c r="P9928" s="594"/>
    </row>
    <row r="9929" spans="16:16">
      <c r="P9929" s="594"/>
    </row>
    <row r="9930" spans="16:16">
      <c r="P9930" s="594"/>
    </row>
    <row r="9931" spans="16:16">
      <c r="P9931" s="594"/>
    </row>
    <row r="9932" spans="16:16">
      <c r="P9932" s="594"/>
    </row>
    <row r="9933" spans="16:16">
      <c r="P9933" s="594"/>
    </row>
    <row r="9934" spans="16:16">
      <c r="P9934" s="594"/>
    </row>
    <row r="9935" spans="16:16">
      <c r="P9935" s="594"/>
    </row>
    <row r="9936" spans="16:16">
      <c r="P9936" s="594"/>
    </row>
    <row r="9937" spans="16:16">
      <c r="P9937" s="594"/>
    </row>
    <row r="9938" spans="16:16">
      <c r="P9938" s="594"/>
    </row>
    <row r="9939" spans="16:16">
      <c r="P9939" s="594"/>
    </row>
    <row r="9940" spans="16:16">
      <c r="P9940" s="594"/>
    </row>
    <row r="9941" spans="16:16">
      <c r="P9941" s="594"/>
    </row>
    <row r="9942" spans="16:16">
      <c r="P9942" s="594"/>
    </row>
    <row r="9943" spans="16:16">
      <c r="P9943" s="594"/>
    </row>
    <row r="9944" spans="16:16">
      <c r="P9944" s="594"/>
    </row>
    <row r="9945" spans="16:16">
      <c r="P9945" s="594"/>
    </row>
    <row r="9946" spans="16:16">
      <c r="P9946" s="594"/>
    </row>
    <row r="9947" spans="16:16">
      <c r="P9947" s="594"/>
    </row>
    <row r="9948" spans="16:16">
      <c r="P9948" s="594"/>
    </row>
    <row r="9949" spans="16:16">
      <c r="P9949" s="594"/>
    </row>
    <row r="9950" spans="16:16">
      <c r="P9950" s="594"/>
    </row>
    <row r="9951" spans="16:16">
      <c r="P9951" s="594"/>
    </row>
    <row r="9952" spans="16:16">
      <c r="P9952" s="594"/>
    </row>
    <row r="9953" spans="16:16">
      <c r="P9953" s="594"/>
    </row>
    <row r="9954" spans="16:16">
      <c r="P9954" s="594"/>
    </row>
    <row r="9955" spans="16:16">
      <c r="P9955" s="594"/>
    </row>
    <row r="9956" spans="16:16">
      <c r="P9956" s="594"/>
    </row>
    <row r="9957" spans="16:16">
      <c r="P9957" s="594"/>
    </row>
    <row r="9958" spans="16:16">
      <c r="P9958" s="594"/>
    </row>
    <row r="9959" spans="16:16">
      <c r="P9959" s="594"/>
    </row>
    <row r="9960" spans="16:16">
      <c r="P9960" s="594"/>
    </row>
    <row r="9961" spans="16:16">
      <c r="P9961" s="594"/>
    </row>
    <row r="9962" spans="16:16">
      <c r="P9962" s="594"/>
    </row>
    <row r="9963" spans="16:16">
      <c r="P9963" s="594"/>
    </row>
    <row r="9964" spans="16:16">
      <c r="P9964" s="594"/>
    </row>
    <row r="9965" spans="16:16">
      <c r="P9965" s="594"/>
    </row>
    <row r="9966" spans="16:16">
      <c r="P9966" s="594"/>
    </row>
    <row r="9967" spans="16:16">
      <c r="P9967" s="594"/>
    </row>
    <row r="9968" spans="16:16">
      <c r="P9968" s="594"/>
    </row>
    <row r="9969" spans="16:16">
      <c r="P9969" s="594"/>
    </row>
    <row r="9970" spans="16:16">
      <c r="P9970" s="594"/>
    </row>
    <row r="9971" spans="16:16">
      <c r="P9971" s="594"/>
    </row>
    <row r="9972" spans="16:16">
      <c r="P9972" s="594"/>
    </row>
    <row r="9973" spans="16:16">
      <c r="P9973" s="594"/>
    </row>
    <row r="9974" spans="16:16">
      <c r="P9974" s="594"/>
    </row>
    <row r="9975" spans="16:16">
      <c r="P9975" s="594"/>
    </row>
    <row r="9976" spans="16:16">
      <c r="P9976" s="594"/>
    </row>
    <row r="9977" spans="16:16">
      <c r="P9977" s="594"/>
    </row>
    <row r="9978" spans="16:16">
      <c r="P9978" s="594"/>
    </row>
    <row r="9979" spans="16:16">
      <c r="P9979" s="594"/>
    </row>
    <row r="9980" spans="16:16">
      <c r="P9980" s="594"/>
    </row>
    <row r="9981" spans="16:16">
      <c r="P9981" s="594"/>
    </row>
    <row r="9982" spans="16:16">
      <c r="P9982" s="594"/>
    </row>
    <row r="9983" spans="16:16">
      <c r="P9983" s="594"/>
    </row>
    <row r="9984" spans="16:16">
      <c r="P9984" s="594"/>
    </row>
    <row r="9985" spans="16:16">
      <c r="P9985" s="594"/>
    </row>
    <row r="9986" spans="16:16">
      <c r="P9986" s="594"/>
    </row>
    <row r="9987" spans="16:16">
      <c r="P9987" s="594"/>
    </row>
    <row r="9988" spans="16:16">
      <c r="P9988" s="594"/>
    </row>
    <row r="9989" spans="16:16">
      <c r="P9989" s="594"/>
    </row>
    <row r="9990" spans="16:16">
      <c r="P9990" s="594"/>
    </row>
    <row r="9991" spans="16:16">
      <c r="P9991" s="594"/>
    </row>
    <row r="9992" spans="16:16">
      <c r="P9992" s="594"/>
    </row>
    <row r="9993" spans="16:16">
      <c r="P9993" s="594"/>
    </row>
    <row r="9994" spans="16:16">
      <c r="P9994" s="594"/>
    </row>
    <row r="9995" spans="16:16">
      <c r="P9995" s="594"/>
    </row>
    <row r="9996" spans="16:16">
      <c r="P9996" s="594"/>
    </row>
    <row r="9997" spans="16:16">
      <c r="P9997" s="594"/>
    </row>
    <row r="9998" spans="16:16">
      <c r="P9998" s="594"/>
    </row>
    <row r="9999" spans="16:16">
      <c r="P9999" s="594"/>
    </row>
    <row r="10000" spans="16:16">
      <c r="P10000" s="594"/>
    </row>
    <row r="10001" spans="16:16">
      <c r="P10001" s="594"/>
    </row>
    <row r="10002" spans="16:16">
      <c r="P10002" s="594"/>
    </row>
    <row r="10003" spans="16:16">
      <c r="P10003" s="594"/>
    </row>
    <row r="10004" spans="16:16">
      <c r="P10004" s="594"/>
    </row>
    <row r="10005" spans="16:16">
      <c r="P10005" s="594"/>
    </row>
    <row r="10006" spans="16:16">
      <c r="P10006" s="594"/>
    </row>
    <row r="10007" spans="16:16">
      <c r="P10007" s="594"/>
    </row>
    <row r="10008" spans="16:16">
      <c r="P10008" s="594"/>
    </row>
    <row r="10009" spans="16:16">
      <c r="P10009" s="594"/>
    </row>
    <row r="10010" spans="16:16">
      <c r="P10010" s="594"/>
    </row>
    <row r="10011" spans="16:16">
      <c r="P10011" s="594"/>
    </row>
    <row r="10012" spans="16:16">
      <c r="P10012" s="594"/>
    </row>
    <row r="10013" spans="16:16">
      <c r="P10013" s="594"/>
    </row>
    <row r="10014" spans="16:16">
      <c r="P10014" s="594"/>
    </row>
    <row r="10015" spans="16:16">
      <c r="P10015" s="594"/>
    </row>
    <row r="10016" spans="16:16">
      <c r="P10016" s="594"/>
    </row>
    <row r="10017" spans="16:16">
      <c r="P10017" s="594"/>
    </row>
    <row r="10018" spans="16:16">
      <c r="P10018" s="594"/>
    </row>
    <row r="10019" spans="16:16">
      <c r="P10019" s="594"/>
    </row>
    <row r="10020" spans="16:16">
      <c r="P10020" s="594"/>
    </row>
    <row r="10021" spans="16:16">
      <c r="P10021" s="594"/>
    </row>
    <row r="10022" spans="16:16">
      <c r="P10022" s="594"/>
    </row>
    <row r="10023" spans="16:16">
      <c r="P10023" s="594"/>
    </row>
    <row r="10024" spans="16:16">
      <c r="P10024" s="594"/>
    </row>
    <row r="10025" spans="16:16">
      <c r="P10025" s="594"/>
    </row>
    <row r="10026" spans="16:16">
      <c r="P10026" s="594"/>
    </row>
    <row r="10027" spans="16:16">
      <c r="P10027" s="594"/>
    </row>
    <row r="10028" spans="16:16">
      <c r="P10028" s="594"/>
    </row>
    <row r="10029" spans="16:16">
      <c r="P10029" s="594"/>
    </row>
    <row r="10030" spans="16:16">
      <c r="P10030" s="594"/>
    </row>
    <row r="10031" spans="16:16">
      <c r="P10031" s="594"/>
    </row>
    <row r="10032" spans="16:16">
      <c r="P10032" s="594"/>
    </row>
    <row r="10033" spans="16:16">
      <c r="P10033" s="594"/>
    </row>
    <row r="10034" spans="16:16">
      <c r="P10034" s="594"/>
    </row>
    <row r="10035" spans="16:16">
      <c r="P10035" s="594"/>
    </row>
    <row r="10036" spans="16:16">
      <c r="P10036" s="594"/>
    </row>
    <row r="10037" spans="16:16">
      <c r="P10037" s="594"/>
    </row>
    <row r="10038" spans="16:16">
      <c r="P10038" s="594"/>
    </row>
    <row r="10039" spans="16:16">
      <c r="P10039" s="594"/>
    </row>
    <row r="10040" spans="16:16">
      <c r="P10040" s="594"/>
    </row>
    <row r="10041" spans="16:16">
      <c r="P10041" s="594"/>
    </row>
    <row r="10042" spans="16:16">
      <c r="P10042" s="594"/>
    </row>
    <row r="10043" spans="16:16">
      <c r="P10043" s="594"/>
    </row>
    <row r="10044" spans="16:16">
      <c r="P10044" s="594"/>
    </row>
    <row r="10045" spans="16:16">
      <c r="P10045" s="594"/>
    </row>
    <row r="10046" spans="16:16">
      <c r="P10046" s="594"/>
    </row>
    <row r="10047" spans="16:16">
      <c r="P10047" s="594"/>
    </row>
    <row r="10048" spans="16:16">
      <c r="P10048" s="594"/>
    </row>
    <row r="10049" spans="16:16">
      <c r="P10049" s="594"/>
    </row>
    <row r="10050" spans="16:16">
      <c r="P10050" s="594"/>
    </row>
    <row r="10051" spans="16:16">
      <c r="P10051" s="594"/>
    </row>
    <row r="10052" spans="16:16">
      <c r="P10052" s="594"/>
    </row>
    <row r="10053" spans="16:16">
      <c r="P10053" s="594"/>
    </row>
    <row r="10054" spans="16:16">
      <c r="P10054" s="594"/>
    </row>
    <row r="10055" spans="16:16">
      <c r="P10055" s="594"/>
    </row>
    <row r="10056" spans="16:16">
      <c r="P10056" s="594"/>
    </row>
    <row r="10057" spans="16:16">
      <c r="P10057" s="594"/>
    </row>
    <row r="10058" spans="16:16">
      <c r="P10058" s="594"/>
    </row>
    <row r="10059" spans="16:16">
      <c r="P10059" s="594"/>
    </row>
    <row r="10060" spans="16:16">
      <c r="P10060" s="594"/>
    </row>
    <row r="10061" spans="16:16">
      <c r="P10061" s="594"/>
    </row>
    <row r="10062" spans="16:16">
      <c r="P10062" s="594"/>
    </row>
    <row r="10063" spans="16:16">
      <c r="P10063" s="594"/>
    </row>
    <row r="10064" spans="16:16">
      <c r="P10064" s="594"/>
    </row>
    <row r="10065" spans="16:16">
      <c r="P10065" s="594"/>
    </row>
    <row r="10066" spans="16:16">
      <c r="P10066" s="594"/>
    </row>
    <row r="10067" spans="16:16">
      <c r="P10067" s="594"/>
    </row>
    <row r="10068" spans="16:16">
      <c r="P10068" s="594"/>
    </row>
    <row r="10069" spans="16:16">
      <c r="P10069" s="594"/>
    </row>
    <row r="10070" spans="16:16">
      <c r="P10070" s="594"/>
    </row>
    <row r="10071" spans="16:16">
      <c r="P10071" s="594"/>
    </row>
    <row r="10072" spans="16:16">
      <c r="P10072" s="594"/>
    </row>
    <row r="10073" spans="16:16">
      <c r="P10073" s="594"/>
    </row>
    <row r="10074" spans="16:16">
      <c r="P10074" s="594"/>
    </row>
    <row r="10075" spans="16:16">
      <c r="P10075" s="594"/>
    </row>
    <row r="10076" spans="16:16">
      <c r="P10076" s="594"/>
    </row>
    <row r="10077" spans="16:16">
      <c r="P10077" s="594"/>
    </row>
    <row r="10078" spans="16:16">
      <c r="P10078" s="594"/>
    </row>
    <row r="10079" spans="16:16">
      <c r="P10079" s="594"/>
    </row>
    <row r="10080" spans="16:16">
      <c r="P10080" s="594"/>
    </row>
    <row r="10081" spans="16:16">
      <c r="P10081" s="594"/>
    </row>
    <row r="10082" spans="16:16">
      <c r="P10082" s="594"/>
    </row>
    <row r="10083" spans="16:16">
      <c r="P10083" s="594"/>
    </row>
    <row r="10084" spans="16:16">
      <c r="P10084" s="594"/>
    </row>
    <row r="10085" spans="16:16">
      <c r="P10085" s="594"/>
    </row>
    <row r="10086" spans="16:16">
      <c r="P10086" s="594"/>
    </row>
    <row r="10087" spans="16:16">
      <c r="P10087" s="594"/>
    </row>
    <row r="10088" spans="16:16">
      <c r="P10088" s="594"/>
    </row>
    <row r="10089" spans="16:16">
      <c r="P10089" s="594"/>
    </row>
    <row r="10090" spans="16:16">
      <c r="P10090" s="594"/>
    </row>
    <row r="10091" spans="16:16">
      <c r="P10091" s="594"/>
    </row>
    <row r="10092" spans="16:16">
      <c r="P10092" s="594"/>
    </row>
    <row r="10093" spans="16:16">
      <c r="P10093" s="594"/>
    </row>
    <row r="10094" spans="16:16">
      <c r="P10094" s="594"/>
    </row>
    <row r="10095" spans="16:16">
      <c r="P10095" s="594"/>
    </row>
    <row r="10096" spans="16:16">
      <c r="P10096" s="594"/>
    </row>
    <row r="10097" spans="16:16">
      <c r="P10097" s="594"/>
    </row>
    <row r="10098" spans="16:16">
      <c r="P10098" s="594"/>
    </row>
    <row r="10099" spans="16:16">
      <c r="P10099" s="594"/>
    </row>
    <row r="10100" spans="16:16">
      <c r="P10100" s="594"/>
    </row>
    <row r="10101" spans="16:16">
      <c r="P10101" s="594"/>
    </row>
    <row r="10102" spans="16:16">
      <c r="P10102" s="594"/>
    </row>
    <row r="10103" spans="16:16">
      <c r="P10103" s="594"/>
    </row>
    <row r="10104" spans="16:16">
      <c r="P10104" s="594"/>
    </row>
    <row r="10105" spans="16:16">
      <c r="P10105" s="594"/>
    </row>
    <row r="10106" spans="16:16">
      <c r="P10106" s="594"/>
    </row>
    <row r="10107" spans="16:16">
      <c r="P10107" s="594"/>
    </row>
    <row r="10108" spans="16:16">
      <c r="P10108" s="594"/>
    </row>
    <row r="10109" spans="16:16">
      <c r="P10109" s="594"/>
    </row>
    <row r="10110" spans="16:16">
      <c r="P10110" s="594"/>
    </row>
    <row r="10111" spans="16:16">
      <c r="P10111" s="594"/>
    </row>
    <row r="10112" spans="16:16">
      <c r="P10112" s="594"/>
    </row>
    <row r="10113" spans="16:16">
      <c r="P10113" s="594"/>
    </row>
    <row r="10114" spans="16:16">
      <c r="P10114" s="594"/>
    </row>
    <row r="10115" spans="16:16">
      <c r="P10115" s="594"/>
    </row>
    <row r="10116" spans="16:16">
      <c r="P10116" s="594"/>
    </row>
    <row r="10117" spans="16:16">
      <c r="P10117" s="594"/>
    </row>
    <row r="10118" spans="16:16">
      <c r="P10118" s="594"/>
    </row>
    <row r="10119" spans="16:16">
      <c r="P10119" s="594"/>
    </row>
    <row r="10120" spans="16:16">
      <c r="P10120" s="594"/>
    </row>
    <row r="10121" spans="16:16">
      <c r="P10121" s="594"/>
    </row>
    <row r="10122" spans="16:16">
      <c r="P10122" s="594"/>
    </row>
    <row r="10123" spans="16:16">
      <c r="P10123" s="594"/>
    </row>
    <row r="10124" spans="16:16">
      <c r="P10124" s="594"/>
    </row>
    <row r="10125" spans="16:16">
      <c r="P10125" s="594"/>
    </row>
    <row r="10126" spans="16:16">
      <c r="P10126" s="594"/>
    </row>
    <row r="10127" spans="16:16">
      <c r="P10127" s="594"/>
    </row>
    <row r="10128" spans="16:16">
      <c r="P10128" s="594"/>
    </row>
    <row r="10129" spans="16:16">
      <c r="P10129" s="594"/>
    </row>
    <row r="10130" spans="16:16">
      <c r="P10130" s="594"/>
    </row>
    <row r="10131" spans="16:16">
      <c r="P10131" s="594"/>
    </row>
    <row r="10132" spans="16:16">
      <c r="P10132" s="594"/>
    </row>
    <row r="10133" spans="16:16">
      <c r="P10133" s="594"/>
    </row>
    <row r="10134" spans="16:16">
      <c r="P10134" s="594"/>
    </row>
    <row r="10135" spans="16:16">
      <c r="P10135" s="594"/>
    </row>
    <row r="10136" spans="16:16">
      <c r="P10136" s="594"/>
    </row>
    <row r="10137" spans="16:16">
      <c r="P10137" s="594"/>
    </row>
    <row r="10138" spans="16:16">
      <c r="P10138" s="594"/>
    </row>
    <row r="10139" spans="16:16">
      <c r="P10139" s="594"/>
    </row>
    <row r="10140" spans="16:16">
      <c r="P10140" s="594"/>
    </row>
    <row r="10141" spans="16:16">
      <c r="P10141" s="594"/>
    </row>
    <row r="10142" spans="16:16">
      <c r="P10142" s="594"/>
    </row>
    <row r="10143" spans="16:16">
      <c r="P10143" s="594"/>
    </row>
    <row r="10144" spans="16:16">
      <c r="P10144" s="594"/>
    </row>
    <row r="10145" spans="16:16">
      <c r="P10145" s="594"/>
    </row>
    <row r="10146" spans="16:16">
      <c r="P10146" s="594"/>
    </row>
    <row r="10147" spans="16:16">
      <c r="P10147" s="594"/>
    </row>
    <row r="10148" spans="16:16">
      <c r="P10148" s="594"/>
    </row>
    <row r="10149" spans="16:16">
      <c r="P10149" s="594"/>
    </row>
    <row r="10150" spans="16:16">
      <c r="P10150" s="594"/>
    </row>
    <row r="10151" spans="16:16">
      <c r="P10151" s="594"/>
    </row>
    <row r="10152" spans="16:16">
      <c r="P10152" s="594"/>
    </row>
    <row r="10153" spans="16:16">
      <c r="P10153" s="594"/>
    </row>
    <row r="10154" spans="16:16">
      <c r="P10154" s="594"/>
    </row>
    <row r="10155" spans="16:16">
      <c r="P10155" s="594"/>
    </row>
    <row r="10156" spans="16:16">
      <c r="P10156" s="594"/>
    </row>
    <row r="10157" spans="16:16">
      <c r="P10157" s="594"/>
    </row>
    <row r="10158" spans="16:16">
      <c r="P10158" s="594"/>
    </row>
    <row r="10159" spans="16:16">
      <c r="P10159" s="594"/>
    </row>
    <row r="10160" spans="16:16">
      <c r="P10160" s="594"/>
    </row>
    <row r="10161" spans="16:16">
      <c r="P10161" s="594"/>
    </row>
    <row r="10162" spans="16:16">
      <c r="P10162" s="594"/>
    </row>
    <row r="10163" spans="16:16">
      <c r="P10163" s="594"/>
    </row>
    <row r="10164" spans="16:16">
      <c r="P10164" s="594"/>
    </row>
    <row r="10165" spans="16:16">
      <c r="P10165" s="594"/>
    </row>
    <row r="10166" spans="16:16">
      <c r="P10166" s="594"/>
    </row>
    <row r="10167" spans="16:16">
      <c r="P10167" s="594"/>
    </row>
    <row r="10168" spans="16:16">
      <c r="P10168" s="594"/>
    </row>
    <row r="10169" spans="16:16">
      <c r="P10169" s="594"/>
    </row>
    <row r="10170" spans="16:16">
      <c r="P10170" s="594"/>
    </row>
    <row r="10171" spans="16:16">
      <c r="P10171" s="594"/>
    </row>
    <row r="10172" spans="16:16">
      <c r="P10172" s="594"/>
    </row>
    <row r="10173" spans="16:16">
      <c r="P10173" s="594"/>
    </row>
    <row r="10174" spans="16:16">
      <c r="P10174" s="594"/>
    </row>
    <row r="10175" spans="16:16">
      <c r="P10175" s="594"/>
    </row>
    <row r="10176" spans="16:16">
      <c r="P10176" s="594"/>
    </row>
    <row r="10177" spans="16:16">
      <c r="P10177" s="594"/>
    </row>
    <row r="10178" spans="16:16">
      <c r="P10178" s="594"/>
    </row>
    <row r="10179" spans="16:16">
      <c r="P10179" s="594"/>
    </row>
    <row r="10180" spans="16:16">
      <c r="P10180" s="594"/>
    </row>
    <row r="10181" spans="16:16">
      <c r="P10181" s="594"/>
    </row>
    <row r="10182" spans="16:16">
      <c r="P10182" s="594"/>
    </row>
    <row r="10183" spans="16:16">
      <c r="P10183" s="594"/>
    </row>
    <row r="10184" spans="16:16">
      <c r="P10184" s="594"/>
    </row>
    <row r="10185" spans="16:16">
      <c r="P10185" s="594"/>
    </row>
    <row r="10186" spans="16:16">
      <c r="P10186" s="594"/>
    </row>
    <row r="10187" spans="16:16">
      <c r="P10187" s="594"/>
    </row>
    <row r="10188" spans="16:16">
      <c r="P10188" s="594"/>
    </row>
    <row r="10189" spans="16:16">
      <c r="P10189" s="594"/>
    </row>
    <row r="10190" spans="16:16">
      <c r="P10190" s="594"/>
    </row>
    <row r="10191" spans="16:16">
      <c r="P10191" s="594"/>
    </row>
    <row r="10192" spans="16:16">
      <c r="P10192" s="594"/>
    </row>
    <row r="10193" spans="16:16">
      <c r="P10193" s="594"/>
    </row>
    <row r="10194" spans="16:16">
      <c r="P10194" s="594"/>
    </row>
    <row r="10195" spans="16:16">
      <c r="P10195" s="594"/>
    </row>
    <row r="10196" spans="16:16">
      <c r="P10196" s="594"/>
    </row>
    <row r="10197" spans="16:16">
      <c r="P10197" s="594"/>
    </row>
    <row r="10198" spans="16:16">
      <c r="P10198" s="594"/>
    </row>
    <row r="10199" spans="16:16">
      <c r="P10199" s="594"/>
    </row>
    <row r="10200" spans="16:16">
      <c r="P10200" s="594"/>
    </row>
    <row r="10201" spans="16:16">
      <c r="P10201" s="594"/>
    </row>
    <row r="10202" spans="16:16">
      <c r="P10202" s="594"/>
    </row>
    <row r="10203" spans="16:16">
      <c r="P10203" s="594"/>
    </row>
    <row r="10204" spans="16:16">
      <c r="P10204" s="594"/>
    </row>
    <row r="10205" spans="16:16">
      <c r="P10205" s="594"/>
    </row>
    <row r="10206" spans="16:16">
      <c r="P10206" s="594"/>
    </row>
    <row r="10207" spans="16:16">
      <c r="P10207" s="594"/>
    </row>
    <row r="10208" spans="16:16">
      <c r="P10208" s="594"/>
    </row>
    <row r="10209" spans="16:16">
      <c r="P10209" s="594"/>
    </row>
    <row r="10210" spans="16:16">
      <c r="P10210" s="594"/>
    </row>
    <row r="10211" spans="16:16">
      <c r="P10211" s="594"/>
    </row>
    <row r="10212" spans="16:16">
      <c r="P10212" s="594"/>
    </row>
    <row r="10213" spans="16:16">
      <c r="P10213" s="594"/>
    </row>
    <row r="10214" spans="16:16">
      <c r="P10214" s="594"/>
    </row>
    <row r="10215" spans="16:16">
      <c r="P10215" s="594"/>
    </row>
    <row r="10216" spans="16:16">
      <c r="P10216" s="594"/>
    </row>
    <row r="10217" spans="16:16">
      <c r="P10217" s="594"/>
    </row>
    <row r="10218" spans="16:16">
      <c r="P10218" s="594"/>
    </row>
    <row r="10219" spans="16:16">
      <c r="P10219" s="594"/>
    </row>
    <row r="10220" spans="16:16">
      <c r="P10220" s="594"/>
    </row>
    <row r="10221" spans="16:16">
      <c r="P10221" s="594"/>
    </row>
    <row r="10222" spans="16:16">
      <c r="P10222" s="594"/>
    </row>
    <row r="10223" spans="16:16">
      <c r="P10223" s="594"/>
    </row>
    <row r="10224" spans="16:16">
      <c r="P10224" s="594"/>
    </row>
    <row r="10225" spans="16:16">
      <c r="P10225" s="594"/>
    </row>
    <row r="10226" spans="16:16">
      <c r="P10226" s="594"/>
    </row>
    <row r="10227" spans="16:16">
      <c r="P10227" s="594"/>
    </row>
    <row r="10228" spans="16:16">
      <c r="P10228" s="594"/>
    </row>
    <row r="10229" spans="16:16">
      <c r="P10229" s="594"/>
    </row>
    <row r="10230" spans="16:16">
      <c r="P10230" s="594"/>
    </row>
    <row r="10231" spans="16:16">
      <c r="P10231" s="594"/>
    </row>
    <row r="10232" spans="16:16">
      <c r="P10232" s="594"/>
    </row>
    <row r="10233" spans="16:16">
      <c r="P10233" s="594"/>
    </row>
    <row r="10234" spans="16:16">
      <c r="P10234" s="594"/>
    </row>
    <row r="10235" spans="16:16">
      <c r="P10235" s="594"/>
    </row>
    <row r="10236" spans="16:16">
      <c r="P10236" s="594"/>
    </row>
    <row r="10237" spans="16:16">
      <c r="P10237" s="594"/>
    </row>
    <row r="10238" spans="16:16">
      <c r="P10238" s="594"/>
    </row>
    <row r="10239" spans="16:16">
      <c r="P10239" s="594"/>
    </row>
    <row r="10240" spans="16:16">
      <c r="P10240" s="594"/>
    </row>
    <row r="10241" spans="16:16">
      <c r="P10241" s="594"/>
    </row>
    <row r="10242" spans="16:16">
      <c r="P10242" s="594"/>
    </row>
    <row r="10243" spans="16:16">
      <c r="P10243" s="594"/>
    </row>
    <row r="10244" spans="16:16">
      <c r="P10244" s="594"/>
    </row>
    <row r="10245" spans="16:16">
      <c r="P10245" s="594"/>
    </row>
    <row r="10246" spans="16:16">
      <c r="P10246" s="594"/>
    </row>
    <row r="10247" spans="16:16">
      <c r="P10247" s="594"/>
    </row>
    <row r="10248" spans="16:16">
      <c r="P10248" s="594"/>
    </row>
    <row r="10249" spans="16:16">
      <c r="P10249" s="594"/>
    </row>
    <row r="10250" spans="16:16">
      <c r="P10250" s="594"/>
    </row>
    <row r="10251" spans="16:16">
      <c r="P10251" s="594"/>
    </row>
    <row r="10252" spans="16:16">
      <c r="P10252" s="594"/>
    </row>
    <row r="10253" spans="16:16">
      <c r="P10253" s="594"/>
    </row>
    <row r="10254" spans="16:16">
      <c r="P10254" s="594"/>
    </row>
    <row r="10255" spans="16:16">
      <c r="P10255" s="594"/>
    </row>
    <row r="10256" spans="16:16">
      <c r="P10256" s="594"/>
    </row>
    <row r="10257" spans="16:16">
      <c r="P10257" s="594"/>
    </row>
    <row r="10258" spans="16:16">
      <c r="P10258" s="594"/>
    </row>
    <row r="10259" spans="16:16">
      <c r="P10259" s="594"/>
    </row>
    <row r="10260" spans="16:16">
      <c r="P10260" s="594"/>
    </row>
    <row r="10261" spans="16:16">
      <c r="P10261" s="594"/>
    </row>
    <row r="10262" spans="16:16">
      <c r="P10262" s="594"/>
    </row>
    <row r="10263" spans="16:16">
      <c r="P10263" s="594"/>
    </row>
    <row r="10264" spans="16:16">
      <c r="P10264" s="594"/>
    </row>
    <row r="10265" spans="16:16">
      <c r="P10265" s="594"/>
    </row>
    <row r="10266" spans="16:16">
      <c r="P10266" s="594"/>
    </row>
    <row r="10267" spans="16:16">
      <c r="P10267" s="594"/>
    </row>
    <row r="10268" spans="16:16">
      <c r="P10268" s="594"/>
    </row>
    <row r="10269" spans="16:16">
      <c r="P10269" s="594"/>
    </row>
    <row r="10270" spans="16:16">
      <c r="P10270" s="594"/>
    </row>
    <row r="10271" spans="16:16">
      <c r="P10271" s="594"/>
    </row>
    <row r="10272" spans="16:16">
      <c r="P10272" s="594"/>
    </row>
    <row r="10273" spans="16:16">
      <c r="P10273" s="594"/>
    </row>
    <row r="10274" spans="16:16">
      <c r="P10274" s="594"/>
    </row>
    <row r="10275" spans="16:16">
      <c r="P10275" s="594"/>
    </row>
    <row r="10276" spans="16:16">
      <c r="P10276" s="594"/>
    </row>
    <row r="10277" spans="16:16">
      <c r="P10277" s="594"/>
    </row>
    <row r="10278" spans="16:16">
      <c r="P10278" s="594"/>
    </row>
    <row r="10279" spans="16:16">
      <c r="P10279" s="594"/>
    </row>
    <row r="10280" spans="16:16">
      <c r="P10280" s="594"/>
    </row>
    <row r="10281" spans="16:16">
      <c r="P10281" s="594"/>
    </row>
    <row r="10282" spans="16:16">
      <c r="P10282" s="594"/>
    </row>
    <row r="10283" spans="16:16">
      <c r="P10283" s="594"/>
    </row>
    <row r="10284" spans="16:16">
      <c r="P10284" s="594"/>
    </row>
    <row r="10285" spans="16:16">
      <c r="P10285" s="594"/>
    </row>
    <row r="10286" spans="16:16">
      <c r="P10286" s="594"/>
    </row>
    <row r="10287" spans="16:16">
      <c r="P10287" s="594"/>
    </row>
    <row r="10288" spans="16:16">
      <c r="P10288" s="594"/>
    </row>
    <row r="10289" spans="16:16">
      <c r="P10289" s="594"/>
    </row>
    <row r="10290" spans="16:16">
      <c r="P10290" s="594"/>
    </row>
    <row r="10291" spans="16:16">
      <c r="P10291" s="594"/>
    </row>
    <row r="10292" spans="16:16">
      <c r="P10292" s="594"/>
    </row>
    <row r="10293" spans="16:16">
      <c r="P10293" s="594"/>
    </row>
    <row r="10294" spans="16:16">
      <c r="P10294" s="594"/>
    </row>
    <row r="10295" spans="16:16">
      <c r="P10295" s="594"/>
    </row>
    <row r="10296" spans="16:16">
      <c r="P10296" s="594"/>
    </row>
    <row r="10297" spans="16:16">
      <c r="P10297" s="594"/>
    </row>
    <row r="10298" spans="16:16">
      <c r="P10298" s="594"/>
    </row>
    <row r="10299" spans="16:16">
      <c r="P10299" s="594"/>
    </row>
    <row r="10300" spans="16:16">
      <c r="P10300" s="594"/>
    </row>
    <row r="10301" spans="16:16">
      <c r="P10301" s="594"/>
    </row>
    <row r="10302" spans="16:16">
      <c r="P10302" s="594"/>
    </row>
    <row r="10303" spans="16:16">
      <c r="P10303" s="594"/>
    </row>
    <row r="10304" spans="16:16">
      <c r="P10304" s="594"/>
    </row>
    <row r="10305" spans="16:16">
      <c r="P10305" s="594"/>
    </row>
    <row r="10306" spans="16:16">
      <c r="P10306" s="594"/>
    </row>
    <row r="10307" spans="16:16">
      <c r="P10307" s="594"/>
    </row>
    <row r="10308" spans="16:16">
      <c r="P10308" s="594"/>
    </row>
    <row r="10309" spans="16:16">
      <c r="P10309" s="594"/>
    </row>
    <row r="10310" spans="16:16">
      <c r="P10310" s="594"/>
    </row>
    <row r="10311" spans="16:16">
      <c r="P10311" s="594"/>
    </row>
    <row r="10312" spans="16:16">
      <c r="P10312" s="594"/>
    </row>
    <row r="10313" spans="16:16">
      <c r="P10313" s="594"/>
    </row>
    <row r="10314" spans="16:16">
      <c r="P10314" s="594"/>
    </row>
    <row r="10315" spans="16:16">
      <c r="P10315" s="594"/>
    </row>
    <row r="10316" spans="16:16">
      <c r="P10316" s="594"/>
    </row>
    <row r="10317" spans="16:16">
      <c r="P10317" s="594"/>
    </row>
    <row r="10318" spans="16:16">
      <c r="P10318" s="594"/>
    </row>
    <row r="10319" spans="16:16">
      <c r="P10319" s="594"/>
    </row>
    <row r="10320" spans="16:16">
      <c r="P10320" s="594"/>
    </row>
    <row r="10321" spans="16:16">
      <c r="P10321" s="594"/>
    </row>
    <row r="10322" spans="16:16">
      <c r="P10322" s="594"/>
    </row>
    <row r="10323" spans="16:16">
      <c r="P10323" s="594"/>
    </row>
    <row r="10324" spans="16:16">
      <c r="P10324" s="594"/>
    </row>
    <row r="10325" spans="16:16">
      <c r="P10325" s="594"/>
    </row>
    <row r="10326" spans="16:16">
      <c r="P10326" s="594"/>
    </row>
    <row r="10327" spans="16:16">
      <c r="P10327" s="594"/>
    </row>
    <row r="10328" spans="16:16">
      <c r="P10328" s="594"/>
    </row>
    <row r="10329" spans="16:16">
      <c r="P10329" s="594"/>
    </row>
    <row r="10330" spans="16:16">
      <c r="P10330" s="594"/>
    </row>
    <row r="10331" spans="16:16">
      <c r="P10331" s="594"/>
    </row>
    <row r="10332" spans="16:16">
      <c r="P10332" s="594"/>
    </row>
    <row r="10333" spans="16:16">
      <c r="P10333" s="594"/>
    </row>
    <row r="10334" spans="16:16">
      <c r="P10334" s="594"/>
    </row>
    <row r="10335" spans="16:16">
      <c r="P10335" s="594"/>
    </row>
    <row r="10336" spans="16:16">
      <c r="P10336" s="594"/>
    </row>
    <row r="10337" spans="16:16">
      <c r="P10337" s="594"/>
    </row>
    <row r="10338" spans="16:16">
      <c r="P10338" s="594"/>
    </row>
    <row r="10339" spans="16:16">
      <c r="P10339" s="594"/>
    </row>
    <row r="10340" spans="16:16">
      <c r="P10340" s="594"/>
    </row>
    <row r="10341" spans="16:16">
      <c r="P10341" s="594"/>
    </row>
    <row r="10342" spans="16:16">
      <c r="P10342" s="594"/>
    </row>
    <row r="10343" spans="16:16">
      <c r="P10343" s="594"/>
    </row>
    <row r="10344" spans="16:16">
      <c r="P10344" s="594"/>
    </row>
    <row r="10345" spans="16:16">
      <c r="P10345" s="594"/>
    </row>
    <row r="10346" spans="16:16">
      <c r="P10346" s="594"/>
    </row>
    <row r="10347" spans="16:16">
      <c r="P10347" s="594"/>
    </row>
    <row r="10348" spans="16:16">
      <c r="P10348" s="594"/>
    </row>
    <row r="10349" spans="16:16">
      <c r="P10349" s="594"/>
    </row>
    <row r="10350" spans="16:16">
      <c r="P10350" s="594"/>
    </row>
    <row r="10351" spans="16:16">
      <c r="P10351" s="594"/>
    </row>
    <row r="10352" spans="16:16">
      <c r="P10352" s="594"/>
    </row>
    <row r="10353" spans="16:16">
      <c r="P10353" s="594"/>
    </row>
    <row r="10354" spans="16:16">
      <c r="P10354" s="594"/>
    </row>
    <row r="10355" spans="16:16">
      <c r="P10355" s="594"/>
    </row>
    <row r="10356" spans="16:16">
      <c r="P10356" s="594"/>
    </row>
    <row r="10357" spans="16:16">
      <c r="P10357" s="594"/>
    </row>
    <row r="10358" spans="16:16">
      <c r="P10358" s="594"/>
    </row>
    <row r="10359" spans="16:16">
      <c r="P10359" s="594"/>
    </row>
    <row r="10360" spans="16:16">
      <c r="P10360" s="594"/>
    </row>
    <row r="10361" spans="16:16">
      <c r="P10361" s="594"/>
    </row>
    <row r="10362" spans="16:16">
      <c r="P10362" s="594"/>
    </row>
    <row r="10363" spans="16:16">
      <c r="P10363" s="594"/>
    </row>
    <row r="10364" spans="16:16">
      <c r="P10364" s="594"/>
    </row>
    <row r="10365" spans="16:16">
      <c r="P10365" s="594"/>
    </row>
    <row r="10366" spans="16:16">
      <c r="P10366" s="594"/>
    </row>
    <row r="10367" spans="16:16">
      <c r="P10367" s="594"/>
    </row>
    <row r="10368" spans="16:16">
      <c r="P10368" s="594"/>
    </row>
    <row r="10369" spans="16:16">
      <c r="P10369" s="594"/>
    </row>
    <row r="10370" spans="16:16">
      <c r="P10370" s="594"/>
    </row>
    <row r="10371" spans="16:16">
      <c r="P10371" s="594"/>
    </row>
    <row r="10372" spans="16:16">
      <c r="P10372" s="594"/>
    </row>
    <row r="10373" spans="16:16">
      <c r="P10373" s="594"/>
    </row>
    <row r="10374" spans="16:16">
      <c r="P10374" s="594"/>
    </row>
    <row r="10375" spans="16:16">
      <c r="P10375" s="594"/>
    </row>
    <row r="10376" spans="16:16">
      <c r="P10376" s="594"/>
    </row>
    <row r="10377" spans="16:16">
      <c r="P10377" s="594"/>
    </row>
    <row r="10378" spans="16:16">
      <c r="P10378" s="594"/>
    </row>
    <row r="10379" spans="16:16">
      <c r="P10379" s="594"/>
    </row>
    <row r="10380" spans="16:16">
      <c r="P10380" s="594"/>
    </row>
    <row r="10381" spans="16:16">
      <c r="P10381" s="594"/>
    </row>
    <row r="10382" spans="16:16">
      <c r="P10382" s="594"/>
    </row>
    <row r="10383" spans="16:16">
      <c r="P10383" s="594"/>
    </row>
    <row r="10384" spans="16:16">
      <c r="P10384" s="594"/>
    </row>
    <row r="10385" spans="16:16">
      <c r="P10385" s="594"/>
    </row>
    <row r="10386" spans="16:16">
      <c r="P10386" s="594"/>
    </row>
    <row r="10387" spans="16:16">
      <c r="P10387" s="594"/>
    </row>
    <row r="10388" spans="16:16">
      <c r="P10388" s="594"/>
    </row>
    <row r="10389" spans="16:16">
      <c r="P10389" s="594"/>
    </row>
    <row r="10390" spans="16:16">
      <c r="P10390" s="594"/>
    </row>
    <row r="10391" spans="16:16">
      <c r="P10391" s="594"/>
    </row>
    <row r="10392" spans="16:16">
      <c r="P10392" s="594"/>
    </row>
    <row r="10393" spans="16:16">
      <c r="P10393" s="594"/>
    </row>
    <row r="10394" spans="16:16">
      <c r="P10394" s="594"/>
    </row>
    <row r="10395" spans="16:16">
      <c r="P10395" s="594"/>
    </row>
    <row r="10396" spans="16:16">
      <c r="P10396" s="594"/>
    </row>
    <row r="10397" spans="16:16">
      <c r="P10397" s="594"/>
    </row>
    <row r="10398" spans="16:16">
      <c r="P10398" s="594"/>
    </row>
    <row r="10399" spans="16:16">
      <c r="P10399" s="594"/>
    </row>
    <row r="10400" spans="16:16">
      <c r="P10400" s="594"/>
    </row>
    <row r="10401" spans="16:16">
      <c r="P10401" s="594"/>
    </row>
    <row r="10402" spans="16:16">
      <c r="P10402" s="594"/>
    </row>
    <row r="10403" spans="16:16">
      <c r="P10403" s="594"/>
    </row>
    <row r="10404" spans="16:16">
      <c r="P10404" s="594"/>
    </row>
    <row r="10405" spans="16:16">
      <c r="P10405" s="594"/>
    </row>
    <row r="10406" spans="16:16">
      <c r="P10406" s="594"/>
    </row>
    <row r="10407" spans="16:16">
      <c r="P10407" s="594"/>
    </row>
    <row r="10408" spans="16:16">
      <c r="P10408" s="594"/>
    </row>
    <row r="10409" spans="16:16">
      <c r="P10409" s="594"/>
    </row>
    <row r="10410" spans="16:16">
      <c r="P10410" s="594"/>
    </row>
    <row r="10411" spans="16:16">
      <c r="P10411" s="594"/>
    </row>
    <row r="10412" spans="16:16">
      <c r="P10412" s="594"/>
    </row>
    <row r="10413" spans="16:16">
      <c r="P10413" s="594"/>
    </row>
    <row r="10414" spans="16:16">
      <c r="P10414" s="594"/>
    </row>
    <row r="10415" spans="16:16">
      <c r="P10415" s="594"/>
    </row>
    <row r="10416" spans="16:16">
      <c r="P10416" s="594"/>
    </row>
    <row r="10417" spans="16:16">
      <c r="P10417" s="594"/>
    </row>
    <row r="10418" spans="16:16">
      <c r="P10418" s="594"/>
    </row>
    <row r="10419" spans="16:16">
      <c r="P10419" s="594"/>
    </row>
    <row r="10420" spans="16:16">
      <c r="P10420" s="594"/>
    </row>
    <row r="10421" spans="16:16">
      <c r="P10421" s="594"/>
    </row>
    <row r="10422" spans="16:16">
      <c r="P10422" s="594"/>
    </row>
    <row r="10423" spans="16:16">
      <c r="P10423" s="594"/>
    </row>
    <row r="10424" spans="16:16">
      <c r="P10424" s="594"/>
    </row>
    <row r="10425" spans="16:16">
      <c r="P10425" s="594"/>
    </row>
    <row r="10426" spans="16:16">
      <c r="P10426" s="594"/>
    </row>
    <row r="10427" spans="16:16">
      <c r="P10427" s="594"/>
    </row>
    <row r="10428" spans="16:16">
      <c r="P10428" s="594"/>
    </row>
    <row r="10429" spans="16:16">
      <c r="P10429" s="594"/>
    </row>
    <row r="10430" spans="16:16">
      <c r="P10430" s="594"/>
    </row>
    <row r="10431" spans="16:16">
      <c r="P10431" s="594"/>
    </row>
    <row r="10432" spans="16:16">
      <c r="P10432" s="594"/>
    </row>
    <row r="10433" spans="16:16">
      <c r="P10433" s="594"/>
    </row>
    <row r="10434" spans="16:16">
      <c r="P10434" s="594"/>
    </row>
    <row r="10435" spans="16:16">
      <c r="P10435" s="594"/>
    </row>
    <row r="10436" spans="16:16">
      <c r="P10436" s="594"/>
    </row>
    <row r="10437" spans="16:16">
      <c r="P10437" s="594"/>
    </row>
    <row r="10438" spans="16:16">
      <c r="P10438" s="594"/>
    </row>
    <row r="10439" spans="16:16">
      <c r="P10439" s="594"/>
    </row>
    <row r="10440" spans="16:16">
      <c r="P10440" s="594"/>
    </row>
    <row r="10441" spans="16:16">
      <c r="P10441" s="594"/>
    </row>
    <row r="10442" spans="16:16">
      <c r="P10442" s="594"/>
    </row>
    <row r="10443" spans="16:16">
      <c r="P10443" s="594"/>
    </row>
    <row r="10444" spans="16:16">
      <c r="P10444" s="594"/>
    </row>
    <row r="10445" spans="16:16">
      <c r="P10445" s="594"/>
    </row>
    <row r="10446" spans="16:16">
      <c r="P10446" s="594"/>
    </row>
    <row r="10447" spans="16:16">
      <c r="P10447" s="594"/>
    </row>
    <row r="10448" spans="16:16">
      <c r="P10448" s="594"/>
    </row>
    <row r="10449" spans="16:16">
      <c r="P10449" s="594"/>
    </row>
    <row r="10450" spans="16:16">
      <c r="P10450" s="594"/>
    </row>
    <row r="10451" spans="16:16">
      <c r="P10451" s="594"/>
    </row>
    <row r="10452" spans="16:16">
      <c r="P10452" s="594"/>
    </row>
    <row r="10453" spans="16:16">
      <c r="P10453" s="594"/>
    </row>
    <row r="10454" spans="16:16">
      <c r="P10454" s="594"/>
    </row>
    <row r="10455" spans="16:16">
      <c r="P10455" s="594"/>
    </row>
    <row r="10456" spans="16:16">
      <c r="P10456" s="594"/>
    </row>
    <row r="10457" spans="16:16">
      <c r="P10457" s="594"/>
    </row>
    <row r="10458" spans="16:16">
      <c r="P10458" s="594"/>
    </row>
    <row r="10459" spans="16:16">
      <c r="P10459" s="594"/>
    </row>
    <row r="10460" spans="16:16">
      <c r="P10460" s="594"/>
    </row>
    <row r="10461" spans="16:16">
      <c r="P10461" s="594"/>
    </row>
    <row r="10462" spans="16:16">
      <c r="P10462" s="594"/>
    </row>
    <row r="10463" spans="16:16">
      <c r="P10463" s="594"/>
    </row>
    <row r="10464" spans="16:16">
      <c r="P10464" s="594"/>
    </row>
    <row r="10465" spans="16:16">
      <c r="P10465" s="594"/>
    </row>
    <row r="10466" spans="16:16">
      <c r="P10466" s="594"/>
    </row>
    <row r="10467" spans="16:16">
      <c r="P10467" s="594"/>
    </row>
    <row r="10468" spans="16:16">
      <c r="P10468" s="594"/>
    </row>
    <row r="10469" spans="16:16">
      <c r="P10469" s="594"/>
    </row>
    <row r="10470" spans="16:16">
      <c r="P10470" s="594"/>
    </row>
    <row r="10471" spans="16:16">
      <c r="P10471" s="594"/>
    </row>
    <row r="10472" spans="16:16">
      <c r="P10472" s="594"/>
    </row>
    <row r="10473" spans="16:16">
      <c r="P10473" s="594"/>
    </row>
    <row r="10474" spans="16:16">
      <c r="P10474" s="594"/>
    </row>
    <row r="10475" spans="16:16">
      <c r="P10475" s="594"/>
    </row>
    <row r="10476" spans="16:16">
      <c r="P10476" s="594"/>
    </row>
    <row r="10477" spans="16:16">
      <c r="P10477" s="594"/>
    </row>
    <row r="10478" spans="16:16">
      <c r="P10478" s="594"/>
    </row>
    <row r="10479" spans="16:16">
      <c r="P10479" s="594"/>
    </row>
    <row r="10480" spans="16:16">
      <c r="P10480" s="594"/>
    </row>
    <row r="10481" spans="16:16">
      <c r="P10481" s="594"/>
    </row>
    <row r="10482" spans="16:16">
      <c r="P10482" s="594"/>
    </row>
    <row r="10483" spans="16:16">
      <c r="P10483" s="594"/>
    </row>
    <row r="10484" spans="16:16">
      <c r="P10484" s="594"/>
    </row>
    <row r="10485" spans="16:16">
      <c r="P10485" s="594"/>
    </row>
    <row r="10486" spans="16:16">
      <c r="P10486" s="594"/>
    </row>
    <row r="10487" spans="16:16">
      <c r="P10487" s="594"/>
    </row>
    <row r="10488" spans="16:16">
      <c r="P10488" s="594"/>
    </row>
    <row r="10489" spans="16:16">
      <c r="P10489" s="594"/>
    </row>
    <row r="10490" spans="16:16">
      <c r="P10490" s="594"/>
    </row>
    <row r="10491" spans="16:16">
      <c r="P10491" s="594"/>
    </row>
    <row r="10492" spans="16:16">
      <c r="P10492" s="594"/>
    </row>
    <row r="10493" spans="16:16">
      <c r="P10493" s="594"/>
    </row>
    <row r="10494" spans="16:16">
      <c r="P10494" s="594"/>
    </row>
    <row r="10495" spans="16:16">
      <c r="P10495" s="594"/>
    </row>
    <row r="10496" spans="16:16">
      <c r="P10496" s="594"/>
    </row>
    <row r="10497" spans="16:16">
      <c r="P10497" s="594"/>
    </row>
    <row r="10498" spans="16:16">
      <c r="P10498" s="594"/>
    </row>
    <row r="10499" spans="16:16">
      <c r="P10499" s="594"/>
    </row>
    <row r="10500" spans="16:16">
      <c r="P10500" s="594"/>
    </row>
    <row r="10501" spans="16:16">
      <c r="P10501" s="594"/>
    </row>
    <row r="10502" spans="16:16">
      <c r="P10502" s="594"/>
    </row>
    <row r="10503" spans="16:16">
      <c r="P10503" s="594"/>
    </row>
    <row r="10504" spans="16:16">
      <c r="P10504" s="594"/>
    </row>
    <row r="10505" spans="16:16">
      <c r="P10505" s="594"/>
    </row>
    <row r="10506" spans="16:16">
      <c r="P10506" s="594"/>
    </row>
    <row r="10507" spans="16:16">
      <c r="P10507" s="594"/>
    </row>
    <row r="10508" spans="16:16">
      <c r="P10508" s="594"/>
    </row>
    <row r="10509" spans="16:16">
      <c r="P10509" s="594"/>
    </row>
    <row r="10510" spans="16:16">
      <c r="P10510" s="594"/>
    </row>
    <row r="10511" spans="16:16">
      <c r="P10511" s="594"/>
    </row>
    <row r="10512" spans="16:16">
      <c r="P10512" s="594"/>
    </row>
    <row r="10513" spans="16:16">
      <c r="P10513" s="594"/>
    </row>
    <row r="10514" spans="16:16">
      <c r="P10514" s="594"/>
    </row>
    <row r="10515" spans="16:16">
      <c r="P10515" s="594"/>
    </row>
    <row r="10516" spans="16:16">
      <c r="P10516" s="594"/>
    </row>
    <row r="10517" spans="16:16">
      <c r="P10517" s="594"/>
    </row>
    <row r="10518" spans="16:16">
      <c r="P10518" s="594"/>
    </row>
    <row r="10519" spans="16:16">
      <c r="P10519" s="594"/>
    </row>
    <row r="10520" spans="16:16">
      <c r="P10520" s="594"/>
    </row>
    <row r="10521" spans="16:16">
      <c r="P10521" s="594"/>
    </row>
    <row r="10522" spans="16:16">
      <c r="P10522" s="594"/>
    </row>
    <row r="10523" spans="16:16">
      <c r="P10523" s="594"/>
    </row>
    <row r="10524" spans="16:16">
      <c r="P10524" s="594"/>
    </row>
    <row r="10525" spans="16:16">
      <c r="P10525" s="594"/>
    </row>
    <row r="10526" spans="16:16">
      <c r="P10526" s="594"/>
    </row>
    <row r="10527" spans="16:16">
      <c r="P10527" s="594"/>
    </row>
    <row r="10528" spans="16:16">
      <c r="P10528" s="594"/>
    </row>
    <row r="10529" spans="16:16">
      <c r="P10529" s="594"/>
    </row>
    <row r="10530" spans="16:16">
      <c r="P10530" s="594"/>
    </row>
    <row r="10531" spans="16:16">
      <c r="P10531" s="594"/>
    </row>
    <row r="10532" spans="16:16">
      <c r="P10532" s="594"/>
    </row>
    <row r="10533" spans="16:16">
      <c r="P10533" s="594"/>
    </row>
    <row r="10534" spans="16:16">
      <c r="P10534" s="594"/>
    </row>
    <row r="10535" spans="16:16">
      <c r="P10535" s="594"/>
    </row>
    <row r="10536" spans="16:16">
      <c r="P10536" s="594"/>
    </row>
    <row r="10537" spans="16:16">
      <c r="P10537" s="594"/>
    </row>
    <row r="10538" spans="16:16">
      <c r="P10538" s="594"/>
    </row>
    <row r="10539" spans="16:16">
      <c r="P10539" s="594"/>
    </row>
    <row r="10540" spans="16:16">
      <c r="P10540" s="594"/>
    </row>
    <row r="10541" spans="16:16">
      <c r="P10541" s="594"/>
    </row>
    <row r="10542" spans="16:16">
      <c r="P10542" s="594"/>
    </row>
    <row r="10543" spans="16:16">
      <c r="P10543" s="594"/>
    </row>
    <row r="10544" spans="16:16">
      <c r="P10544" s="594"/>
    </row>
    <row r="10545" spans="16:16">
      <c r="P10545" s="594"/>
    </row>
    <row r="10546" spans="16:16">
      <c r="P10546" s="594"/>
    </row>
    <row r="10547" spans="16:16">
      <c r="P10547" s="594"/>
    </row>
    <row r="10548" spans="16:16">
      <c r="P10548" s="594"/>
    </row>
    <row r="10549" spans="16:16">
      <c r="P10549" s="594"/>
    </row>
    <row r="10550" spans="16:16">
      <c r="P10550" s="594"/>
    </row>
    <row r="10551" spans="16:16">
      <c r="P10551" s="594"/>
    </row>
    <row r="10552" spans="16:16">
      <c r="P10552" s="594"/>
    </row>
    <row r="10553" spans="16:16">
      <c r="P10553" s="594"/>
    </row>
    <row r="10554" spans="16:16">
      <c r="P10554" s="594"/>
    </row>
    <row r="10555" spans="16:16">
      <c r="P10555" s="594"/>
    </row>
    <row r="10556" spans="16:16">
      <c r="P10556" s="594"/>
    </row>
    <row r="10557" spans="16:16">
      <c r="P10557" s="594"/>
    </row>
    <row r="10558" spans="16:16">
      <c r="P10558" s="594"/>
    </row>
    <row r="10559" spans="16:16">
      <c r="P10559" s="594"/>
    </row>
    <row r="10560" spans="16:16">
      <c r="P10560" s="594"/>
    </row>
    <row r="10561" spans="16:16">
      <c r="P10561" s="594"/>
    </row>
    <row r="10562" spans="16:16">
      <c r="P10562" s="594"/>
    </row>
    <row r="10563" spans="16:16">
      <c r="P10563" s="594"/>
    </row>
    <row r="10564" spans="16:16">
      <c r="P10564" s="594"/>
    </row>
    <row r="10565" spans="16:16">
      <c r="P10565" s="594"/>
    </row>
    <row r="10566" spans="16:16">
      <c r="P10566" s="594"/>
    </row>
    <row r="10567" spans="16:16">
      <c r="P10567" s="594"/>
    </row>
    <row r="10568" spans="16:16">
      <c r="P10568" s="594"/>
    </row>
    <row r="10569" spans="16:16">
      <c r="P10569" s="594"/>
    </row>
    <row r="10570" spans="16:16">
      <c r="P10570" s="594"/>
    </row>
    <row r="10571" spans="16:16">
      <c r="P10571" s="594"/>
    </row>
    <row r="10572" spans="16:16">
      <c r="P10572" s="594"/>
    </row>
    <row r="10573" spans="16:16">
      <c r="P10573" s="594"/>
    </row>
    <row r="10574" spans="16:16">
      <c r="P10574" s="594"/>
    </row>
    <row r="10575" spans="16:16">
      <c r="P10575" s="594"/>
    </row>
    <row r="10576" spans="16:16">
      <c r="P10576" s="594"/>
    </row>
    <row r="10577" spans="16:16">
      <c r="P10577" s="594"/>
    </row>
    <row r="10578" spans="16:16">
      <c r="P10578" s="594"/>
    </row>
    <row r="10579" spans="16:16">
      <c r="P10579" s="594"/>
    </row>
    <row r="10580" spans="16:16">
      <c r="P10580" s="594"/>
    </row>
    <row r="10581" spans="16:16">
      <c r="P10581" s="594"/>
    </row>
    <row r="10582" spans="16:16">
      <c r="P10582" s="594"/>
    </row>
    <row r="10583" spans="16:16">
      <c r="P10583" s="594"/>
    </row>
    <row r="10584" spans="16:16">
      <c r="P10584" s="594"/>
    </row>
    <row r="10585" spans="16:16">
      <c r="P10585" s="594"/>
    </row>
    <row r="10586" spans="16:16">
      <c r="P10586" s="594"/>
    </row>
    <row r="10587" spans="16:16">
      <c r="P10587" s="594"/>
    </row>
    <row r="10588" spans="16:16">
      <c r="P10588" s="594"/>
    </row>
    <row r="10589" spans="16:16">
      <c r="P10589" s="594"/>
    </row>
    <row r="10590" spans="16:16">
      <c r="P10590" s="594"/>
    </row>
    <row r="10591" spans="16:16">
      <c r="P10591" s="594"/>
    </row>
    <row r="10592" spans="16:16">
      <c r="P10592" s="594"/>
    </row>
    <row r="10593" spans="16:16">
      <c r="P10593" s="594"/>
    </row>
    <row r="10594" spans="16:16">
      <c r="P10594" s="594"/>
    </row>
    <row r="10595" spans="16:16">
      <c r="P10595" s="594"/>
    </row>
    <row r="10596" spans="16:16">
      <c r="P10596" s="594"/>
    </row>
    <row r="10597" spans="16:16">
      <c r="P10597" s="594"/>
    </row>
    <row r="10598" spans="16:16">
      <c r="P10598" s="594"/>
    </row>
    <row r="10599" spans="16:16">
      <c r="P10599" s="594"/>
    </row>
    <row r="10600" spans="16:16">
      <c r="P10600" s="594"/>
    </row>
    <row r="10601" spans="16:16">
      <c r="P10601" s="594"/>
    </row>
    <row r="10602" spans="16:16">
      <c r="P10602" s="594"/>
    </row>
    <row r="10603" spans="16:16">
      <c r="P10603" s="594"/>
    </row>
    <row r="10604" spans="16:16">
      <c r="P10604" s="594"/>
    </row>
    <row r="10605" spans="16:16">
      <c r="P10605" s="594"/>
    </row>
    <row r="10606" spans="16:16">
      <c r="P10606" s="594"/>
    </row>
    <row r="10607" spans="16:16">
      <c r="P10607" s="594"/>
    </row>
    <row r="10608" spans="16:16">
      <c r="P10608" s="594"/>
    </row>
    <row r="10609" spans="16:16">
      <c r="P10609" s="594"/>
    </row>
    <row r="10610" spans="16:16">
      <c r="P10610" s="594"/>
    </row>
    <row r="10611" spans="16:16">
      <c r="P10611" s="594"/>
    </row>
    <row r="10612" spans="16:16">
      <c r="P10612" s="594"/>
    </row>
    <row r="10613" spans="16:16">
      <c r="P10613" s="594"/>
    </row>
    <row r="10614" spans="16:16">
      <c r="P10614" s="594"/>
    </row>
    <row r="10615" spans="16:16">
      <c r="P10615" s="594"/>
    </row>
    <row r="10616" spans="16:16">
      <c r="P10616" s="594"/>
    </row>
    <row r="10617" spans="16:16">
      <c r="P10617" s="594"/>
    </row>
    <row r="10618" spans="16:16">
      <c r="P10618" s="594"/>
    </row>
    <row r="10619" spans="16:16">
      <c r="P10619" s="594"/>
    </row>
    <row r="10620" spans="16:16">
      <c r="P10620" s="594"/>
    </row>
    <row r="10621" spans="16:16">
      <c r="P10621" s="594"/>
    </row>
    <row r="10622" spans="16:16">
      <c r="P10622" s="594"/>
    </row>
    <row r="10623" spans="16:16">
      <c r="P10623" s="594"/>
    </row>
    <row r="10624" spans="16:16">
      <c r="P10624" s="594"/>
    </row>
    <row r="10625" spans="16:16">
      <c r="P10625" s="594"/>
    </row>
    <row r="10626" spans="16:16">
      <c r="P10626" s="594"/>
    </row>
    <row r="10627" spans="16:16">
      <c r="P10627" s="594"/>
    </row>
    <row r="10628" spans="16:16">
      <c r="P10628" s="594"/>
    </row>
    <row r="10629" spans="16:16">
      <c r="P10629" s="594"/>
    </row>
    <row r="10630" spans="16:16">
      <c r="P10630" s="594"/>
    </row>
    <row r="10631" spans="16:16">
      <c r="P10631" s="594"/>
    </row>
    <row r="10632" spans="16:16">
      <c r="P10632" s="594"/>
    </row>
    <row r="10633" spans="16:16">
      <c r="P10633" s="594"/>
    </row>
    <row r="10634" spans="16:16">
      <c r="P10634" s="594"/>
    </row>
    <row r="10635" spans="16:16">
      <c r="P10635" s="594"/>
    </row>
    <row r="10636" spans="16:16">
      <c r="P10636" s="594"/>
    </row>
    <row r="10637" spans="16:16">
      <c r="P10637" s="594"/>
    </row>
    <row r="10638" spans="16:16">
      <c r="P10638" s="594"/>
    </row>
    <row r="10639" spans="16:16">
      <c r="P10639" s="594"/>
    </row>
    <row r="10640" spans="16:16">
      <c r="P10640" s="594"/>
    </row>
    <row r="10641" spans="16:16">
      <c r="P10641" s="594"/>
    </row>
    <row r="10642" spans="16:16">
      <c r="P10642" s="594"/>
    </row>
    <row r="10643" spans="16:16">
      <c r="P10643" s="594"/>
    </row>
    <row r="10644" spans="16:16">
      <c r="P10644" s="594"/>
    </row>
    <row r="10645" spans="16:16">
      <c r="P10645" s="594"/>
    </row>
    <row r="10646" spans="16:16">
      <c r="P10646" s="594"/>
    </row>
    <row r="10647" spans="16:16">
      <c r="P10647" s="594"/>
    </row>
    <row r="10648" spans="16:16">
      <c r="P10648" s="594"/>
    </row>
    <row r="10649" spans="16:16">
      <c r="P10649" s="594"/>
    </row>
    <row r="10650" spans="16:16">
      <c r="P10650" s="594"/>
    </row>
    <row r="10651" spans="16:16">
      <c r="P10651" s="594"/>
    </row>
    <row r="10652" spans="16:16">
      <c r="P10652" s="594"/>
    </row>
    <row r="10653" spans="16:16">
      <c r="P10653" s="594"/>
    </row>
    <row r="10654" spans="16:16">
      <c r="P10654" s="594"/>
    </row>
    <row r="10655" spans="16:16">
      <c r="P10655" s="594"/>
    </row>
    <row r="10656" spans="16:16">
      <c r="P10656" s="594"/>
    </row>
    <row r="10657" spans="16:16">
      <c r="P10657" s="594"/>
    </row>
    <row r="10658" spans="16:16">
      <c r="P10658" s="594"/>
    </row>
    <row r="10659" spans="16:16">
      <c r="P10659" s="594"/>
    </row>
    <row r="10660" spans="16:16">
      <c r="P10660" s="594"/>
    </row>
    <row r="10661" spans="16:16">
      <c r="P10661" s="594"/>
    </row>
    <row r="10662" spans="16:16">
      <c r="P10662" s="594"/>
    </row>
    <row r="10663" spans="16:16">
      <c r="P10663" s="594"/>
    </row>
    <row r="10664" spans="16:16">
      <c r="P10664" s="594"/>
    </row>
    <row r="10665" spans="16:16">
      <c r="P10665" s="594"/>
    </row>
    <row r="10666" spans="16:16">
      <c r="P10666" s="594"/>
    </row>
    <row r="10667" spans="16:16">
      <c r="P10667" s="594"/>
    </row>
    <row r="10668" spans="16:16">
      <c r="P10668" s="594"/>
    </row>
    <row r="10669" spans="16:16">
      <c r="P10669" s="594"/>
    </row>
    <row r="10670" spans="16:16">
      <c r="P10670" s="594"/>
    </row>
    <row r="10671" spans="16:16">
      <c r="P10671" s="594"/>
    </row>
    <row r="10672" spans="16:16">
      <c r="P10672" s="594"/>
    </row>
    <row r="10673" spans="16:16">
      <c r="P10673" s="594"/>
    </row>
    <row r="10674" spans="16:16">
      <c r="P10674" s="594"/>
    </row>
    <row r="10675" spans="16:16">
      <c r="P10675" s="594"/>
    </row>
    <row r="10676" spans="16:16">
      <c r="P10676" s="594"/>
    </row>
    <row r="10677" spans="16:16">
      <c r="P10677" s="594"/>
    </row>
    <row r="10678" spans="16:16">
      <c r="P10678" s="594"/>
    </row>
    <row r="10679" spans="16:16">
      <c r="P10679" s="594"/>
    </row>
    <row r="10680" spans="16:16">
      <c r="P10680" s="594"/>
    </row>
    <row r="10681" spans="16:16">
      <c r="P10681" s="594"/>
    </row>
    <row r="10682" spans="16:16">
      <c r="P10682" s="594"/>
    </row>
    <row r="10683" spans="16:16">
      <c r="P10683" s="594"/>
    </row>
    <row r="10684" spans="16:16">
      <c r="P10684" s="594"/>
    </row>
    <row r="10685" spans="16:16">
      <c r="P10685" s="594"/>
    </row>
    <row r="10686" spans="16:16">
      <c r="P10686" s="594"/>
    </row>
    <row r="10687" spans="16:16">
      <c r="P10687" s="594"/>
    </row>
    <row r="10688" spans="16:16">
      <c r="P10688" s="594"/>
    </row>
    <row r="10689" spans="16:16">
      <c r="P10689" s="594"/>
    </row>
    <row r="10690" spans="16:16">
      <c r="P10690" s="594"/>
    </row>
    <row r="10691" spans="16:16">
      <c r="P10691" s="594"/>
    </row>
    <row r="10692" spans="16:16">
      <c r="P10692" s="594"/>
    </row>
    <row r="10693" spans="16:16">
      <c r="P10693" s="594"/>
    </row>
    <row r="10694" spans="16:16">
      <c r="P10694" s="594"/>
    </row>
    <row r="10695" spans="16:16">
      <c r="P10695" s="594"/>
    </row>
    <row r="10696" spans="16:16">
      <c r="P10696" s="594"/>
    </row>
    <row r="10697" spans="16:16">
      <c r="P10697" s="594"/>
    </row>
    <row r="10698" spans="16:16">
      <c r="P10698" s="594"/>
    </row>
    <row r="10699" spans="16:16">
      <c r="P10699" s="594"/>
    </row>
    <row r="10700" spans="16:16">
      <c r="P10700" s="594"/>
    </row>
    <row r="10701" spans="16:16">
      <c r="P10701" s="594"/>
    </row>
    <row r="10702" spans="16:16">
      <c r="P10702" s="594"/>
    </row>
    <row r="10703" spans="16:16">
      <c r="P10703" s="594"/>
    </row>
    <row r="10704" spans="16:16">
      <c r="P10704" s="594"/>
    </row>
    <row r="10705" spans="16:16">
      <c r="P10705" s="594"/>
    </row>
    <row r="10706" spans="16:16">
      <c r="P10706" s="594"/>
    </row>
    <row r="10707" spans="16:16">
      <c r="P10707" s="594"/>
    </row>
    <row r="10708" spans="16:16">
      <c r="P10708" s="594"/>
    </row>
    <row r="10709" spans="16:16">
      <c r="P10709" s="594"/>
    </row>
    <row r="10710" spans="16:16">
      <c r="P10710" s="594"/>
    </row>
    <row r="10711" spans="16:16">
      <c r="P10711" s="594"/>
    </row>
    <row r="10712" spans="16:16">
      <c r="P10712" s="594"/>
    </row>
    <row r="10713" spans="16:16">
      <c r="P10713" s="594"/>
    </row>
    <row r="10714" spans="16:16">
      <c r="P10714" s="594"/>
    </row>
    <row r="10715" spans="16:16">
      <c r="P10715" s="594"/>
    </row>
    <row r="10716" spans="16:16">
      <c r="P10716" s="594"/>
    </row>
    <row r="10717" spans="16:16">
      <c r="P10717" s="594"/>
    </row>
    <row r="10718" spans="16:16">
      <c r="P10718" s="594"/>
    </row>
    <row r="10719" spans="16:16">
      <c r="P10719" s="594"/>
    </row>
    <row r="10720" spans="16:16">
      <c r="P10720" s="594"/>
    </row>
    <row r="10721" spans="16:16">
      <c r="P10721" s="594"/>
    </row>
    <row r="10722" spans="16:16">
      <c r="P10722" s="594"/>
    </row>
    <row r="10723" spans="16:16">
      <c r="P10723" s="594"/>
    </row>
    <row r="10724" spans="16:16">
      <c r="P10724" s="594"/>
    </row>
    <row r="10725" spans="16:16">
      <c r="P10725" s="594"/>
    </row>
    <row r="10726" spans="16:16">
      <c r="P10726" s="594"/>
    </row>
    <row r="10727" spans="16:16">
      <c r="P10727" s="594"/>
    </row>
    <row r="10728" spans="16:16">
      <c r="P10728" s="594"/>
    </row>
    <row r="10729" spans="16:16">
      <c r="P10729" s="594"/>
    </row>
    <row r="10730" spans="16:16">
      <c r="P10730" s="594"/>
    </row>
    <row r="10731" spans="16:16">
      <c r="P10731" s="594"/>
    </row>
    <row r="10732" spans="16:16">
      <c r="P10732" s="594"/>
    </row>
    <row r="10733" spans="16:16">
      <c r="P10733" s="594"/>
    </row>
    <row r="10734" spans="16:16">
      <c r="P10734" s="594"/>
    </row>
    <row r="10735" spans="16:16">
      <c r="P10735" s="594"/>
    </row>
    <row r="10736" spans="16:16">
      <c r="P10736" s="594"/>
    </row>
    <row r="10737" spans="16:16">
      <c r="P10737" s="594"/>
    </row>
    <row r="10738" spans="16:16">
      <c r="P10738" s="594"/>
    </row>
    <row r="10739" spans="16:16">
      <c r="P10739" s="594"/>
    </row>
    <row r="10740" spans="16:16">
      <c r="P10740" s="594"/>
    </row>
    <row r="10741" spans="16:16">
      <c r="P10741" s="594"/>
    </row>
    <row r="10742" spans="16:16">
      <c r="P10742" s="594"/>
    </row>
    <row r="10743" spans="16:16">
      <c r="P10743" s="594"/>
    </row>
    <row r="10744" spans="16:16">
      <c r="P10744" s="594"/>
    </row>
    <row r="10745" spans="16:16">
      <c r="P10745" s="594"/>
    </row>
    <row r="10746" spans="16:16">
      <c r="P10746" s="594"/>
    </row>
    <row r="10747" spans="16:16">
      <c r="P10747" s="594"/>
    </row>
    <row r="10748" spans="16:16">
      <c r="P10748" s="594"/>
    </row>
    <row r="10749" spans="16:16">
      <c r="P10749" s="594"/>
    </row>
    <row r="10750" spans="16:16">
      <c r="P10750" s="594"/>
    </row>
    <row r="10751" spans="16:16">
      <c r="P10751" s="594"/>
    </row>
    <row r="10752" spans="16:16">
      <c r="P10752" s="594"/>
    </row>
    <row r="10753" spans="16:16">
      <c r="P10753" s="594"/>
    </row>
    <row r="10754" spans="16:16">
      <c r="P10754" s="594"/>
    </row>
    <row r="10755" spans="16:16">
      <c r="P10755" s="594"/>
    </row>
    <row r="10756" spans="16:16">
      <c r="P10756" s="594"/>
    </row>
    <row r="10757" spans="16:16">
      <c r="P10757" s="594"/>
    </row>
    <row r="10758" spans="16:16">
      <c r="P10758" s="594"/>
    </row>
    <row r="10759" spans="16:16">
      <c r="P10759" s="594"/>
    </row>
    <row r="10760" spans="16:16">
      <c r="P10760" s="594"/>
    </row>
    <row r="10761" spans="16:16">
      <c r="P10761" s="594"/>
    </row>
    <row r="10762" spans="16:16">
      <c r="P10762" s="594"/>
    </row>
    <row r="10763" spans="16:16">
      <c r="P10763" s="594"/>
    </row>
    <row r="10764" spans="16:16">
      <c r="P10764" s="594"/>
    </row>
    <row r="10765" spans="16:16">
      <c r="P10765" s="594"/>
    </row>
    <row r="10766" spans="16:16">
      <c r="P10766" s="594"/>
    </row>
    <row r="10767" spans="16:16">
      <c r="P10767" s="594"/>
    </row>
    <row r="10768" spans="16:16">
      <c r="P10768" s="594"/>
    </row>
    <row r="10769" spans="16:16">
      <c r="P10769" s="594"/>
    </row>
    <row r="10770" spans="16:16">
      <c r="P10770" s="594"/>
    </row>
    <row r="10771" spans="16:16">
      <c r="P10771" s="594"/>
    </row>
    <row r="10772" spans="16:16">
      <c r="P10772" s="594"/>
    </row>
    <row r="10773" spans="16:16">
      <c r="P10773" s="594"/>
    </row>
    <row r="10774" spans="16:16">
      <c r="P10774" s="594"/>
    </row>
    <row r="10775" spans="16:16">
      <c r="P10775" s="594"/>
    </row>
    <row r="10776" spans="16:16">
      <c r="P10776" s="594"/>
    </row>
    <row r="10777" spans="16:16">
      <c r="P10777" s="594"/>
    </row>
    <row r="10778" spans="16:16">
      <c r="P10778" s="594"/>
    </row>
    <row r="10779" spans="16:16">
      <c r="P10779" s="594"/>
    </row>
    <row r="10780" spans="16:16">
      <c r="P10780" s="594"/>
    </row>
    <row r="10781" spans="16:16">
      <c r="P10781" s="594"/>
    </row>
    <row r="10782" spans="16:16">
      <c r="P10782" s="594"/>
    </row>
    <row r="10783" spans="16:16">
      <c r="P10783" s="594"/>
    </row>
    <row r="10784" spans="16:16">
      <c r="P10784" s="594"/>
    </row>
    <row r="10785" spans="16:16">
      <c r="P10785" s="594"/>
    </row>
    <row r="10786" spans="16:16">
      <c r="P10786" s="594"/>
    </row>
    <row r="10787" spans="16:16">
      <c r="P10787" s="594"/>
    </row>
    <row r="10788" spans="16:16">
      <c r="P10788" s="594"/>
    </row>
    <row r="10789" spans="16:16">
      <c r="P10789" s="594"/>
    </row>
    <row r="10790" spans="16:16">
      <c r="P10790" s="594"/>
    </row>
    <row r="10791" spans="16:16">
      <c r="P10791" s="594"/>
    </row>
    <row r="10792" spans="16:16">
      <c r="P10792" s="594"/>
    </row>
    <row r="10793" spans="16:16">
      <c r="P10793" s="594"/>
    </row>
    <row r="10794" spans="16:16">
      <c r="P10794" s="594"/>
    </row>
    <row r="10795" spans="16:16">
      <c r="P10795" s="594"/>
    </row>
    <row r="10796" spans="16:16">
      <c r="P10796" s="594"/>
    </row>
    <row r="10797" spans="16:16">
      <c r="P10797" s="594"/>
    </row>
    <row r="10798" spans="16:16">
      <c r="P10798" s="594"/>
    </row>
    <row r="10799" spans="16:16">
      <c r="P10799" s="594"/>
    </row>
    <row r="10800" spans="16:16">
      <c r="P10800" s="594"/>
    </row>
    <row r="10801" spans="16:16">
      <c r="P10801" s="594"/>
    </row>
    <row r="10802" spans="16:16">
      <c r="P10802" s="594"/>
    </row>
    <row r="10803" spans="16:16">
      <c r="P10803" s="594"/>
    </row>
    <row r="10804" spans="16:16">
      <c r="P10804" s="594"/>
    </row>
    <row r="10805" spans="16:16">
      <c r="P10805" s="594"/>
    </row>
    <row r="10806" spans="16:16">
      <c r="P10806" s="594"/>
    </row>
    <row r="10807" spans="16:16">
      <c r="P10807" s="594"/>
    </row>
    <row r="10808" spans="16:16">
      <c r="P10808" s="594"/>
    </row>
    <row r="10809" spans="16:16">
      <c r="P10809" s="594"/>
    </row>
    <row r="10810" spans="16:16">
      <c r="P10810" s="594"/>
    </row>
    <row r="10811" spans="16:16">
      <c r="P10811" s="594"/>
    </row>
    <row r="10812" spans="16:16">
      <c r="P10812" s="594"/>
    </row>
    <row r="10813" spans="16:16">
      <c r="P10813" s="594"/>
    </row>
    <row r="10814" spans="16:16">
      <c r="P10814" s="594"/>
    </row>
    <row r="10815" spans="16:16">
      <c r="P10815" s="594"/>
    </row>
    <row r="10816" spans="16:16">
      <c r="P10816" s="594"/>
    </row>
    <row r="10817" spans="16:16">
      <c r="P10817" s="594"/>
    </row>
    <row r="10818" spans="16:16">
      <c r="P10818" s="594"/>
    </row>
    <row r="10819" spans="16:16">
      <c r="P10819" s="594"/>
    </row>
    <row r="10820" spans="16:16">
      <c r="P10820" s="594"/>
    </row>
    <row r="10821" spans="16:16">
      <c r="P10821" s="594"/>
    </row>
    <row r="10822" spans="16:16">
      <c r="P10822" s="594"/>
    </row>
    <row r="10823" spans="16:16">
      <c r="P10823" s="594"/>
    </row>
    <row r="10824" spans="16:16">
      <c r="P10824" s="594"/>
    </row>
    <row r="10825" spans="16:16">
      <c r="P10825" s="594"/>
    </row>
    <row r="10826" spans="16:16">
      <c r="P10826" s="594"/>
    </row>
    <row r="10827" spans="16:16">
      <c r="P10827" s="594"/>
    </row>
    <row r="10828" spans="16:16">
      <c r="P10828" s="594"/>
    </row>
    <row r="10829" spans="16:16">
      <c r="P10829" s="594"/>
    </row>
    <row r="10830" spans="16:16">
      <c r="P10830" s="594"/>
    </row>
    <row r="10831" spans="16:16">
      <c r="P10831" s="594"/>
    </row>
    <row r="10832" spans="16:16">
      <c r="P10832" s="594"/>
    </row>
    <row r="10833" spans="16:16">
      <c r="P10833" s="594"/>
    </row>
    <row r="10834" spans="16:16">
      <c r="P10834" s="594"/>
    </row>
    <row r="10835" spans="16:16">
      <c r="P10835" s="594"/>
    </row>
    <row r="10836" spans="16:16">
      <c r="P10836" s="594"/>
    </row>
    <row r="10837" spans="16:16">
      <c r="P10837" s="594"/>
    </row>
    <row r="10838" spans="16:16">
      <c r="P10838" s="594"/>
    </row>
    <row r="10839" spans="16:16">
      <c r="P10839" s="594"/>
    </row>
    <row r="10840" spans="16:16">
      <c r="P10840" s="594"/>
    </row>
    <row r="10841" spans="16:16">
      <c r="P10841" s="594"/>
    </row>
    <row r="10842" spans="16:16">
      <c r="P10842" s="594"/>
    </row>
    <row r="10843" spans="16:16">
      <c r="P10843" s="594"/>
    </row>
    <row r="10844" spans="16:16">
      <c r="P10844" s="594"/>
    </row>
    <row r="10845" spans="16:16">
      <c r="P10845" s="594"/>
    </row>
    <row r="10846" spans="16:16">
      <c r="P10846" s="594"/>
    </row>
    <row r="10847" spans="16:16">
      <c r="P10847" s="594"/>
    </row>
    <row r="10848" spans="16:16">
      <c r="P10848" s="594"/>
    </row>
    <row r="10849" spans="16:16">
      <c r="P10849" s="594"/>
    </row>
    <row r="10850" spans="16:16">
      <c r="P10850" s="594"/>
    </row>
    <row r="10851" spans="16:16">
      <c r="P10851" s="594"/>
    </row>
    <row r="10852" spans="16:16">
      <c r="P10852" s="594"/>
    </row>
    <row r="10853" spans="16:16">
      <c r="P10853" s="594"/>
    </row>
    <row r="10854" spans="16:16">
      <c r="P10854" s="594"/>
    </row>
    <row r="10855" spans="16:16">
      <c r="P10855" s="594"/>
    </row>
    <row r="10856" spans="16:16">
      <c r="P10856" s="594"/>
    </row>
    <row r="10857" spans="16:16">
      <c r="P10857" s="594"/>
    </row>
    <row r="10858" spans="16:16">
      <c r="P10858" s="594"/>
    </row>
    <row r="10859" spans="16:16">
      <c r="P10859" s="594"/>
    </row>
    <row r="10860" spans="16:16">
      <c r="P10860" s="594"/>
    </row>
    <row r="10861" spans="16:16">
      <c r="P10861" s="594"/>
    </row>
    <row r="10862" spans="16:16">
      <c r="P10862" s="594"/>
    </row>
    <row r="10863" spans="16:16">
      <c r="P10863" s="594"/>
    </row>
    <row r="10864" spans="16:16">
      <c r="P10864" s="594"/>
    </row>
    <row r="10865" spans="16:16">
      <c r="P10865" s="594"/>
    </row>
    <row r="10866" spans="16:16">
      <c r="P10866" s="594"/>
    </row>
    <row r="10867" spans="16:16">
      <c r="P10867" s="594"/>
    </row>
    <row r="10868" spans="16:16">
      <c r="P10868" s="594"/>
    </row>
    <row r="10869" spans="16:16">
      <c r="P10869" s="594"/>
    </row>
    <row r="10870" spans="16:16">
      <c r="P10870" s="594"/>
    </row>
    <row r="10871" spans="16:16">
      <c r="P10871" s="594"/>
    </row>
    <row r="10872" spans="16:16">
      <c r="P10872" s="594"/>
    </row>
    <row r="10873" spans="16:16">
      <c r="P10873" s="594"/>
    </row>
    <row r="10874" spans="16:16">
      <c r="P10874" s="594"/>
    </row>
    <row r="10875" spans="16:16">
      <c r="P10875" s="594"/>
    </row>
    <row r="10876" spans="16:16">
      <c r="P10876" s="594"/>
    </row>
    <row r="10877" spans="16:16">
      <c r="P10877" s="594"/>
    </row>
    <row r="10878" spans="16:16">
      <c r="P10878" s="594"/>
    </row>
    <row r="10879" spans="16:16">
      <c r="P10879" s="594"/>
    </row>
    <row r="10880" spans="16:16">
      <c r="P10880" s="594"/>
    </row>
    <row r="10881" spans="16:16">
      <c r="P10881" s="594"/>
    </row>
    <row r="10882" spans="16:16">
      <c r="P10882" s="594"/>
    </row>
    <row r="10883" spans="16:16">
      <c r="P10883" s="594"/>
    </row>
    <row r="10884" spans="16:16">
      <c r="P10884" s="594"/>
    </row>
    <row r="10885" spans="16:16">
      <c r="P10885" s="594"/>
    </row>
    <row r="10886" spans="16:16">
      <c r="P10886" s="594"/>
    </row>
    <row r="10887" spans="16:16">
      <c r="P10887" s="594"/>
    </row>
    <row r="10888" spans="16:16">
      <c r="P10888" s="594"/>
    </row>
    <row r="10889" spans="16:16">
      <c r="P10889" s="594"/>
    </row>
    <row r="10890" spans="16:16">
      <c r="P10890" s="594"/>
    </row>
    <row r="10891" spans="16:16">
      <c r="P10891" s="594"/>
    </row>
    <row r="10892" spans="16:16">
      <c r="P10892" s="594"/>
    </row>
    <row r="10893" spans="16:16">
      <c r="P10893" s="594"/>
    </row>
    <row r="10894" spans="16:16">
      <c r="P10894" s="594"/>
    </row>
    <row r="10895" spans="16:16">
      <c r="P10895" s="594"/>
    </row>
    <row r="10896" spans="16:16">
      <c r="P10896" s="594"/>
    </row>
    <row r="10897" spans="16:16">
      <c r="P10897" s="594"/>
    </row>
    <row r="10898" spans="16:16">
      <c r="P10898" s="594"/>
    </row>
    <row r="10899" spans="16:16">
      <c r="P10899" s="594"/>
    </row>
    <row r="10900" spans="16:16">
      <c r="P10900" s="594"/>
    </row>
    <row r="10901" spans="16:16">
      <c r="P10901" s="594"/>
    </row>
    <row r="10902" spans="16:16">
      <c r="P10902" s="594"/>
    </row>
    <row r="10903" spans="16:16">
      <c r="P10903" s="594"/>
    </row>
    <row r="10904" spans="16:16">
      <c r="P10904" s="594"/>
    </row>
    <row r="10905" spans="16:16">
      <c r="P10905" s="594"/>
    </row>
    <row r="10906" spans="16:16">
      <c r="P10906" s="594"/>
    </row>
    <row r="10907" spans="16:16">
      <c r="P10907" s="594"/>
    </row>
    <row r="10908" spans="16:16">
      <c r="P10908" s="594"/>
    </row>
    <row r="10909" spans="16:16">
      <c r="P10909" s="594"/>
    </row>
    <row r="10910" spans="16:16">
      <c r="P10910" s="594"/>
    </row>
    <row r="10911" spans="16:16">
      <c r="P10911" s="594"/>
    </row>
    <row r="10912" spans="16:16">
      <c r="P10912" s="594"/>
    </row>
    <row r="10913" spans="16:16">
      <c r="P10913" s="594"/>
    </row>
    <row r="10914" spans="16:16">
      <c r="P10914" s="594"/>
    </row>
    <row r="10915" spans="16:16">
      <c r="P10915" s="594"/>
    </row>
    <row r="10916" spans="16:16">
      <c r="P10916" s="594"/>
    </row>
    <row r="10917" spans="16:16">
      <c r="P10917" s="594"/>
    </row>
    <row r="10918" spans="16:16">
      <c r="P10918" s="594"/>
    </row>
    <row r="10919" spans="16:16">
      <c r="P10919" s="594"/>
    </row>
    <row r="10920" spans="16:16">
      <c r="P10920" s="594"/>
    </row>
    <row r="10921" spans="16:16">
      <c r="P10921" s="594"/>
    </row>
    <row r="10922" spans="16:16">
      <c r="P10922" s="594"/>
    </row>
    <row r="10923" spans="16:16">
      <c r="P10923" s="594"/>
    </row>
    <row r="10924" spans="16:16">
      <c r="P10924" s="594"/>
    </row>
    <row r="10925" spans="16:16">
      <c r="P10925" s="594"/>
    </row>
    <row r="10926" spans="16:16">
      <c r="P10926" s="594"/>
    </row>
    <row r="10927" spans="16:16">
      <c r="P10927" s="594"/>
    </row>
    <row r="10928" spans="16:16">
      <c r="P10928" s="594"/>
    </row>
    <row r="10929" spans="16:16">
      <c r="P10929" s="594"/>
    </row>
    <row r="10930" spans="16:16">
      <c r="P10930" s="594"/>
    </row>
    <row r="10931" spans="16:16">
      <c r="P10931" s="594"/>
    </row>
    <row r="10932" spans="16:16">
      <c r="P10932" s="594"/>
    </row>
    <row r="10933" spans="16:16">
      <c r="P10933" s="594"/>
    </row>
    <row r="10934" spans="16:16">
      <c r="P10934" s="594"/>
    </row>
    <row r="10935" spans="16:16">
      <c r="P10935" s="594"/>
    </row>
    <row r="10936" spans="16:16">
      <c r="P10936" s="594"/>
    </row>
    <row r="10937" spans="16:16">
      <c r="P10937" s="594"/>
    </row>
    <row r="10938" spans="16:16">
      <c r="P10938" s="594"/>
    </row>
    <row r="10939" spans="16:16">
      <c r="P10939" s="594"/>
    </row>
    <row r="10940" spans="16:16">
      <c r="P10940" s="594"/>
    </row>
    <row r="10941" spans="16:16">
      <c r="P10941" s="594"/>
    </row>
    <row r="10942" spans="16:16">
      <c r="P10942" s="594"/>
    </row>
    <row r="10943" spans="16:16">
      <c r="P10943" s="594"/>
    </row>
    <row r="10944" spans="16:16">
      <c r="P10944" s="594"/>
    </row>
    <row r="10945" spans="16:16">
      <c r="P10945" s="594"/>
    </row>
    <row r="10946" spans="16:16">
      <c r="P10946" s="594"/>
    </row>
    <row r="10947" spans="16:16">
      <c r="P10947" s="594"/>
    </row>
    <row r="10948" spans="16:16">
      <c r="P10948" s="594"/>
    </row>
    <row r="10949" spans="16:16">
      <c r="P10949" s="594"/>
    </row>
    <row r="10950" spans="16:16">
      <c r="P10950" s="594"/>
    </row>
    <row r="10951" spans="16:16">
      <c r="P10951" s="594"/>
    </row>
    <row r="10952" spans="16:16">
      <c r="P10952" s="594"/>
    </row>
    <row r="10953" spans="16:16">
      <c r="P10953" s="594"/>
    </row>
    <row r="10954" spans="16:16">
      <c r="P10954" s="594"/>
    </row>
    <row r="10955" spans="16:16">
      <c r="P10955" s="594"/>
    </row>
    <row r="10956" spans="16:16">
      <c r="P10956" s="594"/>
    </row>
    <row r="10957" spans="16:16">
      <c r="P10957" s="594"/>
    </row>
    <row r="10958" spans="16:16">
      <c r="P10958" s="594"/>
    </row>
    <row r="10959" spans="16:16">
      <c r="P10959" s="594"/>
    </row>
    <row r="10960" spans="16:16">
      <c r="P10960" s="594"/>
    </row>
    <row r="10961" spans="16:16">
      <c r="P10961" s="594"/>
    </row>
    <row r="10962" spans="16:16">
      <c r="P10962" s="594"/>
    </row>
    <row r="10963" spans="16:16">
      <c r="P10963" s="594"/>
    </row>
    <row r="10964" spans="16:16">
      <c r="P10964" s="594"/>
    </row>
    <row r="10965" spans="16:16">
      <c r="P10965" s="594"/>
    </row>
    <row r="10966" spans="16:16">
      <c r="P10966" s="594"/>
    </row>
    <row r="10967" spans="16:16">
      <c r="P10967" s="594"/>
    </row>
    <row r="10968" spans="16:16">
      <c r="P10968" s="594"/>
    </row>
    <row r="10969" spans="16:16">
      <c r="P10969" s="594"/>
    </row>
    <row r="10970" spans="16:16">
      <c r="P10970" s="594"/>
    </row>
    <row r="10971" spans="16:16">
      <c r="P10971" s="594"/>
    </row>
    <row r="10972" spans="16:16">
      <c r="P10972" s="594"/>
    </row>
    <row r="10973" spans="16:16">
      <c r="P10973" s="594"/>
    </row>
    <row r="10974" spans="16:16">
      <c r="P10974" s="594"/>
    </row>
    <row r="10975" spans="16:16">
      <c r="P10975" s="594"/>
    </row>
    <row r="10976" spans="16:16">
      <c r="P10976" s="594"/>
    </row>
    <row r="10977" spans="16:16">
      <c r="P10977" s="594"/>
    </row>
    <row r="10978" spans="16:16">
      <c r="P10978" s="594"/>
    </row>
    <row r="10979" spans="16:16">
      <c r="P10979" s="594"/>
    </row>
    <row r="10980" spans="16:16">
      <c r="P10980" s="594"/>
    </row>
    <row r="10981" spans="16:16">
      <c r="P10981" s="594"/>
    </row>
    <row r="10982" spans="16:16">
      <c r="P10982" s="594"/>
    </row>
    <row r="10983" spans="16:16">
      <c r="P10983" s="594"/>
    </row>
    <row r="10984" spans="16:16">
      <c r="P10984" s="594"/>
    </row>
    <row r="10985" spans="16:16">
      <c r="P10985" s="594"/>
    </row>
    <row r="10986" spans="16:16">
      <c r="P10986" s="594"/>
    </row>
    <row r="10987" spans="16:16">
      <c r="P10987" s="594"/>
    </row>
    <row r="10988" spans="16:16">
      <c r="P10988" s="594"/>
    </row>
    <row r="10989" spans="16:16">
      <c r="P10989" s="594"/>
    </row>
    <row r="10990" spans="16:16">
      <c r="P10990" s="594"/>
    </row>
    <row r="10991" spans="16:16">
      <c r="P10991" s="594"/>
    </row>
    <row r="10992" spans="16:16">
      <c r="P10992" s="594"/>
    </row>
    <row r="10993" spans="16:16">
      <c r="P10993" s="594"/>
    </row>
    <row r="10994" spans="16:16">
      <c r="P10994" s="594"/>
    </row>
    <row r="10995" spans="16:16">
      <c r="P10995" s="594"/>
    </row>
    <row r="10996" spans="16:16">
      <c r="P10996" s="594"/>
    </row>
    <row r="10997" spans="16:16">
      <c r="P10997" s="594"/>
    </row>
    <row r="10998" spans="16:16">
      <c r="P10998" s="594"/>
    </row>
    <row r="10999" spans="16:16">
      <c r="P10999" s="594"/>
    </row>
    <row r="11000" spans="16:16">
      <c r="P11000" s="594"/>
    </row>
    <row r="11001" spans="16:16">
      <c r="P11001" s="594"/>
    </row>
    <row r="11002" spans="16:16">
      <c r="P11002" s="594"/>
    </row>
    <row r="11003" spans="16:16">
      <c r="P11003" s="594"/>
    </row>
    <row r="11004" spans="16:16">
      <c r="P11004" s="594"/>
    </row>
    <row r="11005" spans="16:16">
      <c r="P11005" s="594"/>
    </row>
    <row r="11006" spans="16:16">
      <c r="P11006" s="594"/>
    </row>
    <row r="11007" spans="16:16">
      <c r="P11007" s="594"/>
    </row>
    <row r="11008" spans="16:16">
      <c r="P11008" s="594"/>
    </row>
    <row r="11009" spans="16:16">
      <c r="P11009" s="594"/>
    </row>
    <row r="11010" spans="16:16">
      <c r="P11010" s="594"/>
    </row>
    <row r="11011" spans="16:16">
      <c r="P11011" s="594"/>
    </row>
    <row r="11012" spans="16:16">
      <c r="P11012" s="594"/>
    </row>
    <row r="11013" spans="16:16">
      <c r="P11013" s="594"/>
    </row>
    <row r="11014" spans="16:16">
      <c r="P11014" s="594"/>
    </row>
    <row r="11015" spans="16:16">
      <c r="P11015" s="594"/>
    </row>
    <row r="11016" spans="16:16">
      <c r="P11016" s="594"/>
    </row>
    <row r="11017" spans="16:16">
      <c r="P11017" s="594"/>
    </row>
    <row r="11018" spans="16:16">
      <c r="P11018" s="594"/>
    </row>
    <row r="11019" spans="16:16">
      <c r="P11019" s="594"/>
    </row>
    <row r="11020" spans="16:16">
      <c r="P11020" s="594"/>
    </row>
    <row r="11021" spans="16:16">
      <c r="P11021" s="594"/>
    </row>
    <row r="11022" spans="16:16">
      <c r="P11022" s="594"/>
    </row>
    <row r="11023" spans="16:16">
      <c r="P11023" s="594"/>
    </row>
    <row r="11024" spans="16:16">
      <c r="P11024" s="594"/>
    </row>
    <row r="11025" spans="16:16">
      <c r="P11025" s="594"/>
    </row>
    <row r="11026" spans="16:16">
      <c r="P11026" s="594"/>
    </row>
    <row r="11027" spans="16:16">
      <c r="P11027" s="594"/>
    </row>
    <row r="11028" spans="16:16">
      <c r="P11028" s="594"/>
    </row>
    <row r="11029" spans="16:16">
      <c r="P11029" s="594"/>
    </row>
    <row r="11030" spans="16:16">
      <c r="P11030" s="594"/>
    </row>
    <row r="11031" spans="16:16">
      <c r="P11031" s="594"/>
    </row>
    <row r="11032" spans="16:16">
      <c r="P11032" s="594"/>
    </row>
    <row r="11033" spans="16:16">
      <c r="P11033" s="594"/>
    </row>
    <row r="11034" spans="16:16">
      <c r="P11034" s="594"/>
    </row>
    <row r="11035" spans="16:16">
      <c r="P11035" s="594"/>
    </row>
    <row r="11036" spans="16:16">
      <c r="P11036" s="594"/>
    </row>
    <row r="11037" spans="16:16">
      <c r="P11037" s="594"/>
    </row>
    <row r="11038" spans="16:16">
      <c r="P11038" s="594"/>
    </row>
    <row r="11039" spans="16:16">
      <c r="P11039" s="594"/>
    </row>
    <row r="11040" spans="16:16">
      <c r="P11040" s="594"/>
    </row>
    <row r="11041" spans="16:16">
      <c r="P11041" s="594"/>
    </row>
    <row r="11042" spans="16:16">
      <c r="P11042" s="594"/>
    </row>
    <row r="11043" spans="16:16">
      <c r="P11043" s="594"/>
    </row>
    <row r="11044" spans="16:16">
      <c r="P11044" s="594"/>
    </row>
    <row r="11045" spans="16:16">
      <c r="P11045" s="594"/>
    </row>
    <row r="11046" spans="16:16">
      <c r="P11046" s="594"/>
    </row>
    <row r="11047" spans="16:16">
      <c r="P11047" s="594"/>
    </row>
    <row r="11048" spans="16:16">
      <c r="P11048" s="594"/>
    </row>
    <row r="11049" spans="16:16">
      <c r="P11049" s="594"/>
    </row>
    <row r="11050" spans="16:16">
      <c r="P11050" s="594"/>
    </row>
    <row r="11051" spans="16:16">
      <c r="P11051" s="594"/>
    </row>
    <row r="11052" spans="16:16">
      <c r="P11052" s="594"/>
    </row>
    <row r="11053" spans="16:16">
      <c r="P11053" s="594"/>
    </row>
    <row r="11054" spans="16:16">
      <c r="P11054" s="594"/>
    </row>
    <row r="11055" spans="16:16">
      <c r="P11055" s="594"/>
    </row>
    <row r="11056" spans="16:16">
      <c r="P11056" s="594"/>
    </row>
    <row r="11057" spans="16:16">
      <c r="P11057" s="594"/>
    </row>
    <row r="11058" spans="16:16">
      <c r="P11058" s="594"/>
    </row>
    <row r="11059" spans="16:16">
      <c r="P11059" s="594"/>
    </row>
    <row r="11060" spans="16:16">
      <c r="P11060" s="594"/>
    </row>
    <row r="11061" spans="16:16">
      <c r="P11061" s="594"/>
    </row>
    <row r="11062" spans="16:16">
      <c r="P11062" s="594"/>
    </row>
    <row r="11063" spans="16:16">
      <c r="P11063" s="594"/>
    </row>
    <row r="11064" spans="16:16">
      <c r="P11064" s="594"/>
    </row>
    <row r="11065" spans="16:16">
      <c r="P11065" s="594"/>
    </row>
    <row r="11066" spans="16:16">
      <c r="P11066" s="594"/>
    </row>
    <row r="11067" spans="16:16">
      <c r="P11067" s="594"/>
    </row>
    <row r="11068" spans="16:16">
      <c r="P11068" s="594"/>
    </row>
    <row r="11069" spans="16:16">
      <c r="P11069" s="594"/>
    </row>
    <row r="11070" spans="16:16">
      <c r="P11070" s="594"/>
    </row>
    <row r="11071" spans="16:16">
      <c r="P11071" s="594"/>
    </row>
    <row r="11072" spans="16:16">
      <c r="P11072" s="594"/>
    </row>
    <row r="11073" spans="16:16">
      <c r="P11073" s="594"/>
    </row>
    <row r="11074" spans="16:16">
      <c r="P11074" s="594"/>
    </row>
    <row r="11075" spans="16:16">
      <c r="P11075" s="594"/>
    </row>
    <row r="11076" spans="16:16">
      <c r="P11076" s="594"/>
    </row>
    <row r="11077" spans="16:16">
      <c r="P11077" s="594"/>
    </row>
    <row r="11078" spans="16:16">
      <c r="P11078" s="594"/>
    </row>
    <row r="11079" spans="16:16">
      <c r="P11079" s="594"/>
    </row>
    <row r="11080" spans="16:16">
      <c r="P11080" s="594"/>
    </row>
    <row r="11081" spans="16:16">
      <c r="P11081" s="594"/>
    </row>
    <row r="11082" spans="16:16">
      <c r="P11082" s="594"/>
    </row>
    <row r="11083" spans="16:16">
      <c r="P11083" s="594"/>
    </row>
    <row r="11084" spans="16:16">
      <c r="P11084" s="594"/>
    </row>
    <row r="11085" spans="16:16">
      <c r="P11085" s="594"/>
    </row>
    <row r="11086" spans="16:16">
      <c r="P11086" s="594"/>
    </row>
    <row r="11087" spans="16:16">
      <c r="P11087" s="594"/>
    </row>
    <row r="11088" spans="16:16">
      <c r="P11088" s="594"/>
    </row>
    <row r="11089" spans="16:16">
      <c r="P11089" s="594"/>
    </row>
    <row r="11090" spans="16:16">
      <c r="P11090" s="594"/>
    </row>
    <row r="11091" spans="16:16">
      <c r="P11091" s="594"/>
    </row>
    <row r="11092" spans="16:16">
      <c r="P11092" s="594"/>
    </row>
    <row r="11093" spans="16:16">
      <c r="P11093" s="594"/>
    </row>
    <row r="11094" spans="16:16">
      <c r="P11094" s="594"/>
    </row>
    <row r="11095" spans="16:16">
      <c r="P11095" s="594"/>
    </row>
    <row r="11096" spans="16:16">
      <c r="P11096" s="594"/>
    </row>
    <row r="11097" spans="16:16">
      <c r="P11097" s="594"/>
    </row>
    <row r="11098" spans="16:16">
      <c r="P11098" s="594"/>
    </row>
    <row r="11099" spans="16:16">
      <c r="P11099" s="594"/>
    </row>
    <row r="11100" spans="16:16">
      <c r="P11100" s="594"/>
    </row>
    <row r="11101" spans="16:16">
      <c r="P11101" s="594"/>
    </row>
    <row r="11102" spans="16:16">
      <c r="P11102" s="594"/>
    </row>
    <row r="11103" spans="16:16">
      <c r="P11103" s="594"/>
    </row>
    <row r="11104" spans="16:16">
      <c r="P11104" s="594"/>
    </row>
    <row r="11105" spans="16:16">
      <c r="P11105" s="594"/>
    </row>
    <row r="11106" spans="16:16">
      <c r="P11106" s="594"/>
    </row>
    <row r="11107" spans="16:16">
      <c r="P11107" s="594"/>
    </row>
    <row r="11108" spans="16:16">
      <c r="P11108" s="594"/>
    </row>
    <row r="11109" spans="16:16">
      <c r="P11109" s="594"/>
    </row>
    <row r="11110" spans="16:16">
      <c r="P11110" s="594"/>
    </row>
    <row r="11111" spans="16:16">
      <c r="P11111" s="594"/>
    </row>
    <row r="11112" spans="16:16">
      <c r="P11112" s="594"/>
    </row>
    <row r="11113" spans="16:16">
      <c r="P11113" s="594"/>
    </row>
    <row r="11114" spans="16:16">
      <c r="P11114" s="594"/>
    </row>
    <row r="11115" spans="16:16">
      <c r="P11115" s="594"/>
    </row>
    <row r="11116" spans="16:16">
      <c r="P11116" s="594"/>
    </row>
    <row r="11117" spans="16:16">
      <c r="P11117" s="594"/>
    </row>
    <row r="11118" spans="16:16">
      <c r="P11118" s="594"/>
    </row>
    <row r="11119" spans="16:16">
      <c r="P11119" s="594"/>
    </row>
    <row r="11120" spans="16:16">
      <c r="P11120" s="594"/>
    </row>
    <row r="11121" spans="16:16">
      <c r="P11121" s="594"/>
    </row>
    <row r="11122" spans="16:16">
      <c r="P11122" s="594"/>
    </row>
    <row r="11123" spans="16:16">
      <c r="P11123" s="594"/>
    </row>
    <row r="11124" spans="16:16">
      <c r="P11124" s="594"/>
    </row>
    <row r="11125" spans="16:16">
      <c r="P11125" s="594"/>
    </row>
    <row r="11126" spans="16:16">
      <c r="P11126" s="594"/>
    </row>
    <row r="11127" spans="16:16">
      <c r="P11127" s="594"/>
    </row>
    <row r="11128" spans="16:16">
      <c r="P11128" s="594"/>
    </row>
    <row r="11129" spans="16:16">
      <c r="P11129" s="594"/>
    </row>
    <row r="11130" spans="16:16">
      <c r="P11130" s="594"/>
    </row>
    <row r="11131" spans="16:16">
      <c r="P11131" s="594"/>
    </row>
    <row r="11132" spans="16:16">
      <c r="P11132" s="594"/>
    </row>
    <row r="11133" spans="16:16">
      <c r="P11133" s="594"/>
    </row>
    <row r="11134" spans="16:16">
      <c r="P11134" s="594"/>
    </row>
    <row r="11135" spans="16:16">
      <c r="P11135" s="594"/>
    </row>
    <row r="11136" spans="16:16">
      <c r="P11136" s="594"/>
    </row>
    <row r="11137" spans="16:16">
      <c r="P11137" s="594"/>
    </row>
    <row r="11138" spans="16:16">
      <c r="P11138" s="594"/>
    </row>
    <row r="11139" spans="16:16">
      <c r="P11139" s="594"/>
    </row>
    <row r="11140" spans="16:16">
      <c r="P11140" s="594"/>
    </row>
    <row r="11141" spans="16:16">
      <c r="P11141" s="594"/>
    </row>
    <row r="11142" spans="16:16">
      <c r="P11142" s="594"/>
    </row>
    <row r="11143" spans="16:16">
      <c r="P11143" s="594"/>
    </row>
    <row r="11144" spans="16:16">
      <c r="P11144" s="594"/>
    </row>
    <row r="11145" spans="16:16">
      <c r="P11145" s="594"/>
    </row>
    <row r="11146" spans="16:16">
      <c r="P11146" s="594"/>
    </row>
    <row r="11147" spans="16:16">
      <c r="P11147" s="594"/>
    </row>
    <row r="11148" spans="16:16">
      <c r="P11148" s="594"/>
    </row>
    <row r="11149" spans="16:16">
      <c r="P11149" s="594"/>
    </row>
    <row r="11150" spans="16:16">
      <c r="P11150" s="594"/>
    </row>
    <row r="11151" spans="16:16">
      <c r="P11151" s="594"/>
    </row>
    <row r="11152" spans="16:16">
      <c r="P11152" s="594"/>
    </row>
    <row r="11153" spans="16:16">
      <c r="P11153" s="594"/>
    </row>
    <row r="11154" spans="16:16">
      <c r="P11154" s="594"/>
    </row>
    <row r="11155" spans="16:16">
      <c r="P11155" s="594"/>
    </row>
    <row r="11156" spans="16:16">
      <c r="P11156" s="594"/>
    </row>
    <row r="11157" spans="16:16">
      <c r="P11157" s="594"/>
    </row>
    <row r="11158" spans="16:16">
      <c r="P11158" s="594"/>
    </row>
    <row r="11159" spans="16:16">
      <c r="P11159" s="594"/>
    </row>
    <row r="11160" spans="16:16">
      <c r="P11160" s="594"/>
    </row>
    <row r="11161" spans="16:16">
      <c r="P11161" s="594"/>
    </row>
    <row r="11162" spans="16:16">
      <c r="P11162" s="594"/>
    </row>
    <row r="11163" spans="16:16">
      <c r="P11163" s="594"/>
    </row>
    <row r="11164" spans="16:16">
      <c r="P11164" s="594"/>
    </row>
    <row r="11165" spans="16:16">
      <c r="P11165" s="594"/>
    </row>
    <row r="11166" spans="16:16">
      <c r="P11166" s="594"/>
    </row>
    <row r="11167" spans="16:16">
      <c r="P11167" s="594"/>
    </row>
    <row r="11168" spans="16:16">
      <c r="P11168" s="594"/>
    </row>
    <row r="11169" spans="16:16">
      <c r="P11169" s="594"/>
    </row>
    <row r="11170" spans="16:16">
      <c r="P11170" s="594"/>
    </row>
    <row r="11171" spans="16:16">
      <c r="P11171" s="594"/>
    </row>
    <row r="11172" spans="16:16">
      <c r="P11172" s="594"/>
    </row>
    <row r="11173" spans="16:16">
      <c r="P11173" s="594"/>
    </row>
    <row r="11174" spans="16:16">
      <c r="P11174" s="594"/>
    </row>
    <row r="11175" spans="16:16">
      <c r="P11175" s="594"/>
    </row>
    <row r="11176" spans="16:16">
      <c r="P11176" s="594"/>
    </row>
    <row r="11177" spans="16:16">
      <c r="P11177" s="594"/>
    </row>
    <row r="11178" spans="16:16">
      <c r="P11178" s="594"/>
    </row>
    <row r="11179" spans="16:16">
      <c r="P11179" s="594"/>
    </row>
    <row r="11180" spans="16:16">
      <c r="P11180" s="594"/>
    </row>
    <row r="11181" spans="16:16">
      <c r="P11181" s="594"/>
    </row>
    <row r="11182" spans="16:16">
      <c r="P11182" s="594"/>
    </row>
    <row r="11183" spans="16:16">
      <c r="P11183" s="594"/>
    </row>
    <row r="11184" spans="16:16">
      <c r="P11184" s="594"/>
    </row>
    <row r="11185" spans="16:16">
      <c r="P11185" s="594"/>
    </row>
    <row r="11186" spans="16:16">
      <c r="P11186" s="594"/>
    </row>
    <row r="11187" spans="16:16">
      <c r="P11187" s="594"/>
    </row>
    <row r="11188" spans="16:16">
      <c r="P11188" s="594"/>
    </row>
    <row r="11189" spans="16:16">
      <c r="P11189" s="594"/>
    </row>
    <row r="11190" spans="16:16">
      <c r="P11190" s="594"/>
    </row>
    <row r="11191" spans="16:16">
      <c r="P11191" s="594"/>
    </row>
    <row r="11192" spans="16:16">
      <c r="P11192" s="594"/>
    </row>
    <row r="11193" spans="16:16">
      <c r="P11193" s="594"/>
    </row>
    <row r="11194" spans="16:16">
      <c r="P11194" s="594"/>
    </row>
    <row r="11195" spans="16:16">
      <c r="P11195" s="594"/>
    </row>
    <row r="11196" spans="16:16">
      <c r="P11196" s="594"/>
    </row>
    <row r="11197" spans="16:16">
      <c r="P11197" s="594"/>
    </row>
    <row r="11198" spans="16:16">
      <c r="P11198" s="594"/>
    </row>
    <row r="11199" spans="16:16">
      <c r="P11199" s="594"/>
    </row>
    <row r="11200" spans="16:16">
      <c r="P11200" s="594"/>
    </row>
    <row r="11201" spans="16:16">
      <c r="P11201" s="594"/>
    </row>
    <row r="11202" spans="16:16">
      <c r="P11202" s="594"/>
    </row>
    <row r="11203" spans="16:16">
      <c r="P11203" s="594"/>
    </row>
    <row r="11204" spans="16:16">
      <c r="P11204" s="594"/>
    </row>
    <row r="11205" spans="16:16">
      <c r="P11205" s="594"/>
    </row>
    <row r="11206" spans="16:16">
      <c r="P11206" s="594"/>
    </row>
    <row r="11207" spans="16:16">
      <c r="P11207" s="594"/>
    </row>
    <row r="11208" spans="16:16">
      <c r="P11208" s="594"/>
    </row>
    <row r="11209" spans="16:16">
      <c r="P11209" s="594"/>
    </row>
    <row r="11210" spans="16:16">
      <c r="P11210" s="594"/>
    </row>
    <row r="11211" spans="16:16">
      <c r="P11211" s="594"/>
    </row>
    <row r="11212" spans="16:16">
      <c r="P11212" s="594"/>
    </row>
    <row r="11213" spans="16:16">
      <c r="P11213" s="594"/>
    </row>
    <row r="11214" spans="16:16">
      <c r="P11214" s="594"/>
    </row>
    <row r="11215" spans="16:16">
      <c r="P11215" s="594"/>
    </row>
    <row r="11216" spans="16:16">
      <c r="P11216" s="594"/>
    </row>
    <row r="11217" spans="16:16">
      <c r="P11217" s="594"/>
    </row>
    <row r="11218" spans="16:16">
      <c r="P11218" s="594"/>
    </row>
    <row r="11219" spans="16:16">
      <c r="P11219" s="594"/>
    </row>
    <row r="11220" spans="16:16">
      <c r="P11220" s="594"/>
    </row>
    <row r="11221" spans="16:16">
      <c r="P11221" s="594"/>
    </row>
    <row r="11222" spans="16:16">
      <c r="P11222" s="594"/>
    </row>
    <row r="11223" spans="16:16">
      <c r="P11223" s="594"/>
    </row>
    <row r="11224" spans="16:16">
      <c r="P11224" s="594"/>
    </row>
    <row r="11225" spans="16:16">
      <c r="P11225" s="594"/>
    </row>
    <row r="11226" spans="16:16">
      <c r="P11226" s="594"/>
    </row>
    <row r="11227" spans="16:16">
      <c r="P11227" s="594"/>
    </row>
    <row r="11228" spans="16:16">
      <c r="P11228" s="594"/>
    </row>
    <row r="11229" spans="16:16">
      <c r="P11229" s="594"/>
    </row>
    <row r="11230" spans="16:16">
      <c r="P11230" s="594"/>
    </row>
    <row r="11231" spans="16:16">
      <c r="P11231" s="594"/>
    </row>
    <row r="11232" spans="16:16">
      <c r="P11232" s="594"/>
    </row>
    <row r="11233" spans="16:16">
      <c r="P11233" s="594"/>
    </row>
    <row r="11234" spans="16:16">
      <c r="P11234" s="594"/>
    </row>
    <row r="11235" spans="16:16">
      <c r="P11235" s="594"/>
    </row>
    <row r="11236" spans="16:16">
      <c r="P11236" s="594"/>
    </row>
    <row r="11237" spans="16:16">
      <c r="P11237" s="594"/>
    </row>
    <row r="11238" spans="16:16">
      <c r="P11238" s="594"/>
    </row>
    <row r="11239" spans="16:16">
      <c r="P11239" s="594"/>
    </row>
    <row r="11240" spans="16:16">
      <c r="P11240" s="594"/>
    </row>
    <row r="11241" spans="16:16">
      <c r="P11241" s="594"/>
    </row>
    <row r="11242" spans="16:16">
      <c r="P11242" s="594"/>
    </row>
    <row r="11243" spans="16:16">
      <c r="P11243" s="594"/>
    </row>
    <row r="11244" spans="16:16">
      <c r="P11244" s="594"/>
    </row>
    <row r="11245" spans="16:16">
      <c r="P11245" s="594"/>
    </row>
    <row r="11246" spans="16:16">
      <c r="P11246" s="594"/>
    </row>
    <row r="11247" spans="16:16">
      <c r="P11247" s="594"/>
    </row>
    <row r="11248" spans="16:16">
      <c r="P11248" s="594"/>
    </row>
    <row r="11249" spans="16:16">
      <c r="P11249" s="594"/>
    </row>
    <row r="11250" spans="16:16">
      <c r="P11250" s="594"/>
    </row>
    <row r="11251" spans="16:16">
      <c r="P11251" s="594"/>
    </row>
    <row r="11252" spans="16:16">
      <c r="P11252" s="594"/>
    </row>
    <row r="11253" spans="16:16">
      <c r="P11253" s="594"/>
    </row>
    <row r="11254" spans="16:16">
      <c r="P11254" s="594"/>
    </row>
    <row r="11255" spans="16:16">
      <c r="P11255" s="594"/>
    </row>
    <row r="11256" spans="16:16">
      <c r="P11256" s="594"/>
    </row>
    <row r="11257" spans="16:16">
      <c r="P11257" s="594"/>
    </row>
    <row r="11258" spans="16:16">
      <c r="P11258" s="594"/>
    </row>
    <row r="11259" spans="16:16">
      <c r="P11259" s="594"/>
    </row>
    <row r="11260" spans="16:16">
      <c r="P11260" s="594"/>
    </row>
    <row r="11261" spans="16:16">
      <c r="P11261" s="594"/>
    </row>
    <row r="11262" spans="16:16">
      <c r="P11262" s="594"/>
    </row>
    <row r="11263" spans="16:16">
      <c r="P11263" s="594"/>
    </row>
    <row r="11264" spans="16:16">
      <c r="P11264" s="594"/>
    </row>
    <row r="11265" spans="16:16">
      <c r="P11265" s="594"/>
    </row>
    <row r="11266" spans="16:16">
      <c r="P11266" s="594"/>
    </row>
    <row r="11267" spans="16:16">
      <c r="P11267" s="594"/>
    </row>
    <row r="11268" spans="16:16">
      <c r="P11268" s="594"/>
    </row>
    <row r="11269" spans="16:16">
      <c r="P11269" s="594"/>
    </row>
    <row r="11270" spans="16:16">
      <c r="P11270" s="594"/>
    </row>
    <row r="11271" spans="16:16">
      <c r="P11271" s="594"/>
    </row>
    <row r="11272" spans="16:16">
      <c r="P11272" s="594"/>
    </row>
    <row r="11273" spans="16:16">
      <c r="P11273" s="594"/>
    </row>
    <row r="11274" spans="16:16">
      <c r="P11274" s="594"/>
    </row>
    <row r="11275" spans="16:16">
      <c r="P11275" s="594"/>
    </row>
    <row r="11276" spans="16:16">
      <c r="P11276" s="594"/>
    </row>
    <row r="11277" spans="16:16">
      <c r="P11277" s="594"/>
    </row>
    <row r="11278" spans="16:16">
      <c r="P11278" s="594"/>
    </row>
    <row r="11279" spans="16:16">
      <c r="P11279" s="594"/>
    </row>
    <row r="11280" spans="16:16">
      <c r="P11280" s="594"/>
    </row>
    <row r="11281" spans="16:16">
      <c r="P11281" s="594"/>
    </row>
    <row r="11282" spans="16:16">
      <c r="P11282" s="594"/>
    </row>
    <row r="11283" spans="16:16">
      <c r="P11283" s="594"/>
    </row>
    <row r="11284" spans="16:16">
      <c r="P11284" s="594"/>
    </row>
    <row r="11285" spans="16:16">
      <c r="P11285" s="594"/>
    </row>
    <row r="11286" spans="16:16">
      <c r="P11286" s="594"/>
    </row>
    <row r="11287" spans="16:16">
      <c r="P11287" s="594"/>
    </row>
    <row r="11288" spans="16:16">
      <c r="P11288" s="594"/>
    </row>
    <row r="11289" spans="16:16">
      <c r="P11289" s="594"/>
    </row>
    <row r="11290" spans="16:16">
      <c r="P11290" s="594"/>
    </row>
    <row r="11291" spans="16:16">
      <c r="P11291" s="594"/>
    </row>
    <row r="11292" spans="16:16">
      <c r="P11292" s="594"/>
    </row>
    <row r="11293" spans="16:16">
      <c r="P11293" s="594"/>
    </row>
    <row r="11294" spans="16:16">
      <c r="P11294" s="594"/>
    </row>
    <row r="11295" spans="16:16">
      <c r="P11295" s="594"/>
    </row>
    <row r="11296" spans="16:16">
      <c r="P11296" s="594"/>
    </row>
    <row r="11297" spans="16:16">
      <c r="P11297" s="594"/>
    </row>
    <row r="11298" spans="16:16">
      <c r="P11298" s="594"/>
    </row>
    <row r="11299" spans="16:16">
      <c r="P11299" s="594"/>
    </row>
    <row r="11300" spans="16:16">
      <c r="P11300" s="594"/>
    </row>
    <row r="11301" spans="16:16">
      <c r="P11301" s="594"/>
    </row>
    <row r="11302" spans="16:16">
      <c r="P11302" s="594"/>
    </row>
    <row r="11303" spans="16:16">
      <c r="P11303" s="594"/>
    </row>
    <row r="11304" spans="16:16">
      <c r="P11304" s="594"/>
    </row>
    <row r="11305" spans="16:16">
      <c r="P11305" s="594"/>
    </row>
    <row r="11306" spans="16:16">
      <c r="P11306" s="594"/>
    </row>
    <row r="11307" spans="16:16">
      <c r="P11307" s="594"/>
    </row>
    <row r="11308" spans="16:16">
      <c r="P11308" s="594"/>
    </row>
    <row r="11309" spans="16:16">
      <c r="P11309" s="594"/>
    </row>
    <row r="11310" spans="16:16">
      <c r="P11310" s="594"/>
    </row>
    <row r="11311" spans="16:16">
      <c r="P11311" s="594"/>
    </row>
    <row r="11312" spans="16:16">
      <c r="P11312" s="594"/>
    </row>
    <row r="11313" spans="16:16">
      <c r="P11313" s="594"/>
    </row>
    <row r="11314" spans="16:16">
      <c r="P11314" s="594"/>
    </row>
    <row r="11315" spans="16:16">
      <c r="P11315" s="594"/>
    </row>
    <row r="11316" spans="16:16">
      <c r="P11316" s="594"/>
    </row>
    <row r="11317" spans="16:16">
      <c r="P11317" s="594"/>
    </row>
    <row r="11318" spans="16:16">
      <c r="P11318" s="594"/>
    </row>
    <row r="11319" spans="16:16">
      <c r="P11319" s="594"/>
    </row>
    <row r="11320" spans="16:16">
      <c r="P11320" s="594"/>
    </row>
    <row r="11321" spans="16:16">
      <c r="P11321" s="594"/>
    </row>
    <row r="11322" spans="16:16">
      <c r="P11322" s="594"/>
    </row>
    <row r="11323" spans="16:16">
      <c r="P11323" s="594"/>
    </row>
    <row r="11324" spans="16:16">
      <c r="P11324" s="594"/>
    </row>
    <row r="11325" spans="16:16">
      <c r="P11325" s="594"/>
    </row>
    <row r="11326" spans="16:16">
      <c r="P11326" s="594"/>
    </row>
    <row r="11327" spans="16:16">
      <c r="P11327" s="594"/>
    </row>
    <row r="11328" spans="16:16">
      <c r="P11328" s="594"/>
    </row>
    <row r="11329" spans="16:16">
      <c r="P11329" s="594"/>
    </row>
    <row r="11330" spans="16:16">
      <c r="P11330" s="594"/>
    </row>
    <row r="11331" spans="16:16">
      <c r="P11331" s="594"/>
    </row>
    <row r="11332" spans="16:16">
      <c r="P11332" s="594"/>
    </row>
    <row r="11333" spans="16:16">
      <c r="P11333" s="594"/>
    </row>
    <row r="11334" spans="16:16">
      <c r="P11334" s="594"/>
    </row>
    <row r="11335" spans="16:16">
      <c r="P11335" s="594"/>
    </row>
    <row r="11336" spans="16:16">
      <c r="P11336" s="594"/>
    </row>
    <row r="11337" spans="16:16">
      <c r="P11337" s="594"/>
    </row>
    <row r="11338" spans="16:16">
      <c r="P11338" s="594"/>
    </row>
    <row r="11339" spans="16:16">
      <c r="P11339" s="594"/>
    </row>
    <row r="11340" spans="16:16">
      <c r="P11340" s="594"/>
    </row>
    <row r="11341" spans="16:16">
      <c r="P11341" s="594"/>
    </row>
    <row r="11342" spans="16:16">
      <c r="P11342" s="594"/>
    </row>
    <row r="11343" spans="16:16">
      <c r="P11343" s="594"/>
    </row>
    <row r="11344" spans="16:16">
      <c r="P11344" s="594"/>
    </row>
    <row r="11345" spans="16:16">
      <c r="P11345" s="594"/>
    </row>
    <row r="11346" spans="16:16">
      <c r="P11346" s="594"/>
    </row>
    <row r="11347" spans="16:16">
      <c r="P11347" s="594"/>
    </row>
    <row r="11348" spans="16:16">
      <c r="P11348" s="594"/>
    </row>
    <row r="11349" spans="16:16">
      <c r="P11349" s="594"/>
    </row>
    <row r="11350" spans="16:16">
      <c r="P11350" s="594"/>
    </row>
    <row r="11351" spans="16:16">
      <c r="P11351" s="594"/>
    </row>
    <row r="11352" spans="16:16">
      <c r="P11352" s="594"/>
    </row>
    <row r="11353" spans="16:16">
      <c r="P11353" s="594"/>
    </row>
    <row r="11354" spans="16:16">
      <c r="P11354" s="594"/>
    </row>
    <row r="11355" spans="16:16">
      <c r="P11355" s="594"/>
    </row>
    <row r="11356" spans="16:16">
      <c r="P11356" s="594"/>
    </row>
    <row r="11357" spans="16:16">
      <c r="P11357" s="594"/>
    </row>
    <row r="11358" spans="16:16">
      <c r="P11358" s="594"/>
    </row>
    <row r="11359" spans="16:16">
      <c r="P11359" s="594"/>
    </row>
    <row r="11360" spans="16:16">
      <c r="P11360" s="594"/>
    </row>
    <row r="11361" spans="16:16">
      <c r="P11361" s="594"/>
    </row>
    <row r="11362" spans="16:16">
      <c r="P11362" s="594"/>
    </row>
    <row r="11363" spans="16:16">
      <c r="P11363" s="594"/>
    </row>
    <row r="11364" spans="16:16">
      <c r="P11364" s="594"/>
    </row>
    <row r="11365" spans="16:16">
      <c r="P11365" s="594"/>
    </row>
    <row r="11366" spans="16:16">
      <c r="P11366" s="594"/>
    </row>
    <row r="11367" spans="16:16">
      <c r="P11367" s="594"/>
    </row>
    <row r="11368" spans="16:16">
      <c r="P11368" s="594"/>
    </row>
    <row r="11369" spans="16:16">
      <c r="P11369" s="594"/>
    </row>
    <row r="11370" spans="16:16">
      <c r="P11370" s="594"/>
    </row>
    <row r="11371" spans="16:16">
      <c r="P11371" s="594"/>
    </row>
    <row r="11372" spans="16:16">
      <c r="P11372" s="594"/>
    </row>
    <row r="11373" spans="16:16">
      <c r="P11373" s="594"/>
    </row>
    <row r="11374" spans="16:16">
      <c r="P11374" s="594"/>
    </row>
    <row r="11375" spans="16:16">
      <c r="P11375" s="594"/>
    </row>
    <row r="11376" spans="16:16">
      <c r="P11376" s="594"/>
    </row>
    <row r="11377" spans="16:16">
      <c r="P11377" s="594"/>
    </row>
    <row r="11378" spans="16:16">
      <c r="P11378" s="594"/>
    </row>
    <row r="11379" spans="16:16">
      <c r="P11379" s="594"/>
    </row>
    <row r="11380" spans="16:16">
      <c r="P11380" s="594"/>
    </row>
    <row r="11381" spans="16:16">
      <c r="P11381" s="594"/>
    </row>
    <row r="11382" spans="16:16">
      <c r="P11382" s="594"/>
    </row>
    <row r="11383" spans="16:16">
      <c r="P11383" s="594"/>
    </row>
    <row r="11384" spans="16:16">
      <c r="P11384" s="594"/>
    </row>
    <row r="11385" spans="16:16">
      <c r="P11385" s="594"/>
    </row>
    <row r="11386" spans="16:16">
      <c r="P11386" s="594"/>
    </row>
    <row r="11387" spans="16:16">
      <c r="P11387" s="594"/>
    </row>
    <row r="11388" spans="16:16">
      <c r="P11388" s="594"/>
    </row>
    <row r="11389" spans="16:16">
      <c r="P11389" s="594"/>
    </row>
    <row r="11390" spans="16:16">
      <c r="P11390" s="594"/>
    </row>
    <row r="11391" spans="16:16">
      <c r="P11391" s="594"/>
    </row>
    <row r="11392" spans="16:16">
      <c r="P11392" s="594"/>
    </row>
    <row r="11393" spans="16:16">
      <c r="P11393" s="594"/>
    </row>
    <row r="11394" spans="16:16">
      <c r="P11394" s="594"/>
    </row>
    <row r="11395" spans="16:16">
      <c r="P11395" s="594"/>
    </row>
    <row r="11396" spans="16:16">
      <c r="P11396" s="594"/>
    </row>
    <row r="11397" spans="16:16">
      <c r="P11397" s="594"/>
    </row>
    <row r="11398" spans="16:16">
      <c r="P11398" s="594"/>
    </row>
    <row r="11399" spans="16:16">
      <c r="P11399" s="594"/>
    </row>
    <row r="11400" spans="16:16">
      <c r="P11400" s="594"/>
    </row>
    <row r="11401" spans="16:16">
      <c r="P11401" s="594"/>
    </row>
    <row r="11402" spans="16:16">
      <c r="P11402" s="594"/>
    </row>
    <row r="11403" spans="16:16">
      <c r="P11403" s="594"/>
    </row>
    <row r="11404" spans="16:16">
      <c r="P11404" s="594"/>
    </row>
    <row r="11405" spans="16:16">
      <c r="P11405" s="594"/>
    </row>
    <row r="11406" spans="16:16">
      <c r="P11406" s="594"/>
    </row>
    <row r="11407" spans="16:16">
      <c r="P11407" s="594"/>
    </row>
    <row r="11408" spans="16:16">
      <c r="P11408" s="594"/>
    </row>
    <row r="11409" spans="16:16">
      <c r="P11409" s="594"/>
    </row>
    <row r="11410" spans="16:16">
      <c r="P11410" s="594"/>
    </row>
    <row r="11411" spans="16:16">
      <c r="P11411" s="594"/>
    </row>
    <row r="11412" spans="16:16">
      <c r="P11412" s="594"/>
    </row>
    <row r="11413" spans="16:16">
      <c r="P11413" s="594"/>
    </row>
    <row r="11414" spans="16:16">
      <c r="P11414" s="594"/>
    </row>
    <row r="11415" spans="16:16">
      <c r="P11415" s="594"/>
    </row>
    <row r="11416" spans="16:16">
      <c r="P11416" s="594"/>
    </row>
    <row r="11417" spans="16:16">
      <c r="P11417" s="594"/>
    </row>
    <row r="11418" spans="16:16">
      <c r="P11418" s="594"/>
    </row>
    <row r="11419" spans="16:16">
      <c r="P11419" s="594"/>
    </row>
    <row r="11420" spans="16:16">
      <c r="P11420" s="594"/>
    </row>
    <row r="11421" spans="16:16">
      <c r="P11421" s="594"/>
    </row>
    <row r="11422" spans="16:16">
      <c r="P11422" s="594"/>
    </row>
    <row r="11423" spans="16:16">
      <c r="P11423" s="594"/>
    </row>
    <row r="11424" spans="16:16">
      <c r="P11424" s="594"/>
    </row>
    <row r="11425" spans="16:16">
      <c r="P11425" s="594"/>
    </row>
    <row r="11426" spans="16:16">
      <c r="P11426" s="594"/>
    </row>
    <row r="11427" spans="16:16">
      <c r="P11427" s="594"/>
    </row>
    <row r="11428" spans="16:16">
      <c r="P11428" s="594"/>
    </row>
    <row r="11429" spans="16:16">
      <c r="P11429" s="594"/>
    </row>
    <row r="11430" spans="16:16">
      <c r="P11430" s="594"/>
    </row>
    <row r="11431" spans="16:16">
      <c r="P11431" s="594"/>
    </row>
    <row r="11432" spans="16:16">
      <c r="P11432" s="594"/>
    </row>
    <row r="11433" spans="16:16">
      <c r="P11433" s="594"/>
    </row>
    <row r="11434" spans="16:16">
      <c r="P11434" s="594"/>
    </row>
    <row r="11435" spans="16:16">
      <c r="P11435" s="594"/>
    </row>
    <row r="11436" spans="16:16">
      <c r="P11436" s="594"/>
    </row>
    <row r="11437" spans="16:16">
      <c r="P11437" s="594"/>
    </row>
    <row r="11438" spans="16:16">
      <c r="P11438" s="594"/>
    </row>
    <row r="11439" spans="16:16">
      <c r="P11439" s="594"/>
    </row>
    <row r="11440" spans="16:16">
      <c r="P11440" s="594"/>
    </row>
    <row r="11441" spans="16:16">
      <c r="P11441" s="594"/>
    </row>
    <row r="11442" spans="16:16">
      <c r="P11442" s="594"/>
    </row>
    <row r="11443" spans="16:16">
      <c r="P11443" s="594"/>
    </row>
    <row r="11444" spans="16:16">
      <c r="P11444" s="594"/>
    </row>
    <row r="11445" spans="16:16">
      <c r="P11445" s="594"/>
    </row>
    <row r="11446" spans="16:16">
      <c r="P11446" s="594"/>
    </row>
    <row r="11447" spans="16:16">
      <c r="P11447" s="594"/>
    </row>
    <row r="11448" spans="16:16">
      <c r="P11448" s="594"/>
    </row>
    <row r="11449" spans="16:16">
      <c r="P11449" s="594"/>
    </row>
    <row r="11450" spans="16:16">
      <c r="P11450" s="594"/>
    </row>
    <row r="11451" spans="16:16">
      <c r="P11451" s="594"/>
    </row>
    <row r="11452" spans="16:16">
      <c r="P11452" s="594"/>
    </row>
    <row r="11453" spans="16:16">
      <c r="P11453" s="594"/>
    </row>
    <row r="11454" spans="16:16">
      <c r="P11454" s="594"/>
    </row>
    <row r="11455" spans="16:16">
      <c r="P11455" s="594"/>
    </row>
    <row r="11456" spans="16:16">
      <c r="P11456" s="594"/>
    </row>
    <row r="11457" spans="16:16">
      <c r="P11457" s="594"/>
    </row>
    <row r="11458" spans="16:16">
      <c r="P11458" s="594"/>
    </row>
    <row r="11459" spans="16:16">
      <c r="P11459" s="594"/>
    </row>
    <row r="11460" spans="16:16">
      <c r="P11460" s="594"/>
    </row>
    <row r="11461" spans="16:16">
      <c r="P11461" s="594"/>
    </row>
    <row r="11462" spans="16:16">
      <c r="P11462" s="594"/>
    </row>
    <row r="11463" spans="16:16">
      <c r="P11463" s="594"/>
    </row>
    <row r="11464" spans="16:16">
      <c r="P11464" s="594"/>
    </row>
    <row r="11465" spans="16:16">
      <c r="P11465" s="594"/>
    </row>
    <row r="11466" spans="16:16">
      <c r="P11466" s="594"/>
    </row>
    <row r="11467" spans="16:16">
      <c r="P11467" s="594"/>
    </row>
    <row r="11468" spans="16:16">
      <c r="P11468" s="594"/>
    </row>
    <row r="11469" spans="16:16">
      <c r="P11469" s="594"/>
    </row>
    <row r="11470" spans="16:16">
      <c r="P11470" s="594"/>
    </row>
    <row r="11471" spans="16:16">
      <c r="P11471" s="594"/>
    </row>
    <row r="11472" spans="16:16">
      <c r="P11472" s="594"/>
    </row>
    <row r="11473" spans="16:16">
      <c r="P11473" s="594"/>
    </row>
    <row r="11474" spans="16:16">
      <c r="P11474" s="594"/>
    </row>
    <row r="11475" spans="16:16">
      <c r="P11475" s="594"/>
    </row>
    <row r="11476" spans="16:16">
      <c r="P11476" s="594"/>
    </row>
    <row r="11477" spans="16:16">
      <c r="P11477" s="594"/>
    </row>
    <row r="11478" spans="16:16">
      <c r="P11478" s="594"/>
    </row>
    <row r="11479" spans="16:16">
      <c r="P11479" s="594"/>
    </row>
    <row r="11480" spans="16:16">
      <c r="P11480" s="594"/>
    </row>
    <row r="11481" spans="16:16">
      <c r="P11481" s="594"/>
    </row>
    <row r="11482" spans="16:16">
      <c r="P11482" s="594"/>
    </row>
    <row r="11483" spans="16:16">
      <c r="P11483" s="594"/>
    </row>
    <row r="11484" spans="16:16">
      <c r="P11484" s="594"/>
    </row>
    <row r="11485" spans="16:16">
      <c r="P11485" s="594"/>
    </row>
    <row r="11486" spans="16:16">
      <c r="P11486" s="594"/>
    </row>
    <row r="11487" spans="16:16">
      <c r="P11487" s="594"/>
    </row>
    <row r="11488" spans="16:16">
      <c r="P11488" s="594"/>
    </row>
    <row r="11489" spans="16:16">
      <c r="P11489" s="594"/>
    </row>
    <row r="11490" spans="16:16">
      <c r="P11490" s="594"/>
    </row>
    <row r="11491" spans="16:16">
      <c r="P11491" s="594"/>
    </row>
    <row r="11492" spans="16:16">
      <c r="P11492" s="594"/>
    </row>
    <row r="11493" spans="16:16">
      <c r="P11493" s="594"/>
    </row>
    <row r="11494" spans="16:16">
      <c r="P11494" s="594"/>
    </row>
    <row r="11495" spans="16:16">
      <c r="P11495" s="594"/>
    </row>
    <row r="11496" spans="16:16">
      <c r="P11496" s="594"/>
    </row>
    <row r="11497" spans="16:16">
      <c r="P11497" s="594"/>
    </row>
    <row r="11498" spans="16:16">
      <c r="P11498" s="594"/>
    </row>
    <row r="11499" spans="16:16">
      <c r="P11499" s="594"/>
    </row>
    <row r="11500" spans="16:16">
      <c r="P11500" s="594"/>
    </row>
    <row r="11501" spans="16:16">
      <c r="P11501" s="594"/>
    </row>
    <row r="11502" spans="16:16">
      <c r="P11502" s="594"/>
    </row>
    <row r="11503" spans="16:16">
      <c r="P11503" s="594"/>
    </row>
    <row r="11504" spans="16:16">
      <c r="P11504" s="594"/>
    </row>
    <row r="11505" spans="16:16">
      <c r="P11505" s="594"/>
    </row>
    <row r="11506" spans="16:16">
      <c r="P11506" s="594"/>
    </row>
    <row r="11507" spans="16:16">
      <c r="P11507" s="594"/>
    </row>
    <row r="11508" spans="16:16">
      <c r="P11508" s="594"/>
    </row>
    <row r="11509" spans="16:16">
      <c r="P11509" s="594"/>
    </row>
    <row r="11510" spans="16:16">
      <c r="P11510" s="594"/>
    </row>
    <row r="11511" spans="16:16">
      <c r="P11511" s="594"/>
    </row>
    <row r="11512" spans="16:16">
      <c r="P11512" s="594"/>
    </row>
    <row r="11513" spans="16:16">
      <c r="P11513" s="594"/>
    </row>
    <row r="11514" spans="16:16">
      <c r="P11514" s="594"/>
    </row>
    <row r="11515" spans="16:16">
      <c r="P11515" s="594"/>
    </row>
    <row r="11516" spans="16:16">
      <c r="P11516" s="594"/>
    </row>
    <row r="11517" spans="16:16">
      <c r="P11517" s="594"/>
    </row>
    <row r="11518" spans="16:16">
      <c r="P11518" s="594"/>
    </row>
    <row r="11519" spans="16:16">
      <c r="P11519" s="594"/>
    </row>
    <row r="11520" spans="16:16">
      <c r="P11520" s="594"/>
    </row>
    <row r="11521" spans="16:16">
      <c r="P11521" s="594"/>
    </row>
    <row r="11522" spans="16:16">
      <c r="P11522" s="594"/>
    </row>
    <row r="11523" spans="16:16">
      <c r="P11523" s="594"/>
    </row>
    <row r="11524" spans="16:16">
      <c r="P11524" s="594"/>
    </row>
    <row r="11525" spans="16:16">
      <c r="P11525" s="594"/>
    </row>
    <row r="11526" spans="16:16">
      <c r="P11526" s="594"/>
    </row>
    <row r="11527" spans="16:16">
      <c r="P11527" s="594"/>
    </row>
    <row r="11528" spans="16:16">
      <c r="P11528" s="594"/>
    </row>
    <row r="11529" spans="16:16">
      <c r="P11529" s="594"/>
    </row>
    <row r="11530" spans="16:16">
      <c r="P11530" s="594"/>
    </row>
    <row r="11531" spans="16:16">
      <c r="P11531" s="594"/>
    </row>
    <row r="11532" spans="16:16">
      <c r="P11532" s="594"/>
    </row>
    <row r="11533" spans="16:16">
      <c r="P11533" s="594"/>
    </row>
    <row r="11534" spans="16:16">
      <c r="P11534" s="594"/>
    </row>
    <row r="11535" spans="16:16">
      <c r="P11535" s="594"/>
    </row>
    <row r="11536" spans="16:16">
      <c r="P11536" s="594"/>
    </row>
    <row r="11537" spans="16:16">
      <c r="P11537" s="594"/>
    </row>
    <row r="11538" spans="16:16">
      <c r="P11538" s="594"/>
    </row>
    <row r="11539" spans="16:16">
      <c r="P11539" s="594"/>
    </row>
    <row r="11540" spans="16:16">
      <c r="P11540" s="594"/>
    </row>
    <row r="11541" spans="16:16">
      <c r="P11541" s="594"/>
    </row>
    <row r="11542" spans="16:16">
      <c r="P11542" s="594"/>
    </row>
    <row r="11543" spans="16:16">
      <c r="P11543" s="594"/>
    </row>
    <row r="11544" spans="16:16">
      <c r="P11544" s="594"/>
    </row>
    <row r="11545" spans="16:16">
      <c r="P11545" s="594"/>
    </row>
    <row r="11546" spans="16:16">
      <c r="P11546" s="594"/>
    </row>
    <row r="11547" spans="16:16">
      <c r="P11547" s="594"/>
    </row>
    <row r="11548" spans="16:16">
      <c r="P11548" s="594"/>
    </row>
    <row r="11549" spans="16:16">
      <c r="P11549" s="594"/>
    </row>
    <row r="11550" spans="16:16">
      <c r="P11550" s="594"/>
    </row>
    <row r="11551" spans="16:16">
      <c r="P11551" s="594"/>
    </row>
    <row r="11552" spans="16:16">
      <c r="P11552" s="594"/>
    </row>
    <row r="11553" spans="16:16">
      <c r="P11553" s="594"/>
    </row>
    <row r="11554" spans="16:16">
      <c r="P11554" s="594"/>
    </row>
    <row r="11555" spans="16:16">
      <c r="P11555" s="594"/>
    </row>
    <row r="11556" spans="16:16">
      <c r="P11556" s="594"/>
    </row>
    <row r="11557" spans="16:16">
      <c r="P11557" s="594"/>
    </row>
    <row r="11558" spans="16:16">
      <c r="P11558" s="594"/>
    </row>
    <row r="11559" spans="16:16">
      <c r="P11559" s="594"/>
    </row>
    <row r="11560" spans="16:16">
      <c r="P11560" s="594"/>
    </row>
    <row r="11561" spans="16:16">
      <c r="P11561" s="594"/>
    </row>
    <row r="11562" spans="16:16">
      <c r="P11562" s="594"/>
    </row>
    <row r="11563" spans="16:16">
      <c r="P11563" s="594"/>
    </row>
    <row r="11564" spans="16:16">
      <c r="P11564" s="594"/>
    </row>
    <row r="11565" spans="16:16">
      <c r="P11565" s="594"/>
    </row>
    <row r="11566" spans="16:16">
      <c r="P11566" s="594"/>
    </row>
    <row r="11567" spans="16:16">
      <c r="P11567" s="594"/>
    </row>
    <row r="11568" spans="16:16">
      <c r="P11568" s="594"/>
    </row>
    <row r="11569" spans="16:16">
      <c r="P11569" s="594"/>
    </row>
    <row r="11570" spans="16:16">
      <c r="P11570" s="594"/>
    </row>
    <row r="11571" spans="16:16">
      <c r="P11571" s="594"/>
    </row>
    <row r="11572" spans="16:16">
      <c r="P11572" s="594"/>
    </row>
    <row r="11573" spans="16:16">
      <c r="P11573" s="594"/>
    </row>
    <row r="11574" spans="16:16">
      <c r="P11574" s="594"/>
    </row>
    <row r="11575" spans="16:16">
      <c r="P11575" s="594"/>
    </row>
    <row r="11576" spans="16:16">
      <c r="P11576" s="594"/>
    </row>
    <row r="11577" spans="16:16">
      <c r="P11577" s="594"/>
    </row>
    <row r="11578" spans="16:16">
      <c r="P11578" s="594"/>
    </row>
    <row r="11579" spans="16:16">
      <c r="P11579" s="594"/>
    </row>
    <row r="11580" spans="16:16">
      <c r="P11580" s="594"/>
    </row>
    <row r="11581" spans="16:16">
      <c r="P11581" s="594"/>
    </row>
    <row r="11582" spans="16:16">
      <c r="P11582" s="594"/>
    </row>
    <row r="11583" spans="16:16">
      <c r="P11583" s="594"/>
    </row>
    <row r="11584" spans="16:16">
      <c r="P11584" s="594"/>
    </row>
    <row r="11585" spans="16:16">
      <c r="P11585" s="594"/>
    </row>
    <row r="11586" spans="16:16">
      <c r="P11586" s="594"/>
    </row>
    <row r="11587" spans="16:16">
      <c r="P11587" s="594"/>
    </row>
    <row r="11588" spans="16:16">
      <c r="P11588" s="594"/>
    </row>
    <row r="11589" spans="16:16">
      <c r="P11589" s="594"/>
    </row>
    <row r="11590" spans="16:16">
      <c r="P11590" s="594"/>
    </row>
    <row r="11591" spans="16:16">
      <c r="P11591" s="594"/>
    </row>
    <row r="11592" spans="16:16">
      <c r="P11592" s="594"/>
    </row>
    <row r="11593" spans="16:16">
      <c r="P11593" s="594"/>
    </row>
    <row r="11594" spans="16:16">
      <c r="P11594" s="594"/>
    </row>
    <row r="11595" spans="16:16">
      <c r="P11595" s="594"/>
    </row>
    <row r="11596" spans="16:16">
      <c r="P11596" s="594"/>
    </row>
    <row r="11597" spans="16:16">
      <c r="P11597" s="594"/>
    </row>
    <row r="11598" spans="16:16">
      <c r="P11598" s="594"/>
    </row>
    <row r="11599" spans="16:16">
      <c r="P11599" s="594"/>
    </row>
    <row r="11600" spans="16:16">
      <c r="P11600" s="594"/>
    </row>
    <row r="11601" spans="16:16">
      <c r="P11601" s="594"/>
    </row>
    <row r="11602" spans="16:16">
      <c r="P11602" s="594"/>
    </row>
    <row r="11603" spans="16:16">
      <c r="P11603" s="594"/>
    </row>
    <row r="11604" spans="16:16">
      <c r="P11604" s="594"/>
    </row>
    <row r="11605" spans="16:16">
      <c r="P11605" s="594"/>
    </row>
    <row r="11606" spans="16:16">
      <c r="P11606" s="594"/>
    </row>
    <row r="11607" spans="16:16">
      <c r="P11607" s="594"/>
    </row>
    <row r="11608" spans="16:16">
      <c r="P11608" s="594"/>
    </row>
    <row r="11609" spans="16:16">
      <c r="P11609" s="594"/>
    </row>
    <row r="11610" spans="16:16">
      <c r="P11610" s="594"/>
    </row>
    <row r="11611" spans="16:16">
      <c r="P11611" s="594"/>
    </row>
    <row r="11612" spans="16:16">
      <c r="P11612" s="594"/>
    </row>
    <row r="11613" spans="16:16">
      <c r="P11613" s="594"/>
    </row>
    <row r="11614" spans="16:16">
      <c r="P11614" s="594"/>
    </row>
    <row r="11615" spans="16:16">
      <c r="P11615" s="594"/>
    </row>
    <row r="11616" spans="16:16">
      <c r="P11616" s="594"/>
    </row>
    <row r="11617" spans="16:16">
      <c r="P11617" s="594"/>
    </row>
    <row r="11618" spans="16:16">
      <c r="P11618" s="594"/>
    </row>
    <row r="11619" spans="16:16">
      <c r="P11619" s="594"/>
    </row>
    <row r="11620" spans="16:16">
      <c r="P11620" s="594"/>
    </row>
    <row r="11621" spans="16:16">
      <c r="P11621" s="594"/>
    </row>
    <row r="11622" spans="16:16">
      <c r="P11622" s="594"/>
    </row>
    <row r="11623" spans="16:16">
      <c r="P11623" s="594"/>
    </row>
    <row r="11624" spans="16:16">
      <c r="P11624" s="594"/>
    </row>
    <row r="11625" spans="16:16">
      <c r="P11625" s="594"/>
    </row>
    <row r="11626" spans="16:16">
      <c r="P11626" s="594"/>
    </row>
    <row r="11627" spans="16:16">
      <c r="P11627" s="594"/>
    </row>
    <row r="11628" spans="16:16">
      <c r="P11628" s="594"/>
    </row>
    <row r="11629" spans="16:16">
      <c r="P11629" s="594"/>
    </row>
    <row r="11630" spans="16:16">
      <c r="P11630" s="594"/>
    </row>
    <row r="11631" spans="16:16">
      <c r="P11631" s="594"/>
    </row>
    <row r="11632" spans="16:16">
      <c r="P11632" s="594"/>
    </row>
    <row r="11633" spans="16:16">
      <c r="P11633" s="594"/>
    </row>
    <row r="11634" spans="16:16">
      <c r="P11634" s="594"/>
    </row>
    <row r="11635" spans="16:16">
      <c r="P11635" s="594"/>
    </row>
    <row r="11636" spans="16:16">
      <c r="P11636" s="594"/>
    </row>
    <row r="11637" spans="16:16">
      <c r="P11637" s="594"/>
    </row>
    <row r="11638" spans="16:16">
      <c r="P11638" s="594"/>
    </row>
    <row r="11639" spans="16:16">
      <c r="P11639" s="594"/>
    </row>
    <row r="11640" spans="16:16">
      <c r="P11640" s="594"/>
    </row>
    <row r="11641" spans="16:16">
      <c r="P11641" s="594"/>
    </row>
    <row r="11642" spans="16:16">
      <c r="P11642" s="594"/>
    </row>
    <row r="11643" spans="16:16">
      <c r="P11643" s="594"/>
    </row>
    <row r="11644" spans="16:16">
      <c r="P11644" s="594"/>
    </row>
    <row r="11645" spans="16:16">
      <c r="P11645" s="594"/>
    </row>
    <row r="11646" spans="16:16">
      <c r="P11646" s="594"/>
    </row>
    <row r="11647" spans="16:16">
      <c r="P11647" s="594"/>
    </row>
    <row r="11648" spans="16:16">
      <c r="P11648" s="594"/>
    </row>
    <row r="11649" spans="16:16">
      <c r="P11649" s="594"/>
    </row>
    <row r="11650" spans="16:16">
      <c r="P11650" s="594"/>
    </row>
    <row r="11651" spans="16:16">
      <c r="P11651" s="594"/>
    </row>
    <row r="11652" spans="16:16">
      <c r="P11652" s="594"/>
    </row>
    <row r="11653" spans="16:16">
      <c r="P11653" s="594"/>
    </row>
    <row r="11654" spans="16:16">
      <c r="P11654" s="594"/>
    </row>
    <row r="11655" spans="16:16">
      <c r="P11655" s="594"/>
    </row>
    <row r="11656" spans="16:16">
      <c r="P11656" s="594"/>
    </row>
    <row r="11657" spans="16:16">
      <c r="P11657" s="594"/>
    </row>
    <row r="11658" spans="16:16">
      <c r="P11658" s="594"/>
    </row>
    <row r="11659" spans="16:16">
      <c r="P11659" s="594"/>
    </row>
    <row r="11660" spans="16:16">
      <c r="P11660" s="594"/>
    </row>
    <row r="11661" spans="16:16">
      <c r="P11661" s="594"/>
    </row>
    <row r="11662" spans="16:16">
      <c r="P11662" s="594"/>
    </row>
    <row r="11663" spans="16:16">
      <c r="P11663" s="594"/>
    </row>
    <row r="11664" spans="16:16">
      <c r="P11664" s="594"/>
    </row>
    <row r="11665" spans="16:16">
      <c r="P11665" s="594"/>
    </row>
    <row r="11666" spans="16:16">
      <c r="P11666" s="594"/>
    </row>
    <row r="11667" spans="16:16">
      <c r="P11667" s="594"/>
    </row>
    <row r="11668" spans="16:16">
      <c r="P11668" s="594"/>
    </row>
    <row r="11669" spans="16:16">
      <c r="P11669" s="594"/>
    </row>
    <row r="11670" spans="16:16">
      <c r="P11670" s="594"/>
    </row>
    <row r="11671" spans="16:16">
      <c r="P11671" s="594"/>
    </row>
    <row r="11672" spans="16:16">
      <c r="P11672" s="594"/>
    </row>
    <row r="11673" spans="16:16">
      <c r="P11673" s="594"/>
    </row>
    <row r="11674" spans="16:16">
      <c r="P11674" s="594"/>
    </row>
    <row r="11675" spans="16:16">
      <c r="P11675" s="594"/>
    </row>
    <row r="11676" spans="16:16">
      <c r="P11676" s="594"/>
    </row>
    <row r="11677" spans="16:16">
      <c r="P11677" s="594"/>
    </row>
    <row r="11678" spans="16:16">
      <c r="P11678" s="594"/>
    </row>
    <row r="11679" spans="16:16">
      <c r="P11679" s="594"/>
    </row>
    <row r="11680" spans="16:16">
      <c r="P11680" s="594"/>
    </row>
    <row r="11681" spans="16:16">
      <c r="P11681" s="594"/>
    </row>
    <row r="11682" spans="16:16">
      <c r="P11682" s="594"/>
    </row>
    <row r="11683" spans="16:16">
      <c r="P11683" s="594"/>
    </row>
    <row r="11684" spans="16:16">
      <c r="P11684" s="594"/>
    </row>
    <row r="11685" spans="16:16">
      <c r="P11685" s="594"/>
    </row>
    <row r="11686" spans="16:16">
      <c r="P11686" s="594"/>
    </row>
    <row r="11687" spans="16:16">
      <c r="P11687" s="594"/>
    </row>
    <row r="11688" spans="16:16">
      <c r="P11688" s="594"/>
    </row>
    <row r="11689" spans="16:16">
      <c r="P11689" s="594"/>
    </row>
    <row r="11690" spans="16:16">
      <c r="P11690" s="594"/>
    </row>
    <row r="11691" spans="16:16">
      <c r="P11691" s="594"/>
    </row>
    <row r="11692" spans="16:16">
      <c r="P11692" s="594"/>
    </row>
    <row r="11693" spans="16:16">
      <c r="P11693" s="594"/>
    </row>
    <row r="11694" spans="16:16">
      <c r="P11694" s="594"/>
    </row>
    <row r="11695" spans="16:16">
      <c r="P11695" s="594"/>
    </row>
    <row r="11696" spans="16:16">
      <c r="P11696" s="594"/>
    </row>
    <row r="11697" spans="16:16">
      <c r="P11697" s="594"/>
    </row>
    <row r="11698" spans="16:16">
      <c r="P11698" s="594"/>
    </row>
    <row r="11699" spans="16:16">
      <c r="P11699" s="594"/>
    </row>
    <row r="11700" spans="16:16">
      <c r="P11700" s="594"/>
    </row>
    <row r="11701" spans="16:16">
      <c r="P11701" s="594"/>
    </row>
    <row r="11702" spans="16:16">
      <c r="P11702" s="594"/>
    </row>
    <row r="11703" spans="16:16">
      <c r="P11703" s="594"/>
    </row>
    <row r="11704" spans="16:16">
      <c r="P11704" s="594"/>
    </row>
    <row r="11705" spans="16:16">
      <c r="P11705" s="594"/>
    </row>
    <row r="11706" spans="16:16">
      <c r="P11706" s="594"/>
    </row>
    <row r="11707" spans="16:16">
      <c r="P11707" s="594"/>
    </row>
    <row r="11708" spans="16:16">
      <c r="P11708" s="594"/>
    </row>
    <row r="11709" spans="16:16">
      <c r="P11709" s="594"/>
    </row>
    <row r="11710" spans="16:16">
      <c r="P11710" s="594"/>
    </row>
    <row r="11711" spans="16:16">
      <c r="P11711" s="594"/>
    </row>
    <row r="11712" spans="16:16">
      <c r="P11712" s="594"/>
    </row>
    <row r="11713" spans="16:16">
      <c r="P11713" s="594"/>
    </row>
    <row r="11714" spans="16:16">
      <c r="P11714" s="594"/>
    </row>
    <row r="11715" spans="16:16">
      <c r="P11715" s="594"/>
    </row>
    <row r="11716" spans="16:16">
      <c r="P11716" s="594"/>
    </row>
    <row r="11717" spans="16:16">
      <c r="P11717" s="594"/>
    </row>
    <row r="11718" spans="16:16">
      <c r="P11718" s="594"/>
    </row>
    <row r="11719" spans="16:16">
      <c r="P11719" s="594"/>
    </row>
    <row r="11720" spans="16:16">
      <c r="P11720" s="594"/>
    </row>
    <row r="11721" spans="16:16">
      <c r="P11721" s="594"/>
    </row>
    <row r="11722" spans="16:16">
      <c r="P11722" s="594"/>
    </row>
    <row r="11723" spans="16:16">
      <c r="P11723" s="594"/>
    </row>
    <row r="11724" spans="16:16">
      <c r="P11724" s="594"/>
    </row>
    <row r="11725" spans="16:16">
      <c r="P11725" s="594"/>
    </row>
    <row r="11726" spans="16:16">
      <c r="P11726" s="594"/>
    </row>
    <row r="11727" spans="16:16">
      <c r="P11727" s="594"/>
    </row>
    <row r="11728" spans="16:16">
      <c r="P11728" s="594"/>
    </row>
    <row r="11729" spans="16:16">
      <c r="P11729" s="594"/>
    </row>
    <row r="11730" spans="16:16">
      <c r="P11730" s="594"/>
    </row>
    <row r="11731" spans="16:16">
      <c r="P11731" s="594"/>
    </row>
    <row r="11732" spans="16:16">
      <c r="P11732" s="594"/>
    </row>
    <row r="11733" spans="16:16">
      <c r="P11733" s="594"/>
    </row>
    <row r="11734" spans="16:16">
      <c r="P11734" s="594"/>
    </row>
    <row r="11735" spans="16:16">
      <c r="P11735" s="594"/>
    </row>
    <row r="11736" spans="16:16">
      <c r="P11736" s="594"/>
    </row>
    <row r="11737" spans="16:16">
      <c r="P11737" s="594"/>
    </row>
    <row r="11738" spans="16:16">
      <c r="P11738" s="594"/>
    </row>
    <row r="11739" spans="16:16">
      <c r="P11739" s="594"/>
    </row>
    <row r="11740" spans="16:16">
      <c r="P11740" s="594"/>
    </row>
    <row r="11741" spans="16:16">
      <c r="P11741" s="594"/>
    </row>
    <row r="11742" spans="16:16">
      <c r="P11742" s="594"/>
    </row>
    <row r="11743" spans="16:16">
      <c r="P11743" s="594"/>
    </row>
    <row r="11744" spans="16:16">
      <c r="P11744" s="594"/>
    </row>
    <row r="11745" spans="16:16">
      <c r="P11745" s="594"/>
    </row>
    <row r="11746" spans="16:16">
      <c r="P11746" s="594"/>
    </row>
    <row r="11747" spans="16:16">
      <c r="P11747" s="594"/>
    </row>
    <row r="11748" spans="16:16">
      <c r="P11748" s="594"/>
    </row>
    <row r="11749" spans="16:16">
      <c r="P11749" s="594"/>
    </row>
    <row r="11750" spans="16:16">
      <c r="P11750" s="594"/>
    </row>
    <row r="11751" spans="16:16">
      <c r="P11751" s="594"/>
    </row>
    <row r="11752" spans="16:16">
      <c r="P11752" s="594"/>
    </row>
    <row r="11753" spans="16:16">
      <c r="P11753" s="594"/>
    </row>
    <row r="11754" spans="16:16">
      <c r="P11754" s="594"/>
    </row>
    <row r="11755" spans="16:16">
      <c r="P11755" s="594"/>
    </row>
    <row r="11756" spans="16:16">
      <c r="P11756" s="594"/>
    </row>
    <row r="11757" spans="16:16">
      <c r="P11757" s="594"/>
    </row>
    <row r="11758" spans="16:16">
      <c r="P11758" s="594"/>
    </row>
    <row r="11759" spans="16:16">
      <c r="P11759" s="594"/>
    </row>
    <row r="11760" spans="16:16">
      <c r="P11760" s="594"/>
    </row>
    <row r="11761" spans="16:16">
      <c r="P11761" s="594"/>
    </row>
    <row r="11762" spans="16:16">
      <c r="P11762" s="594"/>
    </row>
    <row r="11763" spans="16:16">
      <c r="P11763" s="594"/>
    </row>
    <row r="11764" spans="16:16">
      <c r="P11764" s="594"/>
    </row>
    <row r="11765" spans="16:16">
      <c r="P11765" s="594"/>
    </row>
    <row r="11766" spans="16:16">
      <c r="P11766" s="594"/>
    </row>
    <row r="11767" spans="16:16">
      <c r="P11767" s="594"/>
    </row>
    <row r="11768" spans="16:16">
      <c r="P11768" s="594"/>
    </row>
    <row r="11769" spans="16:16">
      <c r="P11769" s="594"/>
    </row>
    <row r="11770" spans="16:16">
      <c r="P11770" s="594"/>
    </row>
    <row r="11771" spans="16:16">
      <c r="P11771" s="594"/>
    </row>
    <row r="11772" spans="16:16">
      <c r="P11772" s="594"/>
    </row>
    <row r="11773" spans="16:16">
      <c r="P11773" s="594"/>
    </row>
    <row r="11774" spans="16:16">
      <c r="P11774" s="594"/>
    </row>
    <row r="11775" spans="16:16">
      <c r="P11775" s="594"/>
    </row>
    <row r="11776" spans="16:16">
      <c r="P11776" s="594"/>
    </row>
    <row r="11777" spans="16:16">
      <c r="P11777" s="594"/>
    </row>
    <row r="11778" spans="16:16">
      <c r="P11778" s="594"/>
    </row>
    <row r="11779" spans="16:16">
      <c r="P11779" s="594"/>
    </row>
    <row r="11780" spans="16:16">
      <c r="P11780" s="594"/>
    </row>
    <row r="11781" spans="16:16">
      <c r="P11781" s="594"/>
    </row>
    <row r="11782" spans="16:16">
      <c r="P11782" s="594"/>
    </row>
    <row r="11783" spans="16:16">
      <c r="P11783" s="594"/>
    </row>
    <row r="11784" spans="16:16">
      <c r="P11784" s="594"/>
    </row>
    <row r="11785" spans="16:16">
      <c r="P11785" s="594"/>
    </row>
    <row r="11786" spans="16:16">
      <c r="P11786" s="594"/>
    </row>
    <row r="11787" spans="16:16">
      <c r="P11787" s="594"/>
    </row>
    <row r="11788" spans="16:16">
      <c r="P11788" s="594"/>
    </row>
    <row r="11789" spans="16:16">
      <c r="P11789" s="594"/>
    </row>
    <row r="11790" spans="16:16">
      <c r="P11790" s="594"/>
    </row>
    <row r="11791" spans="16:16">
      <c r="P11791" s="594"/>
    </row>
    <row r="11792" spans="16:16">
      <c r="P11792" s="594"/>
    </row>
    <row r="11793" spans="16:16">
      <c r="P11793" s="594"/>
    </row>
    <row r="11794" spans="16:16">
      <c r="P11794" s="594"/>
    </row>
    <row r="11795" spans="16:16">
      <c r="P11795" s="594"/>
    </row>
    <row r="11796" spans="16:16">
      <c r="P11796" s="594"/>
    </row>
    <row r="11797" spans="16:16">
      <c r="P11797" s="594"/>
    </row>
    <row r="11798" spans="16:16">
      <c r="P11798" s="594"/>
    </row>
    <row r="11799" spans="16:16">
      <c r="P11799" s="594"/>
    </row>
    <row r="11800" spans="16:16">
      <c r="P11800" s="594"/>
    </row>
    <row r="11801" spans="16:16">
      <c r="P11801" s="594"/>
    </row>
    <row r="11802" spans="16:16">
      <c r="P11802" s="594"/>
    </row>
    <row r="11803" spans="16:16">
      <c r="P11803" s="594"/>
    </row>
    <row r="11804" spans="16:16">
      <c r="P11804" s="594"/>
    </row>
    <row r="11805" spans="16:16">
      <c r="P11805" s="594"/>
    </row>
    <row r="11806" spans="16:16">
      <c r="P11806" s="594"/>
    </row>
    <row r="11807" spans="16:16">
      <c r="P11807" s="594"/>
    </row>
    <row r="11808" spans="16:16">
      <c r="P11808" s="594"/>
    </row>
    <row r="11809" spans="16:16">
      <c r="P11809" s="594"/>
    </row>
    <row r="11810" spans="16:16">
      <c r="P11810" s="594"/>
    </row>
    <row r="11811" spans="16:16">
      <c r="P11811" s="594"/>
    </row>
    <row r="11812" spans="16:16">
      <c r="P11812" s="594"/>
    </row>
    <row r="11813" spans="16:16">
      <c r="P11813" s="594"/>
    </row>
    <row r="11814" spans="16:16">
      <c r="P11814" s="594"/>
    </row>
    <row r="11815" spans="16:16">
      <c r="P11815" s="594"/>
    </row>
    <row r="11816" spans="16:16">
      <c r="P11816" s="594"/>
    </row>
    <row r="11817" spans="16:16">
      <c r="P11817" s="594"/>
    </row>
    <row r="11818" spans="16:16">
      <c r="P11818" s="594"/>
    </row>
    <row r="11819" spans="16:16">
      <c r="P11819" s="594"/>
    </row>
    <row r="11820" spans="16:16">
      <c r="P11820" s="594"/>
    </row>
    <row r="11821" spans="16:16">
      <c r="P11821" s="594"/>
    </row>
    <row r="11822" spans="16:16">
      <c r="P11822" s="594"/>
    </row>
    <row r="11823" spans="16:16">
      <c r="P11823" s="594"/>
    </row>
    <row r="11824" spans="16:16">
      <c r="P11824" s="594"/>
    </row>
    <row r="11825" spans="16:16">
      <c r="P11825" s="594"/>
    </row>
    <row r="11826" spans="16:16">
      <c r="P11826" s="594"/>
    </row>
    <row r="11827" spans="16:16">
      <c r="P11827" s="594"/>
    </row>
    <row r="11828" spans="16:16">
      <c r="P11828" s="594"/>
    </row>
    <row r="11829" spans="16:16">
      <c r="P11829" s="594"/>
    </row>
    <row r="11830" spans="16:16">
      <c r="P11830" s="594"/>
    </row>
    <row r="11831" spans="16:16">
      <c r="P11831" s="594"/>
    </row>
    <row r="11832" spans="16:16">
      <c r="P11832" s="594"/>
    </row>
    <row r="11833" spans="16:16">
      <c r="P11833" s="594"/>
    </row>
    <row r="11834" spans="16:16">
      <c r="P11834" s="594"/>
    </row>
    <row r="11835" spans="16:16">
      <c r="P11835" s="594"/>
    </row>
    <row r="11836" spans="16:16">
      <c r="P11836" s="594"/>
    </row>
    <row r="11837" spans="16:16">
      <c r="P11837" s="594"/>
    </row>
    <row r="11838" spans="16:16">
      <c r="P11838" s="594"/>
    </row>
    <row r="11839" spans="16:16">
      <c r="P11839" s="594"/>
    </row>
    <row r="11840" spans="16:16">
      <c r="P11840" s="594"/>
    </row>
    <row r="11841" spans="16:16">
      <c r="P11841" s="594"/>
    </row>
    <row r="11842" spans="16:16">
      <c r="P11842" s="594"/>
    </row>
    <row r="11843" spans="16:16">
      <c r="P11843" s="594"/>
    </row>
    <row r="11844" spans="16:16">
      <c r="P11844" s="594"/>
    </row>
    <row r="11845" spans="16:16">
      <c r="P11845" s="594"/>
    </row>
    <row r="11846" spans="16:16">
      <c r="P11846" s="594"/>
    </row>
    <row r="11847" spans="16:16">
      <c r="P11847" s="594"/>
    </row>
    <row r="11848" spans="16:16">
      <c r="P11848" s="594"/>
    </row>
    <row r="11849" spans="16:16">
      <c r="P11849" s="594"/>
    </row>
    <row r="11850" spans="16:16">
      <c r="P11850" s="594"/>
    </row>
    <row r="11851" spans="16:16">
      <c r="P11851" s="594"/>
    </row>
    <row r="11852" spans="16:16">
      <c r="P11852" s="594"/>
    </row>
    <row r="11853" spans="16:16">
      <c r="P11853" s="594"/>
    </row>
    <row r="11854" spans="16:16">
      <c r="P11854" s="594"/>
    </row>
    <row r="11855" spans="16:16">
      <c r="P11855" s="594"/>
    </row>
    <row r="11856" spans="16:16">
      <c r="P11856" s="594"/>
    </row>
    <row r="11857" spans="16:16">
      <c r="P11857" s="594"/>
    </row>
    <row r="11858" spans="16:16">
      <c r="P11858" s="594"/>
    </row>
    <row r="11859" spans="16:16">
      <c r="P11859" s="594"/>
    </row>
    <row r="11860" spans="16:16">
      <c r="P11860" s="594"/>
    </row>
    <row r="11861" spans="16:16">
      <c r="P11861" s="594"/>
    </row>
    <row r="11862" spans="16:16">
      <c r="P11862" s="594"/>
    </row>
    <row r="11863" spans="16:16">
      <c r="P11863" s="594"/>
    </row>
    <row r="11864" spans="16:16">
      <c r="P11864" s="594"/>
    </row>
    <row r="11865" spans="16:16">
      <c r="P11865" s="594"/>
    </row>
    <row r="11866" spans="16:16">
      <c r="P11866" s="594"/>
    </row>
    <row r="11867" spans="16:16">
      <c r="P11867" s="594"/>
    </row>
    <row r="11868" spans="16:16">
      <c r="P11868" s="594"/>
    </row>
    <row r="11869" spans="16:16">
      <c r="P11869" s="594"/>
    </row>
    <row r="11870" spans="16:16">
      <c r="P11870" s="594"/>
    </row>
    <row r="11871" spans="16:16">
      <c r="P11871" s="594"/>
    </row>
    <row r="11872" spans="16:16">
      <c r="P11872" s="594"/>
    </row>
    <row r="11873" spans="16:16">
      <c r="P11873" s="594"/>
    </row>
    <row r="11874" spans="16:16">
      <c r="P11874" s="594"/>
    </row>
    <row r="11875" spans="16:16">
      <c r="P11875" s="594"/>
    </row>
    <row r="11876" spans="16:16">
      <c r="P11876" s="594"/>
    </row>
    <row r="11877" spans="16:16">
      <c r="P11877" s="594"/>
    </row>
    <row r="11878" spans="16:16">
      <c r="P11878" s="594"/>
    </row>
    <row r="11879" spans="16:16">
      <c r="P11879" s="594"/>
    </row>
    <row r="11880" spans="16:16">
      <c r="P11880" s="594"/>
    </row>
    <row r="11881" spans="16:16">
      <c r="P11881" s="594"/>
    </row>
    <row r="11882" spans="16:16">
      <c r="P11882" s="594"/>
    </row>
    <row r="11883" spans="16:16">
      <c r="P11883" s="594"/>
    </row>
    <row r="11884" spans="16:16">
      <c r="P11884" s="594"/>
    </row>
    <row r="11885" spans="16:16">
      <c r="P11885" s="594"/>
    </row>
    <row r="11886" spans="16:16">
      <c r="P11886" s="594"/>
    </row>
    <row r="11887" spans="16:16">
      <c r="P11887" s="594"/>
    </row>
    <row r="11888" spans="16:16">
      <c r="P11888" s="594"/>
    </row>
    <row r="11889" spans="16:16">
      <c r="P11889" s="594"/>
    </row>
    <row r="11890" spans="16:16">
      <c r="P11890" s="594"/>
    </row>
    <row r="11891" spans="16:16">
      <c r="P11891" s="594"/>
    </row>
    <row r="11892" spans="16:16">
      <c r="P11892" s="594"/>
    </row>
    <row r="11893" spans="16:16">
      <c r="P11893" s="594"/>
    </row>
    <row r="11894" spans="16:16">
      <c r="P11894" s="594"/>
    </row>
    <row r="11895" spans="16:16">
      <c r="P11895" s="594"/>
    </row>
    <row r="11896" spans="16:16">
      <c r="P11896" s="594"/>
    </row>
    <row r="11897" spans="16:16">
      <c r="P11897" s="594"/>
    </row>
    <row r="11898" spans="16:16">
      <c r="P11898" s="594"/>
    </row>
    <row r="11899" spans="16:16">
      <c r="P11899" s="594"/>
    </row>
    <row r="11900" spans="16:16">
      <c r="P11900" s="594"/>
    </row>
    <row r="11901" spans="16:16">
      <c r="P11901" s="594"/>
    </row>
    <row r="11902" spans="16:16">
      <c r="P11902" s="594"/>
    </row>
    <row r="11903" spans="16:16">
      <c r="P11903" s="594"/>
    </row>
    <row r="11904" spans="16:16">
      <c r="P11904" s="594"/>
    </row>
    <row r="11905" spans="16:16">
      <c r="P11905" s="594"/>
    </row>
    <row r="11906" spans="16:16">
      <c r="P11906" s="594"/>
    </row>
    <row r="11907" spans="16:16">
      <c r="P11907" s="594"/>
    </row>
    <row r="11908" spans="16:16">
      <c r="P11908" s="594"/>
    </row>
    <row r="11909" spans="16:16">
      <c r="P11909" s="594"/>
    </row>
    <row r="11910" spans="16:16">
      <c r="P11910" s="594"/>
    </row>
    <row r="11911" spans="16:16">
      <c r="P11911" s="594"/>
    </row>
    <row r="11912" spans="16:16">
      <c r="P11912" s="594"/>
    </row>
    <row r="11913" spans="16:16">
      <c r="P11913" s="594"/>
    </row>
    <row r="11914" spans="16:16">
      <c r="P11914" s="594"/>
    </row>
    <row r="11915" spans="16:16">
      <c r="P11915" s="594"/>
    </row>
    <row r="11916" spans="16:16">
      <c r="P11916" s="594"/>
    </row>
    <row r="11917" spans="16:16">
      <c r="P11917" s="594"/>
    </row>
    <row r="11918" spans="16:16">
      <c r="P11918" s="594"/>
    </row>
    <row r="11919" spans="16:16">
      <c r="P11919" s="594"/>
    </row>
    <row r="11920" spans="16:16">
      <c r="P11920" s="594"/>
    </row>
    <row r="11921" spans="16:16">
      <c r="P11921" s="594"/>
    </row>
    <row r="11922" spans="16:16">
      <c r="P11922" s="594"/>
    </row>
    <row r="11923" spans="16:16">
      <c r="P11923" s="594"/>
    </row>
    <row r="11924" spans="16:16">
      <c r="P11924" s="594"/>
    </row>
    <row r="11925" spans="16:16">
      <c r="P11925" s="594"/>
    </row>
    <row r="11926" spans="16:16">
      <c r="P11926" s="594"/>
    </row>
    <row r="11927" spans="16:16">
      <c r="P11927" s="594"/>
    </row>
    <row r="11928" spans="16:16">
      <c r="P11928" s="594"/>
    </row>
    <row r="11929" spans="16:16">
      <c r="P11929" s="594"/>
    </row>
    <row r="11930" spans="16:16">
      <c r="P11930" s="594"/>
    </row>
    <row r="11931" spans="16:16">
      <c r="P11931" s="594"/>
    </row>
    <row r="11932" spans="16:16">
      <c r="P11932" s="594"/>
    </row>
    <row r="11933" spans="16:16">
      <c r="P11933" s="594"/>
    </row>
    <row r="11934" spans="16:16">
      <c r="P11934" s="594"/>
    </row>
    <row r="11935" spans="16:16">
      <c r="P11935" s="594"/>
    </row>
    <row r="11936" spans="16:16">
      <c r="P11936" s="594"/>
    </row>
    <row r="11937" spans="16:16">
      <c r="P11937" s="594"/>
    </row>
    <row r="11938" spans="16:16">
      <c r="P11938" s="594"/>
    </row>
    <row r="11939" spans="16:16">
      <c r="P11939" s="594"/>
    </row>
    <row r="11940" spans="16:16">
      <c r="P11940" s="594"/>
    </row>
    <row r="11941" spans="16:16">
      <c r="P11941" s="594"/>
    </row>
    <row r="11942" spans="16:16">
      <c r="P11942" s="594"/>
    </row>
    <row r="11943" spans="16:16">
      <c r="P11943" s="594"/>
    </row>
    <row r="11944" spans="16:16">
      <c r="P11944" s="594"/>
    </row>
    <row r="11945" spans="16:16">
      <c r="P11945" s="594"/>
    </row>
    <row r="11946" spans="16:16">
      <c r="P11946" s="594"/>
    </row>
    <row r="11947" spans="16:16">
      <c r="P11947" s="594"/>
    </row>
    <row r="11948" spans="16:16">
      <c r="P11948" s="594"/>
    </row>
    <row r="11949" spans="16:16">
      <c r="P11949" s="594"/>
    </row>
    <row r="11950" spans="16:16">
      <c r="P11950" s="594"/>
    </row>
    <row r="11951" spans="16:16">
      <c r="P11951" s="594"/>
    </row>
    <row r="11952" spans="16:16">
      <c r="P11952" s="594"/>
    </row>
    <row r="11953" spans="16:16">
      <c r="P11953" s="594"/>
    </row>
    <row r="11954" spans="16:16">
      <c r="P11954" s="594"/>
    </row>
    <row r="11955" spans="16:16">
      <c r="P11955" s="594"/>
    </row>
    <row r="11956" spans="16:16">
      <c r="P11956" s="594"/>
    </row>
    <row r="11957" spans="16:16">
      <c r="P11957" s="594"/>
    </row>
    <row r="11958" spans="16:16">
      <c r="P11958" s="594"/>
    </row>
    <row r="11959" spans="16:16">
      <c r="P11959" s="594"/>
    </row>
    <row r="11960" spans="16:16">
      <c r="P11960" s="594"/>
    </row>
    <row r="11961" spans="16:16">
      <c r="P11961" s="594"/>
    </row>
    <row r="11962" spans="16:16">
      <c r="P11962" s="594"/>
    </row>
    <row r="11963" spans="16:16">
      <c r="P11963" s="594"/>
    </row>
    <row r="11964" spans="16:16">
      <c r="P11964" s="594"/>
    </row>
    <row r="11965" spans="16:16">
      <c r="P11965" s="594"/>
    </row>
    <row r="11966" spans="16:16">
      <c r="P11966" s="594"/>
    </row>
    <row r="11967" spans="16:16">
      <c r="P11967" s="594"/>
    </row>
    <row r="11968" spans="16:16">
      <c r="P11968" s="594"/>
    </row>
    <row r="11969" spans="16:16">
      <c r="P11969" s="594"/>
    </row>
    <row r="11970" spans="16:16">
      <c r="P11970" s="594"/>
    </row>
    <row r="11971" spans="16:16">
      <c r="P11971" s="594"/>
    </row>
    <row r="11972" spans="16:16">
      <c r="P11972" s="594"/>
    </row>
    <row r="11973" spans="16:16">
      <c r="P11973" s="594"/>
    </row>
    <row r="11974" spans="16:16">
      <c r="P11974" s="594"/>
    </row>
    <row r="11975" spans="16:16">
      <c r="P11975" s="594"/>
    </row>
    <row r="11976" spans="16:16">
      <c r="P11976" s="594"/>
    </row>
    <row r="11977" spans="16:16">
      <c r="P11977" s="594"/>
    </row>
    <row r="11978" spans="16:16">
      <c r="P11978" s="594"/>
    </row>
    <row r="11979" spans="16:16">
      <c r="P11979" s="594"/>
    </row>
    <row r="11980" spans="16:16">
      <c r="P11980" s="594"/>
    </row>
    <row r="11981" spans="16:16">
      <c r="P11981" s="594"/>
    </row>
    <row r="11982" spans="16:16">
      <c r="P11982" s="594"/>
    </row>
    <row r="11983" spans="16:16">
      <c r="P11983" s="594"/>
    </row>
    <row r="11984" spans="16:16">
      <c r="P11984" s="594"/>
    </row>
    <row r="11985" spans="16:16">
      <c r="P11985" s="594"/>
    </row>
    <row r="11986" spans="16:16">
      <c r="P11986" s="594"/>
    </row>
    <row r="11987" spans="16:16">
      <c r="P11987" s="594"/>
    </row>
    <row r="11988" spans="16:16">
      <c r="P11988" s="594"/>
    </row>
    <row r="11989" spans="16:16">
      <c r="P11989" s="594"/>
    </row>
    <row r="11990" spans="16:16">
      <c r="P11990" s="594"/>
    </row>
    <row r="11991" spans="16:16">
      <c r="P11991" s="594"/>
    </row>
    <row r="11992" spans="16:16">
      <c r="P11992" s="594"/>
    </row>
    <row r="11993" spans="16:16">
      <c r="P11993" s="594"/>
    </row>
    <row r="11994" spans="16:16">
      <c r="P11994" s="594"/>
    </row>
    <row r="11995" spans="16:16">
      <c r="P11995" s="594"/>
    </row>
    <row r="11996" spans="16:16">
      <c r="P11996" s="594"/>
    </row>
    <row r="11997" spans="16:16">
      <c r="P11997" s="594"/>
    </row>
    <row r="11998" spans="16:16">
      <c r="P11998" s="594"/>
    </row>
    <row r="11999" spans="16:16">
      <c r="P11999" s="594"/>
    </row>
    <row r="12000" spans="16:16">
      <c r="P12000" s="594"/>
    </row>
    <row r="12001" spans="16:16">
      <c r="P12001" s="594"/>
    </row>
    <row r="12002" spans="16:16">
      <c r="P12002" s="594"/>
    </row>
    <row r="12003" spans="16:16">
      <c r="P12003" s="594"/>
    </row>
    <row r="12004" spans="16:16">
      <c r="P12004" s="594"/>
    </row>
    <row r="12005" spans="16:16">
      <c r="P12005" s="594"/>
    </row>
    <row r="12006" spans="16:16">
      <c r="P12006" s="594"/>
    </row>
    <row r="12007" spans="16:16">
      <c r="P12007" s="594"/>
    </row>
    <row r="12008" spans="16:16">
      <c r="P12008" s="594"/>
    </row>
    <row r="12009" spans="16:16">
      <c r="P12009" s="594"/>
    </row>
    <row r="12010" spans="16:16">
      <c r="P12010" s="594"/>
    </row>
    <row r="12011" spans="16:16">
      <c r="P12011" s="594"/>
    </row>
    <row r="12012" spans="16:16">
      <c r="P12012" s="594"/>
    </row>
    <row r="12013" spans="16:16">
      <c r="P12013" s="594"/>
    </row>
    <row r="12014" spans="16:16">
      <c r="P12014" s="594"/>
    </row>
    <row r="12015" spans="16:16">
      <c r="P12015" s="594"/>
    </row>
    <row r="12016" spans="16:16">
      <c r="P12016" s="594"/>
    </row>
    <row r="12017" spans="16:16">
      <c r="P12017" s="594"/>
    </row>
    <row r="12018" spans="16:16">
      <c r="P12018" s="594"/>
    </row>
    <row r="12019" spans="16:16">
      <c r="P12019" s="594"/>
    </row>
    <row r="12020" spans="16:16">
      <c r="P12020" s="594"/>
    </row>
    <row r="12021" spans="16:16">
      <c r="P12021" s="594"/>
    </row>
    <row r="12022" spans="16:16">
      <c r="P12022" s="594"/>
    </row>
    <row r="12023" spans="16:16">
      <c r="P12023" s="594"/>
    </row>
    <row r="12024" spans="16:16">
      <c r="P12024" s="594"/>
    </row>
    <row r="12025" spans="16:16">
      <c r="P12025" s="594"/>
    </row>
    <row r="12026" spans="16:16">
      <c r="P12026" s="594"/>
    </row>
    <row r="12027" spans="16:16">
      <c r="P12027" s="594"/>
    </row>
    <row r="12028" spans="16:16">
      <c r="P12028" s="594"/>
    </row>
    <row r="12029" spans="16:16">
      <c r="P12029" s="594"/>
    </row>
    <row r="12030" spans="16:16">
      <c r="P12030" s="594"/>
    </row>
    <row r="12031" spans="16:16">
      <c r="P12031" s="594"/>
    </row>
    <row r="12032" spans="16:16">
      <c r="P12032" s="594"/>
    </row>
    <row r="12033" spans="16:16">
      <c r="P12033" s="594"/>
    </row>
    <row r="12034" spans="16:16">
      <c r="P12034" s="594"/>
    </row>
    <row r="12035" spans="16:16">
      <c r="P12035" s="594"/>
    </row>
    <row r="12036" spans="16:16">
      <c r="P12036" s="594"/>
    </row>
    <row r="12037" spans="16:16">
      <c r="P12037" s="594"/>
    </row>
    <row r="12038" spans="16:16">
      <c r="P12038" s="594"/>
    </row>
    <row r="12039" spans="16:16">
      <c r="P12039" s="594"/>
    </row>
    <row r="12040" spans="16:16">
      <c r="P12040" s="594"/>
    </row>
    <row r="12041" spans="16:16">
      <c r="P12041" s="594"/>
    </row>
    <row r="12042" spans="16:16">
      <c r="P12042" s="594"/>
    </row>
    <row r="12043" spans="16:16">
      <c r="P12043" s="594"/>
    </row>
    <row r="12044" spans="16:16">
      <c r="P12044" s="594"/>
    </row>
    <row r="12045" spans="16:16">
      <c r="P12045" s="594"/>
    </row>
    <row r="12046" spans="16:16">
      <c r="P12046" s="594"/>
    </row>
    <row r="12047" spans="16:16">
      <c r="P12047" s="594"/>
    </row>
    <row r="12048" spans="16:16">
      <c r="P12048" s="594"/>
    </row>
    <row r="12049" spans="16:16">
      <c r="P12049" s="594"/>
    </row>
    <row r="12050" spans="16:16">
      <c r="P12050" s="594"/>
    </row>
    <row r="12051" spans="16:16">
      <c r="P12051" s="594"/>
    </row>
    <row r="12052" spans="16:16">
      <c r="P12052" s="594"/>
    </row>
    <row r="12053" spans="16:16">
      <c r="P12053" s="594"/>
    </row>
    <row r="12054" spans="16:16">
      <c r="P12054" s="594"/>
    </row>
    <row r="12055" spans="16:16">
      <c r="P12055" s="594"/>
    </row>
    <row r="12056" spans="16:16">
      <c r="P12056" s="594"/>
    </row>
    <row r="12057" spans="16:16">
      <c r="P12057" s="594"/>
    </row>
    <row r="12058" spans="16:16">
      <c r="P12058" s="594"/>
    </row>
    <row r="12059" spans="16:16">
      <c r="P12059" s="594"/>
    </row>
    <row r="12060" spans="16:16">
      <c r="P12060" s="594"/>
    </row>
    <row r="12061" spans="16:16">
      <c r="P12061" s="594"/>
    </row>
    <row r="12062" spans="16:16">
      <c r="P12062" s="594"/>
    </row>
    <row r="12063" spans="16:16">
      <c r="P12063" s="594"/>
    </row>
    <row r="12064" spans="16:16">
      <c r="P12064" s="594"/>
    </row>
    <row r="12065" spans="16:16">
      <c r="P12065" s="594"/>
    </row>
    <row r="12066" spans="16:16">
      <c r="P12066" s="594"/>
    </row>
    <row r="12067" spans="16:16">
      <c r="P12067" s="594"/>
    </row>
    <row r="12068" spans="16:16">
      <c r="P12068" s="594"/>
    </row>
    <row r="12069" spans="16:16">
      <c r="P12069" s="594"/>
    </row>
    <row r="12070" spans="16:16">
      <c r="P12070" s="594"/>
    </row>
    <row r="12071" spans="16:16">
      <c r="P12071" s="594"/>
    </row>
    <row r="12072" spans="16:16">
      <c r="P12072" s="594"/>
    </row>
    <row r="12073" spans="16:16">
      <c r="P12073" s="594"/>
    </row>
    <row r="12074" spans="16:16">
      <c r="P12074" s="594"/>
    </row>
    <row r="12075" spans="16:16">
      <c r="P12075" s="594"/>
    </row>
    <row r="12076" spans="16:16">
      <c r="P12076" s="594"/>
    </row>
    <row r="12077" spans="16:16">
      <c r="P12077" s="594"/>
    </row>
    <row r="12078" spans="16:16">
      <c r="P12078" s="594"/>
    </row>
    <row r="12079" spans="16:16">
      <c r="P12079" s="594"/>
    </row>
    <row r="12080" spans="16:16">
      <c r="P12080" s="594"/>
    </row>
    <row r="12081" spans="16:16">
      <c r="P12081" s="594"/>
    </row>
    <row r="12082" spans="16:16">
      <c r="P12082" s="594"/>
    </row>
    <row r="12083" spans="16:16">
      <c r="P12083" s="594"/>
    </row>
    <row r="12084" spans="16:16">
      <c r="P12084" s="594"/>
    </row>
    <row r="12085" spans="16:16">
      <c r="P12085" s="594"/>
    </row>
    <row r="12086" spans="16:16">
      <c r="P12086" s="594"/>
    </row>
    <row r="12087" spans="16:16">
      <c r="P12087" s="594"/>
    </row>
    <row r="12088" spans="16:16">
      <c r="P12088" s="594"/>
    </row>
    <row r="12089" spans="16:16">
      <c r="P12089" s="594"/>
    </row>
    <row r="12090" spans="16:16">
      <c r="P12090" s="594"/>
    </row>
    <row r="12091" spans="16:16">
      <c r="P12091" s="594"/>
    </row>
    <row r="12092" spans="16:16">
      <c r="P12092" s="594"/>
    </row>
    <row r="12093" spans="16:16">
      <c r="P12093" s="594"/>
    </row>
    <row r="12094" spans="16:16">
      <c r="P12094" s="594"/>
    </row>
    <row r="12095" spans="16:16">
      <c r="P12095" s="594"/>
    </row>
    <row r="12096" spans="16:16">
      <c r="P12096" s="594"/>
    </row>
    <row r="12097" spans="16:16">
      <c r="P12097" s="594"/>
    </row>
    <row r="12098" spans="16:16">
      <c r="P12098" s="594"/>
    </row>
    <row r="12099" spans="16:16">
      <c r="P12099" s="594"/>
    </row>
    <row r="12100" spans="16:16">
      <c r="P12100" s="594"/>
    </row>
    <row r="12101" spans="16:16">
      <c r="P12101" s="594"/>
    </row>
    <row r="12102" spans="16:16">
      <c r="P12102" s="594"/>
    </row>
    <row r="12103" spans="16:16">
      <c r="P12103" s="594"/>
    </row>
    <row r="12104" spans="16:16">
      <c r="P12104" s="594"/>
    </row>
    <row r="12105" spans="16:16">
      <c r="P12105" s="594"/>
    </row>
    <row r="12106" spans="16:16">
      <c r="P12106" s="594"/>
    </row>
    <row r="12107" spans="16:16">
      <c r="P12107" s="594"/>
    </row>
    <row r="12108" spans="16:16">
      <c r="P12108" s="594"/>
    </row>
    <row r="12109" spans="16:16">
      <c r="P12109" s="594"/>
    </row>
    <row r="12110" spans="16:16">
      <c r="P12110" s="594"/>
    </row>
    <row r="12111" spans="16:16">
      <c r="P12111" s="594"/>
    </row>
    <row r="12112" spans="16:16">
      <c r="P12112" s="594"/>
    </row>
    <row r="12113" spans="16:16">
      <c r="P12113" s="594"/>
    </row>
    <row r="12114" spans="16:16">
      <c r="P12114" s="594"/>
    </row>
    <row r="12115" spans="16:16">
      <c r="P12115" s="594"/>
    </row>
    <row r="12116" spans="16:16">
      <c r="P12116" s="594"/>
    </row>
    <row r="12117" spans="16:16">
      <c r="P12117" s="594"/>
    </row>
    <row r="12118" spans="16:16">
      <c r="P12118" s="594"/>
    </row>
    <row r="12119" spans="16:16">
      <c r="P12119" s="594"/>
    </row>
    <row r="12120" spans="16:16">
      <c r="P12120" s="594"/>
    </row>
    <row r="12121" spans="16:16">
      <c r="P12121" s="594"/>
    </row>
    <row r="12122" spans="16:16">
      <c r="P12122" s="594"/>
    </row>
    <row r="12123" spans="16:16">
      <c r="P12123" s="594"/>
    </row>
    <row r="12124" spans="16:16">
      <c r="P12124" s="594"/>
    </row>
    <row r="12125" spans="16:16">
      <c r="P12125" s="594"/>
    </row>
    <row r="12126" spans="16:16">
      <c r="P12126" s="594"/>
    </row>
    <row r="12127" spans="16:16">
      <c r="P12127" s="594"/>
    </row>
    <row r="12128" spans="16:16">
      <c r="P12128" s="594"/>
    </row>
    <row r="12129" spans="16:16">
      <c r="P12129" s="594"/>
    </row>
    <row r="12130" spans="16:16">
      <c r="P12130" s="594"/>
    </row>
    <row r="12131" spans="16:16">
      <c r="P12131" s="594"/>
    </row>
    <row r="12132" spans="16:16">
      <c r="P12132" s="594"/>
    </row>
    <row r="12133" spans="16:16">
      <c r="P12133" s="594"/>
    </row>
    <row r="12134" spans="16:16">
      <c r="P12134" s="594"/>
    </row>
    <row r="12135" spans="16:16">
      <c r="P12135" s="594"/>
    </row>
    <row r="12136" spans="16:16">
      <c r="P12136" s="594"/>
    </row>
    <row r="12137" spans="16:16">
      <c r="P12137" s="594"/>
    </row>
    <row r="12138" spans="16:16">
      <c r="P12138" s="594"/>
    </row>
    <row r="12139" spans="16:16">
      <c r="P12139" s="594"/>
    </row>
    <row r="12140" spans="16:16">
      <c r="P12140" s="594"/>
    </row>
    <row r="12141" spans="16:16">
      <c r="P12141" s="594"/>
    </row>
    <row r="12142" spans="16:16">
      <c r="P12142" s="594"/>
    </row>
    <row r="12143" spans="16:16">
      <c r="P12143" s="594"/>
    </row>
    <row r="12144" spans="16:16">
      <c r="P12144" s="594"/>
    </row>
    <row r="12145" spans="16:16">
      <c r="P12145" s="594"/>
    </row>
    <row r="12146" spans="16:16">
      <c r="P12146" s="594"/>
    </row>
    <row r="12147" spans="16:16">
      <c r="P12147" s="594"/>
    </row>
    <row r="12148" spans="16:16">
      <c r="P12148" s="594"/>
    </row>
    <row r="12149" spans="16:16">
      <c r="P12149" s="594"/>
    </row>
    <row r="12150" spans="16:16">
      <c r="P12150" s="594"/>
    </row>
    <row r="12151" spans="16:16">
      <c r="P12151" s="594"/>
    </row>
    <row r="12152" spans="16:16">
      <c r="P12152" s="594"/>
    </row>
    <row r="12153" spans="16:16">
      <c r="P12153" s="594"/>
    </row>
    <row r="12154" spans="16:16">
      <c r="P12154" s="594"/>
    </row>
    <row r="12155" spans="16:16">
      <c r="P12155" s="594"/>
    </row>
    <row r="12156" spans="16:16">
      <c r="P12156" s="594"/>
    </row>
    <row r="12157" spans="16:16">
      <c r="P12157" s="594"/>
    </row>
    <row r="12158" spans="16:16">
      <c r="P12158" s="594"/>
    </row>
    <row r="12159" spans="16:16">
      <c r="P12159" s="594"/>
    </row>
    <row r="12160" spans="16:16">
      <c r="P12160" s="594"/>
    </row>
    <row r="12161" spans="16:16">
      <c r="P12161" s="594"/>
    </row>
    <row r="12162" spans="16:16">
      <c r="P12162" s="594"/>
    </row>
    <row r="12163" spans="16:16">
      <c r="P12163" s="594"/>
    </row>
    <row r="12164" spans="16:16">
      <c r="P12164" s="594"/>
    </row>
    <row r="12165" spans="16:16">
      <c r="P12165" s="594"/>
    </row>
    <row r="12166" spans="16:16">
      <c r="P12166" s="594"/>
    </row>
    <row r="12167" spans="16:16">
      <c r="P12167" s="594"/>
    </row>
    <row r="12168" spans="16:16">
      <c r="P12168" s="594"/>
    </row>
    <row r="12169" spans="16:16">
      <c r="P12169" s="594"/>
    </row>
    <row r="12170" spans="16:16">
      <c r="P12170" s="594"/>
    </row>
    <row r="12171" spans="16:16">
      <c r="P12171" s="594"/>
    </row>
    <row r="12172" spans="16:16">
      <c r="P12172" s="594"/>
    </row>
    <row r="12173" spans="16:16">
      <c r="P12173" s="594"/>
    </row>
    <row r="12174" spans="16:16">
      <c r="P12174" s="594"/>
    </row>
    <row r="12175" spans="16:16">
      <c r="P12175" s="594"/>
    </row>
    <row r="12176" spans="16:16">
      <c r="P12176" s="594"/>
    </row>
    <row r="12177" spans="16:16">
      <c r="P12177" s="594"/>
    </row>
    <row r="12178" spans="16:16">
      <c r="P12178" s="594"/>
    </row>
    <row r="12179" spans="16:16">
      <c r="P12179" s="594"/>
    </row>
    <row r="12180" spans="16:16">
      <c r="P12180" s="594"/>
    </row>
    <row r="12181" spans="16:16">
      <c r="P12181" s="594"/>
    </row>
    <row r="12182" spans="16:16">
      <c r="P12182" s="594"/>
    </row>
    <row r="12183" spans="16:16">
      <c r="P12183" s="594"/>
    </row>
    <row r="12184" spans="16:16">
      <c r="P12184" s="594"/>
    </row>
    <row r="12185" spans="16:16">
      <c r="P12185" s="594"/>
    </row>
    <row r="12186" spans="16:16">
      <c r="P12186" s="594"/>
    </row>
    <row r="12187" spans="16:16">
      <c r="P12187" s="594"/>
    </row>
    <row r="12188" spans="16:16">
      <c r="P12188" s="594"/>
    </row>
    <row r="12189" spans="16:16">
      <c r="P12189" s="594"/>
    </row>
    <row r="12190" spans="16:16">
      <c r="P12190" s="594"/>
    </row>
    <row r="12191" spans="16:16">
      <c r="P12191" s="594"/>
    </row>
    <row r="12192" spans="16:16">
      <c r="P12192" s="594"/>
    </row>
    <row r="12193" spans="16:16">
      <c r="P12193" s="594"/>
    </row>
    <row r="12194" spans="16:16">
      <c r="P12194" s="594"/>
    </row>
    <row r="12195" spans="16:16">
      <c r="P12195" s="594"/>
    </row>
    <row r="12196" spans="16:16">
      <c r="P12196" s="594"/>
    </row>
    <row r="12197" spans="16:16">
      <c r="P12197" s="594"/>
    </row>
    <row r="12198" spans="16:16">
      <c r="P12198" s="594"/>
    </row>
    <row r="12199" spans="16:16">
      <c r="P12199" s="594"/>
    </row>
    <row r="12200" spans="16:16">
      <c r="P12200" s="594"/>
    </row>
    <row r="12201" spans="16:16">
      <c r="P12201" s="594"/>
    </row>
    <row r="12202" spans="16:16">
      <c r="P12202" s="594"/>
    </row>
    <row r="12203" spans="16:16">
      <c r="P12203" s="594"/>
    </row>
    <row r="12204" spans="16:16">
      <c r="P12204" s="594"/>
    </row>
    <row r="12205" spans="16:16">
      <c r="P12205" s="594"/>
    </row>
    <row r="12206" spans="16:16">
      <c r="P12206" s="594"/>
    </row>
    <row r="12207" spans="16:16">
      <c r="P12207" s="594"/>
    </row>
    <row r="12208" spans="16:16">
      <c r="P12208" s="594"/>
    </row>
    <row r="12209" spans="16:16">
      <c r="P12209" s="594"/>
    </row>
    <row r="12210" spans="16:16">
      <c r="P12210" s="594"/>
    </row>
    <row r="12211" spans="16:16">
      <c r="P12211" s="594"/>
    </row>
    <row r="12212" spans="16:16">
      <c r="P12212" s="594"/>
    </row>
    <row r="12213" spans="16:16">
      <c r="P12213" s="594"/>
    </row>
    <row r="12214" spans="16:16">
      <c r="P12214" s="594"/>
    </row>
    <row r="12215" spans="16:16">
      <c r="P12215" s="594"/>
    </row>
    <row r="12216" spans="16:16">
      <c r="P12216" s="594"/>
    </row>
    <row r="12217" spans="16:16">
      <c r="P12217" s="594"/>
    </row>
    <row r="12218" spans="16:16">
      <c r="P12218" s="594"/>
    </row>
    <row r="12219" spans="16:16">
      <c r="P12219" s="594"/>
    </row>
    <row r="12220" spans="16:16">
      <c r="P12220" s="594"/>
    </row>
    <row r="12221" spans="16:16">
      <c r="P12221" s="594"/>
    </row>
    <row r="12222" spans="16:16">
      <c r="P12222" s="594"/>
    </row>
    <row r="12223" spans="16:16">
      <c r="P12223" s="594"/>
    </row>
    <row r="12224" spans="16:16">
      <c r="P12224" s="594"/>
    </row>
    <row r="12225" spans="16:16">
      <c r="P12225" s="594"/>
    </row>
    <row r="12226" spans="16:16">
      <c r="P12226" s="594"/>
    </row>
    <row r="12227" spans="16:16">
      <c r="P12227" s="594"/>
    </row>
    <row r="12228" spans="16:16">
      <c r="P12228" s="594"/>
    </row>
    <row r="12229" spans="16:16">
      <c r="P12229" s="594"/>
    </row>
    <row r="12230" spans="16:16">
      <c r="P12230" s="594"/>
    </row>
    <row r="12231" spans="16:16">
      <c r="P12231" s="594"/>
    </row>
    <row r="12232" spans="16:16">
      <c r="P12232" s="594"/>
    </row>
    <row r="12233" spans="16:16">
      <c r="P12233" s="594"/>
    </row>
    <row r="12234" spans="16:16">
      <c r="P12234" s="594"/>
    </row>
    <row r="12235" spans="16:16">
      <c r="P12235" s="594"/>
    </row>
    <row r="12236" spans="16:16">
      <c r="P12236" s="594"/>
    </row>
    <row r="12237" spans="16:16">
      <c r="P12237" s="594"/>
    </row>
    <row r="12238" spans="16:16">
      <c r="P12238" s="594"/>
    </row>
    <row r="12239" spans="16:16">
      <c r="P12239" s="594"/>
    </row>
    <row r="12240" spans="16:16">
      <c r="P12240" s="594"/>
    </row>
    <row r="12241" spans="16:16">
      <c r="P12241" s="594"/>
    </row>
    <row r="12242" spans="16:16">
      <c r="P12242" s="594"/>
    </row>
    <row r="12243" spans="16:16">
      <c r="P12243" s="594"/>
    </row>
    <row r="12244" spans="16:16">
      <c r="P12244" s="594"/>
    </row>
    <row r="12245" spans="16:16">
      <c r="P12245" s="594"/>
    </row>
    <row r="12246" spans="16:16">
      <c r="P12246" s="594"/>
    </row>
    <row r="12247" spans="16:16">
      <c r="P12247" s="594"/>
    </row>
    <row r="12248" spans="16:16">
      <c r="P12248" s="594"/>
    </row>
    <row r="12249" spans="16:16">
      <c r="P12249" s="594"/>
    </row>
    <row r="12250" spans="16:16">
      <c r="P12250" s="594"/>
    </row>
    <row r="12251" spans="16:16">
      <c r="P12251" s="594"/>
    </row>
    <row r="12252" spans="16:16">
      <c r="P12252" s="594"/>
    </row>
    <row r="12253" spans="16:16">
      <c r="P12253" s="594"/>
    </row>
    <row r="12254" spans="16:16">
      <c r="P12254" s="594"/>
    </row>
    <row r="12255" spans="16:16">
      <c r="P12255" s="594"/>
    </row>
    <row r="12256" spans="16:16">
      <c r="P12256" s="594"/>
    </row>
    <row r="12257" spans="16:16">
      <c r="P12257" s="594"/>
    </row>
    <row r="12258" spans="16:16">
      <c r="P12258" s="594"/>
    </row>
    <row r="12259" spans="16:16">
      <c r="P12259" s="594"/>
    </row>
    <row r="12260" spans="16:16">
      <c r="P12260" s="594"/>
    </row>
    <row r="12261" spans="16:16">
      <c r="P12261" s="594"/>
    </row>
    <row r="12262" spans="16:16">
      <c r="P12262" s="594"/>
    </row>
    <row r="12263" spans="16:16">
      <c r="P12263" s="594"/>
    </row>
    <row r="12264" spans="16:16">
      <c r="P12264" s="594"/>
    </row>
    <row r="12265" spans="16:16">
      <c r="P12265" s="594"/>
    </row>
    <row r="12266" spans="16:16">
      <c r="P12266" s="594"/>
    </row>
    <row r="12267" spans="16:16">
      <c r="P12267" s="594"/>
    </row>
    <row r="12268" spans="16:16">
      <c r="P12268" s="594"/>
    </row>
    <row r="12269" spans="16:16">
      <c r="P12269" s="594"/>
    </row>
    <row r="12270" spans="16:16">
      <c r="P12270" s="594"/>
    </row>
    <row r="12271" spans="16:16">
      <c r="P12271" s="594"/>
    </row>
    <row r="12272" spans="16:16">
      <c r="P12272" s="594"/>
    </row>
    <row r="12273" spans="16:16">
      <c r="P12273" s="594"/>
    </row>
    <row r="12274" spans="16:16">
      <c r="P12274" s="594"/>
    </row>
    <row r="12275" spans="16:16">
      <c r="P12275" s="594"/>
    </row>
    <row r="12276" spans="16:16">
      <c r="P12276" s="594"/>
    </row>
    <row r="12277" spans="16:16">
      <c r="P12277" s="594"/>
    </row>
    <row r="12278" spans="16:16">
      <c r="P12278" s="594"/>
    </row>
    <row r="12279" spans="16:16">
      <c r="P12279" s="594"/>
    </row>
    <row r="12280" spans="16:16">
      <c r="P12280" s="594"/>
    </row>
    <row r="12281" spans="16:16">
      <c r="P12281" s="594"/>
    </row>
    <row r="12282" spans="16:16">
      <c r="P12282" s="594"/>
    </row>
    <row r="12283" spans="16:16">
      <c r="P12283" s="594"/>
    </row>
    <row r="12284" spans="16:16">
      <c r="P12284" s="594"/>
    </row>
    <row r="12285" spans="16:16">
      <c r="P12285" s="594"/>
    </row>
    <row r="12286" spans="16:16">
      <c r="P12286" s="594"/>
    </row>
    <row r="12287" spans="16:16">
      <c r="P12287" s="594"/>
    </row>
    <row r="12288" spans="16:16">
      <c r="P12288" s="594"/>
    </row>
    <row r="12289" spans="16:16">
      <c r="P12289" s="594"/>
    </row>
    <row r="12290" spans="16:16">
      <c r="P12290" s="594"/>
    </row>
    <row r="12291" spans="16:16">
      <c r="P12291" s="594"/>
    </row>
    <row r="12292" spans="16:16">
      <c r="P12292" s="594"/>
    </row>
    <row r="12293" spans="16:16">
      <c r="P12293" s="594"/>
    </row>
    <row r="12294" spans="16:16">
      <c r="P12294" s="594"/>
    </row>
    <row r="12295" spans="16:16">
      <c r="P12295" s="594"/>
    </row>
    <row r="12296" spans="16:16">
      <c r="P12296" s="594"/>
    </row>
    <row r="12297" spans="16:16">
      <c r="P12297" s="594"/>
    </row>
    <row r="12298" spans="16:16">
      <c r="P12298" s="594"/>
    </row>
    <row r="12299" spans="16:16">
      <c r="P12299" s="594"/>
    </row>
    <row r="12300" spans="16:16">
      <c r="P12300" s="594"/>
    </row>
    <row r="12301" spans="16:16">
      <c r="P12301" s="594"/>
    </row>
    <row r="12302" spans="16:16">
      <c r="P12302" s="594"/>
    </row>
    <row r="12303" spans="16:16">
      <c r="P12303" s="594"/>
    </row>
    <row r="12304" spans="16:16">
      <c r="P12304" s="594"/>
    </row>
    <row r="12305" spans="16:16">
      <c r="P12305" s="594"/>
    </row>
    <row r="12306" spans="16:16">
      <c r="P12306" s="594"/>
    </row>
    <row r="12307" spans="16:16">
      <c r="P12307" s="594"/>
    </row>
    <row r="12308" spans="16:16">
      <c r="P12308" s="594"/>
    </row>
    <row r="12309" spans="16:16">
      <c r="P12309" s="594"/>
    </row>
    <row r="12310" spans="16:16">
      <c r="P12310" s="594"/>
    </row>
    <row r="12311" spans="16:16">
      <c r="P12311" s="594"/>
    </row>
    <row r="12312" spans="16:16">
      <c r="P12312" s="594"/>
    </row>
    <row r="12313" spans="16:16">
      <c r="P12313" s="594"/>
    </row>
    <row r="12314" spans="16:16">
      <c r="P12314" s="594"/>
    </row>
    <row r="12315" spans="16:16">
      <c r="P12315" s="594"/>
    </row>
    <row r="12316" spans="16:16">
      <c r="P12316" s="594"/>
    </row>
    <row r="12317" spans="16:16">
      <c r="P12317" s="594"/>
    </row>
    <row r="12318" spans="16:16">
      <c r="P12318" s="594"/>
    </row>
    <row r="12319" spans="16:16">
      <c r="P12319" s="594"/>
    </row>
    <row r="12320" spans="16:16">
      <c r="P12320" s="594"/>
    </row>
    <row r="12321" spans="16:16">
      <c r="P12321" s="594"/>
    </row>
    <row r="12322" spans="16:16">
      <c r="P12322" s="594"/>
    </row>
    <row r="12323" spans="16:16">
      <c r="P12323" s="594"/>
    </row>
    <row r="12324" spans="16:16">
      <c r="P12324" s="594"/>
    </row>
    <row r="12325" spans="16:16">
      <c r="P12325" s="594"/>
    </row>
    <row r="12326" spans="16:16">
      <c r="P12326" s="594"/>
    </row>
    <row r="12327" spans="16:16">
      <c r="P12327" s="594"/>
    </row>
    <row r="12328" spans="16:16">
      <c r="P12328" s="594"/>
    </row>
    <row r="12329" spans="16:16">
      <c r="P12329" s="594"/>
    </row>
    <row r="12330" spans="16:16">
      <c r="P12330" s="594"/>
    </row>
    <row r="12331" spans="16:16">
      <c r="P12331" s="594"/>
    </row>
    <row r="12332" spans="16:16">
      <c r="P12332" s="594"/>
    </row>
    <row r="12333" spans="16:16">
      <c r="P12333" s="594"/>
    </row>
    <row r="12334" spans="16:16">
      <c r="P12334" s="594"/>
    </row>
    <row r="12335" spans="16:16">
      <c r="P12335" s="594"/>
    </row>
    <row r="12336" spans="16:16">
      <c r="P12336" s="594"/>
    </row>
    <row r="12337" spans="16:16">
      <c r="P12337" s="594"/>
    </row>
    <row r="12338" spans="16:16">
      <c r="P12338" s="594"/>
    </row>
    <row r="12339" spans="16:16">
      <c r="P12339" s="594"/>
    </row>
    <row r="12340" spans="16:16">
      <c r="P12340" s="594"/>
    </row>
    <row r="12341" spans="16:16">
      <c r="P12341" s="594"/>
    </row>
    <row r="12342" spans="16:16">
      <c r="P12342" s="594"/>
    </row>
    <row r="12343" spans="16:16">
      <c r="P12343" s="594"/>
    </row>
    <row r="12344" spans="16:16">
      <c r="P12344" s="594"/>
    </row>
    <row r="12345" spans="16:16">
      <c r="P12345" s="594"/>
    </row>
    <row r="12346" spans="16:16">
      <c r="P12346" s="594"/>
    </row>
    <row r="12347" spans="16:16">
      <c r="P12347" s="594"/>
    </row>
    <row r="12348" spans="16:16">
      <c r="P12348" s="594"/>
    </row>
    <row r="12349" spans="16:16">
      <c r="P12349" s="594"/>
    </row>
    <row r="12350" spans="16:16">
      <c r="P12350" s="594"/>
    </row>
    <row r="12351" spans="16:16">
      <c r="P12351" s="594"/>
    </row>
    <row r="12352" spans="16:16">
      <c r="P12352" s="594"/>
    </row>
    <row r="12353" spans="16:16">
      <c r="P12353" s="594"/>
    </row>
    <row r="12354" spans="16:16">
      <c r="P12354" s="594"/>
    </row>
    <row r="12355" spans="16:16">
      <c r="P12355" s="594"/>
    </row>
    <row r="12356" spans="16:16">
      <c r="P12356" s="594"/>
    </row>
    <row r="12357" spans="16:16">
      <c r="P12357" s="594"/>
    </row>
    <row r="12358" spans="16:16">
      <c r="P12358" s="594"/>
    </row>
    <row r="12359" spans="16:16">
      <c r="P12359" s="594"/>
    </row>
    <row r="12360" spans="16:16">
      <c r="P12360" s="594"/>
    </row>
    <row r="12361" spans="16:16">
      <c r="P12361" s="594"/>
    </row>
    <row r="12362" spans="16:16">
      <c r="P12362" s="594"/>
    </row>
    <row r="12363" spans="16:16">
      <c r="P12363" s="594"/>
    </row>
    <row r="12364" spans="16:16">
      <c r="P12364" s="594"/>
    </row>
    <row r="12365" spans="16:16">
      <c r="P12365" s="594"/>
    </row>
    <row r="12366" spans="16:16">
      <c r="P12366" s="594"/>
    </row>
    <row r="12367" spans="16:16">
      <c r="P12367" s="594"/>
    </row>
    <row r="12368" spans="16:16">
      <c r="P12368" s="594"/>
    </row>
    <row r="12369" spans="16:16">
      <c r="P12369" s="594"/>
    </row>
    <row r="12370" spans="16:16">
      <c r="P12370" s="594"/>
    </row>
    <row r="12371" spans="16:16">
      <c r="P12371" s="594"/>
    </row>
    <row r="12372" spans="16:16">
      <c r="P12372" s="594"/>
    </row>
    <row r="12373" spans="16:16">
      <c r="P12373" s="594"/>
    </row>
    <row r="12374" spans="16:16">
      <c r="P12374" s="594"/>
    </row>
    <row r="12375" spans="16:16">
      <c r="P12375" s="594"/>
    </row>
    <row r="12376" spans="16:16">
      <c r="P12376" s="594"/>
    </row>
    <row r="12377" spans="16:16">
      <c r="P12377" s="594"/>
    </row>
    <row r="12378" spans="16:16">
      <c r="P12378" s="594"/>
    </row>
    <row r="12379" spans="16:16">
      <c r="P12379" s="594"/>
    </row>
    <row r="12380" spans="16:16">
      <c r="P12380" s="594"/>
    </row>
    <row r="12381" spans="16:16">
      <c r="P12381" s="594"/>
    </row>
    <row r="12382" spans="16:16">
      <c r="P12382" s="594"/>
    </row>
    <row r="12383" spans="16:16">
      <c r="P12383" s="594"/>
    </row>
    <row r="12384" spans="16:16">
      <c r="P12384" s="594"/>
    </row>
    <row r="12385" spans="16:16">
      <c r="P12385" s="594"/>
    </row>
    <row r="12386" spans="16:16">
      <c r="P12386" s="594"/>
    </row>
    <row r="12387" spans="16:16">
      <c r="P12387" s="594"/>
    </row>
    <row r="12388" spans="16:16">
      <c r="P12388" s="594"/>
    </row>
    <row r="12389" spans="16:16">
      <c r="P12389" s="594"/>
    </row>
    <row r="12390" spans="16:16">
      <c r="P12390" s="594"/>
    </row>
    <row r="12391" spans="16:16">
      <c r="P12391" s="594"/>
    </row>
    <row r="12392" spans="16:16">
      <c r="P12392" s="594"/>
    </row>
    <row r="12393" spans="16:16">
      <c r="P12393" s="594"/>
    </row>
    <row r="12394" spans="16:16">
      <c r="P12394" s="594"/>
    </row>
    <row r="12395" spans="16:16">
      <c r="P12395" s="594"/>
    </row>
    <row r="12396" spans="16:16">
      <c r="P12396" s="594"/>
    </row>
    <row r="12397" spans="16:16">
      <c r="P12397" s="594"/>
    </row>
    <row r="12398" spans="16:16">
      <c r="P12398" s="594"/>
    </row>
    <row r="12399" spans="16:16">
      <c r="P12399" s="594"/>
    </row>
    <row r="12400" spans="16:16">
      <c r="P12400" s="594"/>
    </row>
    <row r="12401" spans="16:16">
      <c r="P12401" s="594"/>
    </row>
    <row r="12402" spans="16:16">
      <c r="P12402" s="594"/>
    </row>
    <row r="12403" spans="16:16">
      <c r="P12403" s="594"/>
    </row>
    <row r="12404" spans="16:16">
      <c r="P12404" s="594"/>
    </row>
    <row r="12405" spans="16:16">
      <c r="P12405" s="594"/>
    </row>
    <row r="12406" spans="16:16">
      <c r="P12406" s="594"/>
    </row>
    <row r="12407" spans="16:16">
      <c r="P12407" s="594"/>
    </row>
    <row r="12408" spans="16:16">
      <c r="P12408" s="594"/>
    </row>
    <row r="12409" spans="16:16">
      <c r="P12409" s="594"/>
    </row>
    <row r="12410" spans="16:16">
      <c r="P12410" s="594"/>
    </row>
    <row r="12411" spans="16:16">
      <c r="P12411" s="594"/>
    </row>
    <row r="12412" spans="16:16">
      <c r="P12412" s="594"/>
    </row>
    <row r="12413" spans="16:16">
      <c r="P12413" s="594"/>
    </row>
    <row r="12414" spans="16:16">
      <c r="P12414" s="594"/>
    </row>
    <row r="12415" spans="16:16">
      <c r="P12415" s="594"/>
    </row>
    <row r="12416" spans="16:16">
      <c r="P12416" s="594"/>
    </row>
    <row r="12417" spans="16:16">
      <c r="P12417" s="594"/>
    </row>
    <row r="12418" spans="16:16">
      <c r="P12418" s="594"/>
    </row>
    <row r="12419" spans="16:16">
      <c r="P12419" s="594"/>
    </row>
    <row r="12420" spans="16:16">
      <c r="P12420" s="594"/>
    </row>
    <row r="12421" spans="16:16">
      <c r="P12421" s="594"/>
    </row>
    <row r="12422" spans="16:16">
      <c r="P12422" s="594"/>
    </row>
    <row r="12423" spans="16:16">
      <c r="P12423" s="594"/>
    </row>
    <row r="12424" spans="16:16">
      <c r="P12424" s="594"/>
    </row>
    <row r="12425" spans="16:16">
      <c r="P12425" s="594"/>
    </row>
    <row r="12426" spans="16:16">
      <c r="P12426" s="594"/>
    </row>
    <row r="12427" spans="16:16">
      <c r="P12427" s="594"/>
    </row>
    <row r="12428" spans="16:16">
      <c r="P12428" s="594"/>
    </row>
    <row r="12429" spans="16:16">
      <c r="P12429" s="594"/>
    </row>
    <row r="12430" spans="16:16">
      <c r="P12430" s="594"/>
    </row>
    <row r="12431" spans="16:16">
      <c r="P12431" s="594"/>
    </row>
    <row r="12432" spans="16:16">
      <c r="P12432" s="594"/>
    </row>
    <row r="12433" spans="16:16">
      <c r="P12433" s="594"/>
    </row>
    <row r="12434" spans="16:16">
      <c r="P12434" s="594"/>
    </row>
    <row r="12435" spans="16:16">
      <c r="P12435" s="594"/>
    </row>
    <row r="12436" spans="16:16">
      <c r="P12436" s="594"/>
    </row>
    <row r="12437" spans="16:16">
      <c r="P12437" s="594"/>
    </row>
    <row r="12438" spans="16:16">
      <c r="P12438" s="594"/>
    </row>
    <row r="12439" spans="16:16">
      <c r="P12439" s="594"/>
    </row>
    <row r="12440" spans="16:16">
      <c r="P12440" s="594"/>
    </row>
    <row r="12441" spans="16:16">
      <c r="P12441" s="594"/>
    </row>
    <row r="12442" spans="16:16">
      <c r="P12442" s="594"/>
    </row>
    <row r="12443" spans="16:16">
      <c r="P12443" s="594"/>
    </row>
    <row r="12444" spans="16:16">
      <c r="P12444" s="594"/>
    </row>
    <row r="12445" spans="16:16">
      <c r="P12445" s="594"/>
    </row>
    <row r="12446" spans="16:16">
      <c r="P12446" s="594"/>
    </row>
    <row r="12447" spans="16:16">
      <c r="P12447" s="594"/>
    </row>
    <row r="12448" spans="16:16">
      <c r="P12448" s="594"/>
    </row>
    <row r="12449" spans="16:16">
      <c r="P12449" s="594"/>
    </row>
    <row r="12450" spans="16:16">
      <c r="P12450" s="594"/>
    </row>
    <row r="12451" spans="16:16">
      <c r="P12451" s="594"/>
    </row>
    <row r="12452" spans="16:16">
      <c r="P12452" s="594"/>
    </row>
    <row r="12453" spans="16:16">
      <c r="P12453" s="594"/>
    </row>
    <row r="12454" spans="16:16">
      <c r="P12454" s="594"/>
    </row>
    <row r="12455" spans="16:16">
      <c r="P12455" s="594"/>
    </row>
    <row r="12456" spans="16:16">
      <c r="P12456" s="594"/>
    </row>
    <row r="12457" spans="16:16">
      <c r="P12457" s="594"/>
    </row>
    <row r="12458" spans="16:16">
      <c r="P12458" s="594"/>
    </row>
    <row r="12459" spans="16:16">
      <c r="P12459" s="594"/>
    </row>
    <row r="12460" spans="16:16">
      <c r="P12460" s="594"/>
    </row>
    <row r="12461" spans="16:16">
      <c r="P12461" s="594"/>
    </row>
    <row r="12462" spans="16:16">
      <c r="P12462" s="594"/>
    </row>
    <row r="12463" spans="16:16">
      <c r="P12463" s="594"/>
    </row>
    <row r="12464" spans="16:16">
      <c r="P12464" s="594"/>
    </row>
    <row r="12465" spans="16:16">
      <c r="P12465" s="594"/>
    </row>
    <row r="12466" spans="16:16">
      <c r="P12466" s="594"/>
    </row>
    <row r="12467" spans="16:16">
      <c r="P12467" s="594"/>
    </row>
    <row r="12468" spans="16:16">
      <c r="P12468" s="594"/>
    </row>
    <row r="12469" spans="16:16">
      <c r="P12469" s="594"/>
    </row>
    <row r="12470" spans="16:16">
      <c r="P12470" s="594"/>
    </row>
    <row r="12471" spans="16:16">
      <c r="P12471" s="594"/>
    </row>
    <row r="12472" spans="16:16">
      <c r="P12472" s="594"/>
    </row>
    <row r="12473" spans="16:16">
      <c r="P12473" s="594"/>
    </row>
    <row r="12474" spans="16:16">
      <c r="P12474" s="594"/>
    </row>
    <row r="12475" spans="16:16">
      <c r="P12475" s="594"/>
    </row>
    <row r="12476" spans="16:16">
      <c r="P12476" s="594"/>
    </row>
    <row r="12477" spans="16:16">
      <c r="P12477" s="594"/>
    </row>
    <row r="12478" spans="16:16">
      <c r="P12478" s="594"/>
    </row>
    <row r="12479" spans="16:16">
      <c r="P12479" s="594"/>
    </row>
    <row r="12480" spans="16:16">
      <c r="P12480" s="594"/>
    </row>
    <row r="12481" spans="16:16">
      <c r="P12481" s="594"/>
    </row>
    <row r="12482" spans="16:16">
      <c r="P12482" s="594"/>
    </row>
    <row r="12483" spans="16:16">
      <c r="P12483" s="594"/>
    </row>
    <row r="12484" spans="16:16">
      <c r="P12484" s="594"/>
    </row>
    <row r="12485" spans="16:16">
      <c r="P12485" s="594"/>
    </row>
    <row r="12486" spans="16:16">
      <c r="P12486" s="594"/>
    </row>
    <row r="12487" spans="16:16">
      <c r="P12487" s="594"/>
    </row>
    <row r="12488" spans="16:16">
      <c r="P12488" s="594"/>
    </row>
    <row r="12489" spans="16:16">
      <c r="P12489" s="594"/>
    </row>
    <row r="12490" spans="16:16">
      <c r="P12490" s="594"/>
    </row>
    <row r="12491" spans="16:16">
      <c r="P12491" s="594"/>
    </row>
    <row r="12492" spans="16:16">
      <c r="P12492" s="594"/>
    </row>
    <row r="12493" spans="16:16">
      <c r="P12493" s="594"/>
    </row>
    <row r="12494" spans="16:16">
      <c r="P12494" s="594"/>
    </row>
    <row r="12495" spans="16:16">
      <c r="P12495" s="594"/>
    </row>
    <row r="12496" spans="16:16">
      <c r="P12496" s="594"/>
    </row>
    <row r="12497" spans="16:16">
      <c r="P12497" s="594"/>
    </row>
    <row r="12498" spans="16:16">
      <c r="P12498" s="594"/>
    </row>
    <row r="12499" spans="16:16">
      <c r="P12499" s="594"/>
    </row>
    <row r="12500" spans="16:16">
      <c r="P12500" s="594"/>
    </row>
    <row r="12501" spans="16:16">
      <c r="P12501" s="594"/>
    </row>
    <row r="12502" spans="16:16">
      <c r="P12502" s="594"/>
    </row>
    <row r="12503" spans="16:16">
      <c r="P12503" s="594"/>
    </row>
    <row r="12504" spans="16:16">
      <c r="P12504" s="594"/>
    </row>
    <row r="12505" spans="16:16">
      <c r="P12505" s="594"/>
    </row>
    <row r="12506" spans="16:16">
      <c r="P12506" s="594"/>
    </row>
    <row r="12507" spans="16:16">
      <c r="P12507" s="594"/>
    </row>
    <row r="12508" spans="16:16">
      <c r="P12508" s="594"/>
    </row>
    <row r="12509" spans="16:16">
      <c r="P12509" s="594"/>
    </row>
    <row r="12510" spans="16:16">
      <c r="P12510" s="594"/>
    </row>
    <row r="12511" spans="16:16">
      <c r="P12511" s="594"/>
    </row>
    <row r="12512" spans="16:16">
      <c r="P12512" s="594"/>
    </row>
    <row r="12513" spans="16:16">
      <c r="P12513" s="594"/>
    </row>
    <row r="12514" spans="16:16">
      <c r="P12514" s="594"/>
    </row>
    <row r="12515" spans="16:16">
      <c r="P12515" s="594"/>
    </row>
    <row r="12516" spans="16:16">
      <c r="P12516" s="594"/>
    </row>
    <row r="12517" spans="16:16">
      <c r="P12517" s="594"/>
    </row>
    <row r="12518" spans="16:16">
      <c r="P12518" s="594"/>
    </row>
    <row r="12519" spans="16:16">
      <c r="P12519" s="594"/>
    </row>
    <row r="12520" spans="16:16">
      <c r="P12520" s="594"/>
    </row>
    <row r="12521" spans="16:16">
      <c r="P12521" s="594"/>
    </row>
    <row r="12522" spans="16:16">
      <c r="P12522" s="594"/>
    </row>
    <row r="12523" spans="16:16">
      <c r="P12523" s="594"/>
    </row>
    <row r="12524" spans="16:16">
      <c r="P12524" s="594"/>
    </row>
    <row r="12525" spans="16:16">
      <c r="P12525" s="594"/>
    </row>
    <row r="12526" spans="16:16">
      <c r="P12526" s="594"/>
    </row>
    <row r="12527" spans="16:16">
      <c r="P12527" s="594"/>
    </row>
    <row r="12528" spans="16:16">
      <c r="P12528" s="594"/>
    </row>
    <row r="12529" spans="16:16">
      <c r="P12529" s="594"/>
    </row>
    <row r="12530" spans="16:16">
      <c r="P12530" s="594"/>
    </row>
    <row r="12531" spans="16:16">
      <c r="P12531" s="594"/>
    </row>
    <row r="12532" spans="16:16">
      <c r="P12532" s="594"/>
    </row>
    <row r="12533" spans="16:16">
      <c r="P12533" s="594"/>
    </row>
    <row r="12534" spans="16:16">
      <c r="P12534" s="594"/>
    </row>
    <row r="12535" spans="16:16">
      <c r="P12535" s="594"/>
    </row>
    <row r="12536" spans="16:16">
      <c r="P12536" s="594"/>
    </row>
    <row r="12537" spans="16:16">
      <c r="P12537" s="594"/>
    </row>
    <row r="12538" spans="16:16">
      <c r="P12538" s="594"/>
    </row>
    <row r="12539" spans="16:16">
      <c r="P12539" s="594"/>
    </row>
    <row r="12540" spans="16:16">
      <c r="P12540" s="594"/>
    </row>
    <row r="12541" spans="16:16">
      <c r="P12541" s="594"/>
    </row>
    <row r="12542" spans="16:16">
      <c r="P12542" s="594"/>
    </row>
    <row r="12543" spans="16:16">
      <c r="P12543" s="594"/>
    </row>
    <row r="12544" spans="16:16">
      <c r="P12544" s="594"/>
    </row>
    <row r="12545" spans="16:16">
      <c r="P12545" s="594"/>
    </row>
    <row r="12546" spans="16:16">
      <c r="P12546" s="594"/>
    </row>
    <row r="12547" spans="16:16">
      <c r="P12547" s="594"/>
    </row>
    <row r="12548" spans="16:16">
      <c r="P12548" s="594"/>
    </row>
    <row r="12549" spans="16:16">
      <c r="P12549" s="594"/>
    </row>
    <row r="12550" spans="16:16">
      <c r="P12550" s="594"/>
    </row>
    <row r="12551" spans="16:16">
      <c r="P12551" s="594"/>
    </row>
    <row r="12552" spans="16:16">
      <c r="P12552" s="594"/>
    </row>
    <row r="12553" spans="16:16">
      <c r="P12553" s="594"/>
    </row>
    <row r="12554" spans="16:16">
      <c r="P12554" s="594"/>
    </row>
    <row r="12555" spans="16:16">
      <c r="P12555" s="594"/>
    </row>
    <row r="12556" spans="16:16">
      <c r="P12556" s="594"/>
    </row>
    <row r="12557" spans="16:16">
      <c r="P12557" s="594"/>
    </row>
    <row r="12558" spans="16:16">
      <c r="P12558" s="594"/>
    </row>
    <row r="12559" spans="16:16">
      <c r="P12559" s="594"/>
    </row>
    <row r="12560" spans="16:16">
      <c r="P12560" s="594"/>
    </row>
    <row r="12561" spans="16:16">
      <c r="P12561" s="594"/>
    </row>
    <row r="12562" spans="16:16">
      <c r="P12562" s="594"/>
    </row>
    <row r="12563" spans="16:16">
      <c r="P12563" s="594"/>
    </row>
    <row r="12564" spans="16:16">
      <c r="P12564" s="594"/>
    </row>
    <row r="12565" spans="16:16">
      <c r="P12565" s="594"/>
    </row>
    <row r="12566" spans="16:16">
      <c r="P12566" s="594"/>
    </row>
    <row r="12567" spans="16:16">
      <c r="P12567" s="594"/>
    </row>
    <row r="12568" spans="16:16">
      <c r="P12568" s="594"/>
    </row>
    <row r="12569" spans="16:16">
      <c r="P12569" s="594"/>
    </row>
    <row r="12570" spans="16:16">
      <c r="P12570" s="594"/>
    </row>
    <row r="12571" spans="16:16">
      <c r="P12571" s="594"/>
    </row>
    <row r="12572" spans="16:16">
      <c r="P12572" s="594"/>
    </row>
    <row r="12573" spans="16:16">
      <c r="P12573" s="594"/>
    </row>
    <row r="12574" spans="16:16">
      <c r="P12574" s="594"/>
    </row>
    <row r="12575" spans="16:16">
      <c r="P12575" s="594"/>
    </row>
    <row r="12576" spans="16:16">
      <c r="P12576" s="594"/>
    </row>
    <row r="12577" spans="16:16">
      <c r="P12577" s="594"/>
    </row>
    <row r="12578" spans="16:16">
      <c r="P12578" s="594"/>
    </row>
    <row r="12579" spans="16:16">
      <c r="P12579" s="594"/>
    </row>
    <row r="12580" spans="16:16">
      <c r="P12580" s="594"/>
    </row>
    <row r="12581" spans="16:16">
      <c r="P12581" s="594"/>
    </row>
    <row r="12582" spans="16:16">
      <c r="P12582" s="594"/>
    </row>
    <row r="12583" spans="16:16">
      <c r="P12583" s="594"/>
    </row>
    <row r="12584" spans="16:16">
      <c r="P12584" s="594"/>
    </row>
    <row r="12585" spans="16:16">
      <c r="P12585" s="594"/>
    </row>
    <row r="12586" spans="16:16">
      <c r="P12586" s="594"/>
    </row>
    <row r="12587" spans="16:16">
      <c r="P12587" s="594"/>
    </row>
    <row r="12588" spans="16:16">
      <c r="P12588" s="594"/>
    </row>
    <row r="12589" spans="16:16">
      <c r="P12589" s="594"/>
    </row>
    <row r="12590" spans="16:16">
      <c r="P12590" s="594"/>
    </row>
    <row r="12591" spans="16:16">
      <c r="P12591" s="594"/>
    </row>
    <row r="12592" spans="16:16">
      <c r="P12592" s="594"/>
    </row>
    <row r="12593" spans="16:16">
      <c r="P12593" s="594"/>
    </row>
    <row r="12594" spans="16:16">
      <c r="P12594" s="594"/>
    </row>
    <row r="12595" spans="16:16">
      <c r="P12595" s="594"/>
    </row>
    <row r="12596" spans="16:16">
      <c r="P12596" s="594"/>
    </row>
    <row r="12597" spans="16:16">
      <c r="P12597" s="594"/>
    </row>
    <row r="12598" spans="16:16">
      <c r="P12598" s="594"/>
    </row>
    <row r="12599" spans="16:16">
      <c r="P12599" s="594"/>
    </row>
    <row r="12600" spans="16:16">
      <c r="P12600" s="594"/>
    </row>
    <row r="12601" spans="16:16">
      <c r="P12601" s="594"/>
    </row>
    <row r="12602" spans="16:16">
      <c r="P12602" s="594"/>
    </row>
    <row r="12603" spans="16:16">
      <c r="P12603" s="594"/>
    </row>
    <row r="12604" spans="16:16">
      <c r="P12604" s="594"/>
    </row>
    <row r="12605" spans="16:16">
      <c r="P12605" s="594"/>
    </row>
    <row r="12606" spans="16:16">
      <c r="P12606" s="594"/>
    </row>
    <row r="12607" spans="16:16">
      <c r="P12607" s="594"/>
    </row>
    <row r="12608" spans="16:16">
      <c r="P12608" s="594"/>
    </row>
    <row r="12609" spans="16:16">
      <c r="P12609" s="594"/>
    </row>
    <row r="12610" spans="16:16">
      <c r="P12610" s="594"/>
    </row>
    <row r="12611" spans="16:16">
      <c r="P12611" s="594"/>
    </row>
    <row r="12612" spans="16:16">
      <c r="P12612" s="594"/>
    </row>
    <row r="12613" spans="16:16">
      <c r="P12613" s="594"/>
    </row>
    <row r="12614" spans="16:16">
      <c r="P12614" s="594"/>
    </row>
    <row r="12615" spans="16:16">
      <c r="P12615" s="594"/>
    </row>
    <row r="12616" spans="16:16">
      <c r="P12616" s="594"/>
    </row>
    <row r="12617" spans="16:16">
      <c r="P12617" s="594"/>
    </row>
    <row r="12618" spans="16:16">
      <c r="P12618" s="594"/>
    </row>
    <row r="12619" spans="16:16">
      <c r="P12619" s="594"/>
    </row>
    <row r="12620" spans="16:16">
      <c r="P12620" s="594"/>
    </row>
    <row r="12621" spans="16:16">
      <c r="P12621" s="594"/>
    </row>
    <row r="12622" spans="16:16">
      <c r="P12622" s="594"/>
    </row>
    <row r="12623" spans="16:16">
      <c r="P12623" s="594"/>
    </row>
    <row r="12624" spans="16:16">
      <c r="P12624" s="594"/>
    </row>
    <row r="12625" spans="16:16">
      <c r="P12625" s="594"/>
    </row>
    <row r="12626" spans="16:16">
      <c r="P12626" s="594"/>
    </row>
    <row r="12627" spans="16:16">
      <c r="P12627" s="594"/>
    </row>
    <row r="12628" spans="16:16">
      <c r="P12628" s="594"/>
    </row>
    <row r="12629" spans="16:16">
      <c r="P12629" s="594"/>
    </row>
    <row r="12630" spans="16:16">
      <c r="P12630" s="594"/>
    </row>
    <row r="12631" spans="16:16">
      <c r="P12631" s="594"/>
    </row>
    <row r="12632" spans="16:16">
      <c r="P12632" s="594"/>
    </row>
    <row r="12633" spans="16:16">
      <c r="P12633" s="594"/>
    </row>
    <row r="12634" spans="16:16">
      <c r="P12634" s="594"/>
    </row>
    <row r="12635" spans="16:16">
      <c r="P12635" s="594"/>
    </row>
    <row r="12636" spans="16:16">
      <c r="P12636" s="594"/>
    </row>
    <row r="12637" spans="16:16">
      <c r="P12637" s="594"/>
    </row>
    <row r="12638" spans="16:16">
      <c r="P12638" s="594"/>
    </row>
    <row r="12639" spans="16:16">
      <c r="P12639" s="594"/>
    </row>
    <row r="12640" spans="16:16">
      <c r="P12640" s="594"/>
    </row>
    <row r="12641" spans="16:16">
      <c r="P12641" s="594"/>
    </row>
    <row r="12642" spans="16:16">
      <c r="P12642" s="594"/>
    </row>
    <row r="12643" spans="16:16">
      <c r="P12643" s="594"/>
    </row>
    <row r="12644" spans="16:16">
      <c r="P12644" s="594"/>
    </row>
    <row r="12645" spans="16:16">
      <c r="P12645" s="594"/>
    </row>
    <row r="12646" spans="16:16">
      <c r="P12646" s="594"/>
    </row>
    <row r="12647" spans="16:16">
      <c r="P12647" s="594"/>
    </row>
    <row r="12648" spans="16:16">
      <c r="P12648" s="594"/>
    </row>
    <row r="12649" spans="16:16">
      <c r="P12649" s="594"/>
    </row>
    <row r="12650" spans="16:16">
      <c r="P12650" s="594"/>
    </row>
    <row r="12651" spans="16:16">
      <c r="P12651" s="594"/>
    </row>
    <row r="12652" spans="16:16">
      <c r="P12652" s="594"/>
    </row>
    <row r="12653" spans="16:16">
      <c r="P12653" s="594"/>
    </row>
    <row r="12654" spans="16:16">
      <c r="P12654" s="594"/>
    </row>
    <row r="12655" spans="16:16">
      <c r="P12655" s="594"/>
    </row>
    <row r="12656" spans="16:16">
      <c r="P12656" s="594"/>
    </row>
    <row r="12657" spans="16:16">
      <c r="P12657" s="594"/>
    </row>
    <row r="12658" spans="16:16">
      <c r="P12658" s="594"/>
    </row>
    <row r="12659" spans="16:16">
      <c r="P12659" s="594"/>
    </row>
    <row r="12660" spans="16:16">
      <c r="P12660" s="594"/>
    </row>
    <row r="12661" spans="16:16">
      <c r="P12661" s="594"/>
    </row>
    <row r="12662" spans="16:16">
      <c r="P12662" s="594"/>
    </row>
    <row r="12663" spans="16:16">
      <c r="P12663" s="594"/>
    </row>
    <row r="12664" spans="16:16">
      <c r="P12664" s="594"/>
    </row>
    <row r="12665" spans="16:16">
      <c r="P12665" s="594"/>
    </row>
    <row r="12666" spans="16:16">
      <c r="P12666" s="594"/>
    </row>
    <row r="12667" spans="16:16">
      <c r="P12667" s="594"/>
    </row>
    <row r="12668" spans="16:16">
      <c r="P12668" s="594"/>
    </row>
    <row r="12669" spans="16:16">
      <c r="P12669" s="594"/>
    </row>
    <row r="12670" spans="16:16">
      <c r="P12670" s="594"/>
    </row>
    <row r="12671" spans="16:16">
      <c r="P12671" s="594"/>
    </row>
    <row r="12672" spans="16:16">
      <c r="P12672" s="594"/>
    </row>
    <row r="12673" spans="16:16">
      <c r="P12673" s="594"/>
    </row>
    <row r="12674" spans="16:16">
      <c r="P12674" s="594"/>
    </row>
    <row r="12675" spans="16:16">
      <c r="P12675" s="594"/>
    </row>
    <row r="12676" spans="16:16">
      <c r="P12676" s="594"/>
    </row>
    <row r="12677" spans="16:16">
      <c r="P12677" s="594"/>
    </row>
    <row r="12678" spans="16:16">
      <c r="P12678" s="594"/>
    </row>
    <row r="12679" spans="16:16">
      <c r="P12679" s="594"/>
    </row>
    <row r="12680" spans="16:16">
      <c r="P12680" s="594"/>
    </row>
    <row r="12681" spans="16:16">
      <c r="P12681" s="594"/>
    </row>
    <row r="12682" spans="16:16">
      <c r="P12682" s="594"/>
    </row>
    <row r="12683" spans="16:16">
      <c r="P12683" s="594"/>
    </row>
    <row r="12684" spans="16:16">
      <c r="P12684" s="594"/>
    </row>
    <row r="12685" spans="16:16">
      <c r="P12685" s="594"/>
    </row>
    <row r="12686" spans="16:16">
      <c r="P12686" s="594"/>
    </row>
    <row r="12687" spans="16:16">
      <c r="P12687" s="594"/>
    </row>
    <row r="12688" spans="16:16">
      <c r="P12688" s="594"/>
    </row>
    <row r="12689" spans="16:16">
      <c r="P12689" s="594"/>
    </row>
    <row r="12690" spans="16:16">
      <c r="P12690" s="594"/>
    </row>
    <row r="12691" spans="16:16">
      <c r="P12691" s="594"/>
    </row>
    <row r="12692" spans="16:16">
      <c r="P12692" s="594"/>
    </row>
    <row r="12693" spans="16:16">
      <c r="P12693" s="594"/>
    </row>
    <row r="12694" spans="16:16">
      <c r="P12694" s="594"/>
    </row>
    <row r="12695" spans="16:16">
      <c r="P12695" s="594"/>
    </row>
    <row r="12696" spans="16:16">
      <c r="P12696" s="594"/>
    </row>
    <row r="12697" spans="16:16">
      <c r="P12697" s="594"/>
    </row>
    <row r="12698" spans="16:16">
      <c r="P12698" s="594"/>
    </row>
    <row r="12699" spans="16:16">
      <c r="P12699" s="594"/>
    </row>
    <row r="12700" spans="16:16">
      <c r="P12700" s="594"/>
    </row>
    <row r="12701" spans="16:16">
      <c r="P12701" s="594"/>
    </row>
    <row r="12702" spans="16:16">
      <c r="P12702" s="594"/>
    </row>
    <row r="12703" spans="16:16">
      <c r="P12703" s="594"/>
    </row>
    <row r="12704" spans="16:16">
      <c r="P12704" s="594"/>
    </row>
    <row r="12705" spans="16:16">
      <c r="P12705" s="594"/>
    </row>
    <row r="12706" spans="16:16">
      <c r="P12706" s="594"/>
    </row>
    <row r="12707" spans="16:16">
      <c r="P12707" s="594"/>
    </row>
    <row r="12708" spans="16:16">
      <c r="P12708" s="594"/>
    </row>
    <row r="12709" spans="16:16">
      <c r="P12709" s="594"/>
    </row>
    <row r="12710" spans="16:16">
      <c r="P12710" s="594"/>
    </row>
    <row r="12711" spans="16:16">
      <c r="P12711" s="594"/>
    </row>
    <row r="12712" spans="16:16">
      <c r="P12712" s="594"/>
    </row>
    <row r="12713" spans="16:16">
      <c r="P12713" s="594"/>
    </row>
    <row r="12714" spans="16:16">
      <c r="P12714" s="594"/>
    </row>
    <row r="12715" spans="16:16">
      <c r="P12715" s="594"/>
    </row>
    <row r="12716" spans="16:16">
      <c r="P12716" s="594"/>
    </row>
    <row r="12717" spans="16:16">
      <c r="P12717" s="594"/>
    </row>
    <row r="12718" spans="16:16">
      <c r="P12718" s="594"/>
    </row>
    <row r="12719" spans="16:16">
      <c r="P12719" s="594"/>
    </row>
    <row r="12720" spans="16:16">
      <c r="P12720" s="594"/>
    </row>
    <row r="12721" spans="16:16">
      <c r="P12721" s="594"/>
    </row>
    <row r="12722" spans="16:16">
      <c r="P12722" s="594"/>
    </row>
    <row r="12723" spans="16:16">
      <c r="P12723" s="594"/>
    </row>
    <row r="12724" spans="16:16">
      <c r="P12724" s="594"/>
    </row>
    <row r="12725" spans="16:16">
      <c r="P12725" s="594"/>
    </row>
    <row r="12726" spans="16:16">
      <c r="P12726" s="594"/>
    </row>
    <row r="12727" spans="16:16">
      <c r="P12727" s="594"/>
    </row>
    <row r="12728" spans="16:16">
      <c r="P12728" s="594"/>
    </row>
    <row r="12729" spans="16:16">
      <c r="P12729" s="594"/>
    </row>
    <row r="12730" spans="16:16">
      <c r="P12730" s="594"/>
    </row>
    <row r="12731" spans="16:16">
      <c r="P12731" s="594"/>
    </row>
    <row r="12732" spans="16:16">
      <c r="P12732" s="594"/>
    </row>
    <row r="12733" spans="16:16">
      <c r="P12733" s="594"/>
    </row>
    <row r="12734" spans="16:16">
      <c r="P12734" s="594"/>
    </row>
    <row r="12735" spans="16:16">
      <c r="P12735" s="594"/>
    </row>
    <row r="12736" spans="16:16">
      <c r="P12736" s="594"/>
    </row>
    <row r="12737" spans="16:16">
      <c r="P12737" s="594"/>
    </row>
    <row r="12738" spans="16:16">
      <c r="P12738" s="594"/>
    </row>
    <row r="12739" spans="16:16">
      <c r="P12739" s="594"/>
    </row>
    <row r="12740" spans="16:16">
      <c r="P12740" s="594"/>
    </row>
    <row r="12741" spans="16:16">
      <c r="P12741" s="594"/>
    </row>
    <row r="12742" spans="16:16">
      <c r="P12742" s="594"/>
    </row>
    <row r="12743" spans="16:16">
      <c r="P12743" s="594"/>
    </row>
    <row r="12744" spans="16:16">
      <c r="P12744" s="594"/>
    </row>
    <row r="12745" spans="16:16">
      <c r="P12745" s="594"/>
    </row>
    <row r="12746" spans="16:16">
      <c r="P12746" s="594"/>
    </row>
    <row r="12747" spans="16:16">
      <c r="P12747" s="594"/>
    </row>
    <row r="12748" spans="16:16">
      <c r="P12748" s="594"/>
    </row>
    <row r="12749" spans="16:16">
      <c r="P12749" s="594"/>
    </row>
    <row r="12750" spans="16:16">
      <c r="P12750" s="594"/>
    </row>
    <row r="12751" spans="16:16">
      <c r="P12751" s="594"/>
    </row>
    <row r="12752" spans="16:16">
      <c r="P12752" s="594"/>
    </row>
    <row r="12753" spans="16:16">
      <c r="P12753" s="594"/>
    </row>
    <row r="12754" spans="16:16">
      <c r="P12754" s="594"/>
    </row>
    <row r="12755" spans="16:16">
      <c r="P12755" s="594"/>
    </row>
    <row r="12756" spans="16:16">
      <c r="P12756" s="594"/>
    </row>
    <row r="12757" spans="16:16">
      <c r="P12757" s="594"/>
    </row>
    <row r="12758" spans="16:16">
      <c r="P12758" s="594"/>
    </row>
    <row r="12759" spans="16:16">
      <c r="P12759" s="594"/>
    </row>
    <row r="12760" spans="16:16">
      <c r="P12760" s="594"/>
    </row>
    <row r="12761" spans="16:16">
      <c r="P12761" s="594"/>
    </row>
    <row r="12762" spans="16:16">
      <c r="P12762" s="594"/>
    </row>
    <row r="12763" spans="16:16">
      <c r="P12763" s="594"/>
    </row>
    <row r="12764" spans="16:16">
      <c r="P12764" s="594"/>
    </row>
    <row r="12765" spans="16:16">
      <c r="P12765" s="594"/>
    </row>
    <row r="12766" spans="16:16">
      <c r="P12766" s="594"/>
    </row>
    <row r="12767" spans="16:16">
      <c r="P12767" s="594"/>
    </row>
    <row r="12768" spans="16:16">
      <c r="P12768" s="594"/>
    </row>
    <row r="12769" spans="16:16">
      <c r="P12769" s="594"/>
    </row>
    <row r="12770" spans="16:16">
      <c r="P12770" s="594"/>
    </row>
    <row r="12771" spans="16:16">
      <c r="P12771" s="594"/>
    </row>
    <row r="12772" spans="16:16">
      <c r="P12772" s="594"/>
    </row>
    <row r="12773" spans="16:16">
      <c r="P12773" s="594"/>
    </row>
    <row r="12774" spans="16:16">
      <c r="P12774" s="594"/>
    </row>
    <row r="12775" spans="16:16">
      <c r="P12775" s="594"/>
    </row>
    <row r="12776" spans="16:16">
      <c r="P12776" s="594"/>
    </row>
    <row r="12777" spans="16:16">
      <c r="P12777" s="594"/>
    </row>
    <row r="12778" spans="16:16">
      <c r="P12778" s="594"/>
    </row>
    <row r="12779" spans="16:16">
      <c r="P12779" s="594"/>
    </row>
    <row r="12780" spans="16:16">
      <c r="P12780" s="594"/>
    </row>
    <row r="12781" spans="16:16">
      <c r="P12781" s="594"/>
    </row>
    <row r="12782" spans="16:16">
      <c r="P12782" s="594"/>
    </row>
    <row r="12783" spans="16:16">
      <c r="P12783" s="594"/>
    </row>
    <row r="12784" spans="16:16">
      <c r="P12784" s="594"/>
    </row>
    <row r="12785" spans="16:16">
      <c r="P12785" s="594"/>
    </row>
    <row r="12786" spans="16:16">
      <c r="P12786" s="594"/>
    </row>
    <row r="12787" spans="16:16">
      <c r="P12787" s="594"/>
    </row>
    <row r="12788" spans="16:16">
      <c r="P12788" s="594"/>
    </row>
    <row r="12789" spans="16:16">
      <c r="P12789" s="594"/>
    </row>
    <row r="12790" spans="16:16">
      <c r="P12790" s="594"/>
    </row>
    <row r="12791" spans="16:16">
      <c r="P12791" s="594"/>
    </row>
    <row r="12792" spans="16:16">
      <c r="P12792" s="594"/>
    </row>
    <row r="12793" spans="16:16">
      <c r="P12793" s="594"/>
    </row>
    <row r="12794" spans="16:16">
      <c r="P12794" s="594"/>
    </row>
    <row r="12795" spans="16:16">
      <c r="P12795" s="594"/>
    </row>
    <row r="12796" spans="16:16">
      <c r="P12796" s="594"/>
    </row>
    <row r="12797" spans="16:16">
      <c r="P12797" s="594"/>
    </row>
    <row r="12798" spans="16:16">
      <c r="P12798" s="594"/>
    </row>
    <row r="12799" spans="16:16">
      <c r="P12799" s="594"/>
    </row>
    <row r="12800" spans="16:16">
      <c r="P12800" s="594"/>
    </row>
    <row r="12801" spans="16:16">
      <c r="P12801" s="594"/>
    </row>
    <row r="12802" spans="16:16">
      <c r="P12802" s="594"/>
    </row>
    <row r="12803" spans="16:16">
      <c r="P12803" s="594"/>
    </row>
    <row r="12804" spans="16:16">
      <c r="P12804" s="594"/>
    </row>
    <row r="12805" spans="16:16">
      <c r="P12805" s="594"/>
    </row>
    <row r="12806" spans="16:16">
      <c r="P12806" s="594"/>
    </row>
    <row r="12807" spans="16:16">
      <c r="P12807" s="594"/>
    </row>
    <row r="12808" spans="16:16">
      <c r="P12808" s="594"/>
    </row>
    <row r="12809" spans="16:16">
      <c r="P12809" s="594"/>
    </row>
    <row r="12810" spans="16:16">
      <c r="P12810" s="594"/>
    </row>
    <row r="12811" spans="16:16">
      <c r="P12811" s="594"/>
    </row>
    <row r="12812" spans="16:16">
      <c r="P12812" s="594"/>
    </row>
    <row r="12813" spans="16:16">
      <c r="P12813" s="594"/>
    </row>
    <row r="12814" spans="16:16">
      <c r="P12814" s="594"/>
    </row>
    <row r="12815" spans="16:16">
      <c r="P12815" s="594"/>
    </row>
    <row r="12816" spans="16:16">
      <c r="P12816" s="594"/>
    </row>
    <row r="12817" spans="16:16">
      <c r="P12817" s="594"/>
    </row>
    <row r="12818" spans="16:16">
      <c r="P12818" s="594"/>
    </row>
    <row r="12819" spans="16:16">
      <c r="P12819" s="594"/>
    </row>
    <row r="12820" spans="16:16">
      <c r="P12820" s="594"/>
    </row>
    <row r="12821" spans="16:16">
      <c r="P12821" s="594"/>
    </row>
    <row r="12822" spans="16:16">
      <c r="P12822" s="594"/>
    </row>
    <row r="12823" spans="16:16">
      <c r="P12823" s="594"/>
    </row>
    <row r="12824" spans="16:16">
      <c r="P12824" s="594"/>
    </row>
    <row r="12825" spans="16:16">
      <c r="P12825" s="594"/>
    </row>
    <row r="12826" spans="16:16">
      <c r="P12826" s="594"/>
    </row>
    <row r="12827" spans="16:16">
      <c r="P12827" s="594"/>
    </row>
    <row r="12828" spans="16:16">
      <c r="P12828" s="594"/>
    </row>
    <row r="12829" spans="16:16">
      <c r="P12829" s="594"/>
    </row>
    <row r="12830" spans="16:16">
      <c r="P12830" s="594"/>
    </row>
    <row r="12831" spans="16:16">
      <c r="P12831" s="594"/>
    </row>
    <row r="12832" spans="16:16">
      <c r="P12832" s="594"/>
    </row>
    <row r="12833" spans="16:16">
      <c r="P12833" s="594"/>
    </row>
    <row r="12834" spans="16:16">
      <c r="P12834" s="594"/>
    </row>
    <row r="12835" spans="16:16">
      <c r="P12835" s="594"/>
    </row>
    <row r="12836" spans="16:16">
      <c r="P12836" s="594"/>
    </row>
    <row r="12837" spans="16:16">
      <c r="P12837" s="594"/>
    </row>
    <row r="12838" spans="16:16">
      <c r="P12838" s="594"/>
    </row>
    <row r="12839" spans="16:16">
      <c r="P12839" s="594"/>
    </row>
    <row r="12840" spans="16:16">
      <c r="P12840" s="594"/>
    </row>
    <row r="12841" spans="16:16">
      <c r="P12841" s="594"/>
    </row>
    <row r="12842" spans="16:16">
      <c r="P12842" s="594"/>
    </row>
    <row r="12843" spans="16:16">
      <c r="P12843" s="594"/>
    </row>
    <row r="12844" spans="16:16">
      <c r="P12844" s="594"/>
    </row>
    <row r="12845" spans="16:16">
      <c r="P12845" s="594"/>
    </row>
    <row r="12846" spans="16:16">
      <c r="P12846" s="594"/>
    </row>
    <row r="12847" spans="16:16">
      <c r="P12847" s="594"/>
    </row>
    <row r="12848" spans="16:16">
      <c r="P12848" s="594"/>
    </row>
    <row r="12849" spans="16:16">
      <c r="P12849" s="594"/>
    </row>
    <row r="12850" spans="16:16">
      <c r="P12850" s="594"/>
    </row>
    <row r="12851" spans="16:16">
      <c r="P12851" s="594"/>
    </row>
    <row r="12852" spans="16:16">
      <c r="P12852" s="594"/>
    </row>
    <row r="12853" spans="16:16">
      <c r="P12853" s="594"/>
    </row>
    <row r="12854" spans="16:16">
      <c r="P12854" s="594"/>
    </row>
    <row r="12855" spans="16:16">
      <c r="P12855" s="594"/>
    </row>
    <row r="12856" spans="16:16">
      <c r="P12856" s="594"/>
    </row>
    <row r="12857" spans="16:16">
      <c r="P12857" s="594"/>
    </row>
    <row r="12858" spans="16:16">
      <c r="P12858" s="594"/>
    </row>
    <row r="12859" spans="16:16">
      <c r="P12859" s="594"/>
    </row>
    <row r="12860" spans="16:16">
      <c r="P12860" s="594"/>
    </row>
    <row r="12861" spans="16:16">
      <c r="P12861" s="594"/>
    </row>
    <row r="12862" spans="16:16">
      <c r="P12862" s="594"/>
    </row>
    <row r="12863" spans="16:16">
      <c r="P12863" s="594"/>
    </row>
    <row r="12864" spans="16:16">
      <c r="P12864" s="594"/>
    </row>
    <row r="12865" spans="16:16">
      <c r="P12865" s="594"/>
    </row>
    <row r="12866" spans="16:16">
      <c r="P12866" s="594"/>
    </row>
    <row r="12867" spans="16:16">
      <c r="P12867" s="594"/>
    </row>
    <row r="12868" spans="16:16">
      <c r="P12868" s="594"/>
    </row>
    <row r="12869" spans="16:16">
      <c r="P12869" s="594"/>
    </row>
    <row r="12870" spans="16:16">
      <c r="P12870" s="594"/>
    </row>
    <row r="12871" spans="16:16">
      <c r="P12871" s="594"/>
    </row>
    <row r="12872" spans="16:16">
      <c r="P12872" s="594"/>
    </row>
    <row r="12873" spans="16:16">
      <c r="P12873" s="594"/>
    </row>
    <row r="12874" spans="16:16">
      <c r="P12874" s="594"/>
    </row>
    <row r="12875" spans="16:16">
      <c r="P12875" s="594"/>
    </row>
    <row r="12876" spans="16:16">
      <c r="P12876" s="594"/>
    </row>
    <row r="12877" spans="16:16">
      <c r="P12877" s="594"/>
    </row>
    <row r="12878" spans="16:16">
      <c r="P12878" s="594"/>
    </row>
    <row r="12879" spans="16:16">
      <c r="P12879" s="594"/>
    </row>
    <row r="12880" spans="16:16">
      <c r="P12880" s="594"/>
    </row>
    <row r="12881" spans="16:16">
      <c r="P12881" s="594"/>
    </row>
    <row r="12882" spans="16:16">
      <c r="P12882" s="594"/>
    </row>
    <row r="12883" spans="16:16">
      <c r="P12883" s="594"/>
    </row>
    <row r="12884" spans="16:16">
      <c r="P12884" s="594"/>
    </row>
    <row r="12885" spans="16:16">
      <c r="P12885" s="594"/>
    </row>
    <row r="12886" spans="16:16">
      <c r="P12886" s="594"/>
    </row>
    <row r="12887" spans="16:16">
      <c r="P12887" s="594"/>
    </row>
    <row r="12888" spans="16:16">
      <c r="P12888" s="594"/>
    </row>
    <row r="12889" spans="16:16">
      <c r="P12889" s="594"/>
    </row>
    <row r="12890" spans="16:16">
      <c r="P12890" s="594"/>
    </row>
    <row r="12891" spans="16:16">
      <c r="P12891" s="594"/>
    </row>
    <row r="12892" spans="16:16">
      <c r="P12892" s="594"/>
    </row>
    <row r="12893" spans="16:16">
      <c r="P12893" s="594"/>
    </row>
    <row r="12894" spans="16:16">
      <c r="P12894" s="594"/>
    </row>
    <row r="12895" spans="16:16">
      <c r="P12895" s="594"/>
    </row>
    <row r="12896" spans="16:16">
      <c r="P12896" s="594"/>
    </row>
    <row r="12897" spans="16:16">
      <c r="P12897" s="594"/>
    </row>
    <row r="12898" spans="16:16">
      <c r="P12898" s="594"/>
    </row>
    <row r="12899" spans="16:16">
      <c r="P12899" s="594"/>
    </row>
    <row r="12900" spans="16:16">
      <c r="P12900" s="594"/>
    </row>
    <row r="12901" spans="16:16">
      <c r="P12901" s="594"/>
    </row>
    <row r="12902" spans="16:16">
      <c r="P12902" s="594"/>
    </row>
    <row r="12903" spans="16:16">
      <c r="P12903" s="594"/>
    </row>
    <row r="12904" spans="16:16">
      <c r="P12904" s="594"/>
    </row>
    <row r="12905" spans="16:16">
      <c r="P12905" s="594"/>
    </row>
    <row r="12906" spans="16:16">
      <c r="P12906" s="594"/>
    </row>
    <row r="12907" spans="16:16">
      <c r="P12907" s="594"/>
    </row>
    <row r="12908" spans="16:16">
      <c r="P12908" s="594"/>
    </row>
    <row r="12909" spans="16:16">
      <c r="P12909" s="594"/>
    </row>
    <row r="12910" spans="16:16">
      <c r="P12910" s="594"/>
    </row>
    <row r="12911" spans="16:16">
      <c r="P12911" s="594"/>
    </row>
    <row r="12912" spans="16:16">
      <c r="P12912" s="594"/>
    </row>
    <row r="12913" spans="16:16">
      <c r="P12913" s="594"/>
    </row>
    <row r="12914" spans="16:16">
      <c r="P12914" s="594"/>
    </row>
    <row r="12915" spans="16:16">
      <c r="P12915" s="594"/>
    </row>
    <row r="12916" spans="16:16">
      <c r="P12916" s="594"/>
    </row>
    <row r="12917" spans="16:16">
      <c r="P12917" s="594"/>
    </row>
    <row r="12918" spans="16:16">
      <c r="P12918" s="594"/>
    </row>
    <row r="12919" spans="16:16">
      <c r="P12919" s="594"/>
    </row>
    <row r="12920" spans="16:16">
      <c r="P12920" s="594"/>
    </row>
    <row r="12921" spans="16:16">
      <c r="P12921" s="594"/>
    </row>
    <row r="12922" spans="16:16">
      <c r="P12922" s="594"/>
    </row>
    <row r="12923" spans="16:16">
      <c r="P12923" s="594"/>
    </row>
    <row r="12924" spans="16:16">
      <c r="P12924" s="594"/>
    </row>
    <row r="12925" spans="16:16">
      <c r="P12925" s="594"/>
    </row>
    <row r="12926" spans="16:16">
      <c r="P12926" s="594"/>
    </row>
    <row r="12927" spans="16:16">
      <c r="P12927" s="594"/>
    </row>
    <row r="12928" spans="16:16">
      <c r="P12928" s="594"/>
    </row>
    <row r="12929" spans="16:16">
      <c r="P12929" s="594"/>
    </row>
    <row r="12930" spans="16:16">
      <c r="P12930" s="594"/>
    </row>
    <row r="12931" spans="16:16">
      <c r="P12931" s="594"/>
    </row>
    <row r="12932" spans="16:16">
      <c r="P12932" s="594"/>
    </row>
    <row r="12933" spans="16:16">
      <c r="P12933" s="594"/>
    </row>
    <row r="12934" spans="16:16">
      <c r="P12934" s="594"/>
    </row>
    <row r="12935" spans="16:16">
      <c r="P12935" s="594"/>
    </row>
    <row r="12936" spans="16:16">
      <c r="P12936" s="594"/>
    </row>
    <row r="12937" spans="16:16">
      <c r="P12937" s="594"/>
    </row>
    <row r="12938" spans="16:16">
      <c r="P12938" s="594"/>
    </row>
    <row r="12939" spans="16:16">
      <c r="P12939" s="594"/>
    </row>
    <row r="12940" spans="16:16">
      <c r="P12940" s="594"/>
    </row>
    <row r="12941" spans="16:16">
      <c r="P12941" s="594"/>
    </row>
    <row r="12942" spans="16:16">
      <c r="P12942" s="594"/>
    </row>
    <row r="12943" spans="16:16">
      <c r="P12943" s="594"/>
    </row>
    <row r="12944" spans="16:16">
      <c r="P12944" s="594"/>
    </row>
    <row r="12945" spans="16:16">
      <c r="P12945" s="594"/>
    </row>
    <row r="12946" spans="16:16">
      <c r="P12946" s="594"/>
    </row>
    <row r="12947" spans="16:16">
      <c r="P12947" s="594"/>
    </row>
    <row r="12948" spans="16:16">
      <c r="P12948" s="594"/>
    </row>
    <row r="12949" spans="16:16">
      <c r="P12949" s="594"/>
    </row>
    <row r="12950" spans="16:16">
      <c r="P12950" s="594"/>
    </row>
    <row r="12951" spans="16:16">
      <c r="P12951" s="594"/>
    </row>
    <row r="12952" spans="16:16">
      <c r="P12952" s="594"/>
    </row>
    <row r="12953" spans="16:16">
      <c r="P12953" s="594"/>
    </row>
    <row r="12954" spans="16:16">
      <c r="P12954" s="594"/>
    </row>
    <row r="12955" spans="16:16">
      <c r="P12955" s="594"/>
    </row>
    <row r="12956" spans="16:16">
      <c r="P12956" s="594"/>
    </row>
    <row r="12957" spans="16:16">
      <c r="P12957" s="594"/>
    </row>
    <row r="12958" spans="16:16">
      <c r="P12958" s="594"/>
    </row>
    <row r="12959" spans="16:16">
      <c r="P12959" s="594"/>
    </row>
    <row r="12960" spans="16:16">
      <c r="P12960" s="594"/>
    </row>
    <row r="12961" spans="16:16">
      <c r="P12961" s="594"/>
    </row>
    <row r="12962" spans="16:16">
      <c r="P12962" s="594"/>
    </row>
    <row r="12963" spans="16:16">
      <c r="P12963" s="594"/>
    </row>
    <row r="12964" spans="16:16">
      <c r="P12964" s="594"/>
    </row>
    <row r="12965" spans="16:16">
      <c r="P12965" s="594"/>
    </row>
    <row r="12966" spans="16:16">
      <c r="P12966" s="594"/>
    </row>
    <row r="12967" spans="16:16">
      <c r="P12967" s="594"/>
    </row>
    <row r="12968" spans="16:16">
      <c r="P12968" s="594"/>
    </row>
    <row r="12969" spans="16:16">
      <c r="P12969" s="594"/>
    </row>
    <row r="12970" spans="16:16">
      <c r="P12970" s="594"/>
    </row>
    <row r="12971" spans="16:16">
      <c r="P12971" s="594"/>
    </row>
    <row r="12972" spans="16:16">
      <c r="P12972" s="594"/>
    </row>
    <row r="12973" spans="16:16">
      <c r="P12973" s="594"/>
    </row>
    <row r="12974" spans="16:16">
      <c r="P12974" s="594"/>
    </row>
    <row r="12975" spans="16:16">
      <c r="P12975" s="594"/>
    </row>
    <row r="12976" spans="16:16">
      <c r="P12976" s="594"/>
    </row>
    <row r="12977" spans="16:16">
      <c r="P12977" s="594"/>
    </row>
    <row r="12978" spans="16:16">
      <c r="P12978" s="594"/>
    </row>
    <row r="12979" spans="16:16">
      <c r="P12979" s="594"/>
    </row>
    <row r="12980" spans="16:16">
      <c r="P12980" s="594"/>
    </row>
    <row r="12981" spans="16:16">
      <c r="P12981" s="594"/>
    </row>
    <row r="12982" spans="16:16">
      <c r="P12982" s="594"/>
    </row>
    <row r="12983" spans="16:16">
      <c r="P12983" s="594"/>
    </row>
    <row r="12984" spans="16:16">
      <c r="P12984" s="594"/>
    </row>
    <row r="12985" spans="16:16">
      <c r="P12985" s="594"/>
    </row>
    <row r="12986" spans="16:16">
      <c r="P12986" s="594"/>
    </row>
    <row r="12987" spans="16:16">
      <c r="P12987" s="594"/>
    </row>
    <row r="12988" spans="16:16">
      <c r="P12988" s="594"/>
    </row>
    <row r="12989" spans="16:16">
      <c r="P12989" s="594"/>
    </row>
    <row r="12990" spans="16:16">
      <c r="P12990" s="594"/>
    </row>
    <row r="12991" spans="16:16">
      <c r="P12991" s="594"/>
    </row>
    <row r="12992" spans="16:16">
      <c r="P12992" s="594"/>
    </row>
    <row r="12993" spans="16:16">
      <c r="P12993" s="594"/>
    </row>
    <row r="12994" spans="16:16">
      <c r="P12994" s="594"/>
    </row>
    <row r="12995" spans="16:16">
      <c r="P12995" s="594"/>
    </row>
    <row r="12996" spans="16:16">
      <c r="P12996" s="594"/>
    </row>
    <row r="12997" spans="16:16">
      <c r="P12997" s="594"/>
    </row>
    <row r="12998" spans="16:16">
      <c r="P12998" s="594"/>
    </row>
    <row r="12999" spans="16:16">
      <c r="P12999" s="594"/>
    </row>
    <row r="13000" spans="16:16">
      <c r="P13000" s="594"/>
    </row>
    <row r="13001" spans="16:16">
      <c r="P13001" s="594"/>
    </row>
    <row r="13002" spans="16:16">
      <c r="P13002" s="594"/>
    </row>
    <row r="13003" spans="16:16">
      <c r="P13003" s="594"/>
    </row>
    <row r="13004" spans="16:16">
      <c r="P13004" s="594"/>
    </row>
    <row r="13005" spans="16:16">
      <c r="P13005" s="594"/>
    </row>
    <row r="13006" spans="16:16">
      <c r="P13006" s="594"/>
    </row>
    <row r="13007" spans="16:16">
      <c r="P13007" s="594"/>
    </row>
    <row r="13008" spans="16:16">
      <c r="P13008" s="594"/>
    </row>
    <row r="13009" spans="16:16">
      <c r="P13009" s="594"/>
    </row>
    <row r="13010" spans="16:16">
      <c r="P13010" s="594"/>
    </row>
    <row r="13011" spans="16:16">
      <c r="P13011" s="594"/>
    </row>
    <row r="13012" spans="16:16">
      <c r="P13012" s="594"/>
    </row>
    <row r="13013" spans="16:16">
      <c r="P13013" s="594"/>
    </row>
    <row r="13014" spans="16:16">
      <c r="P13014" s="594"/>
    </row>
    <row r="13015" spans="16:16">
      <c r="P13015" s="594"/>
    </row>
    <row r="13016" spans="16:16">
      <c r="P13016" s="594"/>
    </row>
    <row r="13017" spans="16:16">
      <c r="P13017" s="594"/>
    </row>
    <row r="13018" spans="16:16">
      <c r="P13018" s="594"/>
    </row>
    <row r="13019" spans="16:16">
      <c r="P13019" s="594"/>
    </row>
    <row r="13020" spans="16:16">
      <c r="P13020" s="594"/>
    </row>
    <row r="13021" spans="16:16">
      <c r="P13021" s="594"/>
    </row>
    <row r="13022" spans="16:16">
      <c r="P13022" s="594"/>
    </row>
    <row r="13023" spans="16:16">
      <c r="P13023" s="594"/>
    </row>
    <row r="13024" spans="16:16">
      <c r="P13024" s="594"/>
    </row>
    <row r="13025" spans="16:16">
      <c r="P13025" s="594"/>
    </row>
    <row r="13026" spans="16:16">
      <c r="P13026" s="594"/>
    </row>
    <row r="13027" spans="16:16">
      <c r="P13027" s="594"/>
    </row>
    <row r="13028" spans="16:16">
      <c r="P13028" s="594"/>
    </row>
    <row r="13029" spans="16:16">
      <c r="P13029" s="594"/>
    </row>
    <row r="13030" spans="16:16">
      <c r="P13030" s="594"/>
    </row>
    <row r="13031" spans="16:16">
      <c r="P13031" s="594"/>
    </row>
    <row r="13032" spans="16:16">
      <c r="P13032" s="594"/>
    </row>
    <row r="13033" spans="16:16">
      <c r="P13033" s="594"/>
    </row>
    <row r="13034" spans="16:16">
      <c r="P13034" s="594"/>
    </row>
    <row r="13035" spans="16:16">
      <c r="P13035" s="594"/>
    </row>
    <row r="13036" spans="16:16">
      <c r="P13036" s="594"/>
    </row>
    <row r="13037" spans="16:16">
      <c r="P13037" s="594"/>
    </row>
    <row r="13038" spans="16:16">
      <c r="P13038" s="594"/>
    </row>
    <row r="13039" spans="16:16">
      <c r="P13039" s="594"/>
    </row>
    <row r="13040" spans="16:16">
      <c r="P13040" s="594"/>
    </row>
    <row r="13041" spans="16:16">
      <c r="P13041" s="594"/>
    </row>
    <row r="13042" spans="16:16">
      <c r="P13042" s="594"/>
    </row>
    <row r="13043" spans="16:16">
      <c r="P13043" s="594"/>
    </row>
    <row r="13044" spans="16:16">
      <c r="P13044" s="594"/>
    </row>
    <row r="13045" spans="16:16">
      <c r="P13045" s="594"/>
    </row>
    <row r="13046" spans="16:16">
      <c r="P13046" s="594"/>
    </row>
    <row r="13047" spans="16:16">
      <c r="P13047" s="594"/>
    </row>
    <row r="13048" spans="16:16">
      <c r="P13048" s="594"/>
    </row>
    <row r="13049" spans="16:16">
      <c r="P13049" s="594"/>
    </row>
    <row r="13050" spans="16:16">
      <c r="P13050" s="594"/>
    </row>
    <row r="13051" spans="16:16">
      <c r="P13051" s="594"/>
    </row>
    <row r="13052" spans="16:16">
      <c r="P13052" s="594"/>
    </row>
    <row r="13053" spans="16:16">
      <c r="P13053" s="594"/>
    </row>
    <row r="13054" spans="16:16">
      <c r="P13054" s="594"/>
    </row>
    <row r="13055" spans="16:16">
      <c r="P13055" s="594"/>
    </row>
    <row r="13056" spans="16:16">
      <c r="P13056" s="594"/>
    </row>
    <row r="13057" spans="16:16">
      <c r="P13057" s="594"/>
    </row>
    <row r="13058" spans="16:16">
      <c r="P13058" s="594"/>
    </row>
    <row r="13059" spans="16:16">
      <c r="P13059" s="594"/>
    </row>
    <row r="13060" spans="16:16">
      <c r="P13060" s="594"/>
    </row>
    <row r="13061" spans="16:16">
      <c r="P13061" s="594"/>
    </row>
    <row r="13062" spans="16:16">
      <c r="P13062" s="594"/>
    </row>
    <row r="13063" spans="16:16">
      <c r="P13063" s="594"/>
    </row>
    <row r="13064" spans="16:16">
      <c r="P13064" s="594"/>
    </row>
    <row r="13065" spans="16:16">
      <c r="P13065" s="594"/>
    </row>
    <row r="13066" spans="16:16">
      <c r="P13066" s="594"/>
    </row>
    <row r="13067" spans="16:16">
      <c r="P13067" s="594"/>
    </row>
    <row r="13068" spans="16:16">
      <c r="P13068" s="594"/>
    </row>
    <row r="13069" spans="16:16">
      <c r="P13069" s="594"/>
    </row>
    <row r="13070" spans="16:16">
      <c r="P13070" s="594"/>
    </row>
    <row r="13071" spans="16:16">
      <c r="P13071" s="594"/>
    </row>
    <row r="13072" spans="16:16">
      <c r="P13072" s="594"/>
    </row>
    <row r="13073" spans="16:16">
      <c r="P13073" s="594"/>
    </row>
    <row r="13074" spans="16:16">
      <c r="P13074" s="594"/>
    </row>
    <row r="13075" spans="16:16">
      <c r="P13075" s="594"/>
    </row>
    <row r="13076" spans="16:16">
      <c r="P13076" s="594"/>
    </row>
    <row r="13077" spans="16:16">
      <c r="P13077" s="594"/>
    </row>
    <row r="13078" spans="16:16">
      <c r="P13078" s="594"/>
    </row>
    <row r="13079" spans="16:16">
      <c r="P13079" s="594"/>
    </row>
    <row r="13080" spans="16:16">
      <c r="P13080" s="594"/>
    </row>
    <row r="13081" spans="16:16">
      <c r="P13081" s="594"/>
    </row>
    <row r="13082" spans="16:16">
      <c r="P13082" s="594"/>
    </row>
    <row r="13083" spans="16:16">
      <c r="P13083" s="594"/>
    </row>
    <row r="13084" spans="16:16">
      <c r="P13084" s="594"/>
    </row>
    <row r="13085" spans="16:16">
      <c r="P13085" s="594"/>
    </row>
    <row r="13086" spans="16:16">
      <c r="P13086" s="594"/>
    </row>
    <row r="13087" spans="16:16">
      <c r="P13087" s="594"/>
    </row>
    <row r="13088" spans="16:16">
      <c r="P13088" s="594"/>
    </row>
    <row r="13089" spans="16:16">
      <c r="P13089" s="594"/>
    </row>
    <row r="13090" spans="16:16">
      <c r="P13090" s="594"/>
    </row>
    <row r="13091" spans="16:16">
      <c r="P13091" s="594"/>
    </row>
    <row r="13092" spans="16:16">
      <c r="P13092" s="594"/>
    </row>
    <row r="13093" spans="16:16">
      <c r="P13093" s="594"/>
    </row>
    <row r="13094" spans="16:16">
      <c r="P13094" s="594"/>
    </row>
    <row r="13095" spans="16:16">
      <c r="P13095" s="594"/>
    </row>
    <row r="13096" spans="16:16">
      <c r="P13096" s="594"/>
    </row>
    <row r="13097" spans="16:16">
      <c r="P13097" s="594"/>
    </row>
    <row r="13098" spans="16:16">
      <c r="P13098" s="594"/>
    </row>
    <row r="13099" spans="16:16">
      <c r="P13099" s="594"/>
    </row>
    <row r="13100" spans="16:16">
      <c r="P13100" s="594"/>
    </row>
    <row r="13101" spans="16:16">
      <c r="P13101" s="594"/>
    </row>
    <row r="13102" spans="16:16">
      <c r="P13102" s="594"/>
    </row>
    <row r="13103" spans="16:16">
      <c r="P13103" s="594"/>
    </row>
    <row r="13104" spans="16:16">
      <c r="P13104" s="594"/>
    </row>
    <row r="13105" spans="16:16">
      <c r="P13105" s="594"/>
    </row>
    <row r="13106" spans="16:16">
      <c r="P13106" s="594"/>
    </row>
    <row r="13107" spans="16:16">
      <c r="P13107" s="594"/>
    </row>
    <row r="13108" spans="16:16">
      <c r="P13108" s="594"/>
    </row>
    <row r="13109" spans="16:16">
      <c r="P13109" s="594"/>
    </row>
    <row r="13110" spans="16:16">
      <c r="P13110" s="594"/>
    </row>
    <row r="13111" spans="16:16">
      <c r="P13111" s="594"/>
    </row>
    <row r="13112" spans="16:16">
      <c r="P13112" s="594"/>
    </row>
    <row r="13113" spans="16:16">
      <c r="P13113" s="594"/>
    </row>
    <row r="13114" spans="16:16">
      <c r="P13114" s="594"/>
    </row>
    <row r="13115" spans="16:16">
      <c r="P13115" s="594"/>
    </row>
    <row r="13116" spans="16:16">
      <c r="P13116" s="594"/>
    </row>
    <row r="13117" spans="16:16">
      <c r="P13117" s="594"/>
    </row>
    <row r="13118" spans="16:16">
      <c r="P13118" s="594"/>
    </row>
    <row r="13119" spans="16:16">
      <c r="P13119" s="594"/>
    </row>
    <row r="13120" spans="16:16">
      <c r="P13120" s="594"/>
    </row>
    <row r="13121" spans="16:16">
      <c r="P13121" s="594"/>
    </row>
    <row r="13122" spans="16:16">
      <c r="P13122" s="594"/>
    </row>
    <row r="13123" spans="16:16">
      <c r="P13123" s="594"/>
    </row>
    <row r="13124" spans="16:16">
      <c r="P13124" s="594"/>
    </row>
    <row r="13125" spans="16:16">
      <c r="P13125" s="594"/>
    </row>
    <row r="13126" spans="16:16">
      <c r="P13126" s="594"/>
    </row>
    <row r="13127" spans="16:16">
      <c r="P13127" s="594"/>
    </row>
    <row r="13128" spans="16:16">
      <c r="P13128" s="594"/>
    </row>
    <row r="13129" spans="16:16">
      <c r="P13129" s="594"/>
    </row>
    <row r="13130" spans="16:16">
      <c r="P13130" s="594"/>
    </row>
    <row r="13131" spans="16:16">
      <c r="P13131" s="594"/>
    </row>
    <row r="13132" spans="16:16">
      <c r="P13132" s="594"/>
    </row>
    <row r="13133" spans="16:16">
      <c r="P13133" s="594"/>
    </row>
    <row r="13134" spans="16:16">
      <c r="P13134" s="594"/>
    </row>
    <row r="13135" spans="16:16">
      <c r="P13135" s="594"/>
    </row>
    <row r="13136" spans="16:16">
      <c r="P13136" s="594"/>
    </row>
    <row r="13137" spans="16:16">
      <c r="P13137" s="594"/>
    </row>
    <row r="13138" spans="16:16">
      <c r="P13138" s="594"/>
    </row>
    <row r="13139" spans="16:16">
      <c r="P13139" s="594"/>
    </row>
    <row r="13140" spans="16:16">
      <c r="P13140" s="594"/>
    </row>
    <row r="13141" spans="16:16">
      <c r="P13141" s="594"/>
    </row>
    <row r="13142" spans="16:16">
      <c r="P13142" s="594"/>
    </row>
    <row r="13143" spans="16:16">
      <c r="P13143" s="594"/>
    </row>
    <row r="13144" spans="16:16">
      <c r="P13144" s="594"/>
    </row>
    <row r="13145" spans="16:16">
      <c r="P13145" s="594"/>
    </row>
    <row r="13146" spans="16:16">
      <c r="P13146" s="594"/>
    </row>
    <row r="13147" spans="16:16">
      <c r="P13147" s="594"/>
    </row>
    <row r="13148" spans="16:16">
      <c r="P13148" s="594"/>
    </row>
    <row r="13149" spans="16:16">
      <c r="P13149" s="594"/>
    </row>
    <row r="13150" spans="16:16">
      <c r="P13150" s="594"/>
    </row>
    <row r="13151" spans="16:16">
      <c r="P13151" s="594"/>
    </row>
    <row r="13152" spans="16:16">
      <c r="P13152" s="594"/>
    </row>
    <row r="13153" spans="16:16">
      <c r="P13153" s="594"/>
    </row>
    <row r="13154" spans="16:16">
      <c r="P13154" s="594"/>
    </row>
    <row r="13155" spans="16:16">
      <c r="P13155" s="594"/>
    </row>
    <row r="13156" spans="16:16">
      <c r="P13156" s="594"/>
    </row>
    <row r="13157" spans="16:16">
      <c r="P13157" s="594"/>
    </row>
    <row r="13158" spans="16:16">
      <c r="P13158" s="594"/>
    </row>
    <row r="13159" spans="16:16">
      <c r="P13159" s="594"/>
    </row>
    <row r="13160" spans="16:16">
      <c r="P13160" s="594"/>
    </row>
    <row r="13161" spans="16:16">
      <c r="P13161" s="594"/>
    </row>
    <row r="13162" spans="16:16">
      <c r="P13162" s="594"/>
    </row>
    <row r="13163" spans="16:16">
      <c r="P13163" s="594"/>
    </row>
    <row r="13164" spans="16:16">
      <c r="P13164" s="594"/>
    </row>
    <row r="13165" spans="16:16">
      <c r="P13165" s="594"/>
    </row>
    <row r="13166" spans="16:16">
      <c r="P13166" s="594"/>
    </row>
    <row r="13167" spans="16:16">
      <c r="P13167" s="594"/>
    </row>
    <row r="13168" spans="16:16">
      <c r="P13168" s="594"/>
    </row>
    <row r="13169" spans="16:16">
      <c r="P13169" s="594"/>
    </row>
    <row r="13170" spans="16:16">
      <c r="P13170" s="594"/>
    </row>
    <row r="13171" spans="16:16">
      <c r="P13171" s="594"/>
    </row>
    <row r="13172" spans="16:16">
      <c r="P13172" s="594"/>
    </row>
    <row r="13173" spans="16:16">
      <c r="P13173" s="594"/>
    </row>
    <row r="13174" spans="16:16">
      <c r="P13174" s="594"/>
    </row>
    <row r="13175" spans="16:16">
      <c r="P13175" s="594"/>
    </row>
    <row r="13176" spans="16:16">
      <c r="P13176" s="594"/>
    </row>
    <row r="13177" spans="16:16">
      <c r="P13177" s="594"/>
    </row>
    <row r="13178" spans="16:16">
      <c r="P13178" s="594"/>
    </row>
    <row r="13179" spans="16:16">
      <c r="P13179" s="594"/>
    </row>
    <row r="13180" spans="16:16">
      <c r="P13180" s="594"/>
    </row>
    <row r="13181" spans="16:16">
      <c r="P13181" s="594"/>
    </row>
    <row r="13182" spans="16:16">
      <c r="P13182" s="594"/>
    </row>
    <row r="13183" spans="16:16">
      <c r="P13183" s="594"/>
    </row>
    <row r="13184" spans="16:16">
      <c r="P13184" s="594"/>
    </row>
    <row r="13185" spans="16:16">
      <c r="P13185" s="594"/>
    </row>
    <row r="13186" spans="16:16">
      <c r="P13186" s="594"/>
    </row>
    <row r="13187" spans="16:16">
      <c r="P13187" s="594"/>
    </row>
    <row r="13188" spans="16:16">
      <c r="P13188" s="594"/>
    </row>
    <row r="13189" spans="16:16">
      <c r="P13189" s="594"/>
    </row>
    <row r="13190" spans="16:16">
      <c r="P13190" s="594"/>
    </row>
    <row r="13191" spans="16:16">
      <c r="P13191" s="594"/>
    </row>
    <row r="13192" spans="16:16">
      <c r="P13192" s="594"/>
    </row>
    <row r="13193" spans="16:16">
      <c r="P13193" s="594"/>
    </row>
    <row r="13194" spans="16:16">
      <c r="P13194" s="594"/>
    </row>
    <row r="13195" spans="16:16">
      <c r="P13195" s="594"/>
    </row>
    <row r="13196" spans="16:16">
      <c r="P13196" s="594"/>
    </row>
    <row r="13197" spans="16:16">
      <c r="P13197" s="594"/>
    </row>
    <row r="13198" spans="16:16">
      <c r="P13198" s="594"/>
    </row>
    <row r="13199" spans="16:16">
      <c r="P13199" s="594"/>
    </row>
    <row r="13200" spans="16:16">
      <c r="P13200" s="594"/>
    </row>
    <row r="13201" spans="16:16">
      <c r="P13201" s="594"/>
    </row>
    <row r="13202" spans="16:16">
      <c r="P13202" s="594"/>
    </row>
    <row r="13203" spans="16:16">
      <c r="P13203" s="594"/>
    </row>
    <row r="13204" spans="16:16">
      <c r="P13204" s="594"/>
    </row>
    <row r="13205" spans="16:16">
      <c r="P13205" s="594"/>
    </row>
    <row r="13206" spans="16:16">
      <c r="P13206" s="594"/>
    </row>
    <row r="13207" spans="16:16">
      <c r="P13207" s="594"/>
    </row>
    <row r="13208" spans="16:16">
      <c r="P13208" s="594"/>
    </row>
    <row r="13209" spans="16:16">
      <c r="P13209" s="594"/>
    </row>
    <row r="13210" spans="16:16">
      <c r="P13210" s="594"/>
    </row>
    <row r="13211" spans="16:16">
      <c r="P13211" s="594"/>
    </row>
    <row r="13212" spans="16:16">
      <c r="P13212" s="594"/>
    </row>
    <row r="13213" spans="16:16">
      <c r="P13213" s="594"/>
    </row>
    <row r="13214" spans="16:16">
      <c r="P13214" s="594"/>
    </row>
    <row r="13215" spans="16:16">
      <c r="P13215" s="594"/>
    </row>
    <row r="13216" spans="16:16">
      <c r="P13216" s="594"/>
    </row>
    <row r="13217" spans="16:16">
      <c r="P13217" s="594"/>
    </row>
    <row r="13218" spans="16:16">
      <c r="P13218" s="594"/>
    </row>
    <row r="13219" spans="16:16">
      <c r="P13219" s="594"/>
    </row>
    <row r="13220" spans="16:16">
      <c r="P13220" s="594"/>
    </row>
    <row r="13221" spans="16:16">
      <c r="P13221" s="594"/>
    </row>
    <row r="13222" spans="16:16">
      <c r="P13222" s="594"/>
    </row>
    <row r="13223" spans="16:16">
      <c r="P13223" s="594"/>
    </row>
    <row r="13224" spans="16:16">
      <c r="P13224" s="594"/>
    </row>
    <row r="13225" spans="16:16">
      <c r="P13225" s="594"/>
    </row>
    <row r="13226" spans="16:16">
      <c r="P13226" s="594"/>
    </row>
    <row r="13227" spans="16:16">
      <c r="P13227" s="594"/>
    </row>
    <row r="13228" spans="16:16">
      <c r="P13228" s="594"/>
    </row>
    <row r="13229" spans="16:16">
      <c r="P13229" s="594"/>
    </row>
    <row r="13230" spans="16:16">
      <c r="P13230" s="594"/>
    </row>
    <row r="13231" spans="16:16">
      <c r="P13231" s="594"/>
    </row>
    <row r="13232" spans="16:16">
      <c r="P13232" s="594"/>
    </row>
    <row r="13233" spans="16:16">
      <c r="P13233" s="594"/>
    </row>
    <row r="13234" spans="16:16">
      <c r="P13234" s="594"/>
    </row>
    <row r="13235" spans="16:16">
      <c r="P13235" s="594"/>
    </row>
    <row r="13236" spans="16:16">
      <c r="P13236" s="594"/>
    </row>
    <row r="13237" spans="16:16">
      <c r="P13237" s="594"/>
    </row>
    <row r="13238" spans="16:16">
      <c r="P13238" s="594"/>
    </row>
    <row r="13239" spans="16:16">
      <c r="P13239" s="594"/>
    </row>
    <row r="13240" spans="16:16">
      <c r="P13240" s="594"/>
    </row>
    <row r="13241" spans="16:16">
      <c r="P13241" s="594"/>
    </row>
    <row r="13242" spans="16:16">
      <c r="P13242" s="594"/>
    </row>
    <row r="13243" spans="16:16">
      <c r="P13243" s="594"/>
    </row>
    <row r="13244" spans="16:16">
      <c r="P13244" s="594"/>
    </row>
    <row r="13245" spans="16:16">
      <c r="P13245" s="594"/>
    </row>
    <row r="13246" spans="16:16">
      <c r="P13246" s="594"/>
    </row>
    <row r="13247" spans="16:16">
      <c r="P13247" s="594"/>
    </row>
    <row r="13248" spans="16:16">
      <c r="P13248" s="594"/>
    </row>
    <row r="13249" spans="16:16">
      <c r="P13249" s="594"/>
    </row>
    <row r="13250" spans="16:16">
      <c r="P13250" s="594"/>
    </row>
    <row r="13251" spans="16:16">
      <c r="P13251" s="594"/>
    </row>
    <row r="13252" spans="16:16">
      <c r="P13252" s="594"/>
    </row>
    <row r="13253" spans="16:16">
      <c r="P13253" s="594"/>
    </row>
    <row r="13254" spans="16:16">
      <c r="P13254" s="594"/>
    </row>
    <row r="13255" spans="16:16">
      <c r="P13255" s="594"/>
    </row>
    <row r="13256" spans="16:16">
      <c r="P13256" s="594"/>
    </row>
    <row r="13257" spans="16:16">
      <c r="P13257" s="594"/>
    </row>
    <row r="13258" spans="16:16">
      <c r="P13258" s="594"/>
    </row>
    <row r="13259" spans="16:16">
      <c r="P13259" s="594"/>
    </row>
    <row r="13260" spans="16:16">
      <c r="P13260" s="594"/>
    </row>
    <row r="13261" spans="16:16">
      <c r="P13261" s="594"/>
    </row>
    <row r="13262" spans="16:16">
      <c r="P13262" s="594"/>
    </row>
    <row r="13263" spans="16:16">
      <c r="P13263" s="594"/>
    </row>
    <row r="13264" spans="16:16">
      <c r="P13264" s="594"/>
    </row>
    <row r="13265" spans="16:16">
      <c r="P13265" s="594"/>
    </row>
    <row r="13266" spans="16:16">
      <c r="P13266" s="594"/>
    </row>
    <row r="13267" spans="16:16">
      <c r="P13267" s="594"/>
    </row>
    <row r="13268" spans="16:16">
      <c r="P13268" s="594"/>
    </row>
    <row r="13269" spans="16:16">
      <c r="P13269" s="594"/>
    </row>
    <row r="13270" spans="16:16">
      <c r="P13270" s="594"/>
    </row>
    <row r="13271" spans="16:16">
      <c r="P13271" s="594"/>
    </row>
    <row r="13272" spans="16:16">
      <c r="P13272" s="594"/>
    </row>
    <row r="13273" spans="16:16">
      <c r="P13273" s="594"/>
    </row>
    <row r="13274" spans="16:16">
      <c r="P13274" s="594"/>
    </row>
    <row r="13275" spans="16:16">
      <c r="P13275" s="594"/>
    </row>
    <row r="13276" spans="16:16">
      <c r="P13276" s="594"/>
    </row>
    <row r="13277" spans="16:16">
      <c r="P13277" s="594"/>
    </row>
    <row r="13278" spans="16:16">
      <c r="P13278" s="594"/>
    </row>
    <row r="13279" spans="16:16">
      <c r="P13279" s="594"/>
    </row>
    <row r="13280" spans="16:16">
      <c r="P13280" s="594"/>
    </row>
    <row r="13281" spans="16:16">
      <c r="P13281" s="594"/>
    </row>
    <row r="13282" spans="16:16">
      <c r="P13282" s="594"/>
    </row>
    <row r="13283" spans="16:16">
      <c r="P13283" s="594"/>
    </row>
    <row r="13284" spans="16:16">
      <c r="P13284" s="594"/>
    </row>
    <row r="13285" spans="16:16">
      <c r="P13285" s="594"/>
    </row>
    <row r="13286" spans="16:16">
      <c r="P13286" s="594"/>
    </row>
    <row r="13287" spans="16:16">
      <c r="P13287" s="594"/>
    </row>
    <row r="13288" spans="16:16">
      <c r="P13288" s="594"/>
    </row>
    <row r="13289" spans="16:16">
      <c r="P13289" s="594"/>
    </row>
    <row r="13290" spans="16:16">
      <c r="P13290" s="594"/>
    </row>
    <row r="13291" spans="16:16">
      <c r="P13291" s="594"/>
    </row>
    <row r="13292" spans="16:16">
      <c r="P13292" s="594"/>
    </row>
    <row r="13293" spans="16:16">
      <c r="P13293" s="594"/>
    </row>
    <row r="13294" spans="16:16">
      <c r="P13294" s="594"/>
    </row>
    <row r="13295" spans="16:16">
      <c r="P13295" s="594"/>
    </row>
    <row r="13296" spans="16:16">
      <c r="P13296" s="594"/>
    </row>
    <row r="13297" spans="16:16">
      <c r="P13297" s="594"/>
    </row>
    <row r="13298" spans="16:16">
      <c r="P13298" s="594"/>
    </row>
    <row r="13299" spans="16:16">
      <c r="P13299" s="594"/>
    </row>
    <row r="13300" spans="16:16">
      <c r="P13300" s="594"/>
    </row>
    <row r="13301" spans="16:16">
      <c r="P13301" s="594"/>
    </row>
    <row r="13302" spans="16:16">
      <c r="P13302" s="594"/>
    </row>
    <row r="13303" spans="16:16">
      <c r="P13303" s="594"/>
    </row>
    <row r="13304" spans="16:16">
      <c r="P13304" s="594"/>
    </row>
    <row r="13305" spans="16:16">
      <c r="P13305" s="594"/>
    </row>
    <row r="13306" spans="16:16">
      <c r="P13306" s="594"/>
    </row>
    <row r="13307" spans="16:16">
      <c r="P13307" s="594"/>
    </row>
    <row r="13308" spans="16:16">
      <c r="P13308" s="594"/>
    </row>
    <row r="13309" spans="16:16">
      <c r="P13309" s="594"/>
    </row>
    <row r="13310" spans="16:16">
      <c r="P13310" s="594"/>
    </row>
    <row r="13311" spans="16:16">
      <c r="P13311" s="594"/>
    </row>
    <row r="13312" spans="16:16">
      <c r="P13312" s="594"/>
    </row>
    <row r="13313" spans="16:16">
      <c r="P13313" s="594"/>
    </row>
    <row r="13314" spans="16:16">
      <c r="P13314" s="594"/>
    </row>
    <row r="13315" spans="16:16">
      <c r="P13315" s="594"/>
    </row>
    <row r="13316" spans="16:16">
      <c r="P13316" s="594"/>
    </row>
    <row r="13317" spans="16:16">
      <c r="P13317" s="594"/>
    </row>
    <row r="13318" spans="16:16">
      <c r="P13318" s="594"/>
    </row>
    <row r="13319" spans="16:16">
      <c r="P13319" s="594"/>
    </row>
    <row r="13320" spans="16:16">
      <c r="P13320" s="594"/>
    </row>
    <row r="13321" spans="16:16">
      <c r="P13321" s="594"/>
    </row>
    <row r="13322" spans="16:16">
      <c r="P13322" s="594"/>
    </row>
    <row r="13323" spans="16:16">
      <c r="P13323" s="594"/>
    </row>
    <row r="13324" spans="16:16">
      <c r="P13324" s="594"/>
    </row>
    <row r="13325" spans="16:16">
      <c r="P13325" s="594"/>
    </row>
    <row r="13326" spans="16:16">
      <c r="P13326" s="594"/>
    </row>
    <row r="13327" spans="16:16">
      <c r="P13327" s="594"/>
    </row>
    <row r="13328" spans="16:16">
      <c r="P13328" s="594"/>
    </row>
    <row r="13329" spans="16:16">
      <c r="P13329" s="594"/>
    </row>
    <row r="13330" spans="16:16">
      <c r="P13330" s="594"/>
    </row>
    <row r="13331" spans="16:16">
      <c r="P13331" s="594"/>
    </row>
    <row r="13332" spans="16:16">
      <c r="P13332" s="594"/>
    </row>
    <row r="13333" spans="16:16">
      <c r="P13333" s="594"/>
    </row>
    <row r="13334" spans="16:16">
      <c r="P13334" s="594"/>
    </row>
    <row r="13335" spans="16:16">
      <c r="P13335" s="594"/>
    </row>
    <row r="13336" spans="16:16">
      <c r="P13336" s="594"/>
    </row>
    <row r="13337" spans="16:16">
      <c r="P13337" s="594"/>
    </row>
    <row r="13338" spans="16:16">
      <c r="P13338" s="594"/>
    </row>
    <row r="13339" spans="16:16">
      <c r="P13339" s="594"/>
    </row>
    <row r="13340" spans="16:16">
      <c r="P13340" s="594"/>
    </row>
    <row r="13341" spans="16:16">
      <c r="P13341" s="594"/>
    </row>
    <row r="13342" spans="16:16">
      <c r="P13342" s="594"/>
    </row>
    <row r="13343" spans="16:16">
      <c r="P13343" s="594"/>
    </row>
    <row r="13344" spans="16:16">
      <c r="P13344" s="594"/>
    </row>
    <row r="13345" spans="16:16">
      <c r="P13345" s="594"/>
    </row>
    <row r="13346" spans="16:16">
      <c r="P13346" s="594"/>
    </row>
    <row r="13347" spans="16:16">
      <c r="P13347" s="594"/>
    </row>
    <row r="13348" spans="16:16">
      <c r="P13348" s="594"/>
    </row>
    <row r="13349" spans="16:16">
      <c r="P13349" s="594"/>
    </row>
    <row r="13350" spans="16:16">
      <c r="P13350" s="594"/>
    </row>
    <row r="13351" spans="16:16">
      <c r="P13351" s="594"/>
    </row>
    <row r="13352" spans="16:16">
      <c r="P13352" s="594"/>
    </row>
    <row r="13353" spans="16:16">
      <c r="P13353" s="594"/>
    </row>
    <row r="13354" spans="16:16">
      <c r="P13354" s="594"/>
    </row>
    <row r="13355" spans="16:16">
      <c r="P13355" s="594"/>
    </row>
    <row r="13356" spans="16:16">
      <c r="P13356" s="594"/>
    </row>
    <row r="13357" spans="16:16">
      <c r="P13357" s="594"/>
    </row>
    <row r="13358" spans="16:16">
      <c r="P13358" s="594"/>
    </row>
    <row r="13359" spans="16:16">
      <c r="P13359" s="594"/>
    </row>
    <row r="13360" spans="16:16">
      <c r="P13360" s="594"/>
    </row>
    <row r="13361" spans="16:16">
      <c r="P13361" s="594"/>
    </row>
    <row r="13362" spans="16:16">
      <c r="P13362" s="594"/>
    </row>
    <row r="13363" spans="16:16">
      <c r="P13363" s="594"/>
    </row>
    <row r="13364" spans="16:16">
      <c r="P13364" s="594"/>
    </row>
    <row r="13365" spans="16:16">
      <c r="P13365" s="594"/>
    </row>
    <row r="13366" spans="16:16">
      <c r="P13366" s="594"/>
    </row>
    <row r="13367" spans="16:16">
      <c r="P13367" s="594"/>
    </row>
    <row r="13368" spans="16:16">
      <c r="P13368" s="594"/>
    </row>
    <row r="13369" spans="16:16">
      <c r="P13369" s="594"/>
    </row>
    <row r="13370" spans="16:16">
      <c r="P13370" s="594"/>
    </row>
    <row r="13371" spans="16:16">
      <c r="P13371" s="594"/>
    </row>
    <row r="13372" spans="16:16">
      <c r="P13372" s="594"/>
    </row>
    <row r="13373" spans="16:16">
      <c r="P13373" s="594"/>
    </row>
    <row r="13374" spans="16:16">
      <c r="P13374" s="594"/>
    </row>
    <row r="13375" spans="16:16">
      <c r="P13375" s="594"/>
    </row>
    <row r="13376" spans="16:16">
      <c r="P13376" s="594"/>
    </row>
    <row r="13377" spans="16:16">
      <c r="P13377" s="594"/>
    </row>
    <row r="13378" spans="16:16">
      <c r="P13378" s="594"/>
    </row>
    <row r="13379" spans="16:16">
      <c r="P13379" s="594"/>
    </row>
    <row r="13380" spans="16:16">
      <c r="P13380" s="594"/>
    </row>
    <row r="13381" spans="16:16">
      <c r="P13381" s="594"/>
    </row>
    <row r="13382" spans="16:16">
      <c r="P13382" s="594"/>
    </row>
    <row r="13383" spans="16:16">
      <c r="P13383" s="594"/>
    </row>
    <row r="13384" spans="16:16">
      <c r="P13384" s="594"/>
    </row>
    <row r="13385" spans="16:16">
      <c r="P13385" s="594"/>
    </row>
    <row r="13386" spans="16:16">
      <c r="P13386" s="594"/>
    </row>
    <row r="13387" spans="16:16">
      <c r="P13387" s="594"/>
    </row>
    <row r="13388" spans="16:16">
      <c r="P13388" s="594"/>
    </row>
    <row r="13389" spans="16:16">
      <c r="P13389" s="594"/>
    </row>
    <row r="13390" spans="16:16">
      <c r="P13390" s="594"/>
    </row>
    <row r="13391" spans="16:16">
      <c r="P13391" s="594"/>
    </row>
    <row r="13392" spans="16:16">
      <c r="P13392" s="594"/>
    </row>
    <row r="13393" spans="16:16">
      <c r="P13393" s="594"/>
    </row>
    <row r="13394" spans="16:16">
      <c r="P13394" s="594"/>
    </row>
    <row r="13395" spans="16:16">
      <c r="P13395" s="594"/>
    </row>
    <row r="13396" spans="16:16">
      <c r="P13396" s="594"/>
    </row>
    <row r="13397" spans="16:16">
      <c r="P13397" s="594"/>
    </row>
    <row r="13398" spans="16:16">
      <c r="P13398" s="594"/>
    </row>
    <row r="13399" spans="16:16">
      <c r="P13399" s="594"/>
    </row>
    <row r="13400" spans="16:16">
      <c r="P13400" s="594"/>
    </row>
    <row r="13401" spans="16:16">
      <c r="P13401" s="594"/>
    </row>
    <row r="13402" spans="16:16">
      <c r="P13402" s="594"/>
    </row>
    <row r="13403" spans="16:16">
      <c r="P13403" s="594"/>
    </row>
    <row r="13404" spans="16:16">
      <c r="P13404" s="594"/>
    </row>
    <row r="13405" spans="16:16">
      <c r="P13405" s="594"/>
    </row>
    <row r="13406" spans="16:16">
      <c r="P13406" s="594"/>
    </row>
    <row r="13407" spans="16:16">
      <c r="P13407" s="594"/>
    </row>
    <row r="13408" spans="16:16">
      <c r="P13408" s="594"/>
    </row>
    <row r="13409" spans="16:16">
      <c r="P13409" s="594"/>
    </row>
    <row r="13410" spans="16:16">
      <c r="P13410" s="594"/>
    </row>
    <row r="13411" spans="16:16">
      <c r="P13411" s="594"/>
    </row>
    <row r="13412" spans="16:16">
      <c r="P13412" s="594"/>
    </row>
    <row r="13413" spans="16:16">
      <c r="P13413" s="594"/>
    </row>
    <row r="13414" spans="16:16">
      <c r="P13414" s="594"/>
    </row>
    <row r="13415" spans="16:16">
      <c r="P13415" s="594"/>
    </row>
    <row r="13416" spans="16:16">
      <c r="P13416" s="594"/>
    </row>
    <row r="13417" spans="16:16">
      <c r="P13417" s="594"/>
    </row>
    <row r="13418" spans="16:16">
      <c r="P13418" s="594"/>
    </row>
    <row r="13419" spans="16:16">
      <c r="P13419" s="594"/>
    </row>
    <row r="13420" spans="16:16">
      <c r="P13420" s="594"/>
    </row>
    <row r="13421" spans="16:16">
      <c r="P13421" s="594"/>
    </row>
    <row r="13422" spans="16:16">
      <c r="P13422" s="594"/>
    </row>
    <row r="13423" spans="16:16">
      <c r="P13423" s="594"/>
    </row>
    <row r="13424" spans="16:16">
      <c r="P13424" s="594"/>
    </row>
    <row r="13425" spans="16:16">
      <c r="P13425" s="594"/>
    </row>
    <row r="13426" spans="16:16">
      <c r="P13426" s="594"/>
    </row>
    <row r="13427" spans="16:16">
      <c r="P13427" s="594"/>
    </row>
    <row r="13428" spans="16:16">
      <c r="P13428" s="594"/>
    </row>
    <row r="13429" spans="16:16">
      <c r="P13429" s="594"/>
    </row>
    <row r="13430" spans="16:16">
      <c r="P13430" s="594"/>
    </row>
    <row r="13431" spans="16:16">
      <c r="P13431" s="594"/>
    </row>
    <row r="13432" spans="16:16">
      <c r="P13432" s="594"/>
    </row>
    <row r="13433" spans="16:16">
      <c r="P13433" s="594"/>
    </row>
    <row r="13434" spans="16:16">
      <c r="P13434" s="594"/>
    </row>
    <row r="13435" spans="16:16">
      <c r="P13435" s="594"/>
    </row>
    <row r="13436" spans="16:16">
      <c r="P13436" s="594"/>
    </row>
    <row r="13437" spans="16:16">
      <c r="P13437" s="594"/>
    </row>
    <row r="13438" spans="16:16">
      <c r="P13438" s="594"/>
    </row>
    <row r="13439" spans="16:16">
      <c r="P13439" s="594"/>
    </row>
    <row r="13440" spans="16:16">
      <c r="P13440" s="594"/>
    </row>
    <row r="13441" spans="16:16">
      <c r="P13441" s="594"/>
    </row>
    <row r="13442" spans="16:16">
      <c r="P13442" s="594"/>
    </row>
    <row r="13443" spans="16:16">
      <c r="P13443" s="594"/>
    </row>
    <row r="13444" spans="16:16">
      <c r="P13444" s="594"/>
    </row>
    <row r="13445" spans="16:16">
      <c r="P13445" s="594"/>
    </row>
    <row r="13446" spans="16:16">
      <c r="P13446" s="594"/>
    </row>
    <row r="13447" spans="16:16">
      <c r="P13447" s="594"/>
    </row>
    <row r="13448" spans="16:16">
      <c r="P13448" s="594"/>
    </row>
    <row r="13449" spans="16:16">
      <c r="P13449" s="594"/>
    </row>
    <row r="13450" spans="16:16">
      <c r="P13450" s="594"/>
    </row>
    <row r="13451" spans="16:16">
      <c r="P13451" s="594"/>
    </row>
    <row r="13452" spans="16:16">
      <c r="P13452" s="594"/>
    </row>
    <row r="13453" spans="16:16">
      <c r="P13453" s="594"/>
    </row>
    <row r="13454" spans="16:16">
      <c r="P13454" s="594"/>
    </row>
    <row r="13455" spans="16:16">
      <c r="P13455" s="594"/>
    </row>
    <row r="13456" spans="16:16">
      <c r="P13456" s="594"/>
    </row>
    <row r="13457" spans="16:16">
      <c r="P13457" s="594"/>
    </row>
    <row r="13458" spans="16:16">
      <c r="P13458" s="594"/>
    </row>
    <row r="13459" spans="16:16">
      <c r="P13459" s="594"/>
    </row>
    <row r="13460" spans="16:16">
      <c r="P13460" s="594"/>
    </row>
    <row r="13461" spans="16:16">
      <c r="P13461" s="594"/>
    </row>
    <row r="13462" spans="16:16">
      <c r="P13462" s="594"/>
    </row>
    <row r="13463" spans="16:16">
      <c r="P13463" s="594"/>
    </row>
    <row r="13464" spans="16:16">
      <c r="P13464" s="594"/>
    </row>
    <row r="13465" spans="16:16">
      <c r="P13465" s="594"/>
    </row>
    <row r="13466" spans="16:16">
      <c r="P13466" s="594"/>
    </row>
    <row r="13467" spans="16:16">
      <c r="P13467" s="594"/>
    </row>
    <row r="13468" spans="16:16">
      <c r="P13468" s="594"/>
    </row>
    <row r="13469" spans="16:16">
      <c r="P13469" s="594"/>
    </row>
    <row r="13470" spans="16:16">
      <c r="P13470" s="594"/>
    </row>
    <row r="13471" spans="16:16">
      <c r="P13471" s="594"/>
    </row>
    <row r="13472" spans="16:16">
      <c r="P13472" s="594"/>
    </row>
    <row r="13473" spans="16:16">
      <c r="P13473" s="594"/>
    </row>
    <row r="13474" spans="16:16">
      <c r="P13474" s="594"/>
    </row>
    <row r="13475" spans="16:16">
      <c r="P13475" s="594"/>
    </row>
    <row r="13476" spans="16:16">
      <c r="P13476" s="594"/>
    </row>
    <row r="13477" spans="16:16">
      <c r="P13477" s="594"/>
    </row>
    <row r="13478" spans="16:16">
      <c r="P13478" s="594"/>
    </row>
    <row r="13479" spans="16:16">
      <c r="P13479" s="594"/>
    </row>
    <row r="13480" spans="16:16">
      <c r="P13480" s="594"/>
    </row>
    <row r="13481" spans="16:16">
      <c r="P13481" s="594"/>
    </row>
    <row r="13482" spans="16:16">
      <c r="P13482" s="594"/>
    </row>
    <row r="13483" spans="16:16">
      <c r="P13483" s="594"/>
    </row>
    <row r="13484" spans="16:16">
      <c r="P13484" s="594"/>
    </row>
    <row r="13485" spans="16:16">
      <c r="P13485" s="594"/>
    </row>
    <row r="13486" spans="16:16">
      <c r="P13486" s="594"/>
    </row>
    <row r="13487" spans="16:16">
      <c r="P13487" s="594"/>
    </row>
    <row r="13488" spans="16:16">
      <c r="P13488" s="594"/>
    </row>
    <row r="13489" spans="16:16">
      <c r="P13489" s="594"/>
    </row>
    <row r="13490" spans="16:16">
      <c r="P13490" s="594"/>
    </row>
    <row r="13491" spans="16:16">
      <c r="P13491" s="594"/>
    </row>
    <row r="13492" spans="16:16">
      <c r="P13492" s="594"/>
    </row>
    <row r="13493" spans="16:16">
      <c r="P13493" s="594"/>
    </row>
    <row r="13494" spans="16:16">
      <c r="P13494" s="594"/>
    </row>
    <row r="13495" spans="16:16">
      <c r="P13495" s="594"/>
    </row>
    <row r="13496" spans="16:16">
      <c r="P13496" s="594"/>
    </row>
    <row r="13497" spans="16:16">
      <c r="P13497" s="594"/>
    </row>
    <row r="13498" spans="16:16">
      <c r="P13498" s="594"/>
    </row>
    <row r="13499" spans="16:16">
      <c r="P13499" s="594"/>
    </row>
    <row r="13500" spans="16:16">
      <c r="P13500" s="594"/>
    </row>
    <row r="13501" spans="16:16">
      <c r="P13501" s="594"/>
    </row>
    <row r="13502" spans="16:16">
      <c r="P13502" s="594"/>
    </row>
    <row r="13503" spans="16:16">
      <c r="P13503" s="594"/>
    </row>
    <row r="13504" spans="16:16">
      <c r="P13504" s="594"/>
    </row>
    <row r="13505" spans="16:16">
      <c r="P13505" s="594"/>
    </row>
    <row r="13506" spans="16:16">
      <c r="P13506" s="594"/>
    </row>
    <row r="13507" spans="16:16">
      <c r="P13507" s="594"/>
    </row>
    <row r="13508" spans="16:16">
      <c r="P13508" s="594"/>
    </row>
    <row r="13509" spans="16:16">
      <c r="P13509" s="594"/>
    </row>
    <row r="13510" spans="16:16">
      <c r="P13510" s="594"/>
    </row>
    <row r="13511" spans="16:16">
      <c r="P13511" s="594"/>
    </row>
    <row r="13512" spans="16:16">
      <c r="P13512" s="594"/>
    </row>
    <row r="13513" spans="16:16">
      <c r="P13513" s="594"/>
    </row>
    <row r="13514" spans="16:16">
      <c r="P13514" s="594"/>
    </row>
    <row r="13515" spans="16:16">
      <c r="P13515" s="594"/>
    </row>
    <row r="13516" spans="16:16">
      <c r="P13516" s="594"/>
    </row>
    <row r="13517" spans="16:16">
      <c r="P13517" s="594"/>
    </row>
    <row r="13518" spans="16:16">
      <c r="P13518" s="594"/>
    </row>
    <row r="13519" spans="16:16">
      <c r="P13519" s="594"/>
    </row>
    <row r="13520" spans="16:16">
      <c r="P13520" s="594"/>
    </row>
    <row r="13521" spans="16:16">
      <c r="P13521" s="594"/>
    </row>
    <row r="13522" spans="16:16">
      <c r="P13522" s="594"/>
    </row>
    <row r="13523" spans="16:16">
      <c r="P13523" s="594"/>
    </row>
    <row r="13524" spans="16:16">
      <c r="P13524" s="594"/>
    </row>
    <row r="13525" spans="16:16">
      <c r="P13525" s="594"/>
    </row>
    <row r="13526" spans="16:16">
      <c r="P13526" s="594"/>
    </row>
    <row r="13527" spans="16:16">
      <c r="P13527" s="594"/>
    </row>
    <row r="13528" spans="16:16">
      <c r="P13528" s="594"/>
    </row>
    <row r="13529" spans="16:16">
      <c r="P13529" s="594"/>
    </row>
    <row r="13530" spans="16:16">
      <c r="P13530" s="594"/>
    </row>
    <row r="13531" spans="16:16">
      <c r="P13531" s="594"/>
    </row>
    <row r="13532" spans="16:16">
      <c r="P13532" s="594"/>
    </row>
    <row r="13533" spans="16:16">
      <c r="P13533" s="594"/>
    </row>
    <row r="13534" spans="16:16">
      <c r="P13534" s="594"/>
    </row>
    <row r="13535" spans="16:16">
      <c r="P13535" s="594"/>
    </row>
    <row r="13536" spans="16:16">
      <c r="P13536" s="594"/>
    </row>
    <row r="13537" spans="16:16">
      <c r="P13537" s="594"/>
    </row>
    <row r="13538" spans="16:16">
      <c r="P13538" s="594"/>
    </row>
    <row r="13539" spans="16:16">
      <c r="P13539" s="594"/>
    </row>
    <row r="13540" spans="16:16">
      <c r="P13540" s="594"/>
    </row>
    <row r="13541" spans="16:16">
      <c r="P13541" s="594"/>
    </row>
    <row r="13542" spans="16:16">
      <c r="P13542" s="594"/>
    </row>
    <row r="13543" spans="16:16">
      <c r="P13543" s="594"/>
    </row>
    <row r="13544" spans="16:16">
      <c r="P13544" s="594"/>
    </row>
    <row r="13545" spans="16:16">
      <c r="P13545" s="594"/>
    </row>
    <row r="13546" spans="16:16">
      <c r="P13546" s="594"/>
    </row>
    <row r="13547" spans="16:16">
      <c r="P13547" s="594"/>
    </row>
    <row r="13548" spans="16:16">
      <c r="P13548" s="594"/>
    </row>
    <row r="13549" spans="16:16">
      <c r="P13549" s="594"/>
    </row>
    <row r="13550" spans="16:16">
      <c r="P13550" s="594"/>
    </row>
    <row r="13551" spans="16:16">
      <c r="P13551" s="594"/>
    </row>
    <row r="13552" spans="16:16">
      <c r="P13552" s="594"/>
    </row>
    <row r="13553" spans="16:16">
      <c r="P13553" s="594"/>
    </row>
    <row r="13554" spans="16:16">
      <c r="P13554" s="594"/>
    </row>
    <row r="13555" spans="16:16">
      <c r="P13555" s="594"/>
    </row>
    <row r="13556" spans="16:16">
      <c r="P13556" s="594"/>
    </row>
    <row r="13557" spans="16:16">
      <c r="P13557" s="594"/>
    </row>
    <row r="13558" spans="16:16">
      <c r="P13558" s="594"/>
    </row>
    <row r="13559" spans="16:16">
      <c r="P13559" s="594"/>
    </row>
    <row r="13560" spans="16:16">
      <c r="P13560" s="594"/>
    </row>
    <row r="13561" spans="16:16">
      <c r="P13561" s="594"/>
    </row>
    <row r="13562" spans="16:16">
      <c r="P13562" s="594"/>
    </row>
    <row r="13563" spans="16:16">
      <c r="P13563" s="594"/>
    </row>
    <row r="13564" spans="16:16">
      <c r="P13564" s="594"/>
    </row>
    <row r="13565" spans="16:16">
      <c r="P13565" s="594"/>
    </row>
    <row r="13566" spans="16:16">
      <c r="P13566" s="594"/>
    </row>
    <row r="13567" spans="16:16">
      <c r="P13567" s="594"/>
    </row>
    <row r="13568" spans="16:16">
      <c r="P13568" s="594"/>
    </row>
    <row r="13569" spans="16:16">
      <c r="P13569" s="594"/>
    </row>
    <row r="13570" spans="16:16">
      <c r="P13570" s="594"/>
    </row>
    <row r="13571" spans="16:16">
      <c r="P13571" s="594"/>
    </row>
    <row r="13572" spans="16:16">
      <c r="P13572" s="594"/>
    </row>
    <row r="13573" spans="16:16">
      <c r="P13573" s="594"/>
    </row>
    <row r="13574" spans="16:16">
      <c r="P13574" s="594"/>
    </row>
    <row r="13575" spans="16:16">
      <c r="P13575" s="594"/>
    </row>
    <row r="13576" spans="16:16">
      <c r="P13576" s="594"/>
    </row>
    <row r="13577" spans="16:16">
      <c r="P13577" s="594"/>
    </row>
    <row r="13578" spans="16:16">
      <c r="P13578" s="594"/>
    </row>
    <row r="13579" spans="16:16">
      <c r="P13579" s="594"/>
    </row>
    <row r="13580" spans="16:16">
      <c r="P13580" s="594"/>
    </row>
    <row r="13581" spans="16:16">
      <c r="P13581" s="594"/>
    </row>
    <row r="13582" spans="16:16">
      <c r="P13582" s="594"/>
    </row>
    <row r="13583" spans="16:16">
      <c r="P13583" s="594"/>
    </row>
    <row r="13584" spans="16:16">
      <c r="P13584" s="594"/>
    </row>
    <row r="13585" spans="16:16">
      <c r="P13585" s="594"/>
    </row>
    <row r="13586" spans="16:16">
      <c r="P13586" s="594"/>
    </row>
    <row r="13587" spans="16:16">
      <c r="P13587" s="594"/>
    </row>
    <row r="13588" spans="16:16">
      <c r="P13588" s="594"/>
    </row>
    <row r="13589" spans="16:16">
      <c r="P13589" s="594"/>
    </row>
    <row r="13590" spans="16:16">
      <c r="P13590" s="594"/>
    </row>
    <row r="13591" spans="16:16">
      <c r="P13591" s="594"/>
    </row>
    <row r="13592" spans="16:16">
      <c r="P13592" s="594"/>
    </row>
    <row r="13593" spans="16:16">
      <c r="P13593" s="594"/>
    </row>
    <row r="13594" spans="16:16">
      <c r="P13594" s="594"/>
    </row>
    <row r="13595" spans="16:16">
      <c r="P13595" s="594"/>
    </row>
    <row r="13596" spans="16:16">
      <c r="P13596" s="594"/>
    </row>
    <row r="13597" spans="16:16">
      <c r="P13597" s="594"/>
    </row>
    <row r="13598" spans="16:16">
      <c r="P13598" s="594"/>
    </row>
    <row r="13599" spans="16:16">
      <c r="P13599" s="594"/>
    </row>
    <row r="13600" spans="16:16">
      <c r="P13600" s="594"/>
    </row>
    <row r="13601" spans="16:16">
      <c r="P13601" s="594"/>
    </row>
    <row r="13602" spans="16:16">
      <c r="P13602" s="594"/>
    </row>
    <row r="13603" spans="16:16">
      <c r="P13603" s="594"/>
    </row>
    <row r="13604" spans="16:16">
      <c r="P13604" s="594"/>
    </row>
    <row r="13605" spans="16:16">
      <c r="P13605" s="594"/>
    </row>
    <row r="13606" spans="16:16">
      <c r="P13606" s="594"/>
    </row>
    <row r="13607" spans="16:16">
      <c r="P13607" s="594"/>
    </row>
    <row r="13608" spans="16:16">
      <c r="P13608" s="594"/>
    </row>
    <row r="13609" spans="16:16">
      <c r="P13609" s="594"/>
    </row>
    <row r="13610" spans="16:16">
      <c r="P13610" s="594"/>
    </row>
    <row r="13611" spans="16:16">
      <c r="P13611" s="594"/>
    </row>
    <row r="13612" spans="16:16">
      <c r="P13612" s="594"/>
    </row>
    <row r="13613" spans="16:16">
      <c r="P13613" s="594"/>
    </row>
    <row r="13614" spans="16:16">
      <c r="P13614" s="594"/>
    </row>
    <row r="13615" spans="16:16">
      <c r="P13615" s="594"/>
    </row>
    <row r="13616" spans="16:16">
      <c r="P13616" s="594"/>
    </row>
    <row r="13617" spans="16:16">
      <c r="P13617" s="594"/>
    </row>
    <row r="13618" spans="16:16">
      <c r="P13618" s="594"/>
    </row>
    <row r="13619" spans="16:16">
      <c r="P13619" s="594"/>
    </row>
    <row r="13620" spans="16:16">
      <c r="P13620" s="594"/>
    </row>
    <row r="13621" spans="16:16">
      <c r="P13621" s="594"/>
    </row>
    <row r="13622" spans="16:16">
      <c r="P13622" s="594"/>
    </row>
    <row r="13623" spans="16:16">
      <c r="P13623" s="594"/>
    </row>
    <row r="13624" spans="16:16">
      <c r="P13624" s="594"/>
    </row>
    <row r="13625" spans="16:16">
      <c r="P13625" s="594"/>
    </row>
    <row r="13626" spans="16:16">
      <c r="P13626" s="594"/>
    </row>
    <row r="13627" spans="16:16">
      <c r="P13627" s="594"/>
    </row>
    <row r="13628" spans="16:16">
      <c r="P13628" s="594"/>
    </row>
    <row r="13629" spans="16:16">
      <c r="P13629" s="594"/>
    </row>
    <row r="13630" spans="16:16">
      <c r="P13630" s="594"/>
    </row>
    <row r="13631" spans="16:16">
      <c r="P13631" s="594"/>
    </row>
    <row r="13632" spans="16:16">
      <c r="P13632" s="594"/>
    </row>
    <row r="13633" spans="16:16">
      <c r="P13633" s="594"/>
    </row>
    <row r="13634" spans="16:16">
      <c r="P13634" s="594"/>
    </row>
    <row r="13635" spans="16:16">
      <c r="P13635" s="594"/>
    </row>
    <row r="13636" spans="16:16">
      <c r="P13636" s="594"/>
    </row>
    <row r="13637" spans="16:16">
      <c r="P13637" s="594"/>
    </row>
    <row r="13638" spans="16:16">
      <c r="P13638" s="594"/>
    </row>
    <row r="13639" spans="16:16">
      <c r="P13639" s="594"/>
    </row>
    <row r="13640" spans="16:16">
      <c r="P13640" s="594"/>
    </row>
    <row r="13641" spans="16:16">
      <c r="P13641" s="594"/>
    </row>
    <row r="13642" spans="16:16">
      <c r="P13642" s="594"/>
    </row>
    <row r="13643" spans="16:16">
      <c r="P13643" s="594"/>
    </row>
    <row r="13644" spans="16:16">
      <c r="P13644" s="594"/>
    </row>
    <row r="13645" spans="16:16">
      <c r="P13645" s="594"/>
    </row>
    <row r="13646" spans="16:16">
      <c r="P13646" s="594"/>
    </row>
    <row r="13647" spans="16:16">
      <c r="P13647" s="594"/>
    </row>
    <row r="13648" spans="16:16">
      <c r="P13648" s="594"/>
    </row>
    <row r="13649" spans="16:16">
      <c r="P13649" s="594"/>
    </row>
    <row r="13650" spans="16:16">
      <c r="P13650" s="594"/>
    </row>
    <row r="13651" spans="16:16">
      <c r="P13651" s="594"/>
    </row>
    <row r="13652" spans="16:16">
      <c r="P13652" s="594"/>
    </row>
    <row r="13653" spans="16:16">
      <c r="P13653" s="594"/>
    </row>
    <row r="13654" spans="16:16">
      <c r="P13654" s="594"/>
    </row>
    <row r="13655" spans="16:16">
      <c r="P13655" s="594"/>
    </row>
    <row r="13656" spans="16:16">
      <c r="P13656" s="594"/>
    </row>
    <row r="13657" spans="16:16">
      <c r="P13657" s="594"/>
    </row>
    <row r="13658" spans="16:16">
      <c r="P13658" s="594"/>
    </row>
    <row r="13659" spans="16:16">
      <c r="P13659" s="594"/>
    </row>
    <row r="13660" spans="16:16">
      <c r="P13660" s="594"/>
    </row>
    <row r="13661" spans="16:16">
      <c r="P13661" s="594"/>
    </row>
    <row r="13662" spans="16:16">
      <c r="P13662" s="594"/>
    </row>
    <row r="13663" spans="16:16">
      <c r="P13663" s="594"/>
    </row>
    <row r="13664" spans="16:16">
      <c r="P13664" s="594"/>
    </row>
    <row r="13665" spans="16:16">
      <c r="P13665" s="594"/>
    </row>
    <row r="13666" spans="16:16">
      <c r="P13666" s="594"/>
    </row>
    <row r="13667" spans="16:16">
      <c r="P13667" s="594"/>
    </row>
    <row r="13668" spans="16:16">
      <c r="P13668" s="594"/>
    </row>
    <row r="13669" spans="16:16">
      <c r="P13669" s="594"/>
    </row>
    <row r="13670" spans="16:16">
      <c r="P13670" s="594"/>
    </row>
    <row r="13671" spans="16:16">
      <c r="P13671" s="594"/>
    </row>
    <row r="13672" spans="16:16">
      <c r="P13672" s="594"/>
    </row>
    <row r="13673" spans="16:16">
      <c r="P13673" s="594"/>
    </row>
    <row r="13674" spans="16:16">
      <c r="P13674" s="594"/>
    </row>
    <row r="13675" spans="16:16">
      <c r="P13675" s="594"/>
    </row>
    <row r="13676" spans="16:16">
      <c r="P13676" s="594"/>
    </row>
    <row r="13677" spans="16:16">
      <c r="P13677" s="594"/>
    </row>
    <row r="13678" spans="16:16">
      <c r="P13678" s="594"/>
    </row>
    <row r="13679" spans="16:16">
      <c r="P13679" s="594"/>
    </row>
    <row r="13680" spans="16:16">
      <c r="P13680" s="594"/>
    </row>
    <row r="13681" spans="16:16">
      <c r="P13681" s="594"/>
    </row>
    <row r="13682" spans="16:16">
      <c r="P13682" s="594"/>
    </row>
    <row r="13683" spans="16:16">
      <c r="P13683" s="594"/>
    </row>
    <row r="13684" spans="16:16">
      <c r="P13684" s="594"/>
    </row>
    <row r="13685" spans="16:16">
      <c r="P13685" s="594"/>
    </row>
    <row r="13686" spans="16:16">
      <c r="P13686" s="594"/>
    </row>
    <row r="13687" spans="16:16">
      <c r="P13687" s="594"/>
    </row>
    <row r="13688" spans="16:16">
      <c r="P13688" s="594"/>
    </row>
    <row r="13689" spans="16:16">
      <c r="P13689" s="594"/>
    </row>
    <row r="13690" spans="16:16">
      <c r="P13690" s="594"/>
    </row>
    <row r="13691" spans="16:16">
      <c r="P13691" s="594"/>
    </row>
    <row r="13692" spans="16:16">
      <c r="P13692" s="594"/>
    </row>
    <row r="13693" spans="16:16">
      <c r="P13693" s="594"/>
    </row>
    <row r="13694" spans="16:16">
      <c r="P13694" s="594"/>
    </row>
    <row r="13695" spans="16:16">
      <c r="P13695" s="594"/>
    </row>
    <row r="13696" spans="16:16">
      <c r="P13696" s="594"/>
    </row>
    <row r="13697" spans="16:16">
      <c r="P13697" s="594"/>
    </row>
    <row r="13698" spans="16:16">
      <c r="P13698" s="594"/>
    </row>
    <row r="13699" spans="16:16">
      <c r="P13699" s="594"/>
    </row>
    <row r="13700" spans="16:16">
      <c r="P13700" s="594"/>
    </row>
    <row r="13701" spans="16:16">
      <c r="P13701" s="594"/>
    </row>
    <row r="13702" spans="16:16">
      <c r="P13702" s="594"/>
    </row>
    <row r="13703" spans="16:16">
      <c r="P13703" s="594"/>
    </row>
    <row r="13704" spans="16:16">
      <c r="P13704" s="594"/>
    </row>
    <row r="13705" spans="16:16">
      <c r="P13705" s="594"/>
    </row>
    <row r="13706" spans="16:16">
      <c r="P13706" s="594"/>
    </row>
    <row r="13707" spans="16:16">
      <c r="P13707" s="594"/>
    </row>
    <row r="13708" spans="16:16">
      <c r="P13708" s="594"/>
    </row>
    <row r="13709" spans="16:16">
      <c r="P13709" s="594"/>
    </row>
    <row r="13710" spans="16:16">
      <c r="P13710" s="594"/>
    </row>
    <row r="13711" spans="16:16">
      <c r="P13711" s="594"/>
    </row>
    <row r="13712" spans="16:16">
      <c r="P13712" s="594"/>
    </row>
    <row r="13713" spans="16:16">
      <c r="P13713" s="594"/>
    </row>
    <row r="13714" spans="16:16">
      <c r="P13714" s="594"/>
    </row>
    <row r="13715" spans="16:16">
      <c r="P13715" s="594"/>
    </row>
    <row r="13716" spans="16:16">
      <c r="P13716" s="594"/>
    </row>
    <row r="13717" spans="16:16">
      <c r="P13717" s="594"/>
    </row>
    <row r="13718" spans="16:16">
      <c r="P13718" s="594"/>
    </row>
    <row r="13719" spans="16:16">
      <c r="P13719" s="594"/>
    </row>
    <row r="13720" spans="16:16">
      <c r="P13720" s="594"/>
    </row>
    <row r="13721" spans="16:16">
      <c r="P13721" s="594"/>
    </row>
    <row r="13722" spans="16:16">
      <c r="P13722" s="594"/>
    </row>
    <row r="13723" spans="16:16">
      <c r="P13723" s="594"/>
    </row>
    <row r="13724" spans="16:16">
      <c r="P13724" s="594"/>
    </row>
    <row r="13725" spans="16:16">
      <c r="P13725" s="594"/>
    </row>
    <row r="13726" spans="16:16">
      <c r="P13726" s="594"/>
    </row>
    <row r="13727" spans="16:16">
      <c r="P13727" s="594"/>
    </row>
    <row r="13728" spans="16:16">
      <c r="P13728" s="594"/>
    </row>
    <row r="13729" spans="16:16">
      <c r="P13729" s="594"/>
    </row>
    <row r="13730" spans="16:16">
      <c r="P13730" s="594"/>
    </row>
    <row r="13731" spans="16:16">
      <c r="P13731" s="594"/>
    </row>
    <row r="13732" spans="16:16">
      <c r="P13732" s="594"/>
    </row>
    <row r="13733" spans="16:16">
      <c r="P13733" s="594"/>
    </row>
    <row r="13734" spans="16:16">
      <c r="P13734" s="594"/>
    </row>
    <row r="13735" spans="16:16">
      <c r="P13735" s="594"/>
    </row>
    <row r="13736" spans="16:16">
      <c r="P13736" s="594"/>
    </row>
    <row r="13737" spans="16:16">
      <c r="P13737" s="594"/>
    </row>
    <row r="13738" spans="16:16">
      <c r="P13738" s="594"/>
    </row>
    <row r="13739" spans="16:16">
      <c r="P13739" s="594"/>
    </row>
    <row r="13740" spans="16:16">
      <c r="P13740" s="594"/>
    </row>
    <row r="13741" spans="16:16">
      <c r="P13741" s="594"/>
    </row>
    <row r="13742" spans="16:16">
      <c r="P13742" s="594"/>
    </row>
    <row r="13743" spans="16:16">
      <c r="P13743" s="594"/>
    </row>
    <row r="13744" spans="16:16">
      <c r="P13744" s="594"/>
    </row>
    <row r="13745" spans="16:16">
      <c r="P13745" s="594"/>
    </row>
    <row r="13746" spans="16:16">
      <c r="P13746" s="594"/>
    </row>
    <row r="13747" spans="16:16">
      <c r="P13747" s="594"/>
    </row>
    <row r="13748" spans="16:16">
      <c r="P13748" s="594"/>
    </row>
    <row r="13749" spans="16:16">
      <c r="P13749" s="594"/>
    </row>
    <row r="13750" spans="16:16">
      <c r="P13750" s="594"/>
    </row>
    <row r="13751" spans="16:16">
      <c r="P13751" s="594"/>
    </row>
    <row r="13752" spans="16:16">
      <c r="P13752" s="594"/>
    </row>
    <row r="13753" spans="16:16">
      <c r="P13753" s="594"/>
    </row>
    <row r="13754" spans="16:16">
      <c r="P13754" s="594"/>
    </row>
    <row r="13755" spans="16:16">
      <c r="P13755" s="594"/>
    </row>
    <row r="13756" spans="16:16">
      <c r="P13756" s="594"/>
    </row>
    <row r="13757" spans="16:16">
      <c r="P13757" s="594"/>
    </row>
    <row r="13758" spans="16:16">
      <c r="P13758" s="594"/>
    </row>
    <row r="13759" spans="16:16">
      <c r="P13759" s="594"/>
    </row>
    <row r="13760" spans="16:16">
      <c r="P13760" s="594"/>
    </row>
    <row r="13761" spans="16:16">
      <c r="P13761" s="594"/>
    </row>
    <row r="13762" spans="16:16">
      <c r="P13762" s="594"/>
    </row>
    <row r="13763" spans="16:16">
      <c r="P13763" s="594"/>
    </row>
    <row r="13764" spans="16:16">
      <c r="P13764" s="594"/>
    </row>
    <row r="13765" spans="16:16">
      <c r="P13765" s="594"/>
    </row>
    <row r="13766" spans="16:16">
      <c r="P13766" s="594"/>
    </row>
    <row r="13767" spans="16:16">
      <c r="P13767" s="594"/>
    </row>
    <row r="13768" spans="16:16">
      <c r="P13768" s="594"/>
    </row>
    <row r="13769" spans="16:16">
      <c r="P13769" s="594"/>
    </row>
    <row r="13770" spans="16:16">
      <c r="P13770" s="594"/>
    </row>
    <row r="13771" spans="16:16">
      <c r="P13771" s="594"/>
    </row>
    <row r="13772" spans="16:16">
      <c r="P13772" s="594"/>
    </row>
    <row r="13773" spans="16:16">
      <c r="P13773" s="594"/>
    </row>
    <row r="13774" spans="16:16">
      <c r="P13774" s="594"/>
    </row>
    <row r="13775" spans="16:16">
      <c r="P13775" s="594"/>
    </row>
    <row r="13776" spans="16:16">
      <c r="P13776" s="594"/>
    </row>
    <row r="13777" spans="16:16">
      <c r="P13777" s="594"/>
    </row>
    <row r="13778" spans="16:16">
      <c r="P13778" s="594"/>
    </row>
    <row r="13779" spans="16:16">
      <c r="P13779" s="594"/>
    </row>
    <row r="13780" spans="16:16">
      <c r="P13780" s="594"/>
    </row>
    <row r="13781" spans="16:16">
      <c r="P13781" s="594"/>
    </row>
    <row r="13782" spans="16:16">
      <c r="P13782" s="594"/>
    </row>
    <row r="13783" spans="16:16">
      <c r="P13783" s="594"/>
    </row>
    <row r="13784" spans="16:16">
      <c r="P13784" s="594"/>
    </row>
    <row r="13785" spans="16:16">
      <c r="P13785" s="594"/>
    </row>
    <row r="13786" spans="16:16">
      <c r="P13786" s="594"/>
    </row>
    <row r="13787" spans="16:16">
      <c r="P13787" s="594"/>
    </row>
    <row r="13788" spans="16:16">
      <c r="P13788" s="594"/>
    </row>
    <row r="13789" spans="16:16">
      <c r="P13789" s="594"/>
    </row>
    <row r="13790" spans="16:16">
      <c r="P13790" s="594"/>
    </row>
    <row r="13791" spans="16:16">
      <c r="P13791" s="594"/>
    </row>
    <row r="13792" spans="16:16">
      <c r="P13792" s="594"/>
    </row>
    <row r="13793" spans="16:16">
      <c r="P13793" s="594"/>
    </row>
    <row r="13794" spans="16:16">
      <c r="P13794" s="594"/>
    </row>
    <row r="13795" spans="16:16">
      <c r="P13795" s="594"/>
    </row>
    <row r="13796" spans="16:16">
      <c r="P13796" s="594"/>
    </row>
    <row r="13797" spans="16:16">
      <c r="P13797" s="594"/>
    </row>
    <row r="13798" spans="16:16">
      <c r="P13798" s="594"/>
    </row>
    <row r="13799" spans="16:16">
      <c r="P13799" s="594"/>
    </row>
    <row r="13800" spans="16:16">
      <c r="P13800" s="594"/>
    </row>
    <row r="13801" spans="16:16">
      <c r="P13801" s="594"/>
    </row>
    <row r="13802" spans="16:16">
      <c r="P13802" s="594"/>
    </row>
    <row r="13803" spans="16:16">
      <c r="P13803" s="594"/>
    </row>
    <row r="13804" spans="16:16">
      <c r="P13804" s="594"/>
    </row>
    <row r="13805" spans="16:16">
      <c r="P13805" s="594"/>
    </row>
    <row r="13806" spans="16:16">
      <c r="P13806" s="594"/>
    </row>
    <row r="13807" spans="16:16">
      <c r="P13807" s="594"/>
    </row>
    <row r="13808" spans="16:16">
      <c r="P13808" s="594"/>
    </row>
    <row r="13809" spans="16:16">
      <c r="P13809" s="594"/>
    </row>
    <row r="13810" spans="16:16">
      <c r="P13810" s="594"/>
    </row>
    <row r="13811" spans="16:16">
      <c r="P13811" s="594"/>
    </row>
    <row r="13812" spans="16:16">
      <c r="P13812" s="594"/>
    </row>
    <row r="13813" spans="16:16">
      <c r="P13813" s="594"/>
    </row>
    <row r="13814" spans="16:16">
      <c r="P13814" s="594"/>
    </row>
    <row r="13815" spans="16:16">
      <c r="P13815" s="594"/>
    </row>
    <row r="13816" spans="16:16">
      <c r="P13816" s="594"/>
    </row>
    <row r="13817" spans="16:16">
      <c r="P13817" s="594"/>
    </row>
    <row r="13818" spans="16:16">
      <c r="P13818" s="594"/>
    </row>
    <row r="13819" spans="16:16">
      <c r="P13819" s="594"/>
    </row>
    <row r="13820" spans="16:16">
      <c r="P13820" s="594"/>
    </row>
    <row r="13821" spans="16:16">
      <c r="P13821" s="594"/>
    </row>
    <row r="13822" spans="16:16">
      <c r="P13822" s="594"/>
    </row>
    <row r="13823" spans="16:16">
      <c r="P13823" s="594"/>
    </row>
    <row r="13824" spans="16:16">
      <c r="P13824" s="594"/>
    </row>
    <row r="13825" spans="16:16">
      <c r="P13825" s="594"/>
    </row>
    <row r="13826" spans="16:16">
      <c r="P13826" s="594"/>
    </row>
    <row r="13827" spans="16:16">
      <c r="P13827" s="594"/>
    </row>
    <row r="13828" spans="16:16">
      <c r="P13828" s="594"/>
    </row>
    <row r="13829" spans="16:16">
      <c r="P13829" s="594"/>
    </row>
    <row r="13830" spans="16:16">
      <c r="P13830" s="594"/>
    </row>
    <row r="13831" spans="16:16">
      <c r="P13831" s="594"/>
    </row>
    <row r="13832" spans="16:16">
      <c r="P13832" s="594"/>
    </row>
    <row r="13833" spans="16:16">
      <c r="P13833" s="594"/>
    </row>
    <row r="13834" spans="16:16">
      <c r="P13834" s="594"/>
    </row>
    <row r="13835" spans="16:16">
      <c r="P13835" s="594"/>
    </row>
    <row r="13836" spans="16:16">
      <c r="P13836" s="594"/>
    </row>
    <row r="13837" spans="16:16">
      <c r="P13837" s="594"/>
    </row>
    <row r="13838" spans="16:16">
      <c r="P13838" s="594"/>
    </row>
    <row r="13839" spans="16:16">
      <c r="P13839" s="594"/>
    </row>
    <row r="13840" spans="16:16">
      <c r="P13840" s="594"/>
    </row>
    <row r="13841" spans="16:16">
      <c r="P13841" s="594"/>
    </row>
    <row r="13842" spans="16:16">
      <c r="P13842" s="594"/>
    </row>
    <row r="13843" spans="16:16">
      <c r="P13843" s="594"/>
    </row>
    <row r="13844" spans="16:16">
      <c r="P13844" s="594"/>
    </row>
    <row r="13845" spans="16:16">
      <c r="P13845" s="594"/>
    </row>
    <row r="13846" spans="16:16">
      <c r="P13846" s="594"/>
    </row>
    <row r="13847" spans="16:16">
      <c r="P13847" s="594"/>
    </row>
    <row r="13848" spans="16:16">
      <c r="P13848" s="594"/>
    </row>
    <row r="13849" spans="16:16">
      <c r="P13849" s="594"/>
    </row>
    <row r="13850" spans="16:16">
      <c r="P13850" s="594"/>
    </row>
    <row r="13851" spans="16:16">
      <c r="P13851" s="594"/>
    </row>
    <row r="13852" spans="16:16">
      <c r="P13852" s="594"/>
    </row>
    <row r="13853" spans="16:16">
      <c r="P13853" s="594"/>
    </row>
    <row r="13854" spans="16:16">
      <c r="P13854" s="594"/>
    </row>
    <row r="13855" spans="16:16">
      <c r="P13855" s="594"/>
    </row>
    <row r="13856" spans="16:16">
      <c r="P13856" s="594"/>
    </row>
    <row r="13857" spans="16:16">
      <c r="P13857" s="594"/>
    </row>
    <row r="13858" spans="16:16">
      <c r="P13858" s="594"/>
    </row>
    <row r="13859" spans="16:16">
      <c r="P13859" s="594"/>
    </row>
    <row r="13860" spans="16:16">
      <c r="P13860" s="594"/>
    </row>
    <row r="13861" spans="16:16">
      <c r="P13861" s="594"/>
    </row>
    <row r="13862" spans="16:16">
      <c r="P13862" s="594"/>
    </row>
    <row r="13863" spans="16:16">
      <c r="P13863" s="594"/>
    </row>
    <row r="13864" spans="16:16">
      <c r="P13864" s="594"/>
    </row>
    <row r="13865" spans="16:16">
      <c r="P13865" s="594"/>
    </row>
    <row r="13866" spans="16:16">
      <c r="P13866" s="594"/>
    </row>
    <row r="13867" spans="16:16">
      <c r="P13867" s="594"/>
    </row>
    <row r="13868" spans="16:16">
      <c r="P13868" s="594"/>
    </row>
    <row r="13869" spans="16:16">
      <c r="P13869" s="594"/>
    </row>
    <row r="13870" spans="16:16">
      <c r="P13870" s="594"/>
    </row>
    <row r="13871" spans="16:16">
      <c r="P13871" s="594"/>
    </row>
    <row r="13872" spans="16:16">
      <c r="P13872" s="594"/>
    </row>
    <row r="13873" spans="16:16">
      <c r="P13873" s="594"/>
    </row>
    <row r="13874" spans="16:16">
      <c r="P13874" s="594"/>
    </row>
    <row r="13875" spans="16:16">
      <c r="P13875" s="594"/>
    </row>
    <row r="13876" spans="16:16">
      <c r="P13876" s="594"/>
    </row>
    <row r="13877" spans="16:16">
      <c r="P13877" s="594"/>
    </row>
    <row r="13878" spans="16:16">
      <c r="P13878" s="594"/>
    </row>
    <row r="13879" spans="16:16">
      <c r="P13879" s="594"/>
    </row>
    <row r="13880" spans="16:16">
      <c r="P13880" s="594"/>
    </row>
    <row r="13881" spans="16:16">
      <c r="P13881" s="594"/>
    </row>
    <row r="13882" spans="16:16">
      <c r="P13882" s="594"/>
    </row>
    <row r="13883" spans="16:16">
      <c r="P13883" s="594"/>
    </row>
    <row r="13884" spans="16:16">
      <c r="P13884" s="594"/>
    </row>
    <row r="13885" spans="16:16">
      <c r="P13885" s="594"/>
    </row>
    <row r="13886" spans="16:16">
      <c r="P13886" s="594"/>
    </row>
    <row r="13887" spans="16:16">
      <c r="P13887" s="594"/>
    </row>
    <row r="13888" spans="16:16">
      <c r="P13888" s="594"/>
    </row>
    <row r="13889" spans="16:16">
      <c r="P13889" s="594"/>
    </row>
    <row r="13890" spans="16:16">
      <c r="P13890" s="594"/>
    </row>
    <row r="13891" spans="16:16">
      <c r="P13891" s="594"/>
    </row>
    <row r="13892" spans="16:16">
      <c r="P13892" s="594"/>
    </row>
    <row r="13893" spans="16:16">
      <c r="P13893" s="594"/>
    </row>
    <row r="13894" spans="16:16">
      <c r="P13894" s="594"/>
    </row>
    <row r="13895" spans="16:16">
      <c r="P13895" s="594"/>
    </row>
    <row r="13896" spans="16:16">
      <c r="P13896" s="594"/>
    </row>
    <row r="13897" spans="16:16">
      <c r="P13897" s="594"/>
    </row>
    <row r="13898" spans="16:16">
      <c r="P13898" s="594"/>
    </row>
    <row r="13899" spans="16:16">
      <c r="P13899" s="594"/>
    </row>
    <row r="13900" spans="16:16">
      <c r="P13900" s="594"/>
    </row>
    <row r="13901" spans="16:16">
      <c r="P13901" s="594"/>
    </row>
    <row r="13902" spans="16:16">
      <c r="P13902" s="594"/>
    </row>
    <row r="13903" spans="16:16">
      <c r="P13903" s="594"/>
    </row>
    <row r="13904" spans="16:16">
      <c r="P13904" s="594"/>
    </row>
    <row r="13905" spans="16:16">
      <c r="P13905" s="594"/>
    </row>
    <row r="13906" spans="16:16">
      <c r="P13906" s="594"/>
    </row>
    <row r="13907" spans="16:16">
      <c r="P13907" s="594"/>
    </row>
    <row r="13908" spans="16:16">
      <c r="P13908" s="594"/>
    </row>
    <row r="13909" spans="16:16">
      <c r="P13909" s="594"/>
    </row>
    <row r="13910" spans="16:16">
      <c r="P13910" s="594"/>
    </row>
    <row r="13911" spans="16:16">
      <c r="P13911" s="594"/>
    </row>
    <row r="13912" spans="16:16">
      <c r="P13912" s="594"/>
    </row>
    <row r="13913" spans="16:16">
      <c r="P13913" s="594"/>
    </row>
    <row r="13914" spans="16:16">
      <c r="P13914" s="594"/>
    </row>
    <row r="13915" spans="16:16">
      <c r="P13915" s="594"/>
    </row>
    <row r="13916" spans="16:16">
      <c r="P13916" s="594"/>
    </row>
    <row r="13917" spans="16:16">
      <c r="P13917" s="594"/>
    </row>
    <row r="13918" spans="16:16">
      <c r="P13918" s="594"/>
    </row>
    <row r="13919" spans="16:16">
      <c r="P13919" s="594"/>
    </row>
    <row r="13920" spans="16:16">
      <c r="P13920" s="594"/>
    </row>
    <row r="13921" spans="16:16">
      <c r="P13921" s="594"/>
    </row>
    <row r="13922" spans="16:16">
      <c r="P13922" s="594"/>
    </row>
    <row r="13923" spans="16:16">
      <c r="P13923" s="594"/>
    </row>
    <row r="13924" spans="16:16">
      <c r="P13924" s="594"/>
    </row>
    <row r="13925" spans="16:16">
      <c r="P13925" s="594"/>
    </row>
    <row r="13926" spans="16:16">
      <c r="P13926" s="594"/>
    </row>
    <row r="13927" spans="16:16">
      <c r="P13927" s="594"/>
    </row>
    <row r="13928" spans="16:16">
      <c r="P13928" s="594"/>
    </row>
    <row r="13929" spans="16:16">
      <c r="P13929" s="594"/>
    </row>
    <row r="13930" spans="16:16">
      <c r="P13930" s="594"/>
    </row>
    <row r="13931" spans="16:16">
      <c r="P13931" s="594"/>
    </row>
    <row r="13932" spans="16:16">
      <c r="P13932" s="594"/>
    </row>
    <row r="13933" spans="16:16">
      <c r="P13933" s="594"/>
    </row>
    <row r="13934" spans="16:16">
      <c r="P13934" s="594"/>
    </row>
    <row r="13935" spans="16:16">
      <c r="P13935" s="594"/>
    </row>
    <row r="13936" spans="16:16">
      <c r="P13936" s="594"/>
    </row>
    <row r="13937" spans="16:16">
      <c r="P13937" s="594"/>
    </row>
    <row r="13938" spans="16:16">
      <c r="P13938" s="594"/>
    </row>
    <row r="13939" spans="16:16">
      <c r="P13939" s="594"/>
    </row>
    <row r="13940" spans="16:16">
      <c r="P13940" s="594"/>
    </row>
    <row r="13941" spans="16:16">
      <c r="P13941" s="594"/>
    </row>
    <row r="13942" spans="16:16">
      <c r="P13942" s="594"/>
    </row>
    <row r="13943" spans="16:16">
      <c r="P13943" s="594"/>
    </row>
    <row r="13944" spans="16:16">
      <c r="P13944" s="594"/>
    </row>
    <row r="13945" spans="16:16">
      <c r="P13945" s="594"/>
    </row>
    <row r="13946" spans="16:16">
      <c r="P13946" s="594"/>
    </row>
    <row r="13947" spans="16:16">
      <c r="P13947" s="594"/>
    </row>
    <row r="13948" spans="16:16">
      <c r="P13948" s="594"/>
    </row>
    <row r="13949" spans="16:16">
      <c r="P13949" s="594"/>
    </row>
    <row r="13950" spans="16:16">
      <c r="P13950" s="594"/>
    </row>
    <row r="13951" spans="16:16">
      <c r="P13951" s="594"/>
    </row>
    <row r="13952" spans="16:16">
      <c r="P13952" s="594"/>
    </row>
    <row r="13953" spans="16:16">
      <c r="P13953" s="594"/>
    </row>
    <row r="13954" spans="16:16">
      <c r="P13954" s="594"/>
    </row>
    <row r="13955" spans="16:16">
      <c r="P13955" s="594"/>
    </row>
    <row r="13956" spans="16:16">
      <c r="P13956" s="594"/>
    </row>
    <row r="13957" spans="16:16">
      <c r="P13957" s="594"/>
    </row>
    <row r="13958" spans="16:16">
      <c r="P13958" s="594"/>
    </row>
    <row r="13959" spans="16:16">
      <c r="P13959" s="594"/>
    </row>
    <row r="13960" spans="16:16">
      <c r="P13960" s="594"/>
    </row>
    <row r="13961" spans="16:16">
      <c r="P13961" s="594"/>
    </row>
    <row r="13962" spans="16:16">
      <c r="P13962" s="594"/>
    </row>
    <row r="13963" spans="16:16">
      <c r="P13963" s="594"/>
    </row>
    <row r="13964" spans="16:16">
      <c r="P13964" s="594"/>
    </row>
    <row r="13965" spans="16:16">
      <c r="P13965" s="594"/>
    </row>
    <row r="13966" spans="16:16">
      <c r="P13966" s="594"/>
    </row>
    <row r="13967" spans="16:16">
      <c r="P13967" s="594"/>
    </row>
    <row r="13968" spans="16:16">
      <c r="P13968" s="594"/>
    </row>
    <row r="13969" spans="16:16">
      <c r="P13969" s="594"/>
    </row>
    <row r="13970" spans="16:16">
      <c r="P13970" s="594"/>
    </row>
    <row r="13971" spans="16:16">
      <c r="P13971" s="594"/>
    </row>
    <row r="13972" spans="16:16">
      <c r="P13972" s="594"/>
    </row>
    <row r="13973" spans="16:16">
      <c r="P13973" s="594"/>
    </row>
    <row r="13974" spans="16:16">
      <c r="P13974" s="594"/>
    </row>
    <row r="13975" spans="16:16">
      <c r="P13975" s="594"/>
    </row>
    <row r="13976" spans="16:16">
      <c r="P13976" s="594"/>
    </row>
    <row r="13977" spans="16:16">
      <c r="P13977" s="594"/>
    </row>
    <row r="13978" spans="16:16">
      <c r="P13978" s="594"/>
    </row>
    <row r="13979" spans="16:16">
      <c r="P13979" s="594"/>
    </row>
    <row r="13980" spans="16:16">
      <c r="P13980" s="594"/>
    </row>
    <row r="13981" spans="16:16">
      <c r="P13981" s="594"/>
    </row>
    <row r="13982" spans="16:16">
      <c r="P13982" s="594"/>
    </row>
    <row r="13983" spans="16:16">
      <c r="P13983" s="594"/>
    </row>
    <row r="13984" spans="16:16">
      <c r="P13984" s="594"/>
    </row>
    <row r="13985" spans="16:16">
      <c r="P13985" s="594"/>
    </row>
    <row r="13986" spans="16:16">
      <c r="P13986" s="594"/>
    </row>
    <row r="13987" spans="16:16">
      <c r="P13987" s="594"/>
    </row>
    <row r="13988" spans="16:16">
      <c r="P13988" s="594"/>
    </row>
    <row r="13989" spans="16:16">
      <c r="P13989" s="594"/>
    </row>
    <row r="13990" spans="16:16">
      <c r="P13990" s="594"/>
    </row>
    <row r="13991" spans="16:16">
      <c r="P13991" s="594"/>
    </row>
    <row r="13992" spans="16:16">
      <c r="P13992" s="594"/>
    </row>
    <row r="13993" spans="16:16">
      <c r="P13993" s="594"/>
    </row>
    <row r="13994" spans="16:16">
      <c r="P13994" s="594"/>
    </row>
    <row r="13995" spans="16:16">
      <c r="P13995" s="594"/>
    </row>
    <row r="13996" spans="16:16">
      <c r="P13996" s="594"/>
    </row>
    <row r="13997" spans="16:16">
      <c r="P13997" s="594"/>
    </row>
    <row r="13998" spans="16:16">
      <c r="P13998" s="594"/>
    </row>
    <row r="13999" spans="16:16">
      <c r="P13999" s="594"/>
    </row>
    <row r="14000" spans="16:16">
      <c r="P14000" s="594"/>
    </row>
    <row r="14001" spans="16:16">
      <c r="P14001" s="594"/>
    </row>
    <row r="14002" spans="16:16">
      <c r="P14002" s="594"/>
    </row>
    <row r="14003" spans="16:16">
      <c r="P14003" s="594"/>
    </row>
    <row r="14004" spans="16:16">
      <c r="P14004" s="594"/>
    </row>
    <row r="14005" spans="16:16">
      <c r="P14005" s="594"/>
    </row>
    <row r="14006" spans="16:16">
      <c r="P14006" s="594"/>
    </row>
    <row r="14007" spans="16:16">
      <c r="P14007" s="594"/>
    </row>
    <row r="14008" spans="16:16">
      <c r="P14008" s="594"/>
    </row>
    <row r="14009" spans="16:16">
      <c r="P14009" s="594"/>
    </row>
    <row r="14010" spans="16:16">
      <c r="P14010" s="594"/>
    </row>
    <row r="14011" spans="16:16">
      <c r="P14011" s="594"/>
    </row>
    <row r="14012" spans="16:16">
      <c r="P14012" s="594"/>
    </row>
    <row r="14013" spans="16:16">
      <c r="P14013" s="594"/>
    </row>
    <row r="14014" spans="16:16">
      <c r="P14014" s="594"/>
    </row>
    <row r="14015" spans="16:16">
      <c r="P14015" s="594"/>
    </row>
    <row r="14016" spans="16:16">
      <c r="P14016" s="594"/>
    </row>
    <row r="14017" spans="16:16">
      <c r="P14017" s="594"/>
    </row>
    <row r="14018" spans="16:16">
      <c r="P14018" s="594"/>
    </row>
    <row r="14019" spans="16:16">
      <c r="P14019" s="594"/>
    </row>
    <row r="14020" spans="16:16">
      <c r="P14020" s="594"/>
    </row>
    <row r="14021" spans="16:16">
      <c r="P14021" s="594"/>
    </row>
    <row r="14022" spans="16:16">
      <c r="P14022" s="594"/>
    </row>
    <row r="14023" spans="16:16">
      <c r="P14023" s="594"/>
    </row>
    <row r="14024" spans="16:16">
      <c r="P14024" s="594"/>
    </row>
    <row r="14025" spans="16:16">
      <c r="P14025" s="594"/>
    </row>
    <row r="14026" spans="16:16">
      <c r="P14026" s="594"/>
    </row>
    <row r="14027" spans="16:16">
      <c r="P14027" s="594"/>
    </row>
    <row r="14028" spans="16:16">
      <c r="P14028" s="594"/>
    </row>
    <row r="14029" spans="16:16">
      <c r="P14029" s="594"/>
    </row>
    <row r="14030" spans="16:16">
      <c r="P14030" s="594"/>
    </row>
    <row r="14031" spans="16:16">
      <c r="P14031" s="594"/>
    </row>
    <row r="14032" spans="16:16">
      <c r="P14032" s="594"/>
    </row>
    <row r="14033" spans="16:16">
      <c r="P14033" s="594"/>
    </row>
    <row r="14034" spans="16:16">
      <c r="P14034" s="594"/>
    </row>
    <row r="14035" spans="16:16">
      <c r="P14035" s="594"/>
    </row>
    <row r="14036" spans="16:16">
      <c r="P14036" s="594"/>
    </row>
    <row r="14037" spans="16:16">
      <c r="P14037" s="594"/>
    </row>
    <row r="14038" spans="16:16">
      <c r="P14038" s="594"/>
    </row>
    <row r="14039" spans="16:16">
      <c r="P14039" s="594"/>
    </row>
    <row r="14040" spans="16:16">
      <c r="P14040" s="594"/>
    </row>
    <row r="14041" spans="16:16">
      <c r="P14041" s="594"/>
    </row>
    <row r="14042" spans="16:16">
      <c r="P14042" s="594"/>
    </row>
    <row r="14043" spans="16:16">
      <c r="P14043" s="594"/>
    </row>
    <row r="14044" spans="16:16">
      <c r="P14044" s="594"/>
    </row>
    <row r="14045" spans="16:16">
      <c r="P14045" s="594"/>
    </row>
    <row r="14046" spans="16:16">
      <c r="P14046" s="594"/>
    </row>
    <row r="14047" spans="16:16">
      <c r="P14047" s="594"/>
    </row>
    <row r="14048" spans="16:16">
      <c r="P14048" s="594"/>
    </row>
    <row r="14049" spans="16:16">
      <c r="P14049" s="594"/>
    </row>
    <row r="14050" spans="16:16">
      <c r="P14050" s="594"/>
    </row>
    <row r="14051" spans="16:16">
      <c r="P14051" s="594"/>
    </row>
    <row r="14052" spans="16:16">
      <c r="P14052" s="594"/>
    </row>
    <row r="14053" spans="16:16">
      <c r="P14053" s="594"/>
    </row>
    <row r="14054" spans="16:16">
      <c r="P14054" s="594"/>
    </row>
    <row r="14055" spans="16:16">
      <c r="P14055" s="594"/>
    </row>
    <row r="14056" spans="16:16">
      <c r="P14056" s="594"/>
    </row>
    <row r="14057" spans="16:16">
      <c r="P14057" s="594"/>
    </row>
    <row r="14058" spans="16:16">
      <c r="P14058" s="594"/>
    </row>
    <row r="14059" spans="16:16">
      <c r="P14059" s="594"/>
    </row>
    <row r="14060" spans="16:16">
      <c r="P14060" s="594"/>
    </row>
    <row r="14061" spans="16:16">
      <c r="P14061" s="594"/>
    </row>
    <row r="14062" spans="16:16">
      <c r="P14062" s="594"/>
    </row>
    <row r="14063" spans="16:16">
      <c r="P14063" s="594"/>
    </row>
    <row r="14064" spans="16:16">
      <c r="P14064" s="594"/>
    </row>
    <row r="14065" spans="16:16">
      <c r="P14065" s="594"/>
    </row>
    <row r="14066" spans="16:16">
      <c r="P14066" s="594"/>
    </row>
    <row r="14067" spans="16:16">
      <c r="P14067" s="594"/>
    </row>
    <row r="14068" spans="16:16">
      <c r="P14068" s="594"/>
    </row>
    <row r="14069" spans="16:16">
      <c r="P14069" s="594"/>
    </row>
    <row r="14070" spans="16:16">
      <c r="P14070" s="594"/>
    </row>
    <row r="14071" spans="16:16">
      <c r="P14071" s="594"/>
    </row>
    <row r="14072" spans="16:16">
      <c r="P14072" s="594"/>
    </row>
    <row r="14073" spans="16:16">
      <c r="P14073" s="594"/>
    </row>
    <row r="14074" spans="16:16">
      <c r="P14074" s="594"/>
    </row>
    <row r="14075" spans="16:16">
      <c r="P14075" s="594"/>
    </row>
    <row r="14076" spans="16:16">
      <c r="P14076" s="594"/>
    </row>
    <row r="14077" spans="16:16">
      <c r="P14077" s="594"/>
    </row>
    <row r="14078" spans="16:16">
      <c r="P14078" s="594"/>
    </row>
    <row r="14079" spans="16:16">
      <c r="P14079" s="594"/>
    </row>
    <row r="14080" spans="16:16">
      <c r="P14080" s="594"/>
    </row>
    <row r="14081" spans="16:16">
      <c r="P14081" s="594"/>
    </row>
    <row r="14082" spans="16:16">
      <c r="P14082" s="594"/>
    </row>
    <row r="14083" spans="16:16">
      <c r="P14083" s="594"/>
    </row>
    <row r="14084" spans="16:16">
      <c r="P14084" s="594"/>
    </row>
    <row r="14085" spans="16:16">
      <c r="P14085" s="594"/>
    </row>
    <row r="14086" spans="16:16">
      <c r="P14086" s="594"/>
    </row>
    <row r="14087" spans="16:16">
      <c r="P14087" s="594"/>
    </row>
    <row r="14088" spans="16:16">
      <c r="P14088" s="594"/>
    </row>
    <row r="14089" spans="16:16">
      <c r="P14089" s="594"/>
    </row>
    <row r="14090" spans="16:16">
      <c r="P14090" s="594"/>
    </row>
    <row r="14091" spans="16:16">
      <c r="P14091" s="594"/>
    </row>
    <row r="14092" spans="16:16">
      <c r="P14092" s="594"/>
    </row>
    <row r="14093" spans="16:16">
      <c r="P14093" s="594"/>
    </row>
    <row r="14094" spans="16:16">
      <c r="P14094" s="594"/>
    </row>
    <row r="14095" spans="16:16">
      <c r="P14095" s="594"/>
    </row>
    <row r="14096" spans="16:16">
      <c r="P14096" s="594"/>
    </row>
    <row r="14097" spans="16:16">
      <c r="P14097" s="594"/>
    </row>
    <row r="14098" spans="16:16">
      <c r="P14098" s="594"/>
    </row>
    <row r="14099" spans="16:16">
      <c r="P14099" s="594"/>
    </row>
    <row r="14100" spans="16:16">
      <c r="P14100" s="594"/>
    </row>
    <row r="14101" spans="16:16">
      <c r="P14101" s="594"/>
    </row>
    <row r="14102" spans="16:16">
      <c r="P14102" s="594"/>
    </row>
    <row r="14103" spans="16:16">
      <c r="P14103" s="594"/>
    </row>
    <row r="14104" spans="16:16">
      <c r="P14104" s="594"/>
    </row>
    <row r="14105" spans="16:16">
      <c r="P14105" s="594"/>
    </row>
    <row r="14106" spans="16:16">
      <c r="P14106" s="594"/>
    </row>
    <row r="14107" spans="16:16">
      <c r="P14107" s="594"/>
    </row>
    <row r="14108" spans="16:16">
      <c r="P14108" s="594"/>
    </row>
    <row r="14109" spans="16:16">
      <c r="P14109" s="594"/>
    </row>
    <row r="14110" spans="16:16">
      <c r="P14110" s="594"/>
    </row>
    <row r="14111" spans="16:16">
      <c r="P14111" s="594"/>
    </row>
    <row r="14112" spans="16:16">
      <c r="P14112" s="594"/>
    </row>
    <row r="14113" spans="16:16">
      <c r="P14113" s="594"/>
    </row>
    <row r="14114" spans="16:16">
      <c r="P14114" s="594"/>
    </row>
    <row r="14115" spans="16:16">
      <c r="P14115" s="594"/>
    </row>
    <row r="14116" spans="16:16">
      <c r="P14116" s="594"/>
    </row>
    <row r="14117" spans="16:16">
      <c r="P14117" s="594"/>
    </row>
    <row r="14118" spans="16:16">
      <c r="P14118" s="594"/>
    </row>
    <row r="14119" spans="16:16">
      <c r="P14119" s="594"/>
    </row>
    <row r="14120" spans="16:16">
      <c r="P14120" s="594"/>
    </row>
    <row r="14121" spans="16:16">
      <c r="P14121" s="594"/>
    </row>
    <row r="14122" spans="16:16">
      <c r="P14122" s="594"/>
    </row>
    <row r="14123" spans="16:16">
      <c r="P14123" s="594"/>
    </row>
    <row r="14124" spans="16:16">
      <c r="P14124" s="594"/>
    </row>
    <row r="14125" spans="16:16">
      <c r="P14125" s="594"/>
    </row>
    <row r="14126" spans="16:16">
      <c r="P14126" s="594"/>
    </row>
    <row r="14127" spans="16:16">
      <c r="P14127" s="594"/>
    </row>
    <row r="14128" spans="16:16">
      <c r="P14128" s="594"/>
    </row>
    <row r="14129" spans="16:16">
      <c r="P14129" s="594"/>
    </row>
    <row r="14130" spans="16:16">
      <c r="P14130" s="594"/>
    </row>
    <row r="14131" spans="16:16">
      <c r="P14131" s="594"/>
    </row>
    <row r="14132" spans="16:16">
      <c r="P14132" s="594"/>
    </row>
    <row r="14133" spans="16:16">
      <c r="P14133" s="594"/>
    </row>
    <row r="14134" spans="16:16">
      <c r="P14134" s="594"/>
    </row>
    <row r="14135" spans="16:16">
      <c r="P14135" s="594"/>
    </row>
    <row r="14136" spans="16:16">
      <c r="P14136" s="594"/>
    </row>
    <row r="14137" spans="16:16">
      <c r="P14137" s="594"/>
    </row>
    <row r="14138" spans="16:16">
      <c r="P14138" s="594"/>
    </row>
    <row r="14139" spans="16:16">
      <c r="P14139" s="594"/>
    </row>
    <row r="14140" spans="16:16">
      <c r="P14140" s="594"/>
    </row>
    <row r="14141" spans="16:16">
      <c r="P14141" s="594"/>
    </row>
    <row r="14142" spans="16:16">
      <c r="P14142" s="594"/>
    </row>
    <row r="14143" spans="16:16">
      <c r="P14143" s="594"/>
    </row>
    <row r="14144" spans="16:16">
      <c r="P14144" s="594"/>
    </row>
    <row r="14145" spans="16:16">
      <c r="P14145" s="594"/>
    </row>
    <row r="14146" spans="16:16">
      <c r="P14146" s="594"/>
    </row>
    <row r="14147" spans="16:16">
      <c r="P14147" s="594"/>
    </row>
    <row r="14148" spans="16:16">
      <c r="P14148" s="594"/>
    </row>
    <row r="14149" spans="16:16">
      <c r="P14149" s="594"/>
    </row>
    <row r="14150" spans="16:16">
      <c r="P14150" s="594"/>
    </row>
    <row r="14151" spans="16:16">
      <c r="P14151" s="594"/>
    </row>
    <row r="14152" spans="16:16">
      <c r="P14152" s="594"/>
    </row>
    <row r="14153" spans="16:16">
      <c r="P14153" s="594"/>
    </row>
    <row r="14154" spans="16:16">
      <c r="P14154" s="594"/>
    </row>
    <row r="14155" spans="16:16">
      <c r="P14155" s="594"/>
    </row>
    <row r="14156" spans="16:16">
      <c r="P14156" s="594"/>
    </row>
    <row r="14157" spans="16:16">
      <c r="P14157" s="594"/>
    </row>
    <row r="14158" spans="16:16">
      <c r="P14158" s="594"/>
    </row>
    <row r="14159" spans="16:16">
      <c r="P14159" s="594"/>
    </row>
    <row r="14160" spans="16:16">
      <c r="P14160" s="594"/>
    </row>
    <row r="14161" spans="16:16">
      <c r="P14161" s="594"/>
    </row>
    <row r="14162" spans="16:16">
      <c r="P14162" s="594"/>
    </row>
    <row r="14163" spans="16:16">
      <c r="P14163" s="594"/>
    </row>
    <row r="14164" spans="16:16">
      <c r="P14164" s="594"/>
    </row>
    <row r="14165" spans="16:16">
      <c r="P14165" s="594"/>
    </row>
    <row r="14166" spans="16:16">
      <c r="P14166" s="594"/>
    </row>
    <row r="14167" spans="16:16">
      <c r="P14167" s="594"/>
    </row>
    <row r="14168" spans="16:16">
      <c r="P14168" s="594"/>
    </row>
    <row r="14169" spans="16:16">
      <c r="P14169" s="594"/>
    </row>
    <row r="14170" spans="16:16">
      <c r="P14170" s="594"/>
    </row>
    <row r="14171" spans="16:16">
      <c r="P14171" s="594"/>
    </row>
    <row r="14172" spans="16:16">
      <c r="P14172" s="594"/>
    </row>
    <row r="14173" spans="16:16">
      <c r="P14173" s="594"/>
    </row>
    <row r="14174" spans="16:16">
      <c r="P14174" s="594"/>
    </row>
    <row r="14175" spans="16:16">
      <c r="P14175" s="594"/>
    </row>
    <row r="14176" spans="16:16">
      <c r="P14176" s="594"/>
    </row>
    <row r="14177" spans="16:16">
      <c r="P14177" s="594"/>
    </row>
    <row r="14178" spans="16:16">
      <c r="P14178" s="594"/>
    </row>
    <row r="14179" spans="16:16">
      <c r="P14179" s="594"/>
    </row>
    <row r="14180" spans="16:16">
      <c r="P14180" s="594"/>
    </row>
    <row r="14181" spans="16:16">
      <c r="P14181" s="594"/>
    </row>
    <row r="14182" spans="16:16">
      <c r="P14182" s="594"/>
    </row>
    <row r="14183" spans="16:16">
      <c r="P14183" s="594"/>
    </row>
    <row r="14184" spans="16:16">
      <c r="P14184" s="594"/>
    </row>
    <row r="14185" spans="16:16">
      <c r="P14185" s="594"/>
    </row>
    <row r="14186" spans="16:16">
      <c r="P14186" s="594"/>
    </row>
    <row r="14187" spans="16:16">
      <c r="P14187" s="594"/>
    </row>
    <row r="14188" spans="16:16">
      <c r="P14188" s="594"/>
    </row>
    <row r="14189" spans="16:16">
      <c r="P14189" s="594"/>
    </row>
    <row r="14190" spans="16:16">
      <c r="P14190" s="594"/>
    </row>
    <row r="14191" spans="16:16">
      <c r="P14191" s="594"/>
    </row>
    <row r="14192" spans="16:16">
      <c r="P14192" s="594"/>
    </row>
    <row r="14193" spans="16:16">
      <c r="P14193" s="594"/>
    </row>
    <row r="14194" spans="16:16">
      <c r="P14194" s="594"/>
    </row>
    <row r="14195" spans="16:16">
      <c r="P14195" s="594"/>
    </row>
    <row r="14196" spans="16:16">
      <c r="P14196" s="594"/>
    </row>
    <row r="14197" spans="16:16">
      <c r="P14197" s="594"/>
    </row>
    <row r="14198" spans="16:16">
      <c r="P14198" s="594"/>
    </row>
    <row r="14199" spans="16:16">
      <c r="P14199" s="594"/>
    </row>
    <row r="14200" spans="16:16">
      <c r="P14200" s="594"/>
    </row>
    <row r="14201" spans="16:16">
      <c r="P14201" s="594"/>
    </row>
    <row r="14202" spans="16:16">
      <c r="P14202" s="594"/>
    </row>
    <row r="14203" spans="16:16">
      <c r="P14203" s="594"/>
    </row>
    <row r="14204" spans="16:16">
      <c r="P14204" s="594"/>
    </row>
    <row r="14205" spans="16:16">
      <c r="P14205" s="594"/>
    </row>
    <row r="14206" spans="16:16">
      <c r="P14206" s="594"/>
    </row>
    <row r="14207" spans="16:16">
      <c r="P14207" s="594"/>
    </row>
    <row r="14208" spans="16:16">
      <c r="P14208" s="594"/>
    </row>
    <row r="14209" spans="16:16">
      <c r="P14209" s="594"/>
    </row>
    <row r="14210" spans="16:16">
      <c r="P14210" s="594"/>
    </row>
    <row r="14211" spans="16:16">
      <c r="P14211" s="594"/>
    </row>
    <row r="14212" spans="16:16">
      <c r="P14212" s="594"/>
    </row>
    <row r="14213" spans="16:16">
      <c r="P14213" s="594"/>
    </row>
    <row r="14214" spans="16:16">
      <c r="P14214" s="594"/>
    </row>
    <row r="14215" spans="16:16">
      <c r="P14215" s="594"/>
    </row>
    <row r="14216" spans="16:16">
      <c r="P14216" s="594"/>
    </row>
    <row r="14217" spans="16:16">
      <c r="P14217" s="594"/>
    </row>
    <row r="14218" spans="16:16">
      <c r="P14218" s="594"/>
    </row>
    <row r="14219" spans="16:16">
      <c r="P14219" s="594"/>
    </row>
    <row r="14220" spans="16:16">
      <c r="P14220" s="594"/>
    </row>
    <row r="14221" spans="16:16">
      <c r="P14221" s="594"/>
    </row>
    <row r="14222" spans="16:16">
      <c r="P14222" s="594"/>
    </row>
    <row r="14223" spans="16:16">
      <c r="P14223" s="594"/>
    </row>
    <row r="14224" spans="16:16">
      <c r="P14224" s="594"/>
    </row>
    <row r="14225" spans="16:16">
      <c r="P14225" s="594"/>
    </row>
    <row r="14226" spans="16:16">
      <c r="P14226" s="594"/>
    </row>
    <row r="14227" spans="16:16">
      <c r="P14227" s="594"/>
    </row>
    <row r="14228" spans="16:16">
      <c r="P14228" s="594"/>
    </row>
    <row r="14229" spans="16:16">
      <c r="P14229" s="594"/>
    </row>
    <row r="14230" spans="16:16">
      <c r="P14230" s="594"/>
    </row>
    <row r="14231" spans="16:16">
      <c r="P14231" s="594"/>
    </row>
    <row r="14232" spans="16:16">
      <c r="P14232" s="594"/>
    </row>
    <row r="14233" spans="16:16">
      <c r="P14233" s="594"/>
    </row>
    <row r="14234" spans="16:16">
      <c r="P14234" s="594"/>
    </row>
    <row r="14235" spans="16:16">
      <c r="P14235" s="594"/>
    </row>
    <row r="14236" spans="16:16">
      <c r="P14236" s="594"/>
    </row>
    <row r="14237" spans="16:16">
      <c r="P14237" s="594"/>
    </row>
    <row r="14238" spans="16:16">
      <c r="P14238" s="594"/>
    </row>
    <row r="14239" spans="16:16">
      <c r="P14239" s="594"/>
    </row>
    <row r="14240" spans="16:16">
      <c r="P14240" s="594"/>
    </row>
    <row r="14241" spans="16:16">
      <c r="P14241" s="594"/>
    </row>
    <row r="14242" spans="16:16">
      <c r="P14242" s="594"/>
    </row>
    <row r="14243" spans="16:16">
      <c r="P14243" s="594"/>
    </row>
    <row r="14244" spans="16:16">
      <c r="P14244" s="594"/>
    </row>
    <row r="14245" spans="16:16">
      <c r="P14245" s="594"/>
    </row>
    <row r="14246" spans="16:16">
      <c r="P14246" s="594"/>
    </row>
    <row r="14247" spans="16:16">
      <c r="P14247" s="594"/>
    </row>
    <row r="14248" spans="16:16">
      <c r="P14248" s="594"/>
    </row>
    <row r="14249" spans="16:16">
      <c r="P14249" s="594"/>
    </row>
    <row r="14250" spans="16:16">
      <c r="P14250" s="594"/>
    </row>
    <row r="14251" spans="16:16">
      <c r="P14251" s="594"/>
    </row>
    <row r="14252" spans="16:16">
      <c r="P14252" s="594"/>
    </row>
    <row r="14253" spans="16:16">
      <c r="P14253" s="594"/>
    </row>
    <row r="14254" spans="16:16">
      <c r="P14254" s="594"/>
    </row>
    <row r="14255" spans="16:16">
      <c r="P14255" s="594"/>
    </row>
    <row r="14256" spans="16:16">
      <c r="P14256" s="594"/>
    </row>
    <row r="14257" spans="16:16">
      <c r="P14257" s="594"/>
    </row>
    <row r="14258" spans="16:16">
      <c r="P14258" s="594"/>
    </row>
    <row r="14259" spans="16:16">
      <c r="P14259" s="594"/>
    </row>
    <row r="14260" spans="16:16">
      <c r="P14260" s="594"/>
    </row>
    <row r="14261" spans="16:16">
      <c r="P14261" s="594"/>
    </row>
    <row r="14262" spans="16:16">
      <c r="P14262" s="594"/>
    </row>
    <row r="14263" spans="16:16">
      <c r="P14263" s="594"/>
    </row>
    <row r="14264" spans="16:16">
      <c r="P14264" s="594"/>
    </row>
    <row r="14265" spans="16:16">
      <c r="P14265" s="594"/>
    </row>
    <row r="14266" spans="16:16">
      <c r="P14266" s="594"/>
    </row>
    <row r="14267" spans="16:16">
      <c r="P14267" s="594"/>
    </row>
    <row r="14268" spans="16:16">
      <c r="P14268" s="594"/>
    </row>
    <row r="14269" spans="16:16">
      <c r="P14269" s="594"/>
    </row>
    <row r="14270" spans="16:16">
      <c r="P14270" s="594"/>
    </row>
    <row r="14271" spans="16:16">
      <c r="P14271" s="594"/>
    </row>
    <row r="14272" spans="16:16">
      <c r="P14272" s="594"/>
    </row>
    <row r="14273" spans="16:16">
      <c r="P14273" s="594"/>
    </row>
    <row r="14274" spans="16:16">
      <c r="P14274" s="594"/>
    </row>
    <row r="14275" spans="16:16">
      <c r="P14275" s="594"/>
    </row>
    <row r="14276" spans="16:16">
      <c r="P14276" s="594"/>
    </row>
    <row r="14277" spans="16:16">
      <c r="P14277" s="594"/>
    </row>
    <row r="14278" spans="16:16">
      <c r="P14278" s="594"/>
    </row>
    <row r="14279" spans="16:16">
      <c r="P14279" s="594"/>
    </row>
    <row r="14280" spans="16:16">
      <c r="P14280" s="594"/>
    </row>
    <row r="14281" spans="16:16">
      <c r="P14281" s="594"/>
    </row>
    <row r="14282" spans="16:16">
      <c r="P14282" s="594"/>
    </row>
    <row r="14283" spans="16:16">
      <c r="P14283" s="594"/>
    </row>
    <row r="14284" spans="16:16">
      <c r="P14284" s="594"/>
    </row>
    <row r="14285" spans="16:16">
      <c r="P14285" s="594"/>
    </row>
    <row r="14286" spans="16:16">
      <c r="P14286" s="594"/>
    </row>
    <row r="14287" spans="16:16">
      <c r="P14287" s="594"/>
    </row>
    <row r="14288" spans="16:16">
      <c r="P14288" s="594"/>
    </row>
    <row r="14289" spans="16:16">
      <c r="P14289" s="594"/>
    </row>
    <row r="14290" spans="16:16">
      <c r="P14290" s="594"/>
    </row>
    <row r="14291" spans="16:16">
      <c r="P14291" s="594"/>
    </row>
    <row r="14292" spans="16:16">
      <c r="P14292" s="594"/>
    </row>
    <row r="14293" spans="16:16">
      <c r="P14293" s="594"/>
    </row>
    <row r="14294" spans="16:16">
      <c r="P14294" s="594"/>
    </row>
    <row r="14295" spans="16:16">
      <c r="P14295" s="594"/>
    </row>
    <row r="14296" spans="16:16">
      <c r="P14296" s="594"/>
    </row>
    <row r="14297" spans="16:16">
      <c r="P14297" s="594"/>
    </row>
    <row r="14298" spans="16:16">
      <c r="P14298" s="594"/>
    </row>
    <row r="14299" spans="16:16">
      <c r="P14299" s="594"/>
    </row>
    <row r="14300" spans="16:16">
      <c r="P14300" s="594"/>
    </row>
    <row r="14301" spans="16:16">
      <c r="P14301" s="594"/>
    </row>
    <row r="14302" spans="16:16">
      <c r="P14302" s="594"/>
    </row>
    <row r="14303" spans="16:16">
      <c r="P14303" s="594"/>
    </row>
    <row r="14304" spans="16:16">
      <c r="P14304" s="594"/>
    </row>
    <row r="14305" spans="16:16">
      <c r="P14305" s="594"/>
    </row>
    <row r="14306" spans="16:16">
      <c r="P14306" s="594"/>
    </row>
    <row r="14307" spans="16:16">
      <c r="P14307" s="594"/>
    </row>
    <row r="14308" spans="16:16">
      <c r="P14308" s="594"/>
    </row>
    <row r="14309" spans="16:16">
      <c r="P14309" s="594"/>
    </row>
    <row r="14310" spans="16:16">
      <c r="P14310" s="594"/>
    </row>
    <row r="14311" spans="16:16">
      <c r="P14311" s="594"/>
    </row>
    <row r="14312" spans="16:16">
      <c r="P14312" s="594"/>
    </row>
    <row r="14313" spans="16:16">
      <c r="P14313" s="594"/>
    </row>
    <row r="14314" spans="16:16">
      <c r="P14314" s="594"/>
    </row>
    <row r="14315" spans="16:16">
      <c r="P14315" s="594"/>
    </row>
    <row r="14316" spans="16:16">
      <c r="P14316" s="594"/>
    </row>
    <row r="14317" spans="16:16">
      <c r="P14317" s="594"/>
    </row>
    <row r="14318" spans="16:16">
      <c r="P14318" s="594"/>
    </row>
    <row r="14319" spans="16:16">
      <c r="P14319" s="594"/>
    </row>
    <row r="14320" spans="16:16">
      <c r="P14320" s="594"/>
    </row>
    <row r="14321" spans="16:16">
      <c r="P14321" s="594"/>
    </row>
    <row r="14322" spans="16:16">
      <c r="P14322" s="594"/>
    </row>
    <row r="14323" spans="16:16">
      <c r="P14323" s="594"/>
    </row>
    <row r="14324" spans="16:16">
      <c r="P14324" s="594"/>
    </row>
    <row r="14325" spans="16:16">
      <c r="P14325" s="594"/>
    </row>
    <row r="14326" spans="16:16">
      <c r="P14326" s="594"/>
    </row>
    <row r="14327" spans="16:16">
      <c r="P14327" s="594"/>
    </row>
    <row r="14328" spans="16:16">
      <c r="P14328" s="594"/>
    </row>
    <row r="14329" spans="16:16">
      <c r="P14329" s="594"/>
    </row>
    <row r="14330" spans="16:16">
      <c r="P14330" s="594"/>
    </row>
    <row r="14331" spans="16:16">
      <c r="P14331" s="594"/>
    </row>
    <row r="14332" spans="16:16">
      <c r="P14332" s="594"/>
    </row>
    <row r="14333" spans="16:16">
      <c r="P14333" s="594"/>
    </row>
    <row r="14334" spans="16:16">
      <c r="P14334" s="594"/>
    </row>
    <row r="14335" spans="16:16">
      <c r="P14335" s="594"/>
    </row>
    <row r="14336" spans="16:16">
      <c r="P14336" s="594"/>
    </row>
    <row r="14337" spans="16:16">
      <c r="P14337" s="594"/>
    </row>
    <row r="14338" spans="16:16">
      <c r="P14338" s="594"/>
    </row>
    <row r="14339" spans="16:16">
      <c r="P14339" s="594"/>
    </row>
    <row r="14340" spans="16:16">
      <c r="P14340" s="594"/>
    </row>
    <row r="14341" spans="16:16">
      <c r="P14341" s="594"/>
    </row>
    <row r="14342" spans="16:16">
      <c r="P14342" s="594"/>
    </row>
    <row r="14343" spans="16:16">
      <c r="P14343" s="594"/>
    </row>
    <row r="14344" spans="16:16">
      <c r="P14344" s="594"/>
    </row>
    <row r="14345" spans="16:16">
      <c r="P14345" s="594"/>
    </row>
    <row r="14346" spans="16:16">
      <c r="P14346" s="594"/>
    </row>
    <row r="14347" spans="16:16">
      <c r="P14347" s="594"/>
    </row>
    <row r="14348" spans="16:16">
      <c r="P14348" s="594"/>
    </row>
    <row r="14349" spans="16:16">
      <c r="P14349" s="594"/>
    </row>
    <row r="14350" spans="16:16">
      <c r="P14350" s="594"/>
    </row>
    <row r="14351" spans="16:16">
      <c r="P14351" s="594"/>
    </row>
    <row r="14352" spans="16:16">
      <c r="P14352" s="594"/>
    </row>
    <row r="14353" spans="16:16">
      <c r="P14353" s="594"/>
    </row>
    <row r="14354" spans="16:16">
      <c r="P14354" s="594"/>
    </row>
    <row r="14355" spans="16:16">
      <c r="P14355" s="594"/>
    </row>
    <row r="14356" spans="16:16">
      <c r="P14356" s="594"/>
    </row>
    <row r="14357" spans="16:16">
      <c r="P14357" s="594"/>
    </row>
    <row r="14358" spans="16:16">
      <c r="P14358" s="594"/>
    </row>
    <row r="14359" spans="16:16">
      <c r="P14359" s="594"/>
    </row>
    <row r="14360" spans="16:16">
      <c r="P14360" s="594"/>
    </row>
    <row r="14361" spans="16:16">
      <c r="P14361" s="594"/>
    </row>
    <row r="14362" spans="16:16">
      <c r="P14362" s="594"/>
    </row>
    <row r="14363" spans="16:16">
      <c r="P14363" s="594"/>
    </row>
    <row r="14364" spans="16:16">
      <c r="P14364" s="594"/>
    </row>
    <row r="14365" spans="16:16">
      <c r="P14365" s="594"/>
    </row>
    <row r="14366" spans="16:16">
      <c r="P14366" s="594"/>
    </row>
    <row r="14367" spans="16:16">
      <c r="P14367" s="594"/>
    </row>
    <row r="14368" spans="16:16">
      <c r="P14368" s="594"/>
    </row>
    <row r="14369" spans="16:16">
      <c r="P14369" s="594"/>
    </row>
    <row r="14370" spans="16:16">
      <c r="P14370" s="594"/>
    </row>
    <row r="14371" spans="16:16">
      <c r="P14371" s="594"/>
    </row>
    <row r="14372" spans="16:16">
      <c r="P14372" s="594"/>
    </row>
    <row r="14373" spans="16:16">
      <c r="P14373" s="594"/>
    </row>
    <row r="14374" spans="16:16">
      <c r="P14374" s="594"/>
    </row>
    <row r="14375" spans="16:16">
      <c r="P14375" s="594"/>
    </row>
    <row r="14376" spans="16:16">
      <c r="P14376" s="594"/>
    </row>
    <row r="14377" spans="16:16">
      <c r="P14377" s="594"/>
    </row>
    <row r="14378" spans="16:16">
      <c r="P14378" s="594"/>
    </row>
    <row r="14379" spans="16:16">
      <c r="P14379" s="594"/>
    </row>
    <row r="14380" spans="16:16">
      <c r="P14380" s="594"/>
    </row>
    <row r="14381" spans="16:16">
      <c r="P14381" s="594"/>
    </row>
    <row r="14382" spans="16:16">
      <c r="P14382" s="594"/>
    </row>
    <row r="14383" spans="16:16">
      <c r="P14383" s="594"/>
    </row>
    <row r="14384" spans="16:16">
      <c r="P14384" s="594"/>
    </row>
    <row r="14385" spans="16:16">
      <c r="P14385" s="594"/>
    </row>
    <row r="14386" spans="16:16">
      <c r="P14386" s="594"/>
    </row>
    <row r="14387" spans="16:16">
      <c r="P14387" s="594"/>
    </row>
    <row r="14388" spans="16:16">
      <c r="P14388" s="594"/>
    </row>
    <row r="14389" spans="16:16">
      <c r="P14389" s="594"/>
    </row>
    <row r="14390" spans="16:16">
      <c r="P14390" s="594"/>
    </row>
    <row r="14391" spans="16:16">
      <c r="P14391" s="594"/>
    </row>
    <row r="14392" spans="16:16">
      <c r="P14392" s="594"/>
    </row>
    <row r="14393" spans="16:16">
      <c r="P14393" s="594"/>
    </row>
    <row r="14394" spans="16:16">
      <c r="P14394" s="594"/>
    </row>
    <row r="14395" spans="16:16">
      <c r="P14395" s="594"/>
    </row>
    <row r="14396" spans="16:16">
      <c r="P14396" s="594"/>
    </row>
    <row r="14397" spans="16:16">
      <c r="P14397" s="594"/>
    </row>
    <row r="14398" spans="16:16">
      <c r="P14398" s="594"/>
    </row>
    <row r="14399" spans="16:16">
      <c r="P14399" s="594"/>
    </row>
    <row r="14400" spans="16:16">
      <c r="P14400" s="594"/>
    </row>
    <row r="14401" spans="16:16">
      <c r="P14401" s="594"/>
    </row>
    <row r="14402" spans="16:16">
      <c r="P14402" s="594"/>
    </row>
    <row r="14403" spans="16:16">
      <c r="P14403" s="594"/>
    </row>
    <row r="14404" spans="16:16">
      <c r="P14404" s="594"/>
    </row>
    <row r="14405" spans="16:16">
      <c r="P14405" s="594"/>
    </row>
    <row r="14406" spans="16:16">
      <c r="P14406" s="594"/>
    </row>
    <row r="14407" spans="16:16">
      <c r="P14407" s="594"/>
    </row>
    <row r="14408" spans="16:16">
      <c r="P14408" s="594"/>
    </row>
    <row r="14409" spans="16:16">
      <c r="P14409" s="594"/>
    </row>
    <row r="14410" spans="16:16">
      <c r="P14410" s="594"/>
    </row>
    <row r="14411" spans="16:16">
      <c r="P14411" s="594"/>
    </row>
    <row r="14412" spans="16:16">
      <c r="P14412" s="594"/>
    </row>
    <row r="14413" spans="16:16">
      <c r="P14413" s="594"/>
    </row>
    <row r="14414" spans="16:16">
      <c r="P14414" s="594"/>
    </row>
    <row r="14415" spans="16:16">
      <c r="P14415" s="594"/>
    </row>
    <row r="14416" spans="16:16">
      <c r="P14416" s="594"/>
    </row>
    <row r="14417" spans="16:16">
      <c r="P14417" s="594"/>
    </row>
    <row r="14418" spans="16:16">
      <c r="P14418" s="594"/>
    </row>
    <row r="14419" spans="16:16">
      <c r="P14419" s="594"/>
    </row>
    <row r="14420" spans="16:16">
      <c r="P14420" s="594"/>
    </row>
    <row r="14421" spans="16:16">
      <c r="P14421" s="594"/>
    </row>
    <row r="14422" spans="16:16">
      <c r="P14422" s="594"/>
    </row>
    <row r="14423" spans="16:16">
      <c r="P14423" s="594"/>
    </row>
    <row r="14424" spans="16:16">
      <c r="P14424" s="594"/>
    </row>
    <row r="14425" spans="16:16">
      <c r="P14425" s="594"/>
    </row>
    <row r="14426" spans="16:16">
      <c r="P14426" s="594"/>
    </row>
    <row r="14427" spans="16:16">
      <c r="P14427" s="594"/>
    </row>
    <row r="14428" spans="16:16">
      <c r="P14428" s="594"/>
    </row>
    <row r="14429" spans="16:16">
      <c r="P14429" s="594"/>
    </row>
    <row r="14430" spans="16:16">
      <c r="P14430" s="594"/>
    </row>
    <row r="14431" spans="16:16">
      <c r="P14431" s="594"/>
    </row>
    <row r="14432" spans="16:16">
      <c r="P14432" s="594"/>
    </row>
    <row r="14433" spans="16:16">
      <c r="P14433" s="594"/>
    </row>
    <row r="14434" spans="16:16">
      <c r="P14434" s="594"/>
    </row>
    <row r="14435" spans="16:16">
      <c r="P14435" s="594"/>
    </row>
    <row r="14436" spans="16:16">
      <c r="P14436" s="594"/>
    </row>
    <row r="14437" spans="16:16">
      <c r="P14437" s="594"/>
    </row>
    <row r="14438" spans="16:16">
      <c r="P14438" s="594"/>
    </row>
    <row r="14439" spans="16:16">
      <c r="P14439" s="594"/>
    </row>
    <row r="14440" spans="16:16">
      <c r="P14440" s="594"/>
    </row>
    <row r="14441" spans="16:16">
      <c r="P14441" s="594"/>
    </row>
    <row r="14442" spans="16:16">
      <c r="P14442" s="594"/>
    </row>
    <row r="14443" spans="16:16">
      <c r="P14443" s="594"/>
    </row>
    <row r="14444" spans="16:16">
      <c r="P14444" s="594"/>
    </row>
    <row r="14445" spans="16:16">
      <c r="P14445" s="594"/>
    </row>
    <row r="14446" spans="16:16">
      <c r="P14446" s="594"/>
    </row>
    <row r="14447" spans="16:16">
      <c r="P14447" s="594"/>
    </row>
    <row r="14448" spans="16:16">
      <c r="P14448" s="594"/>
    </row>
    <row r="14449" spans="16:16">
      <c r="P14449" s="594"/>
    </row>
    <row r="14450" spans="16:16">
      <c r="P14450" s="594"/>
    </row>
    <row r="14451" spans="16:16">
      <c r="P14451" s="594"/>
    </row>
    <row r="14452" spans="16:16">
      <c r="P14452" s="594"/>
    </row>
    <row r="14453" spans="16:16">
      <c r="P14453" s="594"/>
    </row>
    <row r="14454" spans="16:16">
      <c r="P14454" s="594"/>
    </row>
    <row r="14455" spans="16:16">
      <c r="P14455" s="594"/>
    </row>
    <row r="14456" spans="16:16">
      <c r="P14456" s="594"/>
    </row>
    <row r="14457" spans="16:16">
      <c r="P14457" s="594"/>
    </row>
    <row r="14458" spans="16:16">
      <c r="P14458" s="594"/>
    </row>
    <row r="14459" spans="16:16">
      <c r="P14459" s="594"/>
    </row>
    <row r="14460" spans="16:16">
      <c r="P14460" s="594"/>
    </row>
    <row r="14461" spans="16:16">
      <c r="P14461" s="594"/>
    </row>
    <row r="14462" spans="16:16">
      <c r="P14462" s="594"/>
    </row>
    <row r="14463" spans="16:16">
      <c r="P14463" s="594"/>
    </row>
    <row r="14464" spans="16:16">
      <c r="P14464" s="594"/>
    </row>
    <row r="14465" spans="16:16">
      <c r="P14465" s="594"/>
    </row>
    <row r="14466" spans="16:16">
      <c r="P14466" s="594"/>
    </row>
    <row r="14467" spans="16:16">
      <c r="P14467" s="594"/>
    </row>
    <row r="14468" spans="16:16">
      <c r="P14468" s="594"/>
    </row>
    <row r="14469" spans="16:16">
      <c r="P14469" s="594"/>
    </row>
    <row r="14470" spans="16:16">
      <c r="P14470" s="594"/>
    </row>
    <row r="14471" spans="16:16">
      <c r="P14471" s="594"/>
    </row>
    <row r="14472" spans="16:16">
      <c r="P14472" s="594"/>
    </row>
    <row r="14473" spans="16:16">
      <c r="P14473" s="594"/>
    </row>
    <row r="14474" spans="16:16">
      <c r="P14474" s="594"/>
    </row>
    <row r="14475" spans="16:16">
      <c r="P14475" s="594"/>
    </row>
    <row r="14476" spans="16:16">
      <c r="P14476" s="594"/>
    </row>
    <row r="14477" spans="16:16">
      <c r="P14477" s="594"/>
    </row>
    <row r="14478" spans="16:16">
      <c r="P14478" s="594"/>
    </row>
    <row r="14479" spans="16:16">
      <c r="P14479" s="594"/>
    </row>
    <row r="14480" spans="16:16">
      <c r="P14480" s="594"/>
    </row>
    <row r="14481" spans="16:16">
      <c r="P14481" s="594"/>
    </row>
    <row r="14482" spans="16:16">
      <c r="P14482" s="594"/>
    </row>
    <row r="14483" spans="16:16">
      <c r="P14483" s="594"/>
    </row>
    <row r="14484" spans="16:16">
      <c r="P14484" s="594"/>
    </row>
    <row r="14485" spans="16:16">
      <c r="P14485" s="594"/>
    </row>
    <row r="14486" spans="16:16">
      <c r="P14486" s="594"/>
    </row>
    <row r="14487" spans="16:16">
      <c r="P14487" s="594"/>
    </row>
    <row r="14488" spans="16:16">
      <c r="P14488" s="594"/>
    </row>
    <row r="14489" spans="16:16">
      <c r="P14489" s="594"/>
    </row>
    <row r="14490" spans="16:16">
      <c r="P14490" s="594"/>
    </row>
    <row r="14491" spans="16:16">
      <c r="P14491" s="594"/>
    </row>
    <row r="14492" spans="16:16">
      <c r="P14492" s="594"/>
    </row>
    <row r="14493" spans="16:16">
      <c r="P14493" s="594"/>
    </row>
    <row r="14494" spans="16:16">
      <c r="P14494" s="594"/>
    </row>
    <row r="14495" spans="16:16">
      <c r="P14495" s="594"/>
    </row>
    <row r="14496" spans="16:16">
      <c r="P14496" s="594"/>
    </row>
    <row r="14497" spans="16:16">
      <c r="P14497" s="594"/>
    </row>
    <row r="14498" spans="16:16">
      <c r="P14498" s="594"/>
    </row>
    <row r="14499" spans="16:16">
      <c r="P14499" s="594"/>
    </row>
    <row r="14500" spans="16:16">
      <c r="P14500" s="594"/>
    </row>
    <row r="14501" spans="16:16">
      <c r="P14501" s="594"/>
    </row>
    <row r="14502" spans="16:16">
      <c r="P14502" s="594"/>
    </row>
    <row r="14503" spans="16:16">
      <c r="P14503" s="594"/>
    </row>
    <row r="14504" spans="16:16">
      <c r="P14504" s="594"/>
    </row>
    <row r="14505" spans="16:16">
      <c r="P14505" s="594"/>
    </row>
    <row r="14506" spans="16:16">
      <c r="P14506" s="594"/>
    </row>
    <row r="14507" spans="16:16">
      <c r="P14507" s="594"/>
    </row>
    <row r="14508" spans="16:16">
      <c r="P14508" s="594"/>
    </row>
    <row r="14509" spans="16:16">
      <c r="P14509" s="594"/>
    </row>
    <row r="14510" spans="16:16">
      <c r="P14510" s="594"/>
    </row>
    <row r="14511" spans="16:16">
      <c r="P14511" s="594"/>
    </row>
    <row r="14512" spans="16:16">
      <c r="P14512" s="594"/>
    </row>
    <row r="14513" spans="16:16">
      <c r="P14513" s="594"/>
    </row>
    <row r="14514" spans="16:16">
      <c r="P14514" s="594"/>
    </row>
    <row r="14515" spans="16:16">
      <c r="P14515" s="594"/>
    </row>
    <row r="14516" spans="16:16">
      <c r="P14516" s="594"/>
    </row>
    <row r="14517" spans="16:16">
      <c r="P14517" s="594"/>
    </row>
    <row r="14518" spans="16:16">
      <c r="P14518" s="594"/>
    </row>
    <row r="14519" spans="16:16">
      <c r="P14519" s="594"/>
    </row>
    <row r="14520" spans="16:16">
      <c r="P14520" s="594"/>
    </row>
    <row r="14521" spans="16:16">
      <c r="P14521" s="594"/>
    </row>
    <row r="14522" spans="16:16">
      <c r="P14522" s="594"/>
    </row>
    <row r="14523" spans="16:16">
      <c r="P14523" s="594"/>
    </row>
    <row r="14524" spans="16:16">
      <c r="P14524" s="594"/>
    </row>
    <row r="14525" spans="16:16">
      <c r="P14525" s="594"/>
    </row>
    <row r="14526" spans="16:16">
      <c r="P14526" s="594"/>
    </row>
    <row r="14527" spans="16:16">
      <c r="P14527" s="594"/>
    </row>
    <row r="14528" spans="16:16">
      <c r="P14528" s="594"/>
    </row>
    <row r="14529" spans="16:16">
      <c r="P14529" s="594"/>
    </row>
    <row r="14530" spans="16:16">
      <c r="P14530" s="594"/>
    </row>
    <row r="14531" spans="16:16">
      <c r="P14531" s="594"/>
    </row>
    <row r="14532" spans="16:16">
      <c r="P14532" s="594"/>
    </row>
    <row r="14533" spans="16:16">
      <c r="P14533" s="594"/>
    </row>
    <row r="14534" spans="16:16">
      <c r="P14534" s="594"/>
    </row>
    <row r="14535" spans="16:16">
      <c r="P14535" s="594"/>
    </row>
    <row r="14536" spans="16:16">
      <c r="P14536" s="594"/>
    </row>
    <row r="14537" spans="16:16">
      <c r="P14537" s="594"/>
    </row>
    <row r="14538" spans="16:16">
      <c r="P14538" s="594"/>
    </row>
    <row r="14539" spans="16:16">
      <c r="P14539" s="594"/>
    </row>
    <row r="14540" spans="16:16">
      <c r="P14540" s="594"/>
    </row>
    <row r="14541" spans="16:16">
      <c r="P14541" s="594"/>
    </row>
    <row r="14542" spans="16:16">
      <c r="P14542" s="594"/>
    </row>
    <row r="14543" spans="16:16">
      <c r="P14543" s="594"/>
    </row>
    <row r="14544" spans="16:16">
      <c r="P14544" s="594"/>
    </row>
    <row r="14545" spans="16:16">
      <c r="P14545" s="594"/>
    </row>
    <row r="14546" spans="16:16">
      <c r="P14546" s="594"/>
    </row>
    <row r="14547" spans="16:16">
      <c r="P14547" s="594"/>
    </row>
    <row r="14548" spans="16:16">
      <c r="P14548" s="594"/>
    </row>
    <row r="14549" spans="16:16">
      <c r="P14549" s="594"/>
    </row>
    <row r="14550" spans="16:16">
      <c r="P14550" s="594"/>
    </row>
    <row r="14551" spans="16:16">
      <c r="P14551" s="594"/>
    </row>
    <row r="14552" spans="16:16">
      <c r="P14552" s="594"/>
    </row>
    <row r="14553" spans="16:16">
      <c r="P14553" s="594"/>
    </row>
    <row r="14554" spans="16:16">
      <c r="P14554" s="594"/>
    </row>
    <row r="14555" spans="16:16">
      <c r="P14555" s="594"/>
    </row>
    <row r="14556" spans="16:16">
      <c r="P14556" s="594"/>
    </row>
    <row r="14557" spans="16:16">
      <c r="P14557" s="594"/>
    </row>
    <row r="14558" spans="16:16">
      <c r="P14558" s="594"/>
    </row>
    <row r="14559" spans="16:16">
      <c r="P14559" s="594"/>
    </row>
    <row r="14560" spans="16:16">
      <c r="P14560" s="594"/>
    </row>
    <row r="14561" spans="16:16">
      <c r="P14561" s="594"/>
    </row>
    <row r="14562" spans="16:16">
      <c r="P14562" s="594"/>
    </row>
    <row r="14563" spans="16:16">
      <c r="P14563" s="594"/>
    </row>
    <row r="14564" spans="16:16">
      <c r="P14564" s="594"/>
    </row>
    <row r="14565" spans="16:16">
      <c r="P14565" s="594"/>
    </row>
    <row r="14566" spans="16:16">
      <c r="P14566" s="594"/>
    </row>
    <row r="14567" spans="16:16">
      <c r="P14567" s="594"/>
    </row>
    <row r="14568" spans="16:16">
      <c r="P14568" s="594"/>
    </row>
    <row r="14569" spans="16:16">
      <c r="P14569" s="594"/>
    </row>
    <row r="14570" spans="16:16">
      <c r="P14570" s="594"/>
    </row>
    <row r="14571" spans="16:16">
      <c r="P14571" s="594"/>
    </row>
    <row r="14572" spans="16:16">
      <c r="P14572" s="594"/>
    </row>
    <row r="14573" spans="16:16">
      <c r="P14573" s="594"/>
    </row>
    <row r="14574" spans="16:16">
      <c r="P14574" s="594"/>
    </row>
    <row r="14575" spans="16:16">
      <c r="P14575" s="594"/>
    </row>
    <row r="14576" spans="16:16">
      <c r="P14576" s="594"/>
    </row>
    <row r="14577" spans="16:16">
      <c r="P14577" s="594"/>
    </row>
    <row r="14578" spans="16:16">
      <c r="P14578" s="594"/>
    </row>
    <row r="14579" spans="16:16">
      <c r="P14579" s="594"/>
    </row>
    <row r="14580" spans="16:16">
      <c r="P14580" s="594"/>
    </row>
    <row r="14581" spans="16:16">
      <c r="P14581" s="594"/>
    </row>
    <row r="14582" spans="16:16">
      <c r="P14582" s="594"/>
    </row>
    <row r="14583" spans="16:16">
      <c r="P14583" s="594"/>
    </row>
    <row r="14584" spans="16:16">
      <c r="P14584" s="594"/>
    </row>
    <row r="14585" spans="16:16">
      <c r="P14585" s="594"/>
    </row>
    <row r="14586" spans="16:16">
      <c r="P14586" s="594"/>
    </row>
    <row r="14587" spans="16:16">
      <c r="P14587" s="594"/>
    </row>
    <row r="14588" spans="16:16">
      <c r="P14588" s="594"/>
    </row>
    <row r="14589" spans="16:16">
      <c r="P14589" s="594"/>
    </row>
    <row r="14590" spans="16:16">
      <c r="P14590" s="594"/>
    </row>
    <row r="14591" spans="16:16">
      <c r="P14591" s="594"/>
    </row>
    <row r="14592" spans="16:16">
      <c r="P14592" s="594"/>
    </row>
    <row r="14593" spans="16:16">
      <c r="P14593" s="594"/>
    </row>
    <row r="14594" spans="16:16">
      <c r="P14594" s="594"/>
    </row>
    <row r="14595" spans="16:16">
      <c r="P14595" s="594"/>
    </row>
    <row r="14596" spans="16:16">
      <c r="P14596" s="594"/>
    </row>
    <row r="14597" spans="16:16">
      <c r="P14597" s="594"/>
    </row>
    <row r="14598" spans="16:16">
      <c r="P14598" s="594"/>
    </row>
    <row r="14599" spans="16:16">
      <c r="P14599" s="594"/>
    </row>
    <row r="14600" spans="16:16">
      <c r="P14600" s="594"/>
    </row>
    <row r="14601" spans="16:16">
      <c r="P14601" s="594"/>
    </row>
    <row r="14602" spans="16:16">
      <c r="P14602" s="594"/>
    </row>
    <row r="14603" spans="16:16">
      <c r="P14603" s="594"/>
    </row>
    <row r="14604" spans="16:16">
      <c r="P14604" s="594"/>
    </row>
    <row r="14605" spans="16:16">
      <c r="P14605" s="594"/>
    </row>
    <row r="14606" spans="16:16">
      <c r="P14606" s="594"/>
    </row>
    <row r="14607" spans="16:16">
      <c r="P14607" s="594"/>
    </row>
    <row r="14608" spans="16:16">
      <c r="P14608" s="594"/>
    </row>
    <row r="14609" spans="16:16">
      <c r="P14609" s="594"/>
    </row>
    <row r="14610" spans="16:16">
      <c r="P14610" s="594"/>
    </row>
    <row r="14611" spans="16:16">
      <c r="P14611" s="594"/>
    </row>
    <row r="14612" spans="16:16">
      <c r="P14612" s="594"/>
    </row>
    <row r="14613" spans="16:16">
      <c r="P14613" s="594"/>
    </row>
    <row r="14614" spans="16:16">
      <c r="P14614" s="594"/>
    </row>
    <row r="14615" spans="16:16">
      <c r="P14615" s="594"/>
    </row>
    <row r="14616" spans="16:16">
      <c r="P14616" s="594"/>
    </row>
    <row r="14617" spans="16:16">
      <c r="P14617" s="594"/>
    </row>
    <row r="14618" spans="16:16">
      <c r="P14618" s="594"/>
    </row>
    <row r="14619" spans="16:16">
      <c r="P14619" s="594"/>
    </row>
    <row r="14620" spans="16:16">
      <c r="P14620" s="594"/>
    </row>
    <row r="14621" spans="16:16">
      <c r="P14621" s="594"/>
    </row>
    <row r="14622" spans="16:16">
      <c r="P14622" s="594"/>
    </row>
    <row r="14623" spans="16:16">
      <c r="P14623" s="594"/>
    </row>
    <row r="14624" spans="16:16">
      <c r="P14624" s="594"/>
    </row>
    <row r="14625" spans="16:16">
      <c r="P14625" s="594"/>
    </row>
    <row r="14626" spans="16:16">
      <c r="P14626" s="594"/>
    </row>
    <row r="14627" spans="16:16">
      <c r="P14627" s="594"/>
    </row>
    <row r="14628" spans="16:16">
      <c r="P14628" s="594"/>
    </row>
    <row r="14629" spans="16:16">
      <c r="P14629" s="594"/>
    </row>
    <row r="14630" spans="16:16">
      <c r="P14630" s="594"/>
    </row>
    <row r="14631" spans="16:16">
      <c r="P14631" s="594"/>
    </row>
    <row r="14632" spans="16:16">
      <c r="P14632" s="594"/>
    </row>
    <row r="14633" spans="16:16">
      <c r="P14633" s="594"/>
    </row>
    <row r="14634" spans="16:16">
      <c r="P14634" s="594"/>
    </row>
    <row r="14635" spans="16:16">
      <c r="P14635" s="594"/>
    </row>
    <row r="14636" spans="16:16">
      <c r="P14636" s="594"/>
    </row>
    <row r="14637" spans="16:16">
      <c r="P14637" s="594"/>
    </row>
    <row r="14638" spans="16:16">
      <c r="P14638" s="594"/>
    </row>
    <row r="14639" spans="16:16">
      <c r="P14639" s="594"/>
    </row>
    <row r="14640" spans="16:16">
      <c r="P14640" s="594"/>
    </row>
    <row r="14641" spans="16:16">
      <c r="P14641" s="594"/>
    </row>
    <row r="14642" spans="16:16">
      <c r="P14642" s="594"/>
    </row>
    <row r="14643" spans="16:16">
      <c r="P14643" s="594"/>
    </row>
    <row r="14644" spans="16:16">
      <c r="P14644" s="594"/>
    </row>
    <row r="14645" spans="16:16">
      <c r="P14645" s="594"/>
    </row>
    <row r="14646" spans="16:16">
      <c r="P14646" s="594"/>
    </row>
    <row r="14647" spans="16:16">
      <c r="P14647" s="594"/>
    </row>
    <row r="14648" spans="16:16">
      <c r="P14648" s="594"/>
    </row>
    <row r="14649" spans="16:16">
      <c r="P14649" s="594"/>
    </row>
    <row r="14650" spans="16:16">
      <c r="P14650" s="594"/>
    </row>
    <row r="14651" spans="16:16">
      <c r="P14651" s="594"/>
    </row>
    <row r="14652" spans="16:16">
      <c r="P14652" s="594"/>
    </row>
    <row r="14653" spans="16:16">
      <c r="P14653" s="594"/>
    </row>
    <row r="14654" spans="16:16">
      <c r="P14654" s="594"/>
    </row>
    <row r="14655" spans="16:16">
      <c r="P14655" s="594"/>
    </row>
    <row r="14656" spans="16:16">
      <c r="P14656" s="594"/>
    </row>
    <row r="14657" spans="16:16">
      <c r="P14657" s="594"/>
    </row>
    <row r="14658" spans="16:16">
      <c r="P14658" s="594"/>
    </row>
    <row r="14659" spans="16:16">
      <c r="P14659" s="594"/>
    </row>
    <row r="14660" spans="16:16">
      <c r="P14660" s="594"/>
    </row>
    <row r="14661" spans="16:16">
      <c r="P14661" s="594"/>
    </row>
    <row r="14662" spans="16:16">
      <c r="P14662" s="594"/>
    </row>
    <row r="14663" spans="16:16">
      <c r="P14663" s="594"/>
    </row>
    <row r="14664" spans="16:16">
      <c r="P14664" s="594"/>
    </row>
    <row r="14665" spans="16:16">
      <c r="P14665" s="594"/>
    </row>
    <row r="14666" spans="16:16">
      <c r="P14666" s="594"/>
    </row>
    <row r="14667" spans="16:16">
      <c r="P14667" s="594"/>
    </row>
    <row r="14668" spans="16:16">
      <c r="P14668" s="594"/>
    </row>
    <row r="14669" spans="16:16">
      <c r="P14669" s="594"/>
    </row>
    <row r="14670" spans="16:16">
      <c r="P14670" s="594"/>
    </row>
    <row r="14671" spans="16:16">
      <c r="P14671" s="594"/>
    </row>
    <row r="14672" spans="16:16">
      <c r="P14672" s="594"/>
    </row>
    <row r="14673" spans="16:16">
      <c r="P14673" s="594"/>
    </row>
    <row r="14674" spans="16:16">
      <c r="P14674" s="594"/>
    </row>
    <row r="14675" spans="16:16">
      <c r="P14675" s="594"/>
    </row>
    <row r="14676" spans="16:16">
      <c r="P14676" s="594"/>
    </row>
    <row r="14677" spans="16:16">
      <c r="P14677" s="594"/>
    </row>
    <row r="14678" spans="16:16">
      <c r="P14678" s="594"/>
    </row>
    <row r="14679" spans="16:16">
      <c r="P14679" s="594"/>
    </row>
    <row r="14680" spans="16:16">
      <c r="P14680" s="594"/>
    </row>
    <row r="14681" spans="16:16">
      <c r="P14681" s="594"/>
    </row>
    <row r="14682" spans="16:16">
      <c r="P14682" s="594"/>
    </row>
    <row r="14683" spans="16:16">
      <c r="P14683" s="594"/>
    </row>
    <row r="14684" spans="16:16">
      <c r="P14684" s="594"/>
    </row>
    <row r="14685" spans="16:16">
      <c r="P14685" s="594"/>
    </row>
    <row r="14686" spans="16:16">
      <c r="P14686" s="594"/>
    </row>
    <row r="14687" spans="16:16">
      <c r="P14687" s="594"/>
    </row>
    <row r="14688" spans="16:16">
      <c r="P14688" s="594"/>
    </row>
    <row r="14689" spans="16:16">
      <c r="P14689" s="594"/>
    </row>
    <row r="14690" spans="16:16">
      <c r="P14690" s="594"/>
    </row>
    <row r="14691" spans="16:16">
      <c r="P14691" s="594"/>
    </row>
    <row r="14692" spans="16:16">
      <c r="P14692" s="594"/>
    </row>
    <row r="14693" spans="16:16">
      <c r="P14693" s="594"/>
    </row>
    <row r="14694" spans="16:16">
      <c r="P14694" s="594"/>
    </row>
    <row r="14695" spans="16:16">
      <c r="P14695" s="594"/>
    </row>
    <row r="14696" spans="16:16">
      <c r="P14696" s="594"/>
    </row>
    <row r="14697" spans="16:16">
      <c r="P14697" s="594"/>
    </row>
    <row r="14698" spans="16:16">
      <c r="P14698" s="594"/>
    </row>
    <row r="14699" spans="16:16">
      <c r="P14699" s="594"/>
    </row>
    <row r="14700" spans="16:16">
      <c r="P14700" s="594"/>
    </row>
    <row r="14701" spans="16:16">
      <c r="P14701" s="594"/>
    </row>
    <row r="14702" spans="16:16">
      <c r="P14702" s="594"/>
    </row>
    <row r="14703" spans="16:16">
      <c r="P14703" s="594"/>
    </row>
    <row r="14704" spans="16:16">
      <c r="P14704" s="594"/>
    </row>
    <row r="14705" spans="16:16">
      <c r="P14705" s="594"/>
    </row>
    <row r="14706" spans="16:16">
      <c r="P14706" s="594"/>
    </row>
    <row r="14707" spans="16:16">
      <c r="P14707" s="594"/>
    </row>
    <row r="14708" spans="16:16">
      <c r="P14708" s="594"/>
    </row>
    <row r="14709" spans="16:16">
      <c r="P14709" s="594"/>
    </row>
    <row r="14710" spans="16:16">
      <c r="P14710" s="594"/>
    </row>
    <row r="14711" spans="16:16">
      <c r="P14711" s="594"/>
    </row>
    <row r="14712" spans="16:16">
      <c r="P14712" s="594"/>
    </row>
    <row r="14713" spans="16:16">
      <c r="P14713" s="594"/>
    </row>
    <row r="14714" spans="16:16">
      <c r="P14714" s="594"/>
    </row>
    <row r="14715" spans="16:16">
      <c r="P14715" s="594"/>
    </row>
    <row r="14716" spans="16:16">
      <c r="P14716" s="594"/>
    </row>
    <row r="14717" spans="16:16">
      <c r="P14717" s="594"/>
    </row>
    <row r="14718" spans="16:16">
      <c r="P14718" s="594"/>
    </row>
    <row r="14719" spans="16:16">
      <c r="P14719" s="594"/>
    </row>
    <row r="14720" spans="16:16">
      <c r="P14720" s="594"/>
    </row>
    <row r="14721" spans="16:16">
      <c r="P14721" s="594"/>
    </row>
    <row r="14722" spans="16:16">
      <c r="P14722" s="594"/>
    </row>
    <row r="14723" spans="16:16">
      <c r="P14723" s="594"/>
    </row>
    <row r="14724" spans="16:16">
      <c r="P14724" s="594"/>
    </row>
    <row r="14725" spans="16:16">
      <c r="P14725" s="594"/>
    </row>
    <row r="14726" spans="16:16">
      <c r="P14726" s="594"/>
    </row>
    <row r="14727" spans="16:16">
      <c r="P14727" s="594"/>
    </row>
    <row r="14728" spans="16:16">
      <c r="P14728" s="594"/>
    </row>
    <row r="14729" spans="16:16">
      <c r="P14729" s="594"/>
    </row>
    <row r="14730" spans="16:16">
      <c r="P14730" s="594"/>
    </row>
    <row r="14731" spans="16:16">
      <c r="P14731" s="594"/>
    </row>
    <row r="14732" spans="16:16">
      <c r="P14732" s="594"/>
    </row>
    <row r="14733" spans="16:16">
      <c r="P14733" s="594"/>
    </row>
    <row r="14734" spans="16:16">
      <c r="P14734" s="594"/>
    </row>
    <row r="14735" spans="16:16">
      <c r="P14735" s="594"/>
    </row>
    <row r="14736" spans="16:16">
      <c r="P14736" s="594"/>
    </row>
    <row r="14737" spans="16:16">
      <c r="P14737" s="594"/>
    </row>
    <row r="14738" spans="16:16">
      <c r="P14738" s="594"/>
    </row>
    <row r="14739" spans="16:16">
      <c r="P14739" s="594"/>
    </row>
    <row r="14740" spans="16:16">
      <c r="P14740" s="594"/>
    </row>
    <row r="14741" spans="16:16">
      <c r="P14741" s="594"/>
    </row>
    <row r="14742" spans="16:16">
      <c r="P14742" s="594"/>
    </row>
    <row r="14743" spans="16:16">
      <c r="P14743" s="594"/>
    </row>
    <row r="14744" spans="16:16">
      <c r="P14744" s="594"/>
    </row>
    <row r="14745" spans="16:16">
      <c r="P14745" s="594"/>
    </row>
    <row r="14746" spans="16:16">
      <c r="P14746" s="594"/>
    </row>
    <row r="14747" spans="16:16">
      <c r="P14747" s="594"/>
    </row>
    <row r="14748" spans="16:16">
      <c r="P14748" s="594"/>
    </row>
    <row r="14749" spans="16:16">
      <c r="P14749" s="594"/>
    </row>
    <row r="14750" spans="16:16">
      <c r="P14750" s="594"/>
    </row>
    <row r="14751" spans="16:16">
      <c r="P14751" s="594"/>
    </row>
    <row r="14752" spans="16:16">
      <c r="P14752" s="594"/>
    </row>
    <row r="14753" spans="16:16">
      <c r="P14753" s="594"/>
    </row>
    <row r="14754" spans="16:16">
      <c r="P14754" s="594"/>
    </row>
    <row r="14755" spans="16:16">
      <c r="P14755" s="594"/>
    </row>
    <row r="14756" spans="16:16">
      <c r="P14756" s="594"/>
    </row>
    <row r="14757" spans="16:16">
      <c r="P14757" s="594"/>
    </row>
    <row r="14758" spans="16:16">
      <c r="P14758" s="594"/>
    </row>
    <row r="14759" spans="16:16">
      <c r="P14759" s="594"/>
    </row>
    <row r="14760" spans="16:16">
      <c r="P14760" s="594"/>
    </row>
    <row r="14761" spans="16:16">
      <c r="P14761" s="594"/>
    </row>
    <row r="14762" spans="16:16">
      <c r="P14762" s="594"/>
    </row>
    <row r="14763" spans="16:16">
      <c r="P14763" s="594"/>
    </row>
    <row r="14764" spans="16:16">
      <c r="P14764" s="594"/>
    </row>
    <row r="14765" spans="16:16">
      <c r="P14765" s="594"/>
    </row>
    <row r="14766" spans="16:16">
      <c r="P14766" s="594"/>
    </row>
    <row r="14767" spans="16:16">
      <c r="P14767" s="594"/>
    </row>
    <row r="14768" spans="16:16">
      <c r="P14768" s="594"/>
    </row>
    <row r="14769" spans="16:16">
      <c r="P14769" s="594"/>
    </row>
    <row r="14770" spans="16:16">
      <c r="P14770" s="594"/>
    </row>
    <row r="14771" spans="16:16">
      <c r="P14771" s="594"/>
    </row>
    <row r="14772" spans="16:16">
      <c r="P14772" s="594"/>
    </row>
    <row r="14773" spans="16:16">
      <c r="P14773" s="594"/>
    </row>
    <row r="14774" spans="16:16">
      <c r="P14774" s="594"/>
    </row>
    <row r="14775" spans="16:16">
      <c r="P14775" s="594"/>
    </row>
    <row r="14776" spans="16:16">
      <c r="P14776" s="594"/>
    </row>
    <row r="14777" spans="16:16">
      <c r="P14777" s="594"/>
    </row>
    <row r="14778" spans="16:16">
      <c r="P14778" s="594"/>
    </row>
    <row r="14779" spans="16:16">
      <c r="P14779" s="594"/>
    </row>
    <row r="14780" spans="16:16">
      <c r="P14780" s="594"/>
    </row>
    <row r="14781" spans="16:16">
      <c r="P14781" s="594"/>
    </row>
    <row r="14782" spans="16:16">
      <c r="P14782" s="594"/>
    </row>
    <row r="14783" spans="16:16">
      <c r="P14783" s="594"/>
    </row>
    <row r="14784" spans="16:16">
      <c r="P14784" s="594"/>
    </row>
    <row r="14785" spans="16:16">
      <c r="P14785" s="594"/>
    </row>
    <row r="14786" spans="16:16">
      <c r="P14786" s="594"/>
    </row>
    <row r="14787" spans="16:16">
      <c r="P14787" s="594"/>
    </row>
    <row r="14788" spans="16:16">
      <c r="P14788" s="594"/>
    </row>
    <row r="14789" spans="16:16">
      <c r="P14789" s="594"/>
    </row>
    <row r="14790" spans="16:16">
      <c r="P14790" s="594"/>
    </row>
    <row r="14791" spans="16:16">
      <c r="P14791" s="594"/>
    </row>
    <row r="14792" spans="16:16">
      <c r="P14792" s="594"/>
    </row>
    <row r="14793" spans="16:16">
      <c r="P14793" s="594"/>
    </row>
    <row r="14794" spans="16:16">
      <c r="P14794" s="594"/>
    </row>
    <row r="14795" spans="16:16">
      <c r="P14795" s="594"/>
    </row>
    <row r="14796" spans="16:16">
      <c r="P14796" s="594"/>
    </row>
    <row r="14797" spans="16:16">
      <c r="P14797" s="594"/>
    </row>
    <row r="14798" spans="16:16">
      <c r="P14798" s="594"/>
    </row>
    <row r="14799" spans="16:16">
      <c r="P14799" s="594"/>
    </row>
    <row r="14800" spans="16:16">
      <c r="P14800" s="594"/>
    </row>
    <row r="14801" spans="16:16">
      <c r="P14801" s="594"/>
    </row>
    <row r="14802" spans="16:16">
      <c r="P14802" s="594"/>
    </row>
    <row r="14803" spans="16:16">
      <c r="P14803" s="594"/>
    </row>
    <row r="14804" spans="16:16">
      <c r="P14804" s="594"/>
    </row>
    <row r="14805" spans="16:16">
      <c r="P14805" s="594"/>
    </row>
    <row r="14806" spans="16:16">
      <c r="P14806" s="594"/>
    </row>
    <row r="14807" spans="16:16">
      <c r="P14807" s="594"/>
    </row>
    <row r="14808" spans="16:16">
      <c r="P14808" s="594"/>
    </row>
    <row r="14809" spans="16:16">
      <c r="P14809" s="594"/>
    </row>
    <row r="14810" spans="16:16">
      <c r="P14810" s="594"/>
    </row>
    <row r="14811" spans="16:16">
      <c r="P14811" s="594"/>
    </row>
    <row r="14812" spans="16:16">
      <c r="P14812" s="594"/>
    </row>
    <row r="14813" spans="16:16">
      <c r="P14813" s="594"/>
    </row>
    <row r="14814" spans="16:16">
      <c r="P14814" s="594"/>
    </row>
    <row r="14815" spans="16:16">
      <c r="P14815" s="594"/>
    </row>
    <row r="14816" spans="16:16">
      <c r="P14816" s="594"/>
    </row>
    <row r="14817" spans="16:16">
      <c r="P14817" s="594"/>
    </row>
    <row r="14818" spans="16:16">
      <c r="P14818" s="594"/>
    </row>
    <row r="14819" spans="16:16">
      <c r="P14819" s="594"/>
    </row>
    <row r="14820" spans="16:16">
      <c r="P14820" s="594"/>
    </row>
    <row r="14821" spans="16:16">
      <c r="P14821" s="594"/>
    </row>
    <row r="14822" spans="16:16">
      <c r="P14822" s="594"/>
    </row>
    <row r="14823" spans="16:16">
      <c r="P14823" s="594"/>
    </row>
    <row r="14824" spans="16:16">
      <c r="P14824" s="594"/>
    </row>
    <row r="14825" spans="16:16">
      <c r="P14825" s="594"/>
    </row>
    <row r="14826" spans="16:16">
      <c r="P14826" s="594"/>
    </row>
    <row r="14827" spans="16:16">
      <c r="P14827" s="594"/>
    </row>
    <row r="14828" spans="16:16">
      <c r="P14828" s="594"/>
    </row>
    <row r="14829" spans="16:16">
      <c r="P14829" s="594"/>
    </row>
    <row r="14830" spans="16:16">
      <c r="P14830" s="594"/>
    </row>
    <row r="14831" spans="16:16">
      <c r="P14831" s="594"/>
    </row>
    <row r="14832" spans="16:16">
      <c r="P14832" s="594"/>
    </row>
    <row r="14833" spans="16:16">
      <c r="P14833" s="594"/>
    </row>
    <row r="14834" spans="16:16">
      <c r="P14834" s="594"/>
    </row>
    <row r="14835" spans="16:16">
      <c r="P14835" s="594"/>
    </row>
    <row r="14836" spans="16:16">
      <c r="P14836" s="594"/>
    </row>
    <row r="14837" spans="16:16">
      <c r="P14837" s="594"/>
    </row>
    <row r="14838" spans="16:16">
      <c r="P14838" s="594"/>
    </row>
    <row r="14839" spans="16:16">
      <c r="P14839" s="594"/>
    </row>
    <row r="14840" spans="16:16">
      <c r="P14840" s="594"/>
    </row>
    <row r="14841" spans="16:16">
      <c r="P14841" s="594"/>
    </row>
    <row r="14842" spans="16:16">
      <c r="P14842" s="594"/>
    </row>
    <row r="14843" spans="16:16">
      <c r="P14843" s="594"/>
    </row>
    <row r="14844" spans="16:16">
      <c r="P14844" s="594"/>
    </row>
    <row r="14845" spans="16:16">
      <c r="P14845" s="594"/>
    </row>
    <row r="14846" spans="16:16">
      <c r="P14846" s="594"/>
    </row>
    <row r="14847" spans="16:16">
      <c r="P14847" s="594"/>
    </row>
    <row r="14848" spans="16:16">
      <c r="P14848" s="594"/>
    </row>
    <row r="14849" spans="16:16">
      <c r="P14849" s="594"/>
    </row>
    <row r="14850" spans="16:16">
      <c r="P14850" s="594"/>
    </row>
    <row r="14851" spans="16:16">
      <c r="P14851" s="594"/>
    </row>
    <row r="14852" spans="16:16">
      <c r="P14852" s="594"/>
    </row>
    <row r="14853" spans="16:16">
      <c r="P14853" s="594"/>
    </row>
    <row r="14854" spans="16:16">
      <c r="P14854" s="594"/>
    </row>
    <row r="14855" spans="16:16">
      <c r="P14855" s="594"/>
    </row>
    <row r="14856" spans="16:16">
      <c r="P14856" s="594"/>
    </row>
    <row r="14857" spans="16:16">
      <c r="P14857" s="594"/>
    </row>
    <row r="14858" spans="16:16">
      <c r="P14858" s="594"/>
    </row>
    <row r="14859" spans="16:16">
      <c r="P14859" s="594"/>
    </row>
    <row r="14860" spans="16:16">
      <c r="P14860" s="594"/>
    </row>
    <row r="14861" spans="16:16">
      <c r="P14861" s="594"/>
    </row>
    <row r="14862" spans="16:16">
      <c r="P14862" s="594"/>
    </row>
    <row r="14863" spans="16:16">
      <c r="P14863" s="594"/>
    </row>
    <row r="14864" spans="16:16">
      <c r="P14864" s="594"/>
    </row>
    <row r="14865" spans="16:16">
      <c r="P14865" s="594"/>
    </row>
    <row r="14866" spans="16:16">
      <c r="P14866" s="594"/>
    </row>
    <row r="14867" spans="16:16">
      <c r="P14867" s="594"/>
    </row>
    <row r="14868" spans="16:16">
      <c r="P14868" s="594"/>
    </row>
    <row r="14869" spans="16:16">
      <c r="P14869" s="594"/>
    </row>
    <row r="14870" spans="16:16">
      <c r="P14870" s="594"/>
    </row>
    <row r="14871" spans="16:16">
      <c r="P14871" s="594"/>
    </row>
    <row r="14872" spans="16:16">
      <c r="P14872" s="594"/>
    </row>
    <row r="14873" spans="16:16">
      <c r="P14873" s="594"/>
    </row>
    <row r="14874" spans="16:16">
      <c r="P14874" s="594"/>
    </row>
    <row r="14875" spans="16:16">
      <c r="P14875" s="594"/>
    </row>
    <row r="14876" spans="16:16">
      <c r="P14876" s="594"/>
    </row>
    <row r="14877" spans="16:16">
      <c r="P14877" s="594"/>
    </row>
    <row r="14878" spans="16:16">
      <c r="P14878" s="594"/>
    </row>
    <row r="14879" spans="16:16">
      <c r="P14879" s="594"/>
    </row>
    <row r="14880" spans="16:16">
      <c r="P14880" s="594"/>
    </row>
    <row r="14881" spans="16:16">
      <c r="P14881" s="594"/>
    </row>
    <row r="14882" spans="16:16">
      <c r="P14882" s="594"/>
    </row>
    <row r="14883" spans="16:16">
      <c r="P14883" s="594"/>
    </row>
    <row r="14884" spans="16:16">
      <c r="P14884" s="594"/>
    </row>
    <row r="14885" spans="16:16">
      <c r="P14885" s="594"/>
    </row>
    <row r="14886" spans="16:16">
      <c r="P14886" s="594"/>
    </row>
    <row r="14887" spans="16:16">
      <c r="P14887" s="594"/>
    </row>
    <row r="14888" spans="16:16">
      <c r="P14888" s="594"/>
    </row>
    <row r="14889" spans="16:16">
      <c r="P14889" s="594"/>
    </row>
    <row r="14890" spans="16:16">
      <c r="P14890" s="594"/>
    </row>
    <row r="14891" spans="16:16">
      <c r="P14891" s="594"/>
    </row>
    <row r="14892" spans="16:16">
      <c r="P14892" s="594"/>
    </row>
    <row r="14893" spans="16:16">
      <c r="P14893" s="594"/>
    </row>
    <row r="14894" spans="16:16">
      <c r="P14894" s="594"/>
    </row>
    <row r="14895" spans="16:16">
      <c r="P14895" s="594"/>
    </row>
    <row r="14896" spans="16:16">
      <c r="P14896" s="594"/>
    </row>
    <row r="14897" spans="16:16">
      <c r="P14897" s="594"/>
    </row>
    <row r="14898" spans="16:16">
      <c r="P14898" s="594"/>
    </row>
    <row r="14899" spans="16:16">
      <c r="P14899" s="594"/>
    </row>
    <row r="14900" spans="16:16">
      <c r="P14900" s="594"/>
    </row>
    <row r="14901" spans="16:16">
      <c r="P14901" s="594"/>
    </row>
    <row r="14902" spans="16:16">
      <c r="P14902" s="594"/>
    </row>
    <row r="14903" spans="16:16">
      <c r="P14903" s="594"/>
    </row>
    <row r="14904" spans="16:16">
      <c r="P14904" s="594"/>
    </row>
    <row r="14905" spans="16:16">
      <c r="P14905" s="594"/>
    </row>
    <row r="14906" spans="16:16">
      <c r="P14906" s="594"/>
    </row>
    <row r="14907" spans="16:16">
      <c r="P14907" s="594"/>
    </row>
    <row r="14908" spans="16:16">
      <c r="P14908" s="594"/>
    </row>
    <row r="14909" spans="16:16">
      <c r="P14909" s="594"/>
    </row>
    <row r="14910" spans="16:16">
      <c r="P14910" s="594"/>
    </row>
    <row r="14911" spans="16:16">
      <c r="P14911" s="594"/>
    </row>
    <row r="14912" spans="16:16">
      <c r="P14912" s="594"/>
    </row>
    <row r="14913" spans="16:16">
      <c r="P14913" s="594"/>
    </row>
    <row r="14914" spans="16:16">
      <c r="P14914" s="594"/>
    </row>
    <row r="14915" spans="16:16">
      <c r="P14915" s="594"/>
    </row>
    <row r="14916" spans="16:16">
      <c r="P14916" s="594"/>
    </row>
    <row r="14917" spans="16:16">
      <c r="P14917" s="594"/>
    </row>
    <row r="14918" spans="16:16">
      <c r="P14918" s="594"/>
    </row>
    <row r="14919" spans="16:16">
      <c r="P14919" s="594"/>
    </row>
    <row r="14920" spans="16:16">
      <c r="P14920" s="594"/>
    </row>
    <row r="14921" spans="16:16">
      <c r="P14921" s="594"/>
    </row>
    <row r="14922" spans="16:16">
      <c r="P14922" s="594"/>
    </row>
    <row r="14923" spans="16:16">
      <c r="P14923" s="594"/>
    </row>
    <row r="14924" spans="16:16">
      <c r="P14924" s="594"/>
    </row>
    <row r="14925" spans="16:16">
      <c r="P14925" s="594"/>
    </row>
    <row r="14926" spans="16:16">
      <c r="P14926" s="594"/>
    </row>
    <row r="14927" spans="16:16">
      <c r="P14927" s="594"/>
    </row>
    <row r="14928" spans="16:16">
      <c r="P14928" s="594"/>
    </row>
    <row r="14929" spans="16:16">
      <c r="P14929" s="594"/>
    </row>
    <row r="14930" spans="16:16">
      <c r="P14930" s="594"/>
    </row>
    <row r="14931" spans="16:16">
      <c r="P14931" s="594"/>
    </row>
    <row r="14932" spans="16:16">
      <c r="P14932" s="594"/>
    </row>
    <row r="14933" spans="16:16">
      <c r="P14933" s="594"/>
    </row>
    <row r="14934" spans="16:16">
      <c r="P14934" s="594"/>
    </row>
    <row r="14935" spans="16:16">
      <c r="P14935" s="594"/>
    </row>
    <row r="14936" spans="16:16">
      <c r="P14936" s="594"/>
    </row>
    <row r="14937" spans="16:16">
      <c r="P14937" s="594"/>
    </row>
    <row r="14938" spans="16:16">
      <c r="P14938" s="594"/>
    </row>
    <row r="14939" spans="16:16">
      <c r="P14939" s="594"/>
    </row>
    <row r="14940" spans="16:16">
      <c r="P14940" s="594"/>
    </row>
    <row r="14941" spans="16:16">
      <c r="P14941" s="594"/>
    </row>
    <row r="14942" spans="16:16">
      <c r="P14942" s="594"/>
    </row>
    <row r="14943" spans="16:16">
      <c r="P14943" s="594"/>
    </row>
    <row r="14944" spans="16:16">
      <c r="P14944" s="594"/>
    </row>
    <row r="14945" spans="16:16">
      <c r="P14945" s="594"/>
    </row>
    <row r="14946" spans="16:16">
      <c r="P14946" s="594"/>
    </row>
    <row r="14947" spans="16:16">
      <c r="P14947" s="594"/>
    </row>
    <row r="14948" spans="16:16">
      <c r="P14948" s="594"/>
    </row>
    <row r="14949" spans="16:16">
      <c r="P14949" s="594"/>
    </row>
    <row r="14950" spans="16:16">
      <c r="P14950" s="594"/>
    </row>
    <row r="14951" spans="16:16">
      <c r="P14951" s="594"/>
    </row>
    <row r="14952" spans="16:16">
      <c r="P14952" s="594"/>
    </row>
    <row r="14953" spans="16:16">
      <c r="P14953" s="594"/>
    </row>
    <row r="14954" spans="16:16">
      <c r="P14954" s="594"/>
    </row>
    <row r="14955" spans="16:16">
      <c r="P14955" s="594"/>
    </row>
    <row r="14956" spans="16:16">
      <c r="P14956" s="594"/>
    </row>
    <row r="14957" spans="16:16">
      <c r="P14957" s="594"/>
    </row>
    <row r="14958" spans="16:16">
      <c r="P14958" s="594"/>
    </row>
    <row r="14959" spans="16:16">
      <c r="P14959" s="594"/>
    </row>
    <row r="14960" spans="16:16">
      <c r="P14960" s="594"/>
    </row>
    <row r="14961" spans="16:16">
      <c r="P14961" s="594"/>
    </row>
    <row r="14962" spans="16:16">
      <c r="P14962" s="594"/>
    </row>
    <row r="14963" spans="16:16">
      <c r="P14963" s="594"/>
    </row>
    <row r="14964" spans="16:16">
      <c r="P14964" s="594"/>
    </row>
    <row r="14965" spans="16:16">
      <c r="P14965" s="594"/>
    </row>
    <row r="14966" spans="16:16">
      <c r="P14966" s="594"/>
    </row>
    <row r="14967" spans="16:16">
      <c r="P14967" s="594"/>
    </row>
    <row r="14968" spans="16:16">
      <c r="P14968" s="594"/>
    </row>
    <row r="14969" spans="16:16">
      <c r="P14969" s="594"/>
    </row>
    <row r="14970" spans="16:16">
      <c r="P14970" s="594"/>
    </row>
    <row r="14971" spans="16:16">
      <c r="P14971" s="594"/>
    </row>
    <row r="14972" spans="16:16">
      <c r="P14972" s="594"/>
    </row>
    <row r="14973" spans="16:16">
      <c r="P14973" s="594"/>
    </row>
    <row r="14974" spans="16:16">
      <c r="P14974" s="594"/>
    </row>
    <row r="14975" spans="16:16">
      <c r="P14975" s="594"/>
    </row>
    <row r="14976" spans="16:16">
      <c r="P14976" s="594"/>
    </row>
    <row r="14977" spans="16:16">
      <c r="P14977" s="594"/>
    </row>
    <row r="14978" spans="16:16">
      <c r="P14978" s="594"/>
    </row>
    <row r="14979" spans="16:16">
      <c r="P14979" s="594"/>
    </row>
    <row r="14980" spans="16:16">
      <c r="P14980" s="594"/>
    </row>
    <row r="14981" spans="16:16">
      <c r="P14981" s="594"/>
    </row>
    <row r="14982" spans="16:16">
      <c r="P14982" s="594"/>
    </row>
    <row r="14983" spans="16:16">
      <c r="P14983" s="594"/>
    </row>
    <row r="14984" spans="16:16">
      <c r="P14984" s="594"/>
    </row>
    <row r="14985" spans="16:16">
      <c r="P14985" s="594"/>
    </row>
    <row r="14986" spans="16:16">
      <c r="P14986" s="594"/>
    </row>
    <row r="14987" spans="16:16">
      <c r="P14987" s="594"/>
    </row>
    <row r="14988" spans="16:16">
      <c r="P14988" s="594"/>
    </row>
    <row r="14989" spans="16:16">
      <c r="P14989" s="594"/>
    </row>
    <row r="14990" spans="16:16">
      <c r="P14990" s="594"/>
    </row>
    <row r="14991" spans="16:16">
      <c r="P14991" s="594"/>
    </row>
    <row r="14992" spans="16:16">
      <c r="P14992" s="594"/>
    </row>
    <row r="14993" spans="16:16">
      <c r="P14993" s="594"/>
    </row>
    <row r="14994" spans="16:16">
      <c r="P14994" s="594"/>
    </row>
    <row r="14995" spans="16:16">
      <c r="P14995" s="594"/>
    </row>
    <row r="14996" spans="16:16">
      <c r="P14996" s="594"/>
    </row>
    <row r="14997" spans="16:16">
      <c r="P14997" s="594"/>
    </row>
    <row r="14998" spans="16:16">
      <c r="P14998" s="594"/>
    </row>
    <row r="14999" spans="16:16">
      <c r="P14999" s="594"/>
    </row>
    <row r="15000" spans="16:16">
      <c r="P15000" s="594"/>
    </row>
    <row r="15001" spans="16:16">
      <c r="P15001" s="594"/>
    </row>
    <row r="15002" spans="16:16">
      <c r="P15002" s="594"/>
    </row>
    <row r="15003" spans="16:16">
      <c r="P15003" s="594"/>
    </row>
    <row r="15004" spans="16:16">
      <c r="P15004" s="594"/>
    </row>
    <row r="15005" spans="16:16">
      <c r="P15005" s="594"/>
    </row>
    <row r="15006" spans="16:16">
      <c r="P15006" s="594"/>
    </row>
    <row r="15007" spans="16:16">
      <c r="P15007" s="594"/>
    </row>
    <row r="15008" spans="16:16">
      <c r="P15008" s="594"/>
    </row>
    <row r="15009" spans="16:16">
      <c r="P15009" s="594"/>
    </row>
    <row r="15010" spans="16:16">
      <c r="P15010" s="594"/>
    </row>
    <row r="15011" spans="16:16">
      <c r="P15011" s="594"/>
    </row>
    <row r="15012" spans="16:16">
      <c r="P15012" s="594"/>
    </row>
    <row r="15013" spans="16:16">
      <c r="P15013" s="594"/>
    </row>
    <row r="15014" spans="16:16">
      <c r="P15014" s="594"/>
    </row>
    <row r="15015" spans="16:16">
      <c r="P15015" s="594"/>
    </row>
    <row r="15016" spans="16:16">
      <c r="P15016" s="594"/>
    </row>
    <row r="15017" spans="16:16">
      <c r="P15017" s="594"/>
    </row>
    <row r="15018" spans="16:16">
      <c r="P15018" s="594"/>
    </row>
    <row r="15019" spans="16:16">
      <c r="P15019" s="594"/>
    </row>
    <row r="15020" spans="16:16">
      <c r="P15020" s="594"/>
    </row>
    <row r="15021" spans="16:16">
      <c r="P15021" s="594"/>
    </row>
    <row r="15022" spans="16:16">
      <c r="P15022" s="594"/>
    </row>
    <row r="15023" spans="16:16">
      <c r="P15023" s="594"/>
    </row>
    <row r="15024" spans="16:16">
      <c r="P15024" s="594"/>
    </row>
    <row r="15025" spans="16:16">
      <c r="P15025" s="594"/>
    </row>
    <row r="15026" spans="16:16">
      <c r="P15026" s="594"/>
    </row>
    <row r="15027" spans="16:16">
      <c r="P15027" s="594"/>
    </row>
    <row r="15028" spans="16:16">
      <c r="P15028" s="594"/>
    </row>
    <row r="15029" spans="16:16">
      <c r="P15029" s="594"/>
    </row>
    <row r="15030" spans="16:16">
      <c r="P15030" s="594"/>
    </row>
    <row r="15031" spans="16:16">
      <c r="P15031" s="594"/>
    </row>
    <row r="15032" spans="16:16">
      <c r="P15032" s="594"/>
    </row>
    <row r="15033" spans="16:16">
      <c r="P15033" s="594"/>
    </row>
    <row r="15034" spans="16:16">
      <c r="P15034" s="594"/>
    </row>
    <row r="15035" spans="16:16">
      <c r="P15035" s="594"/>
    </row>
    <row r="15036" spans="16:16">
      <c r="P15036" s="594"/>
    </row>
    <row r="15037" spans="16:16">
      <c r="P15037" s="594"/>
    </row>
    <row r="15038" spans="16:16">
      <c r="P15038" s="594"/>
    </row>
    <row r="15039" spans="16:16">
      <c r="P15039" s="594"/>
    </row>
    <row r="15040" spans="16:16">
      <c r="P15040" s="594"/>
    </row>
    <row r="15041" spans="16:16">
      <c r="P15041" s="594"/>
    </row>
    <row r="15042" spans="16:16">
      <c r="P15042" s="594"/>
    </row>
    <row r="15043" spans="16:16">
      <c r="P15043" s="594"/>
    </row>
    <row r="15044" spans="16:16">
      <c r="P15044" s="594"/>
    </row>
    <row r="15045" spans="16:16">
      <c r="P15045" s="594"/>
    </row>
    <row r="15046" spans="16:16">
      <c r="P15046" s="594"/>
    </row>
    <row r="15047" spans="16:16">
      <c r="P15047" s="594"/>
    </row>
    <row r="15048" spans="16:16">
      <c r="P15048" s="594"/>
    </row>
    <row r="15049" spans="16:16">
      <c r="P15049" s="594"/>
    </row>
    <row r="15050" spans="16:16">
      <c r="P15050" s="594"/>
    </row>
    <row r="15051" spans="16:16">
      <c r="P15051" s="594"/>
    </row>
    <row r="15052" spans="16:16">
      <c r="P15052" s="594"/>
    </row>
    <row r="15053" spans="16:16">
      <c r="P15053" s="594"/>
    </row>
    <row r="15054" spans="16:16">
      <c r="P15054" s="594"/>
    </row>
    <row r="15055" spans="16:16">
      <c r="P15055" s="594"/>
    </row>
    <row r="15056" spans="16:16">
      <c r="P15056" s="594"/>
    </row>
    <row r="15057" spans="16:16">
      <c r="P15057" s="594"/>
    </row>
    <row r="15058" spans="16:16">
      <c r="P15058" s="594"/>
    </row>
    <row r="15059" spans="16:16">
      <c r="P15059" s="594"/>
    </row>
    <row r="15060" spans="16:16">
      <c r="P15060" s="594"/>
    </row>
    <row r="15061" spans="16:16">
      <c r="P15061" s="594"/>
    </row>
    <row r="15062" spans="16:16">
      <c r="P15062" s="594"/>
    </row>
    <row r="15063" spans="16:16">
      <c r="P15063" s="594"/>
    </row>
    <row r="15064" spans="16:16">
      <c r="P15064" s="594"/>
    </row>
    <row r="15065" spans="16:16">
      <c r="P15065" s="594"/>
    </row>
    <row r="15066" spans="16:16">
      <c r="P15066" s="594"/>
    </row>
    <row r="15067" spans="16:16">
      <c r="P15067" s="594"/>
    </row>
    <row r="15068" spans="16:16">
      <c r="P15068" s="594"/>
    </row>
    <row r="15069" spans="16:16">
      <c r="P15069" s="594"/>
    </row>
    <row r="15070" spans="16:16">
      <c r="P15070" s="594"/>
    </row>
    <row r="15071" spans="16:16">
      <c r="P15071" s="594"/>
    </row>
    <row r="15072" spans="16:16">
      <c r="P15072" s="594"/>
    </row>
    <row r="15073" spans="16:16">
      <c r="P15073" s="594"/>
    </row>
    <row r="15074" spans="16:16">
      <c r="P15074" s="594"/>
    </row>
    <row r="15075" spans="16:16">
      <c r="P15075" s="594"/>
    </row>
    <row r="15076" spans="16:16">
      <c r="P15076" s="594"/>
    </row>
    <row r="15077" spans="16:16">
      <c r="P15077" s="594"/>
    </row>
    <row r="15078" spans="16:16">
      <c r="P15078" s="594"/>
    </row>
    <row r="15079" spans="16:16">
      <c r="P15079" s="594"/>
    </row>
    <row r="15080" spans="16:16">
      <c r="P15080" s="594"/>
    </row>
    <row r="15081" spans="16:16">
      <c r="P15081" s="594"/>
    </row>
    <row r="15082" spans="16:16">
      <c r="P15082" s="594"/>
    </row>
    <row r="15083" spans="16:16">
      <c r="P15083" s="594"/>
    </row>
    <row r="15084" spans="16:16">
      <c r="P15084" s="594"/>
    </row>
    <row r="15085" spans="16:16">
      <c r="P15085" s="594"/>
    </row>
    <row r="15086" spans="16:16">
      <c r="P15086" s="594"/>
    </row>
    <row r="15087" spans="16:16">
      <c r="P15087" s="594"/>
    </row>
    <row r="15088" spans="16:16">
      <c r="P15088" s="594"/>
    </row>
    <row r="15089" spans="16:16">
      <c r="P15089" s="594"/>
    </row>
    <row r="15090" spans="16:16">
      <c r="P15090" s="594"/>
    </row>
    <row r="15091" spans="16:16">
      <c r="P15091" s="594"/>
    </row>
    <row r="15092" spans="16:16">
      <c r="P15092" s="594"/>
    </row>
    <row r="15093" spans="16:16">
      <c r="P15093" s="594"/>
    </row>
    <row r="15094" spans="16:16">
      <c r="P15094" s="594"/>
    </row>
    <row r="15095" spans="16:16">
      <c r="P15095" s="594"/>
    </row>
    <row r="15096" spans="16:16">
      <c r="P15096" s="594"/>
    </row>
    <row r="15097" spans="16:16">
      <c r="P15097" s="594"/>
    </row>
    <row r="15098" spans="16:16">
      <c r="P15098" s="594"/>
    </row>
    <row r="15099" spans="16:16">
      <c r="P15099" s="594"/>
    </row>
    <row r="15100" spans="16:16">
      <c r="P15100" s="594"/>
    </row>
    <row r="15101" spans="16:16">
      <c r="P15101" s="594"/>
    </row>
    <row r="15102" spans="16:16">
      <c r="P15102" s="594"/>
    </row>
    <row r="15103" spans="16:16">
      <c r="P15103" s="594"/>
    </row>
    <row r="15104" spans="16:16">
      <c r="P15104" s="594"/>
    </row>
    <row r="15105" spans="16:16">
      <c r="P15105" s="594"/>
    </row>
    <row r="15106" spans="16:16">
      <c r="P15106" s="594"/>
    </row>
    <row r="15107" spans="16:16">
      <c r="P15107" s="594"/>
    </row>
    <row r="15108" spans="16:16">
      <c r="P15108" s="594"/>
    </row>
    <row r="15109" spans="16:16">
      <c r="P15109" s="594"/>
    </row>
    <row r="15110" spans="16:16">
      <c r="P15110" s="594"/>
    </row>
    <row r="15111" spans="16:16">
      <c r="P15111" s="594"/>
    </row>
    <row r="15112" spans="16:16">
      <c r="P15112" s="594"/>
    </row>
    <row r="15113" spans="16:16">
      <c r="P15113" s="594"/>
    </row>
    <row r="15114" spans="16:16">
      <c r="P15114" s="594"/>
    </row>
    <row r="15115" spans="16:16">
      <c r="P15115" s="594"/>
    </row>
    <row r="15116" spans="16:16">
      <c r="P15116" s="594"/>
    </row>
    <row r="15117" spans="16:16">
      <c r="P15117" s="594"/>
    </row>
    <row r="15118" spans="16:16">
      <c r="P15118" s="594"/>
    </row>
    <row r="15119" spans="16:16">
      <c r="P15119" s="594"/>
    </row>
    <row r="15120" spans="16:16">
      <c r="P15120" s="594"/>
    </row>
    <row r="15121" spans="16:16">
      <c r="P15121" s="594"/>
    </row>
    <row r="15122" spans="16:16">
      <c r="P15122" s="594"/>
    </row>
    <row r="15123" spans="16:16">
      <c r="P15123" s="594"/>
    </row>
    <row r="15124" spans="16:16">
      <c r="P15124" s="594"/>
    </row>
    <row r="15125" spans="16:16">
      <c r="P15125" s="594"/>
    </row>
    <row r="15126" spans="16:16">
      <c r="P15126" s="594"/>
    </row>
    <row r="15127" spans="16:16">
      <c r="P15127" s="594"/>
    </row>
    <row r="15128" spans="16:16">
      <c r="P15128" s="594"/>
    </row>
    <row r="15129" spans="16:16">
      <c r="P15129" s="594"/>
    </row>
    <row r="15130" spans="16:16">
      <c r="P15130" s="594"/>
    </row>
    <row r="15131" spans="16:16">
      <c r="P15131" s="594"/>
    </row>
    <row r="15132" spans="16:16">
      <c r="P15132" s="594"/>
    </row>
    <row r="15133" spans="16:16">
      <c r="P15133" s="594"/>
    </row>
    <row r="15134" spans="16:16">
      <c r="P15134" s="594"/>
    </row>
    <row r="15135" spans="16:16">
      <c r="P15135" s="594"/>
    </row>
    <row r="15136" spans="16:16">
      <c r="P15136" s="594"/>
    </row>
    <row r="15137" spans="16:16">
      <c r="P15137" s="594"/>
    </row>
    <row r="15138" spans="16:16">
      <c r="P15138" s="594"/>
    </row>
    <row r="15139" spans="16:16">
      <c r="P15139" s="594"/>
    </row>
    <row r="15140" spans="16:16">
      <c r="P15140" s="594"/>
    </row>
    <row r="15141" spans="16:16">
      <c r="P15141" s="594"/>
    </row>
    <row r="15142" spans="16:16">
      <c r="P15142" s="594"/>
    </row>
    <row r="15143" spans="16:16">
      <c r="P15143" s="594"/>
    </row>
    <row r="15144" spans="16:16">
      <c r="P15144" s="594"/>
    </row>
    <row r="15145" spans="16:16">
      <c r="P15145" s="594"/>
    </row>
    <row r="15146" spans="16:16">
      <c r="P15146" s="594"/>
    </row>
    <row r="15147" spans="16:16">
      <c r="P15147" s="594"/>
    </row>
    <row r="15148" spans="16:16">
      <c r="P15148" s="594"/>
    </row>
    <row r="15149" spans="16:16">
      <c r="P15149" s="594"/>
    </row>
    <row r="15150" spans="16:16">
      <c r="P15150" s="594"/>
    </row>
    <row r="15151" spans="16:16">
      <c r="P15151" s="594"/>
    </row>
    <row r="15152" spans="16:16">
      <c r="P15152" s="594"/>
    </row>
    <row r="15153" spans="16:16">
      <c r="P15153" s="594"/>
    </row>
    <row r="15154" spans="16:16">
      <c r="P15154" s="594"/>
    </row>
    <row r="15155" spans="16:16">
      <c r="P15155" s="594"/>
    </row>
    <row r="15156" spans="16:16">
      <c r="P15156" s="594"/>
    </row>
    <row r="15157" spans="16:16">
      <c r="P15157" s="594"/>
    </row>
    <row r="15158" spans="16:16">
      <c r="P15158" s="594"/>
    </row>
    <row r="15159" spans="16:16">
      <c r="P15159" s="594"/>
    </row>
    <row r="15160" spans="16:16">
      <c r="P15160" s="594"/>
    </row>
    <row r="15161" spans="16:16">
      <c r="P15161" s="594"/>
    </row>
    <row r="15162" spans="16:16">
      <c r="P15162" s="594"/>
    </row>
    <row r="15163" spans="16:16">
      <c r="P15163" s="594"/>
    </row>
    <row r="15164" spans="16:16">
      <c r="P15164" s="594"/>
    </row>
    <row r="15165" spans="16:16">
      <c r="P15165" s="594"/>
    </row>
    <row r="15166" spans="16:16">
      <c r="P15166" s="594"/>
    </row>
    <row r="15167" spans="16:16">
      <c r="P15167" s="594"/>
    </row>
    <row r="15168" spans="16:16">
      <c r="P15168" s="594"/>
    </row>
    <row r="15169" spans="16:16">
      <c r="P15169" s="594"/>
    </row>
    <row r="15170" spans="16:16">
      <c r="P15170" s="594"/>
    </row>
    <row r="15171" spans="16:16">
      <c r="P15171" s="594"/>
    </row>
    <row r="15172" spans="16:16">
      <c r="P15172" s="594"/>
    </row>
    <row r="15173" spans="16:16">
      <c r="P15173" s="594"/>
    </row>
    <row r="15174" spans="16:16">
      <c r="P15174" s="594"/>
    </row>
    <row r="15175" spans="16:16">
      <c r="P15175" s="594"/>
    </row>
    <row r="15176" spans="16:16">
      <c r="P15176" s="594"/>
    </row>
    <row r="15177" spans="16:16">
      <c r="P15177" s="594"/>
    </row>
    <row r="15178" spans="16:16">
      <c r="P15178" s="594"/>
    </row>
    <row r="15179" spans="16:16">
      <c r="P15179" s="594"/>
    </row>
    <row r="15180" spans="16:16">
      <c r="P15180" s="594"/>
    </row>
    <row r="15181" spans="16:16">
      <c r="P15181" s="594"/>
    </row>
    <row r="15182" spans="16:16">
      <c r="P15182" s="594"/>
    </row>
    <row r="15183" spans="16:16">
      <c r="P15183" s="594"/>
    </row>
    <row r="15184" spans="16:16">
      <c r="P15184" s="594"/>
    </row>
    <row r="15185" spans="16:16">
      <c r="P15185" s="594"/>
    </row>
    <row r="15186" spans="16:16">
      <c r="P15186" s="594"/>
    </row>
    <row r="15187" spans="16:16">
      <c r="P15187" s="594"/>
    </row>
    <row r="15188" spans="16:16">
      <c r="P15188" s="594"/>
    </row>
    <row r="15189" spans="16:16">
      <c r="P15189" s="594"/>
    </row>
    <row r="15190" spans="16:16">
      <c r="P15190" s="594"/>
    </row>
    <row r="15191" spans="16:16">
      <c r="P15191" s="594"/>
    </row>
    <row r="15192" spans="16:16">
      <c r="P15192" s="594"/>
    </row>
    <row r="15193" spans="16:16">
      <c r="P15193" s="594"/>
    </row>
    <row r="15194" spans="16:16">
      <c r="P15194" s="594"/>
    </row>
    <row r="15195" spans="16:16">
      <c r="P15195" s="594"/>
    </row>
    <row r="15196" spans="16:16">
      <c r="P15196" s="594"/>
    </row>
    <row r="15197" spans="16:16">
      <c r="P15197" s="594"/>
    </row>
    <row r="15198" spans="16:16">
      <c r="P15198" s="594"/>
    </row>
    <row r="15199" spans="16:16">
      <c r="P15199" s="594"/>
    </row>
    <row r="15200" spans="16:16">
      <c r="P15200" s="594"/>
    </row>
    <row r="15201" spans="16:16">
      <c r="P15201" s="594"/>
    </row>
    <row r="15202" spans="16:16">
      <c r="P15202" s="594"/>
    </row>
    <row r="15203" spans="16:16">
      <c r="P15203" s="594"/>
    </row>
    <row r="15204" spans="16:16">
      <c r="P15204" s="594"/>
    </row>
    <row r="15205" spans="16:16">
      <c r="P15205" s="594"/>
    </row>
    <row r="15206" spans="16:16">
      <c r="P15206" s="594"/>
    </row>
    <row r="15207" spans="16:16">
      <c r="P15207" s="594"/>
    </row>
    <row r="15208" spans="16:16">
      <c r="P15208" s="594"/>
    </row>
    <row r="15209" spans="16:16">
      <c r="P15209" s="594"/>
    </row>
    <row r="15210" spans="16:16">
      <c r="P15210" s="594"/>
    </row>
    <row r="15211" spans="16:16">
      <c r="P15211" s="594"/>
    </row>
    <row r="15212" spans="16:16">
      <c r="P15212" s="594"/>
    </row>
    <row r="15213" spans="16:16">
      <c r="P15213" s="594"/>
    </row>
    <row r="15214" spans="16:16">
      <c r="P15214" s="594"/>
    </row>
    <row r="15215" spans="16:16">
      <c r="P15215" s="594"/>
    </row>
    <row r="15216" spans="16:16">
      <c r="P15216" s="594"/>
    </row>
    <row r="15217" spans="16:16">
      <c r="P15217" s="594"/>
    </row>
    <row r="15218" spans="16:16">
      <c r="P15218" s="594"/>
    </row>
    <row r="15219" spans="16:16">
      <c r="P15219" s="594"/>
    </row>
    <row r="15220" spans="16:16">
      <c r="P15220" s="594"/>
    </row>
    <row r="15221" spans="16:16">
      <c r="P15221" s="594"/>
    </row>
    <row r="15222" spans="16:16">
      <c r="P15222" s="594"/>
    </row>
    <row r="15223" spans="16:16">
      <c r="P15223" s="594"/>
    </row>
    <row r="15224" spans="16:16">
      <c r="P15224" s="594"/>
    </row>
    <row r="15225" spans="16:16">
      <c r="P15225" s="594"/>
    </row>
    <row r="15226" spans="16:16">
      <c r="P15226" s="594"/>
    </row>
    <row r="15227" spans="16:16">
      <c r="P15227" s="594"/>
    </row>
    <row r="15228" spans="16:16">
      <c r="P15228" s="594"/>
    </row>
    <row r="15229" spans="16:16">
      <c r="P15229" s="594"/>
    </row>
    <row r="15230" spans="16:16">
      <c r="P15230" s="594"/>
    </row>
    <row r="15231" spans="16:16">
      <c r="P15231" s="594"/>
    </row>
    <row r="15232" spans="16:16">
      <c r="P15232" s="594"/>
    </row>
    <row r="15233" spans="16:16">
      <c r="P15233" s="594"/>
    </row>
    <row r="15234" spans="16:16">
      <c r="P15234" s="594"/>
    </row>
    <row r="15235" spans="16:16">
      <c r="P15235" s="594"/>
    </row>
    <row r="15236" spans="16:16">
      <c r="P15236" s="594"/>
    </row>
    <row r="15237" spans="16:16">
      <c r="P15237" s="594"/>
    </row>
    <row r="15238" spans="16:16">
      <c r="P15238" s="594"/>
    </row>
    <row r="15239" spans="16:16">
      <c r="P15239" s="594"/>
    </row>
    <row r="15240" spans="16:16">
      <c r="P15240" s="594"/>
    </row>
    <row r="15241" spans="16:16">
      <c r="P15241" s="594"/>
    </row>
    <row r="15242" spans="16:16">
      <c r="P15242" s="594"/>
    </row>
    <row r="15243" spans="16:16">
      <c r="P15243" s="594"/>
    </row>
    <row r="15244" spans="16:16">
      <c r="P15244" s="594"/>
    </row>
    <row r="15245" spans="16:16">
      <c r="P15245" s="594"/>
    </row>
    <row r="15246" spans="16:16">
      <c r="P15246" s="594"/>
    </row>
    <row r="15247" spans="16:16">
      <c r="P15247" s="594"/>
    </row>
    <row r="15248" spans="16:16">
      <c r="P15248" s="594"/>
    </row>
    <row r="15249" spans="16:16">
      <c r="P15249" s="594"/>
    </row>
    <row r="15250" spans="16:16">
      <c r="P15250" s="594"/>
    </row>
    <row r="15251" spans="16:16">
      <c r="P15251" s="594"/>
    </row>
    <row r="15252" spans="16:16">
      <c r="P15252" s="594"/>
    </row>
    <row r="15253" spans="16:16">
      <c r="P15253" s="594"/>
    </row>
    <row r="15254" spans="16:16">
      <c r="P15254" s="594"/>
    </row>
    <row r="15255" spans="16:16">
      <c r="P15255" s="594"/>
    </row>
    <row r="15256" spans="16:16">
      <c r="P15256" s="594"/>
    </row>
    <row r="15257" spans="16:16">
      <c r="P15257" s="594"/>
    </row>
    <row r="15258" spans="16:16">
      <c r="P15258" s="594"/>
    </row>
    <row r="15259" spans="16:16">
      <c r="P15259" s="594"/>
    </row>
    <row r="15260" spans="16:16">
      <c r="P15260" s="594"/>
    </row>
    <row r="15261" spans="16:16">
      <c r="P15261" s="594"/>
    </row>
    <row r="15262" spans="16:16">
      <c r="P15262" s="594"/>
    </row>
    <row r="15263" spans="16:16">
      <c r="P15263" s="594"/>
    </row>
    <row r="15264" spans="16:16">
      <c r="P15264" s="594"/>
    </row>
    <row r="15265" spans="16:16">
      <c r="P15265" s="594"/>
    </row>
    <row r="15266" spans="16:16">
      <c r="P15266" s="594"/>
    </row>
    <row r="15267" spans="16:16">
      <c r="P15267" s="594"/>
    </row>
    <row r="15268" spans="16:16">
      <c r="P15268" s="594"/>
    </row>
    <row r="15269" spans="16:16">
      <c r="P15269" s="594"/>
    </row>
    <row r="15270" spans="16:16">
      <c r="P15270" s="594"/>
    </row>
    <row r="15271" spans="16:16">
      <c r="P15271" s="594"/>
    </row>
    <row r="15272" spans="16:16">
      <c r="P15272" s="594"/>
    </row>
    <row r="15273" spans="16:16">
      <c r="P15273" s="594"/>
    </row>
    <row r="15274" spans="16:16">
      <c r="P15274" s="594"/>
    </row>
    <row r="15275" spans="16:16">
      <c r="P15275" s="594"/>
    </row>
    <row r="15276" spans="16:16">
      <c r="P15276" s="594"/>
    </row>
    <row r="15277" spans="16:16">
      <c r="P15277" s="594"/>
    </row>
    <row r="15278" spans="16:16">
      <c r="P15278" s="594"/>
    </row>
    <row r="15279" spans="16:16">
      <c r="P15279" s="594"/>
    </row>
    <row r="15280" spans="16:16">
      <c r="P15280" s="594"/>
    </row>
    <row r="15281" spans="16:16">
      <c r="P15281" s="594"/>
    </row>
    <row r="15282" spans="16:16">
      <c r="P15282" s="594"/>
    </row>
    <row r="15283" spans="16:16">
      <c r="P15283" s="594"/>
    </row>
    <row r="15284" spans="16:16">
      <c r="P15284" s="594"/>
    </row>
    <row r="15285" spans="16:16">
      <c r="P15285" s="594"/>
    </row>
    <row r="15286" spans="16:16">
      <c r="P15286" s="594"/>
    </row>
    <row r="15287" spans="16:16">
      <c r="P15287" s="594"/>
    </row>
    <row r="15288" spans="16:16">
      <c r="P15288" s="594"/>
    </row>
    <row r="15289" spans="16:16">
      <c r="P15289" s="594"/>
    </row>
    <row r="15290" spans="16:16">
      <c r="P15290" s="594"/>
    </row>
    <row r="15291" spans="16:16">
      <c r="P15291" s="594"/>
    </row>
    <row r="15292" spans="16:16">
      <c r="P15292" s="594"/>
    </row>
    <row r="15293" spans="16:16">
      <c r="P15293" s="594"/>
    </row>
    <row r="15294" spans="16:16">
      <c r="P15294" s="594"/>
    </row>
    <row r="15295" spans="16:16">
      <c r="P15295" s="594"/>
    </row>
    <row r="15296" spans="16:16">
      <c r="P15296" s="594"/>
    </row>
    <row r="15297" spans="16:16">
      <c r="P15297" s="594"/>
    </row>
    <row r="15298" spans="16:16">
      <c r="P15298" s="594"/>
    </row>
    <row r="15299" spans="16:16">
      <c r="P15299" s="594"/>
    </row>
    <row r="15300" spans="16:16">
      <c r="P15300" s="594"/>
    </row>
    <row r="15301" spans="16:16">
      <c r="P15301" s="594"/>
    </row>
    <row r="15302" spans="16:16">
      <c r="P15302" s="594"/>
    </row>
    <row r="15303" spans="16:16">
      <c r="P15303" s="594"/>
    </row>
    <row r="15304" spans="16:16">
      <c r="P15304" s="594"/>
    </row>
    <row r="15305" spans="16:16">
      <c r="P15305" s="594"/>
    </row>
    <row r="15306" spans="16:16">
      <c r="P15306" s="594"/>
    </row>
    <row r="15307" spans="16:16">
      <c r="P15307" s="594"/>
    </row>
    <row r="15308" spans="16:16">
      <c r="P15308" s="594"/>
    </row>
    <row r="15309" spans="16:16">
      <c r="P15309" s="594"/>
    </row>
    <row r="15310" spans="16:16">
      <c r="P15310" s="594"/>
    </row>
    <row r="15311" spans="16:16">
      <c r="P15311" s="594"/>
    </row>
    <row r="15312" spans="16:16">
      <c r="P15312" s="594"/>
    </row>
    <row r="15313" spans="16:16">
      <c r="P15313" s="594"/>
    </row>
    <row r="15314" spans="16:16">
      <c r="P15314" s="594"/>
    </row>
    <row r="15315" spans="16:16">
      <c r="P15315" s="594"/>
    </row>
    <row r="15316" spans="16:16">
      <c r="P15316" s="594"/>
    </row>
    <row r="15317" spans="16:16">
      <c r="P15317" s="594"/>
    </row>
    <row r="15318" spans="16:16">
      <c r="P15318" s="594"/>
    </row>
    <row r="15319" spans="16:16">
      <c r="P15319" s="594"/>
    </row>
    <row r="15320" spans="16:16">
      <c r="P15320" s="594"/>
    </row>
    <row r="15321" spans="16:16">
      <c r="P15321" s="594"/>
    </row>
    <row r="15322" spans="16:16">
      <c r="P15322" s="594"/>
    </row>
    <row r="15323" spans="16:16">
      <c r="P15323" s="594"/>
    </row>
    <row r="15324" spans="16:16">
      <c r="P15324" s="594"/>
    </row>
    <row r="15325" spans="16:16">
      <c r="P15325" s="594"/>
    </row>
    <row r="15326" spans="16:16">
      <c r="P15326" s="594"/>
    </row>
    <row r="15327" spans="16:16">
      <c r="P15327" s="594"/>
    </row>
    <row r="15328" spans="16:16">
      <c r="P15328" s="594"/>
    </row>
    <row r="15329" spans="16:16">
      <c r="P15329" s="594"/>
    </row>
    <row r="15330" spans="16:16">
      <c r="P15330" s="594"/>
    </row>
    <row r="15331" spans="16:16">
      <c r="P15331" s="594"/>
    </row>
    <row r="15332" spans="16:16">
      <c r="P15332" s="594"/>
    </row>
    <row r="15333" spans="16:16">
      <c r="P15333" s="594"/>
    </row>
    <row r="15334" spans="16:16">
      <c r="P15334" s="594"/>
    </row>
    <row r="15335" spans="16:16">
      <c r="P15335" s="594"/>
    </row>
    <row r="15336" spans="16:16">
      <c r="P15336" s="594"/>
    </row>
    <row r="15337" spans="16:16">
      <c r="P15337" s="594"/>
    </row>
    <row r="15338" spans="16:16">
      <c r="P15338" s="594"/>
    </row>
    <row r="15339" spans="16:16">
      <c r="P15339" s="594"/>
    </row>
    <row r="15340" spans="16:16">
      <c r="P15340" s="594"/>
    </row>
    <row r="15341" spans="16:16">
      <c r="P15341" s="594"/>
    </row>
    <row r="15342" spans="16:16">
      <c r="P15342" s="594"/>
    </row>
    <row r="15343" spans="16:16">
      <c r="P15343" s="594"/>
    </row>
    <row r="15344" spans="16:16">
      <c r="P15344" s="594"/>
    </row>
    <row r="15345" spans="16:16">
      <c r="P15345" s="594"/>
    </row>
    <row r="15346" spans="16:16">
      <c r="P15346" s="594"/>
    </row>
    <row r="15347" spans="16:16">
      <c r="P15347" s="594"/>
    </row>
    <row r="15348" spans="16:16">
      <c r="P15348" s="594"/>
    </row>
    <row r="15349" spans="16:16">
      <c r="P15349" s="594"/>
    </row>
    <row r="15350" spans="16:16">
      <c r="P15350" s="594"/>
    </row>
    <row r="15351" spans="16:16">
      <c r="P15351" s="594"/>
    </row>
    <row r="15352" spans="16:16">
      <c r="P15352" s="594"/>
    </row>
    <row r="15353" spans="16:16">
      <c r="P15353" s="594"/>
    </row>
    <row r="15354" spans="16:16">
      <c r="P15354" s="594"/>
    </row>
    <row r="15355" spans="16:16">
      <c r="P15355" s="594"/>
    </row>
    <row r="15356" spans="16:16">
      <c r="P15356" s="594"/>
    </row>
    <row r="15357" spans="16:16">
      <c r="P15357" s="594"/>
    </row>
    <row r="15358" spans="16:16">
      <c r="P15358" s="594"/>
    </row>
    <row r="15359" spans="16:16">
      <c r="P15359" s="594"/>
    </row>
    <row r="15360" spans="16:16">
      <c r="P15360" s="594"/>
    </row>
    <row r="15361" spans="16:16">
      <c r="P15361" s="594"/>
    </row>
    <row r="15362" spans="16:16">
      <c r="P15362" s="594"/>
    </row>
    <row r="15363" spans="16:16">
      <c r="P15363" s="594"/>
    </row>
    <row r="15364" spans="16:16">
      <c r="P15364" s="594"/>
    </row>
    <row r="15365" spans="16:16">
      <c r="P15365" s="594"/>
    </row>
    <row r="15366" spans="16:16">
      <c r="P15366" s="594"/>
    </row>
    <row r="15367" spans="16:16">
      <c r="P15367" s="594"/>
    </row>
    <row r="15368" spans="16:16">
      <c r="P15368" s="594"/>
    </row>
    <row r="15369" spans="16:16">
      <c r="P15369" s="594"/>
    </row>
    <row r="15370" spans="16:16">
      <c r="P15370" s="594"/>
    </row>
    <row r="15371" spans="16:16">
      <c r="P15371" s="594"/>
    </row>
    <row r="15372" spans="16:16">
      <c r="P15372" s="594"/>
    </row>
    <row r="15373" spans="16:16">
      <c r="P15373" s="594"/>
    </row>
    <row r="15374" spans="16:16">
      <c r="P15374" s="594"/>
    </row>
    <row r="15375" spans="16:16">
      <c r="P15375" s="594"/>
    </row>
    <row r="15376" spans="16:16">
      <c r="P15376" s="594"/>
    </row>
    <row r="15377" spans="16:16">
      <c r="P15377" s="594"/>
    </row>
    <row r="15378" spans="16:16">
      <c r="P15378" s="594"/>
    </row>
    <row r="15379" spans="16:16">
      <c r="P15379" s="594"/>
    </row>
    <row r="15380" spans="16:16">
      <c r="P15380" s="594"/>
    </row>
    <row r="15381" spans="16:16">
      <c r="P15381" s="594"/>
    </row>
    <row r="15382" spans="16:16">
      <c r="P15382" s="594"/>
    </row>
    <row r="15383" spans="16:16">
      <c r="P15383" s="594"/>
    </row>
    <row r="15384" spans="16:16">
      <c r="P15384" s="594"/>
    </row>
    <row r="15385" spans="16:16">
      <c r="P15385" s="594"/>
    </row>
    <row r="15386" spans="16:16">
      <c r="P15386" s="594"/>
    </row>
    <row r="15387" spans="16:16">
      <c r="P15387" s="594"/>
    </row>
    <row r="15388" spans="16:16">
      <c r="P15388" s="594"/>
    </row>
    <row r="15389" spans="16:16">
      <c r="P15389" s="594"/>
    </row>
    <row r="15390" spans="16:16">
      <c r="P15390" s="594"/>
    </row>
    <row r="15391" spans="16:16">
      <c r="P15391" s="594"/>
    </row>
    <row r="15392" spans="16:16">
      <c r="P15392" s="594"/>
    </row>
    <row r="15393" spans="16:16">
      <c r="P15393" s="594"/>
    </row>
    <row r="15394" spans="16:16">
      <c r="P15394" s="594"/>
    </row>
    <row r="15395" spans="16:16">
      <c r="P15395" s="594"/>
    </row>
    <row r="15396" spans="16:16">
      <c r="P15396" s="594"/>
    </row>
    <row r="15397" spans="16:16">
      <c r="P15397" s="594"/>
    </row>
    <row r="15398" spans="16:16">
      <c r="P15398" s="594"/>
    </row>
    <row r="15399" spans="16:16">
      <c r="P15399" s="594"/>
    </row>
    <row r="15400" spans="16:16">
      <c r="P15400" s="594"/>
    </row>
    <row r="15401" spans="16:16">
      <c r="P15401" s="594"/>
    </row>
    <row r="15402" spans="16:16">
      <c r="P15402" s="594"/>
    </row>
    <row r="15403" spans="16:16">
      <c r="P15403" s="594"/>
    </row>
    <row r="15404" spans="16:16">
      <c r="P15404" s="594"/>
    </row>
    <row r="15405" spans="16:16">
      <c r="P15405" s="594"/>
    </row>
    <row r="15406" spans="16:16">
      <c r="P15406" s="594"/>
    </row>
    <row r="15407" spans="16:16">
      <c r="P15407" s="594"/>
    </row>
    <row r="15408" spans="16:16">
      <c r="P15408" s="594"/>
    </row>
    <row r="15409" spans="16:16">
      <c r="P15409" s="594"/>
    </row>
    <row r="15410" spans="16:16">
      <c r="P15410" s="594"/>
    </row>
    <row r="15411" spans="16:16">
      <c r="P15411" s="594"/>
    </row>
    <row r="15412" spans="16:16">
      <c r="P15412" s="594"/>
    </row>
    <row r="15413" spans="16:16">
      <c r="P15413" s="594"/>
    </row>
    <row r="15414" spans="16:16">
      <c r="P15414" s="594"/>
    </row>
    <row r="15415" spans="16:16">
      <c r="P15415" s="594"/>
    </row>
    <row r="15416" spans="16:16">
      <c r="P15416" s="594"/>
    </row>
    <row r="15417" spans="16:16">
      <c r="P15417" s="594"/>
    </row>
    <row r="15418" spans="16:16">
      <c r="P15418" s="594"/>
    </row>
    <row r="15419" spans="16:16">
      <c r="P15419" s="594"/>
    </row>
    <row r="15420" spans="16:16">
      <c r="P15420" s="594"/>
    </row>
    <row r="15421" spans="16:16">
      <c r="P15421" s="594"/>
    </row>
    <row r="15422" spans="16:16">
      <c r="P15422" s="594"/>
    </row>
    <row r="15423" spans="16:16">
      <c r="P15423" s="594"/>
    </row>
    <row r="15424" spans="16:16">
      <c r="P15424" s="594"/>
    </row>
    <row r="15425" spans="16:16">
      <c r="P15425" s="594"/>
    </row>
    <row r="15426" spans="16:16">
      <c r="P15426" s="594"/>
    </row>
    <row r="15427" spans="16:16">
      <c r="P15427" s="594"/>
    </row>
    <row r="15428" spans="16:16">
      <c r="P15428" s="594"/>
    </row>
    <row r="15429" spans="16:16">
      <c r="P15429" s="594"/>
    </row>
    <row r="15430" spans="16:16">
      <c r="P15430" s="594"/>
    </row>
    <row r="15431" spans="16:16">
      <c r="P15431" s="594"/>
    </row>
    <row r="15432" spans="16:16">
      <c r="P15432" s="594"/>
    </row>
    <row r="15433" spans="16:16">
      <c r="P15433" s="594"/>
    </row>
    <row r="15434" spans="16:16">
      <c r="P15434" s="594"/>
    </row>
    <row r="15435" spans="16:16">
      <c r="P15435" s="594"/>
    </row>
    <row r="15436" spans="16:16">
      <c r="P15436" s="594"/>
    </row>
    <row r="15437" spans="16:16">
      <c r="P15437" s="594"/>
    </row>
    <row r="15438" spans="16:16">
      <c r="P15438" s="594"/>
    </row>
    <row r="15439" spans="16:16">
      <c r="P15439" s="594"/>
    </row>
    <row r="15440" spans="16:16">
      <c r="P15440" s="594"/>
    </row>
    <row r="15441" spans="16:16">
      <c r="P15441" s="594"/>
    </row>
    <row r="15442" spans="16:16">
      <c r="P15442" s="594"/>
    </row>
    <row r="15443" spans="16:16">
      <c r="P15443" s="594"/>
    </row>
    <row r="15444" spans="16:16">
      <c r="P15444" s="594"/>
    </row>
    <row r="15445" spans="16:16">
      <c r="P15445" s="594"/>
    </row>
    <row r="15446" spans="16:16">
      <c r="P15446" s="594"/>
    </row>
    <row r="15447" spans="16:16">
      <c r="P15447" s="594"/>
    </row>
    <row r="15448" spans="16:16">
      <c r="P15448" s="594"/>
    </row>
    <row r="15449" spans="16:16">
      <c r="P15449" s="594"/>
    </row>
    <row r="15450" spans="16:16">
      <c r="P15450" s="594"/>
    </row>
    <row r="15451" spans="16:16">
      <c r="P15451" s="594"/>
    </row>
    <row r="15452" spans="16:16">
      <c r="P15452" s="594"/>
    </row>
    <row r="15453" spans="16:16">
      <c r="P15453" s="594"/>
    </row>
    <row r="15454" spans="16:16">
      <c r="P15454" s="594"/>
    </row>
    <row r="15455" spans="16:16">
      <c r="P15455" s="594"/>
    </row>
    <row r="15456" spans="16:16">
      <c r="P15456" s="594"/>
    </row>
    <row r="15457" spans="16:16">
      <c r="P15457" s="594"/>
    </row>
    <row r="15458" spans="16:16">
      <c r="P15458" s="594"/>
    </row>
    <row r="15459" spans="16:16">
      <c r="P15459" s="594"/>
    </row>
    <row r="15460" spans="16:16">
      <c r="P15460" s="594"/>
    </row>
    <row r="15461" spans="16:16">
      <c r="P15461" s="594"/>
    </row>
    <row r="15462" spans="16:16">
      <c r="P15462" s="594"/>
    </row>
    <row r="15463" spans="16:16">
      <c r="P15463" s="594"/>
    </row>
    <row r="15464" spans="16:16">
      <c r="P15464" s="594"/>
    </row>
    <row r="15465" spans="16:16">
      <c r="P15465" s="594"/>
    </row>
    <row r="15466" spans="16:16">
      <c r="P15466" s="594"/>
    </row>
    <row r="15467" spans="16:16">
      <c r="P15467" s="594"/>
    </row>
    <row r="15468" spans="16:16">
      <c r="P15468" s="594"/>
    </row>
    <row r="15469" spans="16:16">
      <c r="P15469" s="594"/>
    </row>
    <row r="15470" spans="16:16">
      <c r="P15470" s="594"/>
    </row>
    <row r="15471" spans="16:16">
      <c r="P15471" s="594"/>
    </row>
    <row r="15472" spans="16:16">
      <c r="P15472" s="594"/>
    </row>
    <row r="15473" spans="16:16">
      <c r="P15473" s="594"/>
    </row>
    <row r="15474" spans="16:16">
      <c r="P15474" s="594"/>
    </row>
    <row r="15475" spans="16:16">
      <c r="P15475" s="594"/>
    </row>
    <row r="15476" spans="16:16">
      <c r="P15476" s="594"/>
    </row>
    <row r="15477" spans="16:16">
      <c r="P15477" s="594"/>
    </row>
    <row r="15478" spans="16:16">
      <c r="P15478" s="594"/>
    </row>
    <row r="15479" spans="16:16">
      <c r="P15479" s="594"/>
    </row>
    <row r="15480" spans="16:16">
      <c r="P15480" s="594"/>
    </row>
    <row r="15481" spans="16:16">
      <c r="P15481" s="594"/>
    </row>
    <row r="15482" spans="16:16">
      <c r="P15482" s="594"/>
    </row>
    <row r="15483" spans="16:16">
      <c r="P15483" s="594"/>
    </row>
    <row r="15484" spans="16:16">
      <c r="P15484" s="594"/>
    </row>
    <row r="15485" spans="16:16">
      <c r="P15485" s="594"/>
    </row>
    <row r="15486" spans="16:16">
      <c r="P15486" s="594"/>
    </row>
    <row r="15487" spans="16:16">
      <c r="P15487" s="594"/>
    </row>
    <row r="15488" spans="16:16">
      <c r="P15488" s="594"/>
    </row>
    <row r="15489" spans="16:16">
      <c r="P15489" s="594"/>
    </row>
    <row r="15490" spans="16:16">
      <c r="P15490" s="594"/>
    </row>
    <row r="15491" spans="16:16">
      <c r="P15491" s="594"/>
    </row>
    <row r="15492" spans="16:16">
      <c r="P15492" s="594"/>
    </row>
    <row r="15493" spans="16:16">
      <c r="P15493" s="594"/>
    </row>
    <row r="15494" spans="16:16">
      <c r="P15494" s="594"/>
    </row>
    <row r="15495" spans="16:16">
      <c r="P15495" s="594"/>
    </row>
    <row r="15496" spans="16:16">
      <c r="P15496" s="594"/>
    </row>
    <row r="15497" spans="16:16">
      <c r="P15497" s="594"/>
    </row>
    <row r="15498" spans="16:16">
      <c r="P15498" s="594"/>
    </row>
    <row r="15499" spans="16:16">
      <c r="P15499" s="594"/>
    </row>
    <row r="15500" spans="16:16">
      <c r="P15500" s="594"/>
    </row>
    <row r="15501" spans="16:16">
      <c r="P15501" s="594"/>
    </row>
    <row r="15502" spans="16:16">
      <c r="P15502" s="594"/>
    </row>
    <row r="15503" spans="16:16">
      <c r="P15503" s="594"/>
    </row>
    <row r="15504" spans="16:16">
      <c r="P15504" s="594"/>
    </row>
    <row r="15505" spans="16:16">
      <c r="P15505" s="594"/>
    </row>
    <row r="15506" spans="16:16">
      <c r="P15506" s="594"/>
    </row>
    <row r="15507" spans="16:16">
      <c r="P15507" s="594"/>
    </row>
    <row r="15508" spans="16:16">
      <c r="P15508" s="594"/>
    </row>
    <row r="15509" spans="16:16">
      <c r="P15509" s="594"/>
    </row>
    <row r="15510" spans="16:16">
      <c r="P15510" s="594"/>
    </row>
    <row r="15511" spans="16:16">
      <c r="P15511" s="594"/>
    </row>
    <row r="15512" spans="16:16">
      <c r="P15512" s="594"/>
    </row>
    <row r="15513" spans="16:16">
      <c r="P15513" s="594"/>
    </row>
    <row r="15514" spans="16:16">
      <c r="P15514" s="594"/>
    </row>
    <row r="15515" spans="16:16">
      <c r="P15515" s="594"/>
    </row>
    <row r="15516" spans="16:16">
      <c r="P15516" s="594"/>
    </row>
    <row r="15517" spans="16:16">
      <c r="P15517" s="594"/>
    </row>
    <row r="15518" spans="16:16">
      <c r="P15518" s="594"/>
    </row>
    <row r="15519" spans="16:16">
      <c r="P15519" s="594"/>
    </row>
    <row r="15520" spans="16:16">
      <c r="P15520" s="594"/>
    </row>
    <row r="15521" spans="16:16">
      <c r="P15521" s="594"/>
    </row>
    <row r="15522" spans="16:16">
      <c r="P15522" s="594"/>
    </row>
    <row r="15523" spans="16:16">
      <c r="P15523" s="594"/>
    </row>
    <row r="15524" spans="16:16">
      <c r="P15524" s="594"/>
    </row>
    <row r="15525" spans="16:16">
      <c r="P15525" s="594"/>
    </row>
    <row r="15526" spans="16:16">
      <c r="P15526" s="594"/>
    </row>
    <row r="15527" spans="16:16">
      <c r="P15527" s="594"/>
    </row>
    <row r="15528" spans="16:16">
      <c r="P15528" s="594"/>
    </row>
    <row r="15529" spans="16:16">
      <c r="P15529" s="594"/>
    </row>
    <row r="15530" spans="16:16">
      <c r="P15530" s="594"/>
    </row>
    <row r="15531" spans="16:16">
      <c r="P15531" s="594"/>
    </row>
    <row r="15532" spans="16:16">
      <c r="P15532" s="594"/>
    </row>
    <row r="15533" spans="16:16">
      <c r="P15533" s="594"/>
    </row>
    <row r="15534" spans="16:16">
      <c r="P15534" s="594"/>
    </row>
    <row r="15535" spans="16:16">
      <c r="P15535" s="594"/>
    </row>
    <row r="15536" spans="16:16">
      <c r="P15536" s="594"/>
    </row>
    <row r="15537" spans="16:16">
      <c r="P15537" s="594"/>
    </row>
    <row r="15538" spans="16:16">
      <c r="P15538" s="594"/>
    </row>
    <row r="15539" spans="16:16">
      <c r="P15539" s="594"/>
    </row>
    <row r="15540" spans="16:16">
      <c r="P15540" s="594"/>
    </row>
    <row r="15541" spans="16:16">
      <c r="P15541" s="594"/>
    </row>
    <row r="15542" spans="16:16">
      <c r="P15542" s="594"/>
    </row>
    <row r="15543" spans="16:16">
      <c r="P15543" s="594"/>
    </row>
    <row r="15544" spans="16:16">
      <c r="P15544" s="594"/>
    </row>
    <row r="15545" spans="16:16">
      <c r="P15545" s="594"/>
    </row>
    <row r="15546" spans="16:16">
      <c r="P15546" s="594"/>
    </row>
    <row r="15547" spans="16:16">
      <c r="P15547" s="594"/>
    </row>
    <row r="15548" spans="16:16">
      <c r="P15548" s="594"/>
    </row>
    <row r="15549" spans="16:16">
      <c r="P15549" s="594"/>
    </row>
    <row r="15550" spans="16:16">
      <c r="P15550" s="594"/>
    </row>
    <row r="15551" spans="16:16">
      <c r="P15551" s="594"/>
    </row>
    <row r="15552" spans="16:16">
      <c r="P15552" s="594"/>
    </row>
    <row r="15553" spans="16:16">
      <c r="P15553" s="594"/>
    </row>
    <row r="15554" spans="16:16">
      <c r="P15554" s="594"/>
    </row>
    <row r="15555" spans="16:16">
      <c r="P15555" s="594"/>
    </row>
    <row r="15556" spans="16:16">
      <c r="P15556" s="594"/>
    </row>
    <row r="15557" spans="16:16">
      <c r="P15557" s="594"/>
    </row>
    <row r="15558" spans="16:16">
      <c r="P15558" s="594"/>
    </row>
    <row r="15559" spans="16:16">
      <c r="P15559" s="594"/>
    </row>
    <row r="15560" spans="16:16">
      <c r="P15560" s="594"/>
    </row>
    <row r="15561" spans="16:16">
      <c r="P15561" s="594"/>
    </row>
    <row r="15562" spans="16:16">
      <c r="P15562" s="594"/>
    </row>
    <row r="15563" spans="16:16">
      <c r="P15563" s="594"/>
    </row>
    <row r="15564" spans="16:16">
      <c r="P15564" s="594"/>
    </row>
    <row r="15565" spans="16:16">
      <c r="P15565" s="594"/>
    </row>
    <row r="15566" spans="16:16">
      <c r="P15566" s="594"/>
    </row>
    <row r="15567" spans="16:16">
      <c r="P15567" s="594"/>
    </row>
    <row r="15568" spans="16:16">
      <c r="P15568" s="594"/>
    </row>
    <row r="15569" spans="16:16">
      <c r="P15569" s="594"/>
    </row>
    <row r="15570" spans="16:16">
      <c r="P15570" s="594"/>
    </row>
    <row r="15571" spans="16:16">
      <c r="P15571" s="594"/>
    </row>
    <row r="15572" spans="16:16">
      <c r="P15572" s="594"/>
    </row>
    <row r="15573" spans="16:16">
      <c r="P15573" s="594"/>
    </row>
    <row r="15574" spans="16:16">
      <c r="P15574" s="594"/>
    </row>
    <row r="15575" spans="16:16">
      <c r="P15575" s="594"/>
    </row>
    <row r="15576" spans="16:16">
      <c r="P15576" s="594"/>
    </row>
    <row r="15577" spans="16:16">
      <c r="P15577" s="594"/>
    </row>
    <row r="15578" spans="16:16">
      <c r="P15578" s="594"/>
    </row>
    <row r="15579" spans="16:16">
      <c r="P15579" s="594"/>
    </row>
    <row r="15580" spans="16:16">
      <c r="P15580" s="594"/>
    </row>
    <row r="15581" spans="16:16">
      <c r="P15581" s="594"/>
    </row>
    <row r="15582" spans="16:16">
      <c r="P15582" s="594"/>
    </row>
    <row r="15583" spans="16:16">
      <c r="P15583" s="594"/>
    </row>
    <row r="15584" spans="16:16">
      <c r="P15584" s="594"/>
    </row>
    <row r="15585" spans="16:16">
      <c r="P15585" s="594"/>
    </row>
    <row r="15586" spans="16:16">
      <c r="P15586" s="594"/>
    </row>
    <row r="15587" spans="16:16">
      <c r="P15587" s="594"/>
    </row>
    <row r="15588" spans="16:16">
      <c r="P15588" s="594"/>
    </row>
    <row r="15589" spans="16:16">
      <c r="P15589" s="594"/>
    </row>
    <row r="15590" spans="16:16">
      <c r="P15590" s="594"/>
    </row>
    <row r="15591" spans="16:16">
      <c r="P15591" s="594"/>
    </row>
    <row r="15592" spans="16:16">
      <c r="P15592" s="594"/>
    </row>
    <row r="15593" spans="16:16">
      <c r="P15593" s="594"/>
    </row>
    <row r="15594" spans="16:16">
      <c r="P15594" s="594"/>
    </row>
    <row r="15595" spans="16:16">
      <c r="P15595" s="594"/>
    </row>
    <row r="15596" spans="16:16">
      <c r="P15596" s="594"/>
    </row>
    <row r="15597" spans="16:16">
      <c r="P15597" s="594"/>
    </row>
    <row r="15598" spans="16:16">
      <c r="P15598" s="594"/>
    </row>
    <row r="15599" spans="16:16">
      <c r="P15599" s="594"/>
    </row>
    <row r="15600" spans="16:16">
      <c r="P15600" s="594"/>
    </row>
    <row r="15601" spans="16:16">
      <c r="P15601" s="594"/>
    </row>
    <row r="15602" spans="16:16">
      <c r="P15602" s="594"/>
    </row>
    <row r="15603" spans="16:16">
      <c r="P15603" s="594"/>
    </row>
    <row r="15604" spans="16:16">
      <c r="P15604" s="594"/>
    </row>
    <row r="15605" spans="16:16">
      <c r="P15605" s="594"/>
    </row>
    <row r="15606" spans="16:16">
      <c r="P15606" s="594"/>
    </row>
    <row r="15607" spans="16:16">
      <c r="P15607" s="594"/>
    </row>
    <row r="15608" spans="16:16">
      <c r="P15608" s="594"/>
    </row>
    <row r="15609" spans="16:16">
      <c r="P15609" s="594"/>
    </row>
    <row r="15610" spans="16:16">
      <c r="P15610" s="594"/>
    </row>
    <row r="15611" spans="16:16">
      <c r="P15611" s="594"/>
    </row>
    <row r="15612" spans="16:16">
      <c r="P15612" s="594"/>
    </row>
    <row r="15613" spans="16:16">
      <c r="P15613" s="594"/>
    </row>
    <row r="15614" spans="16:16">
      <c r="P15614" s="594"/>
    </row>
    <row r="15615" spans="16:16">
      <c r="P15615" s="594"/>
    </row>
    <row r="15616" spans="16:16">
      <c r="P15616" s="594"/>
    </row>
    <row r="15617" spans="16:16">
      <c r="P15617" s="594"/>
    </row>
    <row r="15618" spans="16:16">
      <c r="P15618" s="594"/>
    </row>
    <row r="15619" spans="16:16">
      <c r="P15619" s="594"/>
    </row>
    <row r="15620" spans="16:16">
      <c r="P15620" s="594"/>
    </row>
    <row r="15621" spans="16:16">
      <c r="P15621" s="594"/>
    </row>
    <row r="15622" spans="16:16">
      <c r="P15622" s="594"/>
    </row>
    <row r="15623" spans="16:16">
      <c r="P15623" s="594"/>
    </row>
    <row r="15624" spans="16:16">
      <c r="P15624" s="594"/>
    </row>
    <row r="15625" spans="16:16">
      <c r="P15625" s="594"/>
    </row>
    <row r="15626" spans="16:16">
      <c r="P15626" s="594"/>
    </row>
    <row r="15627" spans="16:16">
      <c r="P15627" s="594"/>
    </row>
    <row r="15628" spans="16:16">
      <c r="P15628" s="594"/>
    </row>
    <row r="15629" spans="16:16">
      <c r="P15629" s="594"/>
    </row>
    <row r="15630" spans="16:16">
      <c r="P15630" s="594"/>
    </row>
    <row r="15631" spans="16:16">
      <c r="P15631" s="594"/>
    </row>
    <row r="15632" spans="16:16">
      <c r="P15632" s="594"/>
    </row>
    <row r="15633" spans="16:16">
      <c r="P15633" s="594"/>
    </row>
    <row r="15634" spans="16:16">
      <c r="P15634" s="594"/>
    </row>
    <row r="15635" spans="16:16">
      <c r="P15635" s="594"/>
    </row>
    <row r="15636" spans="16:16">
      <c r="P15636" s="594"/>
    </row>
    <row r="15637" spans="16:16">
      <c r="P15637" s="594"/>
    </row>
    <row r="15638" spans="16:16">
      <c r="P15638" s="594"/>
    </row>
    <row r="15639" spans="16:16">
      <c r="P15639" s="594"/>
    </row>
    <row r="15640" spans="16:16">
      <c r="P15640" s="594"/>
    </row>
    <row r="15641" spans="16:16">
      <c r="P15641" s="594"/>
    </row>
    <row r="15642" spans="16:16">
      <c r="P15642" s="594"/>
    </row>
    <row r="15643" spans="16:16">
      <c r="P15643" s="594"/>
    </row>
    <row r="15644" spans="16:16">
      <c r="P15644" s="594"/>
    </row>
    <row r="15645" spans="16:16">
      <c r="P15645" s="594"/>
    </row>
    <row r="15646" spans="16:16">
      <c r="P15646" s="594"/>
    </row>
    <row r="15647" spans="16:16">
      <c r="P15647" s="594"/>
    </row>
    <row r="15648" spans="16:16">
      <c r="P15648" s="594"/>
    </row>
    <row r="15649" spans="16:16">
      <c r="P15649" s="594"/>
    </row>
    <row r="15650" spans="16:16">
      <c r="P15650" s="594"/>
    </row>
    <row r="15651" spans="16:16">
      <c r="P15651" s="594"/>
    </row>
    <row r="15652" spans="16:16">
      <c r="P15652" s="594"/>
    </row>
    <row r="15653" spans="16:16">
      <c r="P15653" s="594"/>
    </row>
    <row r="15654" spans="16:16">
      <c r="P15654" s="594"/>
    </row>
    <row r="15655" spans="16:16">
      <c r="P15655" s="594"/>
    </row>
    <row r="15656" spans="16:16">
      <c r="P15656" s="594"/>
    </row>
    <row r="15657" spans="16:16">
      <c r="P15657" s="594"/>
    </row>
    <row r="15658" spans="16:16">
      <c r="P15658" s="594"/>
    </row>
    <row r="15659" spans="16:16">
      <c r="P15659" s="594"/>
    </row>
    <row r="15660" spans="16:16">
      <c r="P15660" s="594"/>
    </row>
    <row r="15661" spans="16:16">
      <c r="P15661" s="594"/>
    </row>
    <row r="15662" spans="16:16">
      <c r="P15662" s="594"/>
    </row>
    <row r="15663" spans="16:16">
      <c r="P15663" s="594"/>
    </row>
    <row r="15664" spans="16:16">
      <c r="P15664" s="594"/>
    </row>
    <row r="15665" spans="16:16">
      <c r="P15665" s="594"/>
    </row>
    <row r="15666" spans="16:16">
      <c r="P15666" s="594"/>
    </row>
    <row r="15667" spans="16:16">
      <c r="P15667" s="594"/>
    </row>
    <row r="15668" spans="16:16">
      <c r="P15668" s="594"/>
    </row>
    <row r="15669" spans="16:16">
      <c r="P15669" s="594"/>
    </row>
    <row r="15670" spans="16:16">
      <c r="P15670" s="594"/>
    </row>
    <row r="15671" spans="16:16">
      <c r="P15671" s="594"/>
    </row>
    <row r="15672" spans="16:16">
      <c r="P15672" s="594"/>
    </row>
    <row r="15673" spans="16:16">
      <c r="P15673" s="594"/>
    </row>
    <row r="15674" spans="16:16">
      <c r="P15674" s="594"/>
    </row>
    <row r="15675" spans="16:16">
      <c r="P15675" s="594"/>
    </row>
    <row r="15676" spans="16:16">
      <c r="P15676" s="594"/>
    </row>
    <row r="15677" spans="16:16">
      <c r="P15677" s="594"/>
    </row>
    <row r="15678" spans="16:16">
      <c r="P15678" s="594"/>
    </row>
    <row r="15679" spans="16:16">
      <c r="P15679" s="594"/>
    </row>
    <row r="15680" spans="16:16">
      <c r="P15680" s="594"/>
    </row>
    <row r="15681" spans="16:16">
      <c r="P15681" s="594"/>
    </row>
    <row r="15682" spans="16:16">
      <c r="P15682" s="594"/>
    </row>
    <row r="15683" spans="16:16">
      <c r="P15683" s="594"/>
    </row>
    <row r="15684" spans="16:16">
      <c r="P15684" s="594"/>
    </row>
    <row r="15685" spans="16:16">
      <c r="P15685" s="594"/>
    </row>
    <row r="15686" spans="16:16">
      <c r="P15686" s="594"/>
    </row>
    <row r="15687" spans="16:16">
      <c r="P15687" s="594"/>
    </row>
    <row r="15688" spans="16:16">
      <c r="P15688" s="594"/>
    </row>
    <row r="15689" spans="16:16">
      <c r="P15689" s="594"/>
    </row>
    <row r="15690" spans="16:16">
      <c r="P15690" s="594"/>
    </row>
    <row r="15691" spans="16:16">
      <c r="P15691" s="594"/>
    </row>
    <row r="15692" spans="16:16">
      <c r="P15692" s="594"/>
    </row>
    <row r="15693" spans="16:16">
      <c r="P15693" s="594"/>
    </row>
    <row r="15694" spans="16:16">
      <c r="P15694" s="594"/>
    </row>
    <row r="15695" spans="16:16">
      <c r="P15695" s="594"/>
    </row>
    <row r="15696" spans="16:16">
      <c r="P15696" s="594"/>
    </row>
    <row r="15697" spans="16:16">
      <c r="P15697" s="594"/>
    </row>
    <row r="15698" spans="16:16">
      <c r="P15698" s="594"/>
    </row>
    <row r="15699" spans="16:16">
      <c r="P15699" s="594"/>
    </row>
    <row r="15700" spans="16:16">
      <c r="P15700" s="594"/>
    </row>
    <row r="15701" spans="16:16">
      <c r="P15701" s="594"/>
    </row>
    <row r="15702" spans="16:16">
      <c r="P15702" s="594"/>
    </row>
    <row r="15703" spans="16:16">
      <c r="P15703" s="594"/>
    </row>
    <row r="15704" spans="16:16">
      <c r="P15704" s="594"/>
    </row>
    <row r="15705" spans="16:16">
      <c r="P15705" s="594"/>
    </row>
    <row r="15706" spans="16:16">
      <c r="P15706" s="594"/>
    </row>
    <row r="15707" spans="16:16">
      <c r="P15707" s="594"/>
    </row>
    <row r="15708" spans="16:16">
      <c r="P15708" s="594"/>
    </row>
    <row r="15709" spans="16:16">
      <c r="P15709" s="594"/>
    </row>
    <row r="15710" spans="16:16">
      <c r="P15710" s="594"/>
    </row>
    <row r="15711" spans="16:16">
      <c r="P15711" s="594"/>
    </row>
    <row r="15712" spans="16:16">
      <c r="P15712" s="594"/>
    </row>
    <row r="15713" spans="16:16">
      <c r="P15713" s="594"/>
    </row>
    <row r="15714" spans="16:16">
      <c r="P15714" s="594"/>
    </row>
    <row r="15715" spans="16:16">
      <c r="P15715" s="594"/>
    </row>
    <row r="15716" spans="16:16">
      <c r="P15716" s="594"/>
    </row>
    <row r="15717" spans="16:16">
      <c r="P15717" s="594"/>
    </row>
    <row r="15718" spans="16:16">
      <c r="P15718" s="594"/>
    </row>
    <row r="15719" spans="16:16">
      <c r="P15719" s="594"/>
    </row>
    <row r="15720" spans="16:16">
      <c r="P15720" s="594"/>
    </row>
    <row r="15721" spans="16:16">
      <c r="P15721" s="594"/>
    </row>
    <row r="15722" spans="16:16">
      <c r="P15722" s="594"/>
    </row>
    <row r="15723" spans="16:16">
      <c r="P15723" s="594"/>
    </row>
    <row r="15724" spans="16:16">
      <c r="P15724" s="594"/>
    </row>
    <row r="15725" spans="16:16">
      <c r="P15725" s="594"/>
    </row>
    <row r="15726" spans="16:16">
      <c r="P15726" s="594"/>
    </row>
    <row r="15727" spans="16:16">
      <c r="P15727" s="594"/>
    </row>
    <row r="15728" spans="16:16">
      <c r="P15728" s="594"/>
    </row>
    <row r="15729" spans="16:16">
      <c r="P15729" s="594"/>
    </row>
    <row r="15730" spans="16:16">
      <c r="P15730" s="594"/>
    </row>
    <row r="15731" spans="16:16">
      <c r="P15731" s="594"/>
    </row>
    <row r="15732" spans="16:16">
      <c r="P15732" s="594"/>
    </row>
    <row r="15733" spans="16:16">
      <c r="P15733" s="594"/>
    </row>
    <row r="15734" spans="16:16">
      <c r="P15734" s="594"/>
    </row>
    <row r="15735" spans="16:16">
      <c r="P15735" s="594"/>
    </row>
    <row r="15736" spans="16:16">
      <c r="P15736" s="594"/>
    </row>
    <row r="15737" spans="16:16">
      <c r="P15737" s="594"/>
    </row>
    <row r="15738" spans="16:16">
      <c r="P15738" s="594"/>
    </row>
    <row r="15739" spans="16:16">
      <c r="P15739" s="594"/>
    </row>
    <row r="15740" spans="16:16">
      <c r="P15740" s="594"/>
    </row>
    <row r="15741" spans="16:16">
      <c r="P15741" s="594"/>
    </row>
    <row r="15742" spans="16:16">
      <c r="P15742" s="594"/>
    </row>
    <row r="15743" spans="16:16">
      <c r="P15743" s="594"/>
    </row>
    <row r="15744" spans="16:16">
      <c r="P15744" s="594"/>
    </row>
    <row r="15745" spans="16:16">
      <c r="P15745" s="594"/>
    </row>
    <row r="15746" spans="16:16">
      <c r="P15746" s="594"/>
    </row>
    <row r="15747" spans="16:16">
      <c r="P15747" s="594"/>
    </row>
    <row r="15748" spans="16:16">
      <c r="P15748" s="594"/>
    </row>
    <row r="15749" spans="16:16">
      <c r="P15749" s="594"/>
    </row>
    <row r="15750" spans="16:16">
      <c r="P15750" s="594"/>
    </row>
    <row r="15751" spans="16:16">
      <c r="P15751" s="594"/>
    </row>
    <row r="15752" spans="16:16">
      <c r="P15752" s="594"/>
    </row>
    <row r="15753" spans="16:16">
      <c r="P15753" s="594"/>
    </row>
    <row r="15754" spans="16:16">
      <c r="P15754" s="594"/>
    </row>
    <row r="15755" spans="16:16">
      <c r="P15755" s="594"/>
    </row>
    <row r="15756" spans="16:16">
      <c r="P15756" s="594"/>
    </row>
    <row r="15757" spans="16:16">
      <c r="P15757" s="594"/>
    </row>
    <row r="15758" spans="16:16">
      <c r="P15758" s="594"/>
    </row>
    <row r="15759" spans="16:16">
      <c r="P15759" s="594"/>
    </row>
    <row r="15760" spans="16:16">
      <c r="P15760" s="594"/>
    </row>
    <row r="15761" spans="16:16">
      <c r="P15761" s="594"/>
    </row>
    <row r="15762" spans="16:16">
      <c r="P15762" s="594"/>
    </row>
    <row r="15763" spans="16:16">
      <c r="P15763" s="594"/>
    </row>
    <row r="15764" spans="16:16">
      <c r="P15764" s="594"/>
    </row>
    <row r="15765" spans="16:16">
      <c r="P15765" s="594"/>
    </row>
    <row r="15766" spans="16:16">
      <c r="P15766" s="594"/>
    </row>
    <row r="15767" spans="16:16">
      <c r="P15767" s="594"/>
    </row>
    <row r="15768" spans="16:16">
      <c r="P15768" s="594"/>
    </row>
    <row r="15769" spans="16:16">
      <c r="P15769" s="594"/>
    </row>
    <row r="15770" spans="16:16">
      <c r="P15770" s="594"/>
    </row>
    <row r="15771" spans="16:16">
      <c r="P15771" s="594"/>
    </row>
    <row r="15772" spans="16:16">
      <c r="P15772" s="594"/>
    </row>
    <row r="15773" spans="16:16">
      <c r="P15773" s="594"/>
    </row>
    <row r="15774" spans="16:16">
      <c r="P15774" s="594"/>
    </row>
    <row r="15775" spans="16:16">
      <c r="P15775" s="594"/>
    </row>
    <row r="15776" spans="16:16">
      <c r="P15776" s="594"/>
    </row>
    <row r="15777" spans="16:16">
      <c r="P15777" s="594"/>
    </row>
    <row r="15778" spans="16:16">
      <c r="P15778" s="594"/>
    </row>
    <row r="15779" spans="16:16">
      <c r="P15779" s="594"/>
    </row>
    <row r="15780" spans="16:16">
      <c r="P15780" s="594"/>
    </row>
    <row r="15781" spans="16:16">
      <c r="P15781" s="594"/>
    </row>
    <row r="15782" spans="16:16">
      <c r="P15782" s="594"/>
    </row>
    <row r="15783" spans="16:16">
      <c r="P15783" s="594"/>
    </row>
    <row r="15784" spans="16:16">
      <c r="P15784" s="594"/>
    </row>
    <row r="15785" spans="16:16">
      <c r="P15785" s="594"/>
    </row>
    <row r="15786" spans="16:16">
      <c r="P15786" s="594"/>
    </row>
    <row r="15787" spans="16:16">
      <c r="P15787" s="594"/>
    </row>
    <row r="15788" spans="16:16">
      <c r="P15788" s="594"/>
    </row>
    <row r="15789" spans="16:16">
      <c r="P15789" s="594"/>
    </row>
    <row r="15790" spans="16:16">
      <c r="P15790" s="594"/>
    </row>
    <row r="15791" spans="16:16">
      <c r="P15791" s="594"/>
    </row>
    <row r="15792" spans="16:16">
      <c r="P15792" s="594"/>
    </row>
    <row r="15793" spans="16:16">
      <c r="P15793" s="594"/>
    </row>
    <row r="15794" spans="16:16">
      <c r="P15794" s="594"/>
    </row>
    <row r="15795" spans="16:16">
      <c r="P15795" s="594"/>
    </row>
    <row r="15796" spans="16:16">
      <c r="P15796" s="594"/>
    </row>
    <row r="15797" spans="16:16">
      <c r="P15797" s="594"/>
    </row>
    <row r="15798" spans="16:16">
      <c r="P15798" s="594"/>
    </row>
    <row r="15799" spans="16:16">
      <c r="P15799" s="594"/>
    </row>
    <row r="15800" spans="16:16">
      <c r="P15800" s="594"/>
    </row>
    <row r="15801" spans="16:16">
      <c r="P15801" s="594"/>
    </row>
    <row r="15802" spans="16:16">
      <c r="P15802" s="594"/>
    </row>
    <row r="15803" spans="16:16">
      <c r="P15803" s="594"/>
    </row>
    <row r="15804" spans="16:16">
      <c r="P15804" s="594"/>
    </row>
    <row r="15805" spans="16:16">
      <c r="P15805" s="594"/>
    </row>
    <row r="15806" spans="16:16">
      <c r="P15806" s="594"/>
    </row>
    <row r="15807" spans="16:16">
      <c r="P15807" s="594"/>
    </row>
    <row r="15808" spans="16:16">
      <c r="P15808" s="594"/>
    </row>
    <row r="15809" spans="16:16">
      <c r="P15809" s="594"/>
    </row>
    <row r="15810" spans="16:16">
      <c r="P15810" s="594"/>
    </row>
    <row r="15811" spans="16:16">
      <c r="P15811" s="594"/>
    </row>
    <row r="15812" spans="16:16">
      <c r="P15812" s="594"/>
    </row>
    <row r="15813" spans="16:16">
      <c r="P15813" s="594"/>
    </row>
    <row r="15814" spans="16:16">
      <c r="P15814" s="594"/>
    </row>
    <row r="15815" spans="16:16">
      <c r="P15815" s="594"/>
    </row>
    <row r="15816" spans="16:16">
      <c r="P15816" s="594"/>
    </row>
    <row r="15817" spans="16:16">
      <c r="P15817" s="594"/>
    </row>
    <row r="15818" spans="16:16">
      <c r="P15818" s="594"/>
    </row>
    <row r="15819" spans="16:16">
      <c r="P15819" s="594"/>
    </row>
    <row r="15820" spans="16:16">
      <c r="P15820" s="594"/>
    </row>
    <row r="15821" spans="16:16">
      <c r="P15821" s="594"/>
    </row>
    <row r="15822" spans="16:16">
      <c r="P15822" s="594"/>
    </row>
    <row r="15823" spans="16:16">
      <c r="P15823" s="594"/>
    </row>
    <row r="15824" spans="16:16">
      <c r="P15824" s="594"/>
    </row>
    <row r="15825" spans="16:16">
      <c r="P15825" s="594"/>
    </row>
    <row r="15826" spans="16:16">
      <c r="P15826" s="594"/>
    </row>
    <row r="15827" spans="16:16">
      <c r="P15827" s="594"/>
    </row>
    <row r="15828" spans="16:16">
      <c r="P15828" s="594"/>
    </row>
    <row r="15829" spans="16:16">
      <c r="P15829" s="594"/>
    </row>
    <row r="15830" spans="16:16">
      <c r="P15830" s="594"/>
    </row>
    <row r="15831" spans="16:16">
      <c r="P15831" s="594"/>
    </row>
    <row r="15832" spans="16:16">
      <c r="P15832" s="594"/>
    </row>
    <row r="15833" spans="16:16">
      <c r="P15833" s="594"/>
    </row>
    <row r="15834" spans="16:16">
      <c r="P15834" s="594"/>
    </row>
    <row r="15835" spans="16:16">
      <c r="P15835" s="594"/>
    </row>
    <row r="15836" spans="16:16">
      <c r="P15836" s="594"/>
    </row>
    <row r="15837" spans="16:16">
      <c r="P15837" s="594"/>
    </row>
    <row r="15838" spans="16:16">
      <c r="P15838" s="594"/>
    </row>
    <row r="15839" spans="16:16">
      <c r="P15839" s="594"/>
    </row>
    <row r="15840" spans="16:16">
      <c r="P15840" s="594"/>
    </row>
    <row r="15841" spans="16:16">
      <c r="P15841" s="594"/>
    </row>
    <row r="15842" spans="16:16">
      <c r="P15842" s="594"/>
    </row>
    <row r="15843" spans="16:16">
      <c r="P15843" s="594"/>
    </row>
    <row r="15844" spans="16:16">
      <c r="P15844" s="594"/>
    </row>
    <row r="15845" spans="16:16">
      <c r="P15845" s="594"/>
    </row>
    <row r="15846" spans="16:16">
      <c r="P15846" s="594"/>
    </row>
    <row r="15847" spans="16:16">
      <c r="P15847" s="594"/>
    </row>
    <row r="15848" spans="16:16">
      <c r="P15848" s="594"/>
    </row>
    <row r="15849" spans="16:16">
      <c r="P15849" s="594"/>
    </row>
    <row r="15850" spans="16:16">
      <c r="P15850" s="594"/>
    </row>
    <row r="15851" spans="16:16">
      <c r="P15851" s="594"/>
    </row>
    <row r="15852" spans="16:16">
      <c r="P15852" s="594"/>
    </row>
    <row r="15853" spans="16:16">
      <c r="P15853" s="594"/>
    </row>
    <row r="15854" spans="16:16">
      <c r="P15854" s="594"/>
    </row>
    <row r="15855" spans="16:16">
      <c r="P15855" s="594"/>
    </row>
    <row r="15856" spans="16:16">
      <c r="P15856" s="594"/>
    </row>
    <row r="15857" spans="16:16">
      <c r="P15857" s="594"/>
    </row>
    <row r="15858" spans="16:16">
      <c r="P15858" s="594"/>
    </row>
    <row r="15859" spans="16:16">
      <c r="P15859" s="594"/>
    </row>
    <row r="15860" spans="16:16">
      <c r="P15860" s="594"/>
    </row>
    <row r="15861" spans="16:16">
      <c r="P15861" s="594"/>
    </row>
    <row r="15862" spans="16:16">
      <c r="P15862" s="594"/>
    </row>
    <row r="15863" spans="16:16">
      <c r="P15863" s="594"/>
    </row>
    <row r="15864" spans="16:16">
      <c r="P15864" s="594"/>
    </row>
    <row r="15865" spans="16:16">
      <c r="P15865" s="594"/>
    </row>
    <row r="15866" spans="16:16">
      <c r="P15866" s="594"/>
    </row>
    <row r="15867" spans="16:16">
      <c r="P15867" s="594"/>
    </row>
    <row r="15868" spans="16:16">
      <c r="P15868" s="594"/>
    </row>
    <row r="15869" spans="16:16">
      <c r="P15869" s="594"/>
    </row>
    <row r="15870" spans="16:16">
      <c r="P15870" s="594"/>
    </row>
    <row r="15871" spans="16:16">
      <c r="P15871" s="594"/>
    </row>
    <row r="15872" spans="16:16">
      <c r="P15872" s="594"/>
    </row>
    <row r="15873" spans="16:16">
      <c r="P15873" s="594"/>
    </row>
    <row r="15874" spans="16:16">
      <c r="P15874" s="594"/>
    </row>
    <row r="15875" spans="16:16">
      <c r="P15875" s="594"/>
    </row>
    <row r="15876" spans="16:16">
      <c r="P15876" s="594"/>
    </row>
    <row r="15877" spans="16:16">
      <c r="P15877" s="594"/>
    </row>
    <row r="15878" spans="16:16">
      <c r="P15878" s="594"/>
    </row>
    <row r="15879" spans="16:16">
      <c r="P15879" s="594"/>
    </row>
    <row r="15880" spans="16:16">
      <c r="P15880" s="594"/>
    </row>
    <row r="15881" spans="16:16">
      <c r="P15881" s="594"/>
    </row>
    <row r="15882" spans="16:16">
      <c r="P15882" s="594"/>
    </row>
    <row r="15883" spans="16:16">
      <c r="P15883" s="594"/>
    </row>
    <row r="15884" spans="16:16">
      <c r="P15884" s="594"/>
    </row>
    <row r="15885" spans="16:16">
      <c r="P15885" s="594"/>
    </row>
    <row r="15886" spans="16:16">
      <c r="P15886" s="594"/>
    </row>
    <row r="15887" spans="16:16">
      <c r="P15887" s="594"/>
    </row>
    <row r="15888" spans="16:16">
      <c r="P15888" s="594"/>
    </row>
    <row r="15889" spans="16:16">
      <c r="P15889" s="594"/>
    </row>
    <row r="15890" spans="16:16">
      <c r="P15890" s="594"/>
    </row>
    <row r="15891" spans="16:16">
      <c r="P15891" s="594"/>
    </row>
    <row r="15892" spans="16:16">
      <c r="P15892" s="594"/>
    </row>
    <row r="15893" spans="16:16">
      <c r="P15893" s="594"/>
    </row>
    <row r="15894" spans="16:16">
      <c r="P15894" s="594"/>
    </row>
    <row r="15895" spans="16:16">
      <c r="P15895" s="594"/>
    </row>
    <row r="15896" spans="16:16">
      <c r="P15896" s="594"/>
    </row>
    <row r="15897" spans="16:16">
      <c r="P15897" s="594"/>
    </row>
    <row r="15898" spans="16:16">
      <c r="P15898" s="594"/>
    </row>
    <row r="15899" spans="16:16">
      <c r="P15899" s="594"/>
    </row>
    <row r="15900" spans="16:16">
      <c r="P15900" s="594"/>
    </row>
    <row r="15901" spans="16:16">
      <c r="P15901" s="594"/>
    </row>
    <row r="15902" spans="16:16">
      <c r="P15902" s="594"/>
    </row>
    <row r="15903" spans="16:16">
      <c r="P15903" s="594"/>
    </row>
    <row r="15904" spans="16:16">
      <c r="P15904" s="594"/>
    </row>
    <row r="15905" spans="16:16">
      <c r="P15905" s="594"/>
    </row>
    <row r="15906" spans="16:16">
      <c r="P15906" s="594"/>
    </row>
    <row r="15907" spans="16:16">
      <c r="P15907" s="594"/>
    </row>
    <row r="15908" spans="16:16">
      <c r="P15908" s="594"/>
    </row>
    <row r="15909" spans="16:16">
      <c r="P15909" s="594"/>
    </row>
    <row r="15910" spans="16:16">
      <c r="P15910" s="594"/>
    </row>
    <row r="15911" spans="16:16">
      <c r="P15911" s="594"/>
    </row>
    <row r="15912" spans="16:16">
      <c r="P15912" s="594"/>
    </row>
    <row r="15913" spans="16:16">
      <c r="P15913" s="594"/>
    </row>
    <row r="15914" spans="16:16">
      <c r="P15914" s="594"/>
    </row>
    <row r="15915" spans="16:16">
      <c r="P15915" s="594"/>
    </row>
    <row r="15916" spans="16:16">
      <c r="P15916" s="594"/>
    </row>
    <row r="15917" spans="16:16">
      <c r="P15917" s="594"/>
    </row>
    <row r="15918" spans="16:16">
      <c r="P15918" s="594"/>
    </row>
    <row r="15919" spans="16:16">
      <c r="P15919" s="594"/>
    </row>
    <row r="15920" spans="16:16">
      <c r="P15920" s="594"/>
    </row>
    <row r="15921" spans="16:16">
      <c r="P15921" s="594"/>
    </row>
    <row r="15922" spans="16:16">
      <c r="P15922" s="594"/>
    </row>
    <row r="15923" spans="16:16">
      <c r="P15923" s="594"/>
    </row>
    <row r="15924" spans="16:16">
      <c r="P15924" s="594"/>
    </row>
    <row r="15925" spans="16:16">
      <c r="P15925" s="594"/>
    </row>
    <row r="15926" spans="16:16">
      <c r="P15926" s="594"/>
    </row>
    <row r="15927" spans="16:16">
      <c r="P15927" s="594"/>
    </row>
    <row r="15928" spans="16:16">
      <c r="P15928" s="594"/>
    </row>
    <row r="15929" spans="16:16">
      <c r="P15929" s="594"/>
    </row>
    <row r="15930" spans="16:16">
      <c r="P15930" s="594"/>
    </row>
    <row r="15931" spans="16:16">
      <c r="P15931" s="594"/>
    </row>
    <row r="15932" spans="16:16">
      <c r="P15932" s="594"/>
    </row>
    <row r="15933" spans="16:16">
      <c r="P15933" s="594"/>
    </row>
    <row r="15934" spans="16:16">
      <c r="P15934" s="594"/>
    </row>
    <row r="15935" spans="16:16">
      <c r="P15935" s="594"/>
    </row>
    <row r="15936" spans="16:16">
      <c r="P15936" s="594"/>
    </row>
    <row r="15937" spans="16:16">
      <c r="P15937" s="594"/>
    </row>
    <row r="15938" spans="16:16">
      <c r="P15938" s="594"/>
    </row>
    <row r="15939" spans="16:16">
      <c r="P15939" s="594"/>
    </row>
    <row r="15940" spans="16:16">
      <c r="P15940" s="594"/>
    </row>
    <row r="15941" spans="16:16">
      <c r="P15941" s="594"/>
    </row>
    <row r="15942" spans="16:16">
      <c r="P15942" s="594"/>
    </row>
    <row r="15943" spans="16:16">
      <c r="P15943" s="594"/>
    </row>
    <row r="15944" spans="16:16">
      <c r="P15944" s="594"/>
    </row>
    <row r="15945" spans="16:16">
      <c r="P15945" s="594"/>
    </row>
    <row r="15946" spans="16:16">
      <c r="P15946" s="594"/>
    </row>
    <row r="15947" spans="16:16">
      <c r="P15947" s="594"/>
    </row>
    <row r="15948" spans="16:16">
      <c r="P15948" s="594"/>
    </row>
    <row r="15949" spans="16:16">
      <c r="P15949" s="594"/>
    </row>
    <row r="15950" spans="16:16">
      <c r="P15950" s="594"/>
    </row>
    <row r="15951" spans="16:16">
      <c r="P15951" s="594"/>
    </row>
    <row r="15952" spans="16:16">
      <c r="P15952" s="594"/>
    </row>
    <row r="15953" spans="16:16">
      <c r="P15953" s="594"/>
    </row>
    <row r="15954" spans="16:16">
      <c r="P15954" s="594"/>
    </row>
    <row r="15955" spans="16:16">
      <c r="P15955" s="594"/>
    </row>
    <row r="15956" spans="16:16">
      <c r="P15956" s="594"/>
    </row>
    <row r="15957" spans="16:16">
      <c r="P15957" s="594"/>
    </row>
    <row r="15958" spans="16:16">
      <c r="P15958" s="594"/>
    </row>
    <row r="15959" spans="16:16">
      <c r="P15959" s="594"/>
    </row>
    <row r="15960" spans="16:16">
      <c r="P15960" s="594"/>
    </row>
    <row r="15961" spans="16:16">
      <c r="P15961" s="594"/>
    </row>
    <row r="15962" spans="16:16">
      <c r="P15962" s="594"/>
    </row>
    <row r="15963" spans="16:16">
      <c r="P15963" s="594"/>
    </row>
    <row r="15964" spans="16:16">
      <c r="P15964" s="594"/>
    </row>
    <row r="15965" spans="16:16">
      <c r="P15965" s="594"/>
    </row>
    <row r="15966" spans="16:16">
      <c r="P15966" s="594"/>
    </row>
    <row r="15967" spans="16:16">
      <c r="P15967" s="594"/>
    </row>
    <row r="15968" spans="16:16">
      <c r="P15968" s="594"/>
    </row>
    <row r="15969" spans="16:16">
      <c r="P15969" s="594"/>
    </row>
    <row r="15970" spans="16:16">
      <c r="P15970" s="594"/>
    </row>
    <row r="15971" spans="16:16">
      <c r="P15971" s="594"/>
    </row>
    <row r="15972" spans="16:16">
      <c r="P15972" s="594"/>
    </row>
    <row r="15973" spans="16:16">
      <c r="P15973" s="594"/>
    </row>
    <row r="15974" spans="16:16">
      <c r="P15974" s="594"/>
    </row>
    <row r="15975" spans="16:16">
      <c r="P15975" s="594"/>
    </row>
    <row r="15976" spans="16:16">
      <c r="P15976" s="594"/>
    </row>
    <row r="15977" spans="16:16">
      <c r="P15977" s="594"/>
    </row>
    <row r="15978" spans="16:16">
      <c r="P15978" s="594"/>
    </row>
    <row r="15979" spans="16:16">
      <c r="P15979" s="594"/>
    </row>
    <row r="15980" spans="16:16">
      <c r="P15980" s="594"/>
    </row>
    <row r="15981" spans="16:16">
      <c r="P15981" s="594"/>
    </row>
    <row r="15982" spans="16:16">
      <c r="P15982" s="594"/>
    </row>
    <row r="15983" spans="16:16">
      <c r="P15983" s="594"/>
    </row>
    <row r="15984" spans="16:16">
      <c r="P15984" s="594"/>
    </row>
    <row r="15985" spans="16:16">
      <c r="P15985" s="594"/>
    </row>
    <row r="15986" spans="16:16">
      <c r="P15986" s="594"/>
    </row>
    <row r="15987" spans="16:16">
      <c r="P15987" s="594"/>
    </row>
    <row r="15988" spans="16:16">
      <c r="P15988" s="594"/>
    </row>
    <row r="15989" spans="16:16">
      <c r="P15989" s="594"/>
    </row>
    <row r="15990" spans="16:16">
      <c r="P15990" s="594"/>
    </row>
    <row r="15991" spans="16:16">
      <c r="P15991" s="594"/>
    </row>
    <row r="15992" spans="16:16">
      <c r="P15992" s="594"/>
    </row>
    <row r="15993" spans="16:16">
      <c r="P15993" s="594"/>
    </row>
    <row r="15994" spans="16:16">
      <c r="P15994" s="594"/>
    </row>
    <row r="15995" spans="16:16">
      <c r="P15995" s="594"/>
    </row>
    <row r="15996" spans="16:16">
      <c r="P15996" s="594"/>
    </row>
    <row r="15997" spans="16:16">
      <c r="P15997" s="594"/>
    </row>
    <row r="15998" spans="16:16">
      <c r="P15998" s="594"/>
    </row>
    <row r="15999" spans="16:16">
      <c r="P15999" s="594"/>
    </row>
    <row r="16000" spans="16:16">
      <c r="P16000" s="594"/>
    </row>
    <row r="16001" spans="16:16">
      <c r="P16001" s="594"/>
    </row>
    <row r="16002" spans="16:16">
      <c r="P16002" s="594"/>
    </row>
    <row r="16003" spans="16:16">
      <c r="P16003" s="594"/>
    </row>
    <row r="16004" spans="16:16">
      <c r="P16004" s="594"/>
    </row>
    <row r="16005" spans="16:16">
      <c r="P16005" s="594"/>
    </row>
    <row r="16006" spans="16:16">
      <c r="P16006" s="594"/>
    </row>
    <row r="16007" spans="16:16">
      <c r="P16007" s="594"/>
    </row>
    <row r="16008" spans="16:16">
      <c r="P16008" s="594"/>
    </row>
    <row r="16009" spans="16:16">
      <c r="P16009" s="594"/>
    </row>
    <row r="16010" spans="16:16">
      <c r="P16010" s="594"/>
    </row>
    <row r="16011" spans="16:16">
      <c r="P16011" s="594"/>
    </row>
    <row r="16012" spans="16:16">
      <c r="P16012" s="594"/>
    </row>
    <row r="16013" spans="16:16">
      <c r="P16013" s="594"/>
    </row>
    <row r="16014" spans="16:16">
      <c r="P16014" s="594"/>
    </row>
    <row r="16015" spans="16:16">
      <c r="P16015" s="594"/>
    </row>
    <row r="16016" spans="16:16">
      <c r="P16016" s="594"/>
    </row>
    <row r="16017" spans="16:16">
      <c r="P16017" s="594"/>
    </row>
    <row r="16018" spans="16:16">
      <c r="P16018" s="594"/>
    </row>
    <row r="16019" spans="16:16">
      <c r="P16019" s="594"/>
    </row>
    <row r="16020" spans="16:16">
      <c r="P16020" s="594"/>
    </row>
    <row r="16021" spans="16:16">
      <c r="P16021" s="594"/>
    </row>
    <row r="16022" spans="16:16">
      <c r="P16022" s="594"/>
    </row>
    <row r="16023" spans="16:16">
      <c r="P16023" s="594"/>
    </row>
    <row r="16024" spans="16:16">
      <c r="P16024" s="594"/>
    </row>
    <row r="16025" spans="16:16">
      <c r="P16025" s="594"/>
    </row>
    <row r="16026" spans="16:16">
      <c r="P16026" s="594"/>
    </row>
    <row r="16027" spans="16:16">
      <c r="P16027" s="594"/>
    </row>
    <row r="16028" spans="16:16">
      <c r="P16028" s="594"/>
    </row>
    <row r="16029" spans="16:16">
      <c r="P16029" s="594"/>
    </row>
    <row r="16030" spans="16:16">
      <c r="P16030" s="594"/>
    </row>
    <row r="16031" spans="16:16">
      <c r="P16031" s="594"/>
    </row>
    <row r="16032" spans="16:16">
      <c r="P16032" s="594"/>
    </row>
    <row r="16033" spans="16:16">
      <c r="P16033" s="594"/>
    </row>
    <row r="16034" spans="16:16">
      <c r="P16034" s="594"/>
    </row>
    <row r="16035" spans="16:16">
      <c r="P16035" s="594"/>
    </row>
    <row r="16036" spans="16:16">
      <c r="P16036" s="594"/>
    </row>
    <row r="16037" spans="16:16">
      <c r="P16037" s="594"/>
    </row>
    <row r="16038" spans="16:16">
      <c r="P16038" s="594"/>
    </row>
    <row r="16039" spans="16:16">
      <c r="P16039" s="594"/>
    </row>
    <row r="16040" spans="16:16">
      <c r="P16040" s="594"/>
    </row>
    <row r="16041" spans="16:16">
      <c r="P16041" s="594"/>
    </row>
    <row r="16042" spans="16:16">
      <c r="P16042" s="594"/>
    </row>
    <row r="16043" spans="16:16">
      <c r="P16043" s="594"/>
    </row>
    <row r="16044" spans="16:16">
      <c r="P16044" s="594"/>
    </row>
    <row r="16045" spans="16:16">
      <c r="P16045" s="594"/>
    </row>
    <row r="16046" spans="16:16">
      <c r="P16046" s="594"/>
    </row>
    <row r="16047" spans="16:16">
      <c r="P16047" s="594"/>
    </row>
    <row r="16048" spans="16:16">
      <c r="P16048" s="594"/>
    </row>
    <row r="16049" spans="16:16">
      <c r="P16049" s="594"/>
    </row>
    <row r="16050" spans="16:16">
      <c r="P16050" s="594"/>
    </row>
    <row r="16051" spans="16:16">
      <c r="P16051" s="594"/>
    </row>
    <row r="16052" spans="16:16">
      <c r="P16052" s="594"/>
    </row>
    <row r="16053" spans="16:16">
      <c r="P16053" s="594"/>
    </row>
    <row r="16054" spans="16:16">
      <c r="P16054" s="594"/>
    </row>
    <row r="16055" spans="16:16">
      <c r="P16055" s="594"/>
    </row>
    <row r="16056" spans="16:16">
      <c r="P16056" s="594"/>
    </row>
    <row r="16057" spans="16:16">
      <c r="P16057" s="594"/>
    </row>
    <row r="16058" spans="16:16">
      <c r="P16058" s="594"/>
    </row>
    <row r="16059" spans="16:16">
      <c r="P16059" s="594"/>
    </row>
    <row r="16060" spans="16:16">
      <c r="P16060" s="594"/>
    </row>
    <row r="16061" spans="16:16">
      <c r="P16061" s="594"/>
    </row>
    <row r="16062" spans="16:16">
      <c r="P16062" s="594"/>
    </row>
    <row r="16063" spans="16:16">
      <c r="P16063" s="594"/>
    </row>
    <row r="16064" spans="16:16">
      <c r="P16064" s="594"/>
    </row>
    <row r="16065" spans="16:16">
      <c r="P16065" s="594"/>
    </row>
    <row r="16066" spans="16:16">
      <c r="P16066" s="594"/>
    </row>
    <row r="16067" spans="16:16">
      <c r="P16067" s="594"/>
    </row>
    <row r="16068" spans="16:16">
      <c r="P16068" s="594"/>
    </row>
    <row r="16069" spans="16:16">
      <c r="P16069" s="594"/>
    </row>
    <row r="16070" spans="16:16">
      <c r="P16070" s="594"/>
    </row>
    <row r="16071" spans="16:16">
      <c r="P16071" s="594"/>
    </row>
    <row r="16072" spans="16:16">
      <c r="P16072" s="594"/>
    </row>
    <row r="16073" spans="16:16">
      <c r="P16073" s="594"/>
    </row>
    <row r="16074" spans="16:16">
      <c r="P16074" s="594"/>
    </row>
    <row r="16075" spans="16:16">
      <c r="P16075" s="594"/>
    </row>
    <row r="16076" spans="16:16">
      <c r="P16076" s="594"/>
    </row>
    <row r="16077" spans="16:16">
      <c r="P16077" s="594"/>
    </row>
    <row r="16078" spans="16:16">
      <c r="P16078" s="594"/>
    </row>
    <row r="16079" spans="16:16">
      <c r="P16079" s="594"/>
    </row>
    <row r="16080" spans="16:16">
      <c r="P16080" s="594"/>
    </row>
    <row r="16081" spans="16:16">
      <c r="P16081" s="594"/>
    </row>
    <row r="16082" spans="16:16">
      <c r="P16082" s="594"/>
    </row>
    <row r="16083" spans="16:16">
      <c r="P16083" s="594"/>
    </row>
    <row r="16084" spans="16:16">
      <c r="P16084" s="594"/>
    </row>
    <row r="16085" spans="16:16">
      <c r="P16085" s="594"/>
    </row>
    <row r="16086" spans="16:16">
      <c r="P16086" s="594"/>
    </row>
    <row r="16087" spans="16:16">
      <c r="P16087" s="594"/>
    </row>
    <row r="16088" spans="16:16">
      <c r="P16088" s="594"/>
    </row>
    <row r="16089" spans="16:16">
      <c r="P16089" s="594"/>
    </row>
    <row r="16090" spans="16:16">
      <c r="P16090" s="594"/>
    </row>
    <row r="16091" spans="16:16">
      <c r="P16091" s="594"/>
    </row>
    <row r="16092" spans="16:16">
      <c r="P16092" s="594"/>
    </row>
    <row r="16093" spans="16:16">
      <c r="P16093" s="594"/>
    </row>
    <row r="16094" spans="16:16">
      <c r="P16094" s="594"/>
    </row>
    <row r="16095" spans="16:16">
      <c r="P16095" s="594"/>
    </row>
    <row r="16096" spans="16:16">
      <c r="P16096" s="594"/>
    </row>
    <row r="16097" spans="16:16">
      <c r="P16097" s="594"/>
    </row>
    <row r="16098" spans="16:16">
      <c r="P16098" s="594"/>
    </row>
    <row r="16099" spans="16:16">
      <c r="P16099" s="594"/>
    </row>
    <row r="16100" spans="16:16">
      <c r="P16100" s="594"/>
    </row>
    <row r="16101" spans="16:16">
      <c r="P16101" s="594"/>
    </row>
    <row r="16102" spans="16:16">
      <c r="P16102" s="594"/>
    </row>
    <row r="16103" spans="16:16">
      <c r="P16103" s="594"/>
    </row>
    <row r="16104" spans="16:16">
      <c r="P16104" s="594"/>
    </row>
    <row r="16105" spans="16:16">
      <c r="P16105" s="594"/>
    </row>
    <row r="16106" spans="16:16">
      <c r="P16106" s="594"/>
    </row>
    <row r="16107" spans="16:16">
      <c r="P16107" s="594"/>
    </row>
    <row r="16108" spans="16:16">
      <c r="P16108" s="594"/>
    </row>
    <row r="16109" spans="16:16">
      <c r="P16109" s="594"/>
    </row>
    <row r="16110" spans="16:16">
      <c r="P16110" s="594"/>
    </row>
    <row r="16111" spans="16:16">
      <c r="P16111" s="594"/>
    </row>
    <row r="16112" spans="16:16">
      <c r="P16112" s="594"/>
    </row>
    <row r="16113" spans="16:16">
      <c r="P16113" s="594"/>
    </row>
    <row r="16114" spans="16:16">
      <c r="P16114" s="594"/>
    </row>
    <row r="16115" spans="16:16">
      <c r="P16115" s="594"/>
    </row>
    <row r="16116" spans="16:16">
      <c r="P16116" s="594"/>
    </row>
    <row r="16117" spans="16:16">
      <c r="P16117" s="594"/>
    </row>
    <row r="16118" spans="16:16">
      <c r="P16118" s="594"/>
    </row>
    <row r="16119" spans="16:16">
      <c r="P16119" s="594"/>
    </row>
    <row r="16120" spans="16:16">
      <c r="P16120" s="594"/>
    </row>
    <row r="16121" spans="16:16">
      <c r="P16121" s="594"/>
    </row>
    <row r="16122" spans="16:16">
      <c r="P16122" s="594"/>
    </row>
    <row r="16123" spans="16:16">
      <c r="P16123" s="594"/>
    </row>
    <row r="16124" spans="16:16">
      <c r="P16124" s="594"/>
    </row>
    <row r="16125" spans="16:16">
      <c r="P16125" s="594"/>
    </row>
    <row r="16126" spans="16:16">
      <c r="P16126" s="594"/>
    </row>
    <row r="16127" spans="16:16">
      <c r="P16127" s="594"/>
    </row>
    <row r="16128" spans="16:16">
      <c r="P16128" s="594"/>
    </row>
    <row r="16129" spans="16:16">
      <c r="P16129" s="594"/>
    </row>
    <row r="16130" spans="16:16">
      <c r="P16130" s="594"/>
    </row>
    <row r="16131" spans="16:16">
      <c r="P16131" s="594"/>
    </row>
    <row r="16132" spans="16:16">
      <c r="P16132" s="594"/>
    </row>
    <row r="16133" spans="16:16">
      <c r="P16133" s="594"/>
    </row>
    <row r="16134" spans="16:16">
      <c r="P16134" s="594"/>
    </row>
    <row r="16135" spans="16:16">
      <c r="P16135" s="594"/>
    </row>
    <row r="16136" spans="16:16">
      <c r="P16136" s="594"/>
    </row>
    <row r="16137" spans="16:16">
      <c r="P16137" s="594"/>
    </row>
    <row r="16138" spans="16:16">
      <c r="P16138" s="594"/>
    </row>
    <row r="16139" spans="16:16">
      <c r="P16139" s="594"/>
    </row>
    <row r="16140" spans="16:16">
      <c r="P16140" s="594"/>
    </row>
    <row r="16141" spans="16:16">
      <c r="P16141" s="594"/>
    </row>
    <row r="16142" spans="16:16">
      <c r="P16142" s="594"/>
    </row>
    <row r="16143" spans="16:16">
      <c r="P16143" s="594"/>
    </row>
    <row r="16144" spans="16:16">
      <c r="P16144" s="594"/>
    </row>
    <row r="16145" spans="16:16">
      <c r="P16145" s="594"/>
    </row>
    <row r="16146" spans="16:16">
      <c r="P16146" s="594"/>
    </row>
    <row r="16147" spans="16:16">
      <c r="P16147" s="594"/>
    </row>
    <row r="16148" spans="16:16">
      <c r="P16148" s="594"/>
    </row>
    <row r="16149" spans="16:16">
      <c r="P16149" s="594"/>
    </row>
    <row r="16150" spans="16:16">
      <c r="P16150" s="594"/>
    </row>
    <row r="16151" spans="16:16">
      <c r="P16151" s="594"/>
    </row>
    <row r="16152" spans="16:16">
      <c r="P16152" s="594"/>
    </row>
    <row r="16153" spans="16:16">
      <c r="P16153" s="594"/>
    </row>
    <row r="16154" spans="16:16">
      <c r="P16154" s="594"/>
    </row>
    <row r="16155" spans="16:16">
      <c r="P16155" s="594"/>
    </row>
    <row r="16156" spans="16:16">
      <c r="P16156" s="594"/>
    </row>
    <row r="16157" spans="16:16">
      <c r="P16157" s="594"/>
    </row>
    <row r="16158" spans="16:16">
      <c r="P16158" s="594"/>
    </row>
    <row r="16159" spans="16:16">
      <c r="P16159" s="594"/>
    </row>
    <row r="16160" spans="16:16">
      <c r="P16160" s="594"/>
    </row>
    <row r="16161" spans="16:16">
      <c r="P16161" s="594"/>
    </row>
    <row r="16162" spans="16:16">
      <c r="P16162" s="594"/>
    </row>
    <row r="16163" spans="16:16">
      <c r="P16163" s="594"/>
    </row>
    <row r="16164" spans="16:16">
      <c r="P16164" s="594"/>
    </row>
    <row r="16165" spans="16:16">
      <c r="P16165" s="594"/>
    </row>
    <row r="16166" spans="16:16">
      <c r="P16166" s="594"/>
    </row>
    <row r="16167" spans="16:16">
      <c r="P16167" s="594"/>
    </row>
    <row r="16168" spans="16:16">
      <c r="P16168" s="594"/>
    </row>
    <row r="16169" spans="16:16">
      <c r="P16169" s="594"/>
    </row>
    <row r="16170" spans="16:16">
      <c r="P16170" s="594"/>
    </row>
    <row r="16171" spans="16:16">
      <c r="P16171" s="594"/>
    </row>
    <row r="16172" spans="16:16">
      <c r="P16172" s="594"/>
    </row>
    <row r="16173" spans="16:16">
      <c r="P16173" s="594"/>
    </row>
    <row r="16174" spans="16:16">
      <c r="P16174" s="594"/>
    </row>
    <row r="16175" spans="16:16">
      <c r="P16175" s="594"/>
    </row>
    <row r="16176" spans="16:16">
      <c r="P16176" s="594"/>
    </row>
    <row r="16177" spans="16:16">
      <c r="P16177" s="594"/>
    </row>
    <row r="16178" spans="16:16">
      <c r="P16178" s="594"/>
    </row>
    <row r="16179" spans="16:16">
      <c r="P16179" s="594"/>
    </row>
    <row r="16180" spans="16:16">
      <c r="P16180" s="594"/>
    </row>
    <row r="16181" spans="16:16">
      <c r="P16181" s="594"/>
    </row>
    <row r="16182" spans="16:16">
      <c r="P16182" s="594"/>
    </row>
    <row r="16183" spans="16:16">
      <c r="P16183" s="594"/>
    </row>
    <row r="16184" spans="16:16">
      <c r="P16184" s="594"/>
    </row>
    <row r="16185" spans="16:16">
      <c r="P16185" s="594"/>
    </row>
    <row r="16186" spans="16:16">
      <c r="P16186" s="594"/>
    </row>
    <row r="16187" spans="16:16">
      <c r="P16187" s="594"/>
    </row>
    <row r="16188" spans="16:16">
      <c r="P16188" s="594"/>
    </row>
    <row r="16189" spans="16:16">
      <c r="P16189" s="594"/>
    </row>
    <row r="16190" spans="16:16">
      <c r="P16190" s="594"/>
    </row>
    <row r="16191" spans="16:16">
      <c r="P16191" s="594"/>
    </row>
    <row r="16192" spans="16:16">
      <c r="P16192" s="594"/>
    </row>
    <row r="16193" spans="16:16">
      <c r="P16193" s="594"/>
    </row>
    <row r="16194" spans="16:16">
      <c r="P16194" s="594"/>
    </row>
    <row r="16195" spans="16:16">
      <c r="P16195" s="594"/>
    </row>
    <row r="16196" spans="16:16">
      <c r="P16196" s="594"/>
    </row>
    <row r="16197" spans="16:16">
      <c r="P16197" s="594"/>
    </row>
    <row r="16198" spans="16:16">
      <c r="P16198" s="594"/>
    </row>
    <row r="16199" spans="16:16">
      <c r="P16199" s="594"/>
    </row>
    <row r="16200" spans="16:16">
      <c r="P16200" s="594"/>
    </row>
    <row r="16201" spans="16:16">
      <c r="P16201" s="594"/>
    </row>
    <row r="16202" spans="16:16">
      <c r="P16202" s="594"/>
    </row>
    <row r="16203" spans="16:16">
      <c r="P16203" s="594"/>
    </row>
    <row r="16204" spans="16:16">
      <c r="P16204" s="594"/>
    </row>
    <row r="16205" spans="16:16">
      <c r="P16205" s="594"/>
    </row>
    <row r="16206" spans="16:16">
      <c r="P16206" s="594"/>
    </row>
    <row r="16207" spans="16:16">
      <c r="P16207" s="594"/>
    </row>
    <row r="16208" spans="16:16">
      <c r="P16208" s="594"/>
    </row>
    <row r="16209" spans="16:16">
      <c r="P16209" s="594"/>
    </row>
    <row r="16210" spans="16:16">
      <c r="P16210" s="594"/>
    </row>
    <row r="16211" spans="16:16">
      <c r="P16211" s="594"/>
    </row>
    <row r="16212" spans="16:16">
      <c r="P16212" s="594"/>
    </row>
    <row r="16213" spans="16:16">
      <c r="P16213" s="594"/>
    </row>
    <row r="16214" spans="16:16">
      <c r="P16214" s="594"/>
    </row>
    <row r="16215" spans="16:16">
      <c r="P16215" s="594"/>
    </row>
    <row r="16216" spans="16:16">
      <c r="P16216" s="594"/>
    </row>
    <row r="16217" spans="16:16">
      <c r="P16217" s="594"/>
    </row>
    <row r="16218" spans="16:16">
      <c r="P16218" s="594"/>
    </row>
    <row r="16219" spans="16:16">
      <c r="P16219" s="594"/>
    </row>
    <row r="16220" spans="16:16">
      <c r="P16220" s="594"/>
    </row>
    <row r="16221" spans="16:16">
      <c r="P16221" s="594"/>
    </row>
    <row r="16222" spans="16:16">
      <c r="P16222" s="594"/>
    </row>
    <row r="16223" spans="16:16">
      <c r="P16223" s="594"/>
    </row>
    <row r="16224" spans="16:16">
      <c r="P16224" s="594"/>
    </row>
    <row r="16225" spans="16:16">
      <c r="P16225" s="594"/>
    </row>
    <row r="16226" spans="16:16">
      <c r="P16226" s="594"/>
    </row>
    <row r="16227" spans="16:16">
      <c r="P16227" s="594"/>
    </row>
    <row r="16228" spans="16:16">
      <c r="P16228" s="594"/>
    </row>
    <row r="16229" spans="16:16">
      <c r="P16229" s="594"/>
    </row>
    <row r="16230" spans="16:16">
      <c r="P16230" s="594"/>
    </row>
    <row r="16231" spans="16:16">
      <c r="P16231" s="594"/>
    </row>
    <row r="16232" spans="16:16">
      <c r="P16232" s="594"/>
    </row>
    <row r="16233" spans="16:16">
      <c r="P16233" s="594"/>
    </row>
    <row r="16234" spans="16:16">
      <c r="P16234" s="594"/>
    </row>
    <row r="16235" spans="16:16">
      <c r="P16235" s="594"/>
    </row>
    <row r="16236" spans="16:16">
      <c r="P16236" s="594"/>
    </row>
    <row r="16237" spans="16:16">
      <c r="P16237" s="594"/>
    </row>
    <row r="16238" spans="16:16">
      <c r="P16238" s="594"/>
    </row>
    <row r="16239" spans="16:16">
      <c r="P16239" s="594"/>
    </row>
    <row r="16240" spans="16:16">
      <c r="P16240" s="594"/>
    </row>
    <row r="16241" spans="16:16">
      <c r="P16241" s="594"/>
    </row>
    <row r="16242" spans="16:16">
      <c r="P16242" s="594"/>
    </row>
    <row r="16243" spans="16:16">
      <c r="P16243" s="594"/>
    </row>
    <row r="16244" spans="16:16">
      <c r="P16244" s="594"/>
    </row>
    <row r="16245" spans="16:16">
      <c r="P16245" s="594"/>
    </row>
    <row r="16246" spans="16:16">
      <c r="P16246" s="594"/>
    </row>
    <row r="16247" spans="16:16">
      <c r="P16247" s="594"/>
    </row>
    <row r="16248" spans="16:16">
      <c r="P16248" s="594"/>
    </row>
    <row r="16249" spans="16:16">
      <c r="P16249" s="594"/>
    </row>
    <row r="16250" spans="16:16">
      <c r="P16250" s="594"/>
    </row>
    <row r="16251" spans="16:16">
      <c r="P16251" s="594"/>
    </row>
    <row r="16252" spans="16:16">
      <c r="P16252" s="594"/>
    </row>
    <row r="16253" spans="16:16">
      <c r="P16253" s="594"/>
    </row>
    <row r="16254" spans="16:16">
      <c r="P16254" s="594"/>
    </row>
    <row r="16255" spans="16:16">
      <c r="P16255" s="594"/>
    </row>
    <row r="16256" spans="16:16">
      <c r="P16256" s="594"/>
    </row>
    <row r="16257" spans="16:16">
      <c r="P16257" s="594"/>
    </row>
    <row r="16258" spans="16:16">
      <c r="P16258" s="594"/>
    </row>
    <row r="16259" spans="16:16">
      <c r="P16259" s="594"/>
    </row>
    <row r="16260" spans="16:16">
      <c r="P16260" s="594"/>
    </row>
    <row r="16261" spans="16:16">
      <c r="P16261" s="594"/>
    </row>
    <row r="16262" spans="16:16">
      <c r="P16262" s="594"/>
    </row>
    <row r="16263" spans="16:16">
      <c r="P16263" s="594"/>
    </row>
    <row r="16264" spans="16:16">
      <c r="P16264" s="594"/>
    </row>
    <row r="16265" spans="16:16">
      <c r="P16265" s="594"/>
    </row>
    <row r="16266" spans="16:16">
      <c r="P16266" s="594"/>
    </row>
    <row r="16267" spans="16:16">
      <c r="P16267" s="594"/>
    </row>
    <row r="16268" spans="16:16">
      <c r="P16268" s="594"/>
    </row>
    <row r="16269" spans="16:16">
      <c r="P16269" s="594"/>
    </row>
    <row r="16270" spans="16:16">
      <c r="P16270" s="594"/>
    </row>
    <row r="16271" spans="16:16">
      <c r="P16271" s="594"/>
    </row>
    <row r="16272" spans="16:16">
      <c r="P16272" s="594"/>
    </row>
    <row r="16273" spans="16:16">
      <c r="P16273" s="594"/>
    </row>
    <row r="16274" spans="16:16">
      <c r="P16274" s="594"/>
    </row>
    <row r="16275" spans="16:16">
      <c r="P16275" s="594"/>
    </row>
    <row r="16276" spans="16:16">
      <c r="P16276" s="594"/>
    </row>
    <row r="16277" spans="16:16">
      <c r="P16277" s="594"/>
    </row>
    <row r="16278" spans="16:16">
      <c r="P16278" s="594"/>
    </row>
    <row r="16279" spans="16:16">
      <c r="P16279" s="594"/>
    </row>
    <row r="16280" spans="16:16">
      <c r="P16280" s="594"/>
    </row>
    <row r="16281" spans="16:16">
      <c r="P16281" s="594"/>
    </row>
    <row r="16282" spans="16:16">
      <c r="P16282" s="594"/>
    </row>
    <row r="16283" spans="16:16">
      <c r="P16283" s="594"/>
    </row>
    <row r="16284" spans="16:16">
      <c r="P16284" s="594"/>
    </row>
    <row r="16285" spans="16:16">
      <c r="P16285" s="594"/>
    </row>
    <row r="16286" spans="16:16">
      <c r="P16286" s="594"/>
    </row>
    <row r="16287" spans="16:16">
      <c r="P16287" s="594"/>
    </row>
    <row r="16288" spans="16:16">
      <c r="P16288" s="594"/>
    </row>
    <row r="16289" spans="16:16">
      <c r="P16289" s="594"/>
    </row>
    <row r="16290" spans="16:16">
      <c r="P16290" s="594"/>
    </row>
    <row r="16291" spans="16:16">
      <c r="P16291" s="594"/>
    </row>
    <row r="16292" spans="16:16">
      <c r="P16292" s="594"/>
    </row>
    <row r="16293" spans="16:16">
      <c r="P16293" s="594"/>
    </row>
    <row r="16294" spans="16:16">
      <c r="P16294" s="594"/>
    </row>
    <row r="16295" spans="16:16">
      <c r="P16295" s="594"/>
    </row>
    <row r="16296" spans="16:16">
      <c r="P16296" s="594"/>
    </row>
    <row r="16297" spans="16:16">
      <c r="P16297" s="594"/>
    </row>
    <row r="16298" spans="16:16">
      <c r="P16298" s="594"/>
    </row>
    <row r="16299" spans="16:16">
      <c r="P16299" s="594"/>
    </row>
    <row r="16300" spans="16:16">
      <c r="P16300" s="594"/>
    </row>
    <row r="16301" spans="16:16">
      <c r="P16301" s="594"/>
    </row>
    <row r="16302" spans="16:16">
      <c r="P16302" s="594"/>
    </row>
    <row r="16303" spans="16:16">
      <c r="P16303" s="594"/>
    </row>
    <row r="16304" spans="16:16">
      <c r="P16304" s="594"/>
    </row>
    <row r="16305" spans="16:16">
      <c r="P16305" s="594"/>
    </row>
    <row r="16306" spans="16:16">
      <c r="P16306" s="594"/>
    </row>
    <row r="16307" spans="16:16">
      <c r="P16307" s="594"/>
    </row>
    <row r="16308" spans="16:16">
      <c r="P16308" s="594"/>
    </row>
    <row r="16309" spans="16:16">
      <c r="P16309" s="594"/>
    </row>
    <row r="16310" spans="16:16">
      <c r="P16310" s="594"/>
    </row>
    <row r="16311" spans="16:16">
      <c r="P16311" s="594"/>
    </row>
    <row r="16312" spans="16:16">
      <c r="P16312" s="594"/>
    </row>
    <row r="16313" spans="16:16">
      <c r="P16313" s="594"/>
    </row>
    <row r="16314" spans="16:16">
      <c r="P16314" s="594"/>
    </row>
    <row r="16315" spans="16:16">
      <c r="P16315" s="594"/>
    </row>
    <row r="16316" spans="16:16">
      <c r="P16316" s="594"/>
    </row>
    <row r="16317" spans="16:16">
      <c r="P16317" s="594"/>
    </row>
    <row r="16318" spans="16:16">
      <c r="P16318" s="594"/>
    </row>
    <row r="16319" spans="16:16">
      <c r="P16319" s="594"/>
    </row>
    <row r="16320" spans="16:16">
      <c r="P16320" s="594"/>
    </row>
    <row r="16321" spans="16:16">
      <c r="P16321" s="594"/>
    </row>
    <row r="16322" spans="16:16">
      <c r="P16322" s="594"/>
    </row>
    <row r="16323" spans="16:16">
      <c r="P16323" s="594"/>
    </row>
    <row r="16324" spans="16:16">
      <c r="P16324" s="594"/>
    </row>
    <row r="16325" spans="16:16">
      <c r="P16325" s="594"/>
    </row>
    <row r="16326" spans="16:16">
      <c r="P16326" s="594"/>
    </row>
    <row r="16327" spans="16:16">
      <c r="P16327" s="594"/>
    </row>
    <row r="16328" spans="16:16">
      <c r="P16328" s="594"/>
    </row>
    <row r="16329" spans="16:16">
      <c r="P16329" s="594"/>
    </row>
    <row r="16330" spans="16:16">
      <c r="P16330" s="594"/>
    </row>
    <row r="16331" spans="16:16">
      <c r="P16331" s="594"/>
    </row>
    <row r="16332" spans="16:16">
      <c r="P16332" s="594"/>
    </row>
    <row r="16333" spans="16:16">
      <c r="P16333" s="594"/>
    </row>
    <row r="16334" spans="16:16">
      <c r="P16334" s="594"/>
    </row>
    <row r="16335" spans="16:16">
      <c r="P16335" s="594"/>
    </row>
    <row r="16336" spans="16:16">
      <c r="P16336" s="594"/>
    </row>
    <row r="16337" spans="16:16">
      <c r="P16337" s="594"/>
    </row>
    <row r="16338" spans="16:16">
      <c r="P16338" s="594"/>
    </row>
    <row r="16339" spans="16:16">
      <c r="P16339" s="594"/>
    </row>
    <row r="16340" spans="16:16">
      <c r="P16340" s="594"/>
    </row>
    <row r="16341" spans="16:16">
      <c r="P16341" s="594"/>
    </row>
    <row r="16342" spans="16:16">
      <c r="P16342" s="594"/>
    </row>
    <row r="16343" spans="16:16">
      <c r="P16343" s="594"/>
    </row>
    <row r="16344" spans="16:16">
      <c r="P16344" s="594"/>
    </row>
    <row r="16345" spans="16:16">
      <c r="P16345" s="594"/>
    </row>
    <row r="16346" spans="16:16">
      <c r="P16346" s="594"/>
    </row>
    <row r="16347" spans="16:16">
      <c r="P16347" s="594"/>
    </row>
    <row r="16348" spans="16:16">
      <c r="P16348" s="594"/>
    </row>
    <row r="16349" spans="16:16">
      <c r="P16349" s="594"/>
    </row>
    <row r="16350" spans="16:16">
      <c r="P16350" s="594"/>
    </row>
    <row r="16351" spans="16:16">
      <c r="P16351" s="594"/>
    </row>
    <row r="16352" spans="16:16">
      <c r="P16352" s="594"/>
    </row>
    <row r="16353" spans="16:16">
      <c r="P16353" s="594"/>
    </row>
    <row r="16354" spans="16:16">
      <c r="P16354" s="594"/>
    </row>
    <row r="16355" spans="16:16">
      <c r="P16355" s="594"/>
    </row>
    <row r="16356" spans="16:16">
      <c r="P16356" s="594"/>
    </row>
    <row r="16357" spans="16:16">
      <c r="P16357" s="594"/>
    </row>
    <row r="16358" spans="16:16">
      <c r="P16358" s="594"/>
    </row>
    <row r="16359" spans="16:16">
      <c r="P16359" s="594"/>
    </row>
    <row r="16360" spans="16:16">
      <c r="P16360" s="594"/>
    </row>
    <row r="16361" spans="16:16">
      <c r="P16361" s="594"/>
    </row>
    <row r="16362" spans="16:16">
      <c r="P16362" s="594"/>
    </row>
    <row r="16363" spans="16:16">
      <c r="P16363" s="594"/>
    </row>
    <row r="16364" spans="16:16">
      <c r="P16364" s="594"/>
    </row>
    <row r="16365" spans="16:16">
      <c r="P16365" s="594"/>
    </row>
    <row r="16366" spans="16:16">
      <c r="P16366" s="594"/>
    </row>
    <row r="16367" spans="16:16">
      <c r="P16367" s="594"/>
    </row>
    <row r="16368" spans="16:16">
      <c r="P16368" s="594"/>
    </row>
    <row r="16369" spans="16:16">
      <c r="P16369" s="594"/>
    </row>
    <row r="16370" spans="16:16">
      <c r="P16370" s="594"/>
    </row>
    <row r="16371" spans="16:16">
      <c r="P16371" s="594"/>
    </row>
    <row r="16372" spans="16:16">
      <c r="P16372" s="594"/>
    </row>
    <row r="16373" spans="16:16">
      <c r="P16373" s="594"/>
    </row>
    <row r="16374" spans="16:16">
      <c r="P16374" s="594"/>
    </row>
    <row r="16375" spans="16:16">
      <c r="P16375" s="594"/>
    </row>
    <row r="16376" spans="16:16">
      <c r="P16376" s="594"/>
    </row>
    <row r="16377" spans="16:16">
      <c r="P16377" s="594"/>
    </row>
    <row r="16378" spans="16:16">
      <c r="P16378" s="594"/>
    </row>
    <row r="16379" spans="16:16">
      <c r="P16379" s="594"/>
    </row>
    <row r="16380" spans="16:16">
      <c r="P16380" s="594"/>
    </row>
    <row r="16381" spans="16:16">
      <c r="P16381" s="594"/>
    </row>
    <row r="16382" spans="16:16">
      <c r="P16382" s="594"/>
    </row>
    <row r="16383" spans="16:16">
      <c r="P16383" s="594"/>
    </row>
    <row r="16384" spans="16:16">
      <c r="P16384" s="594"/>
    </row>
    <row r="16385" spans="16:16">
      <c r="P16385" s="594"/>
    </row>
    <row r="16386" spans="16:16">
      <c r="P16386" s="594"/>
    </row>
    <row r="16387" spans="16:16">
      <c r="P16387" s="594"/>
    </row>
    <row r="16388" spans="16:16">
      <c r="P16388" s="594"/>
    </row>
    <row r="16389" spans="16:16">
      <c r="P16389" s="594"/>
    </row>
    <row r="16390" spans="16:16">
      <c r="P16390" s="594"/>
    </row>
    <row r="16391" spans="16:16">
      <c r="P16391" s="594"/>
    </row>
    <row r="16392" spans="16:16">
      <c r="P16392" s="594"/>
    </row>
    <row r="16393" spans="16:16">
      <c r="P16393" s="594"/>
    </row>
    <row r="16394" spans="16:16">
      <c r="P16394" s="594"/>
    </row>
    <row r="16395" spans="16:16">
      <c r="P16395" s="594"/>
    </row>
    <row r="16396" spans="16:16">
      <c r="P16396" s="594"/>
    </row>
    <row r="16397" spans="16:16">
      <c r="P16397" s="594"/>
    </row>
    <row r="16398" spans="16:16">
      <c r="P16398" s="594"/>
    </row>
    <row r="16399" spans="16:16">
      <c r="P16399" s="594"/>
    </row>
    <row r="16400" spans="16:16">
      <c r="P16400" s="594"/>
    </row>
    <row r="16401" spans="16:16">
      <c r="P16401" s="594"/>
    </row>
    <row r="16402" spans="16:16">
      <c r="P16402" s="594"/>
    </row>
    <row r="16403" spans="16:16">
      <c r="P16403" s="594"/>
    </row>
    <row r="16404" spans="16:16">
      <c r="P16404" s="594"/>
    </row>
    <row r="16405" spans="16:16">
      <c r="P16405" s="594"/>
    </row>
    <row r="16406" spans="16:16">
      <c r="P16406" s="594"/>
    </row>
    <row r="16407" spans="16:16">
      <c r="P16407" s="594"/>
    </row>
    <row r="16408" spans="16:16">
      <c r="P16408" s="594"/>
    </row>
    <row r="16409" spans="16:16">
      <c r="P16409" s="594"/>
    </row>
    <row r="16410" spans="16:16">
      <c r="P16410" s="594"/>
    </row>
    <row r="16411" spans="16:16">
      <c r="P16411" s="594"/>
    </row>
    <row r="16412" spans="16:16">
      <c r="P16412" s="594"/>
    </row>
    <row r="16413" spans="16:16">
      <c r="P16413" s="594"/>
    </row>
    <row r="16414" spans="16:16">
      <c r="P16414" s="594"/>
    </row>
    <row r="16415" spans="16:16">
      <c r="P16415" s="594"/>
    </row>
    <row r="16416" spans="16:16">
      <c r="P16416" s="594"/>
    </row>
    <row r="16417" spans="16:16">
      <c r="P16417" s="594"/>
    </row>
    <row r="16418" spans="16:16">
      <c r="P16418" s="594"/>
    </row>
    <row r="16419" spans="16:16">
      <c r="P16419" s="594"/>
    </row>
    <row r="16420" spans="16:16">
      <c r="P16420" s="594"/>
    </row>
    <row r="16421" spans="16:16">
      <c r="P16421" s="594"/>
    </row>
    <row r="16422" spans="16:16">
      <c r="P16422" s="594"/>
    </row>
    <row r="16423" spans="16:16">
      <c r="P16423" s="594"/>
    </row>
    <row r="16424" spans="16:16">
      <c r="P16424" s="594"/>
    </row>
    <row r="16425" spans="16:16">
      <c r="P16425" s="594"/>
    </row>
    <row r="16426" spans="16:16">
      <c r="P16426" s="594"/>
    </row>
    <row r="16427" spans="16:16">
      <c r="P16427" s="594"/>
    </row>
    <row r="16428" spans="16:16">
      <c r="P16428" s="594"/>
    </row>
    <row r="16429" spans="16:16">
      <c r="P16429" s="594"/>
    </row>
    <row r="16430" spans="16:16">
      <c r="P16430" s="594"/>
    </row>
    <row r="16431" spans="16:16">
      <c r="P16431" s="594"/>
    </row>
    <row r="16432" spans="16:16">
      <c r="P16432" s="594"/>
    </row>
    <row r="16433" spans="16:16">
      <c r="P16433" s="594"/>
    </row>
    <row r="16434" spans="16:16">
      <c r="P16434" s="594"/>
    </row>
    <row r="16435" spans="16:16">
      <c r="P16435" s="594"/>
    </row>
    <row r="16436" spans="16:16">
      <c r="P16436" s="594"/>
    </row>
    <row r="16437" spans="16:16">
      <c r="P16437" s="594"/>
    </row>
    <row r="16438" spans="16:16">
      <c r="P16438" s="594"/>
    </row>
    <row r="16439" spans="16:16">
      <c r="P16439" s="594"/>
    </row>
    <row r="16440" spans="16:16">
      <c r="P16440" s="594"/>
    </row>
    <row r="16441" spans="16:16">
      <c r="P16441" s="594"/>
    </row>
    <row r="16442" spans="16:16">
      <c r="P16442" s="594"/>
    </row>
    <row r="16443" spans="16:16">
      <c r="P16443" s="594"/>
    </row>
    <row r="16444" spans="16:16">
      <c r="P16444" s="594"/>
    </row>
    <row r="16445" spans="16:16">
      <c r="P16445" s="594"/>
    </row>
    <row r="16446" spans="16:16">
      <c r="P16446" s="594"/>
    </row>
    <row r="16447" spans="16:16">
      <c r="P16447" s="594"/>
    </row>
    <row r="16448" spans="16:16">
      <c r="P16448" s="594"/>
    </row>
    <row r="16449" spans="16:16">
      <c r="P16449" s="594"/>
    </row>
    <row r="16450" spans="16:16">
      <c r="P16450" s="594"/>
    </row>
    <row r="16451" spans="16:16">
      <c r="P16451" s="594"/>
    </row>
    <row r="16452" spans="16:16">
      <c r="P16452" s="594"/>
    </row>
    <row r="16453" spans="16:16">
      <c r="P16453" s="594"/>
    </row>
    <row r="16454" spans="16:16">
      <c r="P16454" s="594"/>
    </row>
    <row r="16455" spans="16:16">
      <c r="P16455" s="594"/>
    </row>
    <row r="16456" spans="16:16">
      <c r="P16456" s="594"/>
    </row>
    <row r="16457" spans="16:16">
      <c r="P16457" s="594"/>
    </row>
    <row r="16458" spans="16:16">
      <c r="P16458" s="594"/>
    </row>
    <row r="16459" spans="16:16">
      <c r="P16459" s="594"/>
    </row>
    <row r="16460" spans="16:16">
      <c r="P16460" s="594"/>
    </row>
    <row r="16461" spans="16:16">
      <c r="P16461" s="594"/>
    </row>
    <row r="16462" spans="16:16">
      <c r="P16462" s="594"/>
    </row>
    <row r="16463" spans="16:16">
      <c r="P16463" s="594"/>
    </row>
    <row r="16464" spans="16:16">
      <c r="P16464" s="594"/>
    </row>
    <row r="16465" spans="16:16">
      <c r="P16465" s="594"/>
    </row>
    <row r="16466" spans="16:16">
      <c r="P16466" s="594"/>
    </row>
    <row r="16467" spans="16:16">
      <c r="P16467" s="594"/>
    </row>
    <row r="16468" spans="16:16">
      <c r="P16468" s="594"/>
    </row>
    <row r="16469" spans="16:16">
      <c r="P16469" s="594"/>
    </row>
    <row r="16470" spans="16:16">
      <c r="P16470" s="594"/>
    </row>
    <row r="16471" spans="16:16">
      <c r="P16471" s="594"/>
    </row>
    <row r="16472" spans="16:16">
      <c r="P16472" s="594"/>
    </row>
    <row r="16473" spans="16:16">
      <c r="P16473" s="594"/>
    </row>
    <row r="16474" spans="16:16">
      <c r="P16474" s="594"/>
    </row>
    <row r="16475" spans="16:16">
      <c r="P16475" s="594"/>
    </row>
    <row r="16476" spans="16:16">
      <c r="P16476" s="594"/>
    </row>
    <row r="16477" spans="16:16">
      <c r="P16477" s="594"/>
    </row>
    <row r="16478" spans="16:16">
      <c r="P16478" s="594"/>
    </row>
    <row r="16479" spans="16:16">
      <c r="P16479" s="594"/>
    </row>
    <row r="16480" spans="16:16">
      <c r="P16480" s="594"/>
    </row>
    <row r="16481" spans="16:16">
      <c r="P16481" s="594"/>
    </row>
    <row r="16482" spans="16:16">
      <c r="P16482" s="594"/>
    </row>
    <row r="16483" spans="16:16">
      <c r="P16483" s="594"/>
    </row>
    <row r="16484" spans="16:16">
      <c r="P16484" s="594"/>
    </row>
    <row r="16485" spans="16:16">
      <c r="P16485" s="594"/>
    </row>
    <row r="16486" spans="16:16">
      <c r="P16486" s="594"/>
    </row>
    <row r="16487" spans="16:16">
      <c r="P16487" s="594"/>
    </row>
    <row r="16488" spans="16:16">
      <c r="P16488" s="594"/>
    </row>
    <row r="16489" spans="16:16">
      <c r="P16489" s="594"/>
    </row>
    <row r="16490" spans="16:16">
      <c r="P16490" s="594"/>
    </row>
    <row r="16491" spans="16:16">
      <c r="P16491" s="594"/>
    </row>
    <row r="16492" spans="16:16">
      <c r="P16492" s="594"/>
    </row>
    <row r="16493" spans="16:16">
      <c r="P16493" s="594"/>
    </row>
    <row r="16494" spans="16:16">
      <c r="P16494" s="594"/>
    </row>
    <row r="16495" spans="16:16">
      <c r="P16495" s="594"/>
    </row>
    <row r="16496" spans="16:16">
      <c r="P16496" s="594"/>
    </row>
    <row r="16497" spans="16:16">
      <c r="P16497" s="594"/>
    </row>
    <row r="16498" spans="16:16">
      <c r="P16498" s="594"/>
    </row>
    <row r="16499" spans="16:16">
      <c r="P16499" s="594"/>
    </row>
    <row r="16500" spans="16:16">
      <c r="P16500" s="594"/>
    </row>
    <row r="16501" spans="16:16">
      <c r="P16501" s="594"/>
    </row>
    <row r="16502" spans="16:16">
      <c r="P16502" s="594"/>
    </row>
    <row r="16503" spans="16:16">
      <c r="P16503" s="594"/>
    </row>
    <row r="16504" spans="16:16">
      <c r="P16504" s="594"/>
    </row>
    <row r="16505" spans="16:16">
      <c r="P16505" s="594"/>
    </row>
    <row r="16506" spans="16:16">
      <c r="P16506" s="594"/>
    </row>
    <row r="16507" spans="16:16">
      <c r="P16507" s="594"/>
    </row>
    <row r="16508" spans="16:16">
      <c r="P16508" s="594"/>
    </row>
    <row r="16509" spans="16:16">
      <c r="P16509" s="594"/>
    </row>
    <row r="16510" spans="16:16">
      <c r="P16510" s="594"/>
    </row>
    <row r="16511" spans="16:16">
      <c r="P16511" s="594"/>
    </row>
    <row r="16512" spans="16:16">
      <c r="P16512" s="594"/>
    </row>
    <row r="16513" spans="16:16">
      <c r="P16513" s="594"/>
    </row>
    <row r="16514" spans="16:16">
      <c r="P16514" s="594"/>
    </row>
    <row r="16515" spans="16:16">
      <c r="P16515" s="594"/>
    </row>
    <row r="16516" spans="16:16">
      <c r="P16516" s="594"/>
    </row>
    <row r="16517" spans="16:16">
      <c r="P16517" s="594"/>
    </row>
    <row r="16518" spans="16:16">
      <c r="P16518" s="594"/>
    </row>
    <row r="16519" spans="16:16">
      <c r="P16519" s="594"/>
    </row>
    <row r="16520" spans="16:16">
      <c r="P16520" s="594"/>
    </row>
    <row r="16521" spans="16:16">
      <c r="P16521" s="594"/>
    </row>
    <row r="16522" spans="16:16">
      <c r="P16522" s="594"/>
    </row>
    <row r="16523" spans="16:16">
      <c r="P16523" s="594"/>
    </row>
    <row r="16524" spans="16:16">
      <c r="P16524" s="594"/>
    </row>
    <row r="16525" spans="16:16">
      <c r="P16525" s="594"/>
    </row>
    <row r="16526" spans="16:16">
      <c r="P16526" s="594"/>
    </row>
    <row r="16527" spans="16:16">
      <c r="P16527" s="594"/>
    </row>
    <row r="16528" spans="16:16">
      <c r="P16528" s="594"/>
    </row>
    <row r="16529" spans="16:16">
      <c r="P16529" s="594"/>
    </row>
    <row r="16530" spans="16:16">
      <c r="P16530" s="594"/>
    </row>
    <row r="16531" spans="16:16">
      <c r="P16531" s="594"/>
    </row>
    <row r="16532" spans="16:16">
      <c r="P16532" s="594"/>
    </row>
    <row r="16533" spans="16:16">
      <c r="P16533" s="594"/>
    </row>
    <row r="16534" spans="16:16">
      <c r="P16534" s="594"/>
    </row>
    <row r="16535" spans="16:16">
      <c r="P16535" s="594"/>
    </row>
    <row r="16536" spans="16:16">
      <c r="P16536" s="594"/>
    </row>
    <row r="16537" spans="16:16">
      <c r="P16537" s="594"/>
    </row>
    <row r="16538" spans="16:16">
      <c r="P16538" s="594"/>
    </row>
    <row r="16539" spans="16:16">
      <c r="P16539" s="594"/>
    </row>
    <row r="16540" spans="16:16">
      <c r="P16540" s="594"/>
    </row>
    <row r="16541" spans="16:16">
      <c r="P16541" s="594"/>
    </row>
    <row r="16542" spans="16:16">
      <c r="P16542" s="594"/>
    </row>
    <row r="16543" spans="16:16">
      <c r="P16543" s="594"/>
    </row>
    <row r="16544" spans="16:16">
      <c r="P16544" s="594"/>
    </row>
    <row r="16545" spans="16:16">
      <c r="P16545" s="594"/>
    </row>
    <row r="16546" spans="16:16">
      <c r="P16546" s="594"/>
    </row>
    <row r="16547" spans="16:16">
      <c r="P16547" s="594"/>
    </row>
    <row r="16548" spans="16:16">
      <c r="P16548" s="594"/>
    </row>
    <row r="16549" spans="16:16">
      <c r="P16549" s="594"/>
    </row>
    <row r="16550" spans="16:16">
      <c r="P16550" s="594"/>
    </row>
    <row r="16551" spans="16:16">
      <c r="P16551" s="594"/>
    </row>
    <row r="16552" spans="16:16">
      <c r="P16552" s="594"/>
    </row>
    <row r="16553" spans="16:16">
      <c r="P16553" s="594"/>
    </row>
    <row r="16554" spans="16:16">
      <c r="P16554" s="594"/>
    </row>
    <row r="16555" spans="16:16">
      <c r="P16555" s="594"/>
    </row>
    <row r="16556" spans="16:16">
      <c r="P16556" s="594"/>
    </row>
    <row r="16557" spans="16:16">
      <c r="P16557" s="594"/>
    </row>
    <row r="16558" spans="16:16">
      <c r="P16558" s="594"/>
    </row>
    <row r="16559" spans="16:16">
      <c r="P16559" s="594"/>
    </row>
    <row r="16560" spans="16:16">
      <c r="P16560" s="594"/>
    </row>
    <row r="16561" spans="16:16">
      <c r="P16561" s="594"/>
    </row>
    <row r="16562" spans="16:16">
      <c r="P16562" s="594"/>
    </row>
    <row r="16563" spans="16:16">
      <c r="P16563" s="594"/>
    </row>
    <row r="16564" spans="16:16">
      <c r="P16564" s="594"/>
    </row>
    <row r="16565" spans="16:16">
      <c r="P16565" s="594"/>
    </row>
    <row r="16566" spans="16:16">
      <c r="P16566" s="594"/>
    </row>
    <row r="16567" spans="16:16">
      <c r="P16567" s="594"/>
    </row>
    <row r="16568" spans="16:16">
      <c r="P16568" s="594"/>
    </row>
    <row r="16569" spans="16:16">
      <c r="P16569" s="594"/>
    </row>
    <row r="16570" spans="16:16">
      <c r="P16570" s="594"/>
    </row>
    <row r="16571" spans="16:16">
      <c r="P16571" s="594"/>
    </row>
    <row r="16572" spans="16:16">
      <c r="P16572" s="594"/>
    </row>
    <row r="16573" spans="16:16">
      <c r="P16573" s="594"/>
    </row>
    <row r="16574" spans="16:16">
      <c r="P16574" s="594"/>
    </row>
    <row r="16575" spans="16:16">
      <c r="P16575" s="594"/>
    </row>
    <row r="16576" spans="16:16">
      <c r="P16576" s="594"/>
    </row>
    <row r="16577" spans="16:16">
      <c r="P16577" s="594"/>
    </row>
    <row r="16578" spans="16:16">
      <c r="P16578" s="594"/>
    </row>
    <row r="16579" spans="16:16">
      <c r="P16579" s="594"/>
    </row>
    <row r="16580" spans="16:16">
      <c r="P16580" s="594"/>
    </row>
    <row r="16581" spans="16:16">
      <c r="P16581" s="594"/>
    </row>
    <row r="16582" spans="16:16">
      <c r="P16582" s="594"/>
    </row>
    <row r="16583" spans="16:16">
      <c r="P16583" s="594"/>
    </row>
    <row r="16584" spans="16:16">
      <c r="P16584" s="594"/>
    </row>
    <row r="16585" spans="16:16">
      <c r="P16585" s="594"/>
    </row>
    <row r="16586" spans="16:16">
      <c r="P16586" s="594"/>
    </row>
    <row r="16587" spans="16:16">
      <c r="P16587" s="594"/>
    </row>
    <row r="16588" spans="16:16">
      <c r="P16588" s="594"/>
    </row>
    <row r="16589" spans="16:16">
      <c r="P16589" s="594"/>
    </row>
    <row r="16590" spans="16:16">
      <c r="P16590" s="594"/>
    </row>
    <row r="16591" spans="16:16">
      <c r="P16591" s="594"/>
    </row>
    <row r="16592" spans="16:16">
      <c r="P16592" s="594"/>
    </row>
    <row r="16593" spans="16:16">
      <c r="P16593" s="594"/>
    </row>
    <row r="16594" spans="16:16">
      <c r="P16594" s="594"/>
    </row>
    <row r="16595" spans="16:16">
      <c r="P16595" s="594"/>
    </row>
    <row r="16596" spans="16:16">
      <c r="P16596" s="594"/>
    </row>
    <row r="16597" spans="16:16">
      <c r="P16597" s="594"/>
    </row>
    <row r="16598" spans="16:16">
      <c r="P16598" s="594"/>
    </row>
    <row r="16599" spans="16:16">
      <c r="P16599" s="594"/>
    </row>
    <row r="16600" spans="16:16">
      <c r="P16600" s="594"/>
    </row>
    <row r="16601" spans="16:16">
      <c r="P16601" s="594"/>
    </row>
    <row r="16602" spans="16:16">
      <c r="P16602" s="594"/>
    </row>
    <row r="16603" spans="16:16">
      <c r="P16603" s="594"/>
    </row>
    <row r="16604" spans="16:16">
      <c r="P16604" s="594"/>
    </row>
    <row r="16605" spans="16:16">
      <c r="P16605" s="594"/>
    </row>
    <row r="16606" spans="16:16">
      <c r="P16606" s="594"/>
    </row>
    <row r="16607" spans="16:16">
      <c r="P16607" s="594"/>
    </row>
    <row r="16608" spans="16:16">
      <c r="P16608" s="594"/>
    </row>
    <row r="16609" spans="16:16">
      <c r="P16609" s="594"/>
    </row>
    <row r="16610" spans="16:16">
      <c r="P16610" s="594"/>
    </row>
    <row r="16611" spans="16:16">
      <c r="P16611" s="594"/>
    </row>
    <row r="16612" spans="16:16">
      <c r="P16612" s="594"/>
    </row>
    <row r="16613" spans="16:16">
      <c r="P16613" s="594"/>
    </row>
    <row r="16614" spans="16:16">
      <c r="P16614" s="594"/>
    </row>
    <row r="16615" spans="16:16">
      <c r="P16615" s="594"/>
    </row>
    <row r="16616" spans="16:16">
      <c r="P16616" s="594"/>
    </row>
    <row r="16617" spans="16:16">
      <c r="P16617" s="594"/>
    </row>
    <row r="16618" spans="16:16">
      <c r="P16618" s="594"/>
    </row>
    <row r="16619" spans="16:16">
      <c r="P16619" s="594"/>
    </row>
    <row r="16620" spans="16:16">
      <c r="P16620" s="594"/>
    </row>
    <row r="16621" spans="16:16">
      <c r="P16621" s="594"/>
    </row>
    <row r="16622" spans="16:16">
      <c r="P16622" s="594"/>
    </row>
    <row r="16623" spans="16:16">
      <c r="P16623" s="594"/>
    </row>
    <row r="16624" spans="16:16">
      <c r="P16624" s="594"/>
    </row>
    <row r="16625" spans="16:16">
      <c r="P16625" s="594"/>
    </row>
    <row r="16626" spans="16:16">
      <c r="P16626" s="594"/>
    </row>
    <row r="16627" spans="16:16">
      <c r="P16627" s="594"/>
    </row>
    <row r="16628" spans="16:16">
      <c r="P16628" s="594"/>
    </row>
    <row r="16629" spans="16:16">
      <c r="P16629" s="594"/>
    </row>
    <row r="16630" spans="16:16">
      <c r="P16630" s="594"/>
    </row>
    <row r="16631" spans="16:16">
      <c r="P16631" s="594"/>
    </row>
    <row r="16632" spans="16:16">
      <c r="P16632" s="594"/>
    </row>
    <row r="16633" spans="16:16">
      <c r="P16633" s="594"/>
    </row>
    <row r="16634" spans="16:16">
      <c r="P16634" s="594"/>
    </row>
    <row r="16635" spans="16:16">
      <c r="P16635" s="594"/>
    </row>
    <row r="16636" spans="16:16">
      <c r="P16636" s="594"/>
    </row>
    <row r="16637" spans="16:16">
      <c r="P16637" s="594"/>
    </row>
    <row r="16638" spans="16:16">
      <c r="P16638" s="594"/>
    </row>
    <row r="16639" spans="16:16">
      <c r="P16639" s="594"/>
    </row>
    <row r="16640" spans="16:16">
      <c r="P16640" s="594"/>
    </row>
    <row r="16641" spans="16:16">
      <c r="P16641" s="594"/>
    </row>
    <row r="16642" spans="16:16">
      <c r="P16642" s="594"/>
    </row>
    <row r="16643" spans="16:16">
      <c r="P16643" s="594"/>
    </row>
    <row r="16644" spans="16:16">
      <c r="P16644" s="594"/>
    </row>
    <row r="16645" spans="16:16">
      <c r="P16645" s="594"/>
    </row>
    <row r="16646" spans="16:16">
      <c r="P16646" s="594"/>
    </row>
    <row r="16647" spans="16:16">
      <c r="P16647" s="594"/>
    </row>
    <row r="16648" spans="16:16">
      <c r="P16648" s="594"/>
    </row>
    <row r="16649" spans="16:16">
      <c r="P16649" s="594"/>
    </row>
    <row r="16650" spans="16:16">
      <c r="P16650" s="594"/>
    </row>
    <row r="16651" spans="16:16">
      <c r="P16651" s="594"/>
    </row>
    <row r="16652" spans="16:16">
      <c r="P16652" s="594"/>
    </row>
    <row r="16653" spans="16:16">
      <c r="P16653" s="594"/>
    </row>
    <row r="16654" spans="16:16">
      <c r="P16654" s="594"/>
    </row>
    <row r="16655" spans="16:16">
      <c r="P16655" s="594"/>
    </row>
    <row r="16656" spans="16:16">
      <c r="P16656" s="594"/>
    </row>
    <row r="16657" spans="16:16">
      <c r="P16657" s="594"/>
    </row>
    <row r="16658" spans="16:16">
      <c r="P16658" s="594"/>
    </row>
    <row r="16659" spans="16:16">
      <c r="P16659" s="594"/>
    </row>
    <row r="16660" spans="16:16">
      <c r="P16660" s="594"/>
    </row>
    <row r="16661" spans="16:16">
      <c r="P16661" s="594"/>
    </row>
    <row r="16662" spans="16:16">
      <c r="P16662" s="594"/>
    </row>
    <row r="16663" spans="16:16">
      <c r="P16663" s="594"/>
    </row>
    <row r="16664" spans="16:16">
      <c r="P16664" s="594"/>
    </row>
    <row r="16665" spans="16:16">
      <c r="P16665" s="594"/>
    </row>
    <row r="16666" spans="16:16">
      <c r="P16666" s="594"/>
    </row>
    <row r="16667" spans="16:16">
      <c r="P16667" s="594"/>
    </row>
    <row r="16668" spans="16:16">
      <c r="P16668" s="594"/>
    </row>
    <row r="16669" spans="16:16">
      <c r="P16669" s="594"/>
    </row>
    <row r="16670" spans="16:16">
      <c r="P16670" s="594"/>
    </row>
    <row r="16671" spans="16:16">
      <c r="P16671" s="594"/>
    </row>
    <row r="16672" spans="16:16">
      <c r="P16672" s="594"/>
    </row>
    <row r="16673" spans="16:16">
      <c r="P16673" s="594"/>
    </row>
    <row r="16674" spans="16:16">
      <c r="P16674" s="594"/>
    </row>
    <row r="16675" spans="16:16">
      <c r="P16675" s="594"/>
    </row>
    <row r="16676" spans="16:16">
      <c r="P16676" s="594"/>
    </row>
    <row r="16677" spans="16:16">
      <c r="P16677" s="594"/>
    </row>
    <row r="16678" spans="16:16">
      <c r="P16678" s="594"/>
    </row>
    <row r="16679" spans="16:16">
      <c r="P16679" s="594"/>
    </row>
    <row r="16680" spans="16:16">
      <c r="P16680" s="594"/>
    </row>
    <row r="16681" spans="16:16">
      <c r="P16681" s="594"/>
    </row>
    <row r="16682" spans="16:16">
      <c r="P16682" s="594"/>
    </row>
    <row r="16683" spans="16:16">
      <c r="P16683" s="594"/>
    </row>
    <row r="16684" spans="16:16">
      <c r="P16684" s="594"/>
    </row>
    <row r="16685" spans="16:16">
      <c r="P16685" s="594"/>
    </row>
    <row r="16686" spans="16:16">
      <c r="P16686" s="594"/>
    </row>
    <row r="16687" spans="16:16">
      <c r="P16687" s="594"/>
    </row>
    <row r="16688" spans="16:16">
      <c r="P16688" s="594"/>
    </row>
    <row r="16689" spans="16:16">
      <c r="P16689" s="594"/>
    </row>
    <row r="16690" spans="16:16">
      <c r="P16690" s="594"/>
    </row>
    <row r="16691" spans="16:16">
      <c r="P16691" s="594"/>
    </row>
    <row r="16692" spans="16:16">
      <c r="P16692" s="594"/>
    </row>
    <row r="16693" spans="16:16">
      <c r="P16693" s="594"/>
    </row>
    <row r="16694" spans="16:16">
      <c r="P16694" s="594"/>
    </row>
    <row r="16695" spans="16:16">
      <c r="P16695" s="594"/>
    </row>
    <row r="16696" spans="16:16">
      <c r="P16696" s="594"/>
    </row>
    <row r="16697" spans="16:16">
      <c r="P16697" s="594"/>
    </row>
    <row r="16698" spans="16:16">
      <c r="P16698" s="594"/>
    </row>
    <row r="16699" spans="16:16">
      <c r="P16699" s="594"/>
    </row>
    <row r="16700" spans="16:16">
      <c r="P16700" s="594"/>
    </row>
    <row r="16701" spans="16:16">
      <c r="P16701" s="594"/>
    </row>
    <row r="16702" spans="16:16">
      <c r="P16702" s="594"/>
    </row>
    <row r="16703" spans="16:16">
      <c r="P16703" s="594"/>
    </row>
    <row r="16704" spans="16:16">
      <c r="P16704" s="594"/>
    </row>
    <row r="16705" spans="16:16">
      <c r="P16705" s="594"/>
    </row>
    <row r="16706" spans="16:16">
      <c r="P16706" s="594"/>
    </row>
    <row r="16707" spans="16:16">
      <c r="P16707" s="594"/>
    </row>
    <row r="16708" spans="16:16">
      <c r="P16708" s="594"/>
    </row>
    <row r="16709" spans="16:16">
      <c r="P16709" s="594"/>
    </row>
    <row r="16710" spans="16:16">
      <c r="P16710" s="594"/>
    </row>
    <row r="16711" spans="16:16">
      <c r="P16711" s="594"/>
    </row>
    <row r="16712" spans="16:16">
      <c r="P16712" s="594"/>
    </row>
    <row r="16713" spans="16:16">
      <c r="P16713" s="594"/>
    </row>
    <row r="16714" spans="16:16">
      <c r="P16714" s="594"/>
    </row>
    <row r="16715" spans="16:16">
      <c r="P16715" s="594"/>
    </row>
    <row r="16716" spans="16:16">
      <c r="P16716" s="594"/>
    </row>
    <row r="16717" spans="16:16">
      <c r="P16717" s="594"/>
    </row>
    <row r="16718" spans="16:16">
      <c r="P16718" s="594"/>
    </row>
    <row r="16719" spans="16:16">
      <c r="P16719" s="594"/>
    </row>
    <row r="16720" spans="16:16">
      <c r="P16720" s="594"/>
    </row>
    <row r="16721" spans="16:16">
      <c r="P16721" s="594"/>
    </row>
    <row r="16722" spans="16:16">
      <c r="P16722" s="594"/>
    </row>
    <row r="16723" spans="16:16">
      <c r="P16723" s="594"/>
    </row>
    <row r="16724" spans="16:16">
      <c r="P16724" s="594"/>
    </row>
    <row r="16725" spans="16:16">
      <c r="P16725" s="594"/>
    </row>
    <row r="16726" spans="16:16">
      <c r="P16726" s="594"/>
    </row>
    <row r="16727" spans="16:16">
      <c r="P16727" s="594"/>
    </row>
    <row r="16728" spans="16:16">
      <c r="P16728" s="594"/>
    </row>
    <row r="16729" spans="16:16">
      <c r="P16729" s="594"/>
    </row>
    <row r="16730" spans="16:16">
      <c r="P16730" s="594"/>
    </row>
    <row r="16731" spans="16:16">
      <c r="P16731" s="594"/>
    </row>
    <row r="16732" spans="16:16">
      <c r="P16732" s="594"/>
    </row>
    <row r="16733" spans="16:16">
      <c r="P16733" s="594"/>
    </row>
    <row r="16734" spans="16:16">
      <c r="P16734" s="594"/>
    </row>
    <row r="16735" spans="16:16">
      <c r="P16735" s="594"/>
    </row>
    <row r="16736" spans="16:16">
      <c r="P16736" s="594"/>
    </row>
    <row r="16737" spans="16:16">
      <c r="P16737" s="594"/>
    </row>
    <row r="16738" spans="16:16">
      <c r="P16738" s="594"/>
    </row>
    <row r="16739" spans="16:16">
      <c r="P16739" s="594"/>
    </row>
    <row r="16740" spans="16:16">
      <c r="P16740" s="594"/>
    </row>
    <row r="16741" spans="16:16">
      <c r="P16741" s="594"/>
    </row>
    <row r="16742" spans="16:16">
      <c r="P16742" s="594"/>
    </row>
    <row r="16743" spans="16:16">
      <c r="P16743" s="594"/>
    </row>
    <row r="16744" spans="16:16">
      <c r="P16744" s="594"/>
    </row>
    <row r="16745" spans="16:16">
      <c r="P16745" s="594"/>
    </row>
    <row r="16746" spans="16:16">
      <c r="P16746" s="594"/>
    </row>
    <row r="16747" spans="16:16">
      <c r="P16747" s="594"/>
    </row>
    <row r="16748" spans="16:16">
      <c r="P16748" s="594"/>
    </row>
    <row r="16749" spans="16:16">
      <c r="P16749" s="594"/>
    </row>
    <row r="16750" spans="16:16">
      <c r="P16750" s="594"/>
    </row>
    <row r="16751" spans="16:16">
      <c r="P16751" s="594"/>
    </row>
    <row r="16752" spans="16:16">
      <c r="P16752" s="594"/>
    </row>
    <row r="16753" spans="16:16">
      <c r="P16753" s="594"/>
    </row>
    <row r="16754" spans="16:16">
      <c r="P16754" s="594"/>
    </row>
    <row r="16755" spans="16:16">
      <c r="P16755" s="594"/>
    </row>
    <row r="16756" spans="16:16">
      <c r="P16756" s="594"/>
    </row>
    <row r="16757" spans="16:16">
      <c r="P16757" s="594"/>
    </row>
    <row r="16758" spans="16:16">
      <c r="P16758" s="594"/>
    </row>
    <row r="16759" spans="16:16">
      <c r="P16759" s="594"/>
    </row>
    <row r="16760" spans="16:16">
      <c r="P16760" s="594"/>
    </row>
    <row r="16761" spans="16:16">
      <c r="P16761" s="594"/>
    </row>
    <row r="16762" spans="16:16">
      <c r="P16762" s="594"/>
    </row>
    <row r="16763" spans="16:16">
      <c r="P16763" s="594"/>
    </row>
    <row r="16764" spans="16:16">
      <c r="P16764" s="594"/>
    </row>
    <row r="16765" spans="16:16">
      <c r="P16765" s="594"/>
    </row>
    <row r="16766" spans="16:16">
      <c r="P16766" s="594"/>
    </row>
    <row r="16767" spans="16:16">
      <c r="P16767" s="594"/>
    </row>
    <row r="16768" spans="16:16">
      <c r="P16768" s="594"/>
    </row>
    <row r="16769" spans="16:16">
      <c r="P16769" s="594"/>
    </row>
    <row r="16770" spans="16:16">
      <c r="P16770" s="594"/>
    </row>
    <row r="16771" spans="16:16">
      <c r="P16771" s="594"/>
    </row>
    <row r="16772" spans="16:16">
      <c r="P16772" s="594"/>
    </row>
    <row r="16773" spans="16:16">
      <c r="P16773" s="594"/>
    </row>
    <row r="16774" spans="16:16">
      <c r="P16774" s="594"/>
    </row>
    <row r="16775" spans="16:16">
      <c r="P16775" s="594"/>
    </row>
    <row r="16776" spans="16:16">
      <c r="P16776" s="594"/>
    </row>
    <row r="16777" spans="16:16">
      <c r="P16777" s="594"/>
    </row>
    <row r="16778" spans="16:16">
      <c r="P16778" s="594"/>
    </row>
    <row r="16779" spans="16:16">
      <c r="P16779" s="594"/>
    </row>
    <row r="16780" spans="16:16">
      <c r="P16780" s="594"/>
    </row>
    <row r="16781" spans="16:16">
      <c r="P16781" s="594"/>
    </row>
    <row r="16782" spans="16:16">
      <c r="P16782" s="594"/>
    </row>
    <row r="16783" spans="16:16">
      <c r="P16783" s="594"/>
    </row>
    <row r="16784" spans="16:16">
      <c r="P16784" s="594"/>
    </row>
    <row r="16785" spans="16:16">
      <c r="P16785" s="594"/>
    </row>
    <row r="16786" spans="16:16">
      <c r="P16786" s="594"/>
    </row>
    <row r="16787" spans="16:16">
      <c r="P16787" s="594"/>
    </row>
    <row r="16788" spans="16:16">
      <c r="P16788" s="594"/>
    </row>
    <row r="16789" spans="16:16">
      <c r="P16789" s="594"/>
    </row>
    <row r="16790" spans="16:16">
      <c r="P16790" s="594"/>
    </row>
    <row r="16791" spans="16:16">
      <c r="P16791" s="594"/>
    </row>
    <row r="16792" spans="16:16">
      <c r="P16792" s="594"/>
    </row>
    <row r="16793" spans="16:16">
      <c r="P16793" s="594"/>
    </row>
    <row r="16794" spans="16:16">
      <c r="P16794" s="594"/>
    </row>
    <row r="16795" spans="16:16">
      <c r="P16795" s="594"/>
    </row>
    <row r="16796" spans="16:16">
      <c r="P16796" s="594"/>
    </row>
    <row r="16797" spans="16:16">
      <c r="P16797" s="594"/>
    </row>
    <row r="16798" spans="16:16">
      <c r="P16798" s="594"/>
    </row>
    <row r="16799" spans="16:16">
      <c r="P16799" s="594"/>
    </row>
    <row r="16800" spans="16:16">
      <c r="P16800" s="594"/>
    </row>
    <row r="16801" spans="16:16">
      <c r="P16801" s="594"/>
    </row>
    <row r="16802" spans="16:16">
      <c r="P16802" s="594"/>
    </row>
    <row r="16803" spans="16:16">
      <c r="P16803" s="594"/>
    </row>
    <row r="16804" spans="16:16">
      <c r="P16804" s="594"/>
    </row>
    <row r="16805" spans="16:16">
      <c r="P16805" s="594"/>
    </row>
    <row r="16806" spans="16:16">
      <c r="P16806" s="594"/>
    </row>
    <row r="16807" spans="16:16">
      <c r="P16807" s="594"/>
    </row>
    <row r="16808" spans="16:16">
      <c r="P16808" s="594"/>
    </row>
    <row r="16809" spans="16:16">
      <c r="P16809" s="594"/>
    </row>
    <row r="16810" spans="16:16">
      <c r="P16810" s="594"/>
    </row>
    <row r="16811" spans="16:16">
      <c r="P16811" s="594"/>
    </row>
    <row r="16812" spans="16:16">
      <c r="P16812" s="594"/>
    </row>
    <row r="16813" spans="16:16">
      <c r="P16813" s="594"/>
    </row>
    <row r="16814" spans="16:16">
      <c r="P16814" s="594"/>
    </row>
    <row r="16815" spans="16:16">
      <c r="P16815" s="594"/>
    </row>
    <row r="16816" spans="16:16">
      <c r="P16816" s="594"/>
    </row>
    <row r="16817" spans="16:16">
      <c r="P16817" s="594"/>
    </row>
    <row r="16818" spans="16:16">
      <c r="P16818" s="594"/>
    </row>
    <row r="16819" spans="16:16">
      <c r="P16819" s="594"/>
    </row>
    <row r="16820" spans="16:16">
      <c r="P16820" s="594"/>
    </row>
    <row r="16821" spans="16:16">
      <c r="P16821" s="594"/>
    </row>
    <row r="16822" spans="16:16">
      <c r="P16822" s="594"/>
    </row>
    <row r="16823" spans="16:16">
      <c r="P16823" s="594"/>
    </row>
    <row r="16824" spans="16:16">
      <c r="P16824" s="594"/>
    </row>
    <row r="16825" spans="16:16">
      <c r="P16825" s="594"/>
    </row>
    <row r="16826" spans="16:16">
      <c r="P16826" s="594"/>
    </row>
    <row r="16827" spans="16:16">
      <c r="P16827" s="594"/>
    </row>
    <row r="16828" spans="16:16">
      <c r="P16828" s="594"/>
    </row>
    <row r="16829" spans="16:16">
      <c r="P16829" s="594"/>
    </row>
    <row r="16830" spans="16:16">
      <c r="P16830" s="594"/>
    </row>
    <row r="16831" spans="16:16">
      <c r="P16831" s="594"/>
    </row>
    <row r="16832" spans="16:16">
      <c r="P16832" s="594"/>
    </row>
    <row r="16833" spans="16:16">
      <c r="P16833" s="594"/>
    </row>
    <row r="16834" spans="16:16">
      <c r="P16834" s="594"/>
    </row>
    <row r="16835" spans="16:16">
      <c r="P16835" s="594"/>
    </row>
    <row r="16836" spans="16:16">
      <c r="P16836" s="594"/>
    </row>
    <row r="16837" spans="16:16">
      <c r="P16837" s="594"/>
    </row>
    <row r="16838" spans="16:16">
      <c r="P16838" s="594"/>
    </row>
    <row r="16839" spans="16:16">
      <c r="P16839" s="594"/>
    </row>
    <row r="16840" spans="16:16">
      <c r="P16840" s="594"/>
    </row>
    <row r="16841" spans="16:16">
      <c r="P16841" s="594"/>
    </row>
    <row r="16842" spans="16:16">
      <c r="P16842" s="594"/>
    </row>
    <row r="16843" spans="16:16">
      <c r="P16843" s="594"/>
    </row>
    <row r="16844" spans="16:16">
      <c r="P16844" s="594"/>
    </row>
    <row r="16845" spans="16:16">
      <c r="P16845" s="594"/>
    </row>
    <row r="16846" spans="16:16">
      <c r="P16846" s="594"/>
    </row>
    <row r="16847" spans="16:16">
      <c r="P16847" s="594"/>
    </row>
    <row r="16848" spans="16:16">
      <c r="P16848" s="594"/>
    </row>
    <row r="16849" spans="16:16">
      <c r="P16849" s="594"/>
    </row>
    <row r="16850" spans="16:16">
      <c r="P16850" s="594"/>
    </row>
    <row r="16851" spans="16:16">
      <c r="P16851" s="594"/>
    </row>
    <row r="16852" spans="16:16">
      <c r="P16852" s="594"/>
    </row>
    <row r="16853" spans="16:16">
      <c r="P16853" s="594"/>
    </row>
    <row r="16854" spans="16:16">
      <c r="P16854" s="594"/>
    </row>
    <row r="16855" spans="16:16">
      <c r="P16855" s="594"/>
    </row>
    <row r="16856" spans="16:16">
      <c r="P16856" s="594"/>
    </row>
    <row r="16857" spans="16:16">
      <c r="P16857" s="594"/>
    </row>
    <row r="16858" spans="16:16">
      <c r="P16858" s="594"/>
    </row>
    <row r="16859" spans="16:16">
      <c r="P16859" s="594"/>
    </row>
    <row r="16860" spans="16:16">
      <c r="P16860" s="594"/>
    </row>
    <row r="16861" spans="16:16">
      <c r="P16861" s="594"/>
    </row>
    <row r="16862" spans="16:16">
      <c r="P16862" s="594"/>
    </row>
    <row r="16863" spans="16:16">
      <c r="P16863" s="594"/>
    </row>
    <row r="16864" spans="16:16">
      <c r="P16864" s="594"/>
    </row>
    <row r="16865" spans="16:16">
      <c r="P16865" s="594"/>
    </row>
    <row r="16866" spans="16:16">
      <c r="P16866" s="594"/>
    </row>
    <row r="16867" spans="16:16">
      <c r="P16867" s="594"/>
    </row>
    <row r="16868" spans="16:16">
      <c r="P16868" s="594"/>
    </row>
    <row r="16869" spans="16:16">
      <c r="P16869" s="594"/>
    </row>
    <row r="16870" spans="16:16">
      <c r="P16870" s="594"/>
    </row>
    <row r="16871" spans="16:16">
      <c r="P16871" s="594"/>
    </row>
    <row r="16872" spans="16:16">
      <c r="P16872" s="594"/>
    </row>
    <row r="16873" spans="16:16">
      <c r="P16873" s="594"/>
    </row>
    <row r="16874" spans="16:16">
      <c r="P16874" s="594"/>
    </row>
    <row r="16875" spans="16:16">
      <c r="P16875" s="594"/>
    </row>
    <row r="16876" spans="16:16">
      <c r="P16876" s="594"/>
    </row>
    <row r="16877" spans="16:16">
      <c r="P16877" s="594"/>
    </row>
    <row r="16878" spans="16:16">
      <c r="P16878" s="594"/>
    </row>
    <row r="16879" spans="16:16">
      <c r="P16879" s="594"/>
    </row>
    <row r="16880" spans="16:16">
      <c r="P16880" s="594"/>
    </row>
    <row r="16881" spans="16:16">
      <c r="P16881" s="594"/>
    </row>
    <row r="16882" spans="16:16">
      <c r="P16882" s="594"/>
    </row>
    <row r="16883" spans="16:16">
      <c r="P16883" s="594"/>
    </row>
    <row r="16884" spans="16:16">
      <c r="P16884" s="594"/>
    </row>
    <row r="16885" spans="16:16">
      <c r="P16885" s="594"/>
    </row>
    <row r="16886" spans="16:16">
      <c r="P16886" s="594"/>
    </row>
    <row r="16887" spans="16:16">
      <c r="P16887" s="594"/>
    </row>
    <row r="16888" spans="16:16">
      <c r="P16888" s="594"/>
    </row>
    <row r="16889" spans="16:16">
      <c r="P16889" s="594"/>
    </row>
    <row r="16890" spans="16:16">
      <c r="P16890" s="594"/>
    </row>
    <row r="16891" spans="16:16">
      <c r="P16891" s="594"/>
    </row>
    <row r="16892" spans="16:16">
      <c r="P16892" s="594"/>
    </row>
    <row r="16893" spans="16:16">
      <c r="P16893" s="594"/>
    </row>
    <row r="16894" spans="16:16">
      <c r="P16894" s="594"/>
    </row>
    <row r="16895" spans="16:16">
      <c r="P16895" s="594"/>
    </row>
    <row r="16896" spans="16:16">
      <c r="P16896" s="594"/>
    </row>
    <row r="16897" spans="16:16">
      <c r="P16897" s="594"/>
    </row>
    <row r="16898" spans="16:16">
      <c r="P16898" s="594"/>
    </row>
    <row r="16899" spans="16:16">
      <c r="P16899" s="594"/>
    </row>
    <row r="16900" spans="16:16">
      <c r="P16900" s="594"/>
    </row>
    <row r="16901" spans="16:16">
      <c r="P16901" s="594"/>
    </row>
    <row r="16902" spans="16:16">
      <c r="P16902" s="594"/>
    </row>
    <row r="16903" spans="16:16">
      <c r="P16903" s="594"/>
    </row>
    <row r="16904" spans="16:16">
      <c r="P16904" s="594"/>
    </row>
    <row r="16905" spans="16:16">
      <c r="P16905" s="594"/>
    </row>
    <row r="16906" spans="16:16">
      <c r="P16906" s="594"/>
    </row>
    <row r="16907" spans="16:16">
      <c r="P16907" s="594"/>
    </row>
    <row r="16908" spans="16:16">
      <c r="P16908" s="594"/>
    </row>
    <row r="16909" spans="16:16">
      <c r="P16909" s="594"/>
    </row>
    <row r="16910" spans="16:16">
      <c r="P16910" s="594"/>
    </row>
    <row r="16911" spans="16:16">
      <c r="P16911" s="594"/>
    </row>
    <row r="16912" spans="16:16">
      <c r="P16912" s="594"/>
    </row>
    <row r="16913" spans="16:16">
      <c r="P16913" s="594"/>
    </row>
    <row r="16914" spans="16:16">
      <c r="P16914" s="594"/>
    </row>
    <row r="16915" spans="16:16">
      <c r="P16915" s="594"/>
    </row>
    <row r="16916" spans="16:16">
      <c r="P16916" s="594"/>
    </row>
    <row r="16917" spans="16:16">
      <c r="P16917" s="594"/>
    </row>
    <row r="16918" spans="16:16">
      <c r="P16918" s="594"/>
    </row>
    <row r="16919" spans="16:16">
      <c r="P16919" s="594"/>
    </row>
    <row r="16920" spans="16:16">
      <c r="P16920" s="594"/>
    </row>
    <row r="16921" spans="16:16">
      <c r="P16921" s="594"/>
    </row>
    <row r="16922" spans="16:16">
      <c r="P16922" s="594"/>
    </row>
    <row r="16923" spans="16:16">
      <c r="P16923" s="594"/>
    </row>
    <row r="16924" spans="16:16">
      <c r="P16924" s="594"/>
    </row>
    <row r="16925" spans="16:16">
      <c r="P16925" s="594"/>
    </row>
    <row r="16926" spans="16:16">
      <c r="P16926" s="594"/>
    </row>
    <row r="16927" spans="16:16">
      <c r="P16927" s="594"/>
    </row>
    <row r="16928" spans="16:16">
      <c r="P16928" s="594"/>
    </row>
    <row r="16929" spans="16:16">
      <c r="P16929" s="594"/>
    </row>
    <row r="16930" spans="16:16">
      <c r="P16930" s="594"/>
    </row>
    <row r="16931" spans="16:16">
      <c r="P16931" s="594"/>
    </row>
    <row r="16932" spans="16:16">
      <c r="P16932" s="594"/>
    </row>
    <row r="16933" spans="16:16">
      <c r="P16933" s="594"/>
    </row>
    <row r="16934" spans="16:16">
      <c r="P16934" s="594"/>
    </row>
    <row r="16935" spans="16:16">
      <c r="P16935" s="594"/>
    </row>
    <row r="16936" spans="16:16">
      <c r="P16936" s="594"/>
    </row>
    <row r="16937" spans="16:16">
      <c r="P16937" s="594"/>
    </row>
    <row r="16938" spans="16:16">
      <c r="P16938" s="594"/>
    </row>
    <row r="16939" spans="16:16">
      <c r="P16939" s="594"/>
    </row>
    <row r="16940" spans="16:16">
      <c r="P16940" s="594"/>
    </row>
    <row r="16941" spans="16:16">
      <c r="P16941" s="594"/>
    </row>
    <row r="16942" spans="16:16">
      <c r="P16942" s="594"/>
    </row>
    <row r="16943" spans="16:16">
      <c r="P16943" s="594"/>
    </row>
    <row r="16944" spans="16:16">
      <c r="P16944" s="594"/>
    </row>
    <row r="16945" spans="16:16">
      <c r="P16945" s="594"/>
    </row>
    <row r="16946" spans="16:16">
      <c r="P16946" s="594"/>
    </row>
    <row r="16947" spans="16:16">
      <c r="P16947" s="594"/>
    </row>
    <row r="16948" spans="16:16">
      <c r="P16948" s="594"/>
    </row>
    <row r="16949" spans="16:16">
      <c r="P16949" s="594"/>
    </row>
    <row r="16950" spans="16:16">
      <c r="P16950" s="594"/>
    </row>
    <row r="16951" spans="16:16">
      <c r="P16951" s="594"/>
    </row>
    <row r="16952" spans="16:16">
      <c r="P16952" s="594"/>
    </row>
    <row r="16953" spans="16:16">
      <c r="P16953" s="594"/>
    </row>
    <row r="16954" spans="16:16">
      <c r="P16954" s="594"/>
    </row>
    <row r="16955" spans="16:16">
      <c r="P16955" s="594"/>
    </row>
    <row r="16956" spans="16:16">
      <c r="P16956" s="594"/>
    </row>
    <row r="16957" spans="16:16">
      <c r="P16957" s="594"/>
    </row>
    <row r="16958" spans="16:16">
      <c r="P16958" s="594"/>
    </row>
    <row r="16959" spans="16:16">
      <c r="P16959" s="594"/>
    </row>
    <row r="16960" spans="16:16">
      <c r="P16960" s="594"/>
    </row>
    <row r="16961" spans="16:16">
      <c r="P16961" s="594"/>
    </row>
    <row r="16962" spans="16:16">
      <c r="P16962" s="594"/>
    </row>
    <row r="16963" spans="16:16">
      <c r="P16963" s="594"/>
    </row>
    <row r="16964" spans="16:16">
      <c r="P16964" s="594"/>
    </row>
    <row r="16965" spans="16:16">
      <c r="P16965" s="594"/>
    </row>
    <row r="16966" spans="16:16">
      <c r="P16966" s="594"/>
    </row>
    <row r="16967" spans="16:16">
      <c r="P16967" s="594"/>
    </row>
    <row r="16968" spans="16:16">
      <c r="P16968" s="594"/>
    </row>
    <row r="16969" spans="16:16">
      <c r="P16969" s="594"/>
    </row>
    <row r="16970" spans="16:16">
      <c r="P16970" s="594"/>
    </row>
    <row r="16971" spans="16:16">
      <c r="P16971" s="594"/>
    </row>
    <row r="16972" spans="16:16">
      <c r="P16972" s="594"/>
    </row>
    <row r="16973" spans="16:16">
      <c r="P16973" s="594"/>
    </row>
    <row r="16974" spans="16:16">
      <c r="P16974" s="594"/>
    </row>
    <row r="16975" spans="16:16">
      <c r="P16975" s="594"/>
    </row>
    <row r="16976" spans="16:16">
      <c r="P16976" s="594"/>
    </row>
    <row r="16977" spans="16:16">
      <c r="P16977" s="594"/>
    </row>
    <row r="16978" spans="16:16">
      <c r="P16978" s="594"/>
    </row>
    <row r="16979" spans="16:16">
      <c r="P16979" s="594"/>
    </row>
    <row r="16980" spans="16:16">
      <c r="P16980" s="594"/>
    </row>
    <row r="16981" spans="16:16">
      <c r="P16981" s="594"/>
    </row>
    <row r="16982" spans="16:16">
      <c r="P16982" s="594"/>
    </row>
    <row r="16983" spans="16:16">
      <c r="P16983" s="594"/>
    </row>
    <row r="16984" spans="16:16">
      <c r="P16984" s="594"/>
    </row>
    <row r="16985" spans="16:16">
      <c r="P16985" s="594"/>
    </row>
    <row r="16986" spans="16:16">
      <c r="P16986" s="594"/>
    </row>
    <row r="16987" spans="16:16">
      <c r="P16987" s="594"/>
    </row>
    <row r="16988" spans="16:16">
      <c r="P16988" s="594"/>
    </row>
    <row r="16989" spans="16:16">
      <c r="P16989" s="594"/>
    </row>
    <row r="16990" spans="16:16">
      <c r="P16990" s="594"/>
    </row>
    <row r="16991" spans="16:16">
      <c r="P16991" s="594"/>
    </row>
    <row r="16992" spans="16:16">
      <c r="P16992" s="594"/>
    </row>
    <row r="16993" spans="16:16">
      <c r="P16993" s="594"/>
    </row>
    <row r="16994" spans="16:16">
      <c r="P16994" s="594"/>
    </row>
    <row r="16995" spans="16:16">
      <c r="P16995" s="594"/>
    </row>
    <row r="16996" spans="16:16">
      <c r="P16996" s="594"/>
    </row>
    <row r="16997" spans="16:16">
      <c r="P16997" s="594"/>
    </row>
    <row r="16998" spans="16:16">
      <c r="P16998" s="594"/>
    </row>
    <row r="16999" spans="16:16">
      <c r="P16999" s="594"/>
    </row>
    <row r="17000" spans="16:16">
      <c r="P17000" s="594"/>
    </row>
    <row r="17001" spans="16:16">
      <c r="P17001" s="594"/>
    </row>
    <row r="17002" spans="16:16">
      <c r="P17002" s="594"/>
    </row>
    <row r="17003" spans="16:16">
      <c r="P17003" s="594"/>
    </row>
    <row r="17004" spans="16:16">
      <c r="P17004" s="594"/>
    </row>
    <row r="17005" spans="16:16">
      <c r="P17005" s="594"/>
    </row>
    <row r="17006" spans="16:16">
      <c r="P17006" s="594"/>
    </row>
    <row r="17007" spans="16:16">
      <c r="P17007" s="594"/>
    </row>
    <row r="17008" spans="16:16">
      <c r="P17008" s="594"/>
    </row>
    <row r="17009" spans="16:16">
      <c r="P17009" s="594"/>
    </row>
    <row r="17010" spans="16:16">
      <c r="P17010" s="594"/>
    </row>
    <row r="17011" spans="16:16">
      <c r="P17011" s="594"/>
    </row>
    <row r="17012" spans="16:16">
      <c r="P17012" s="594"/>
    </row>
    <row r="17013" spans="16:16">
      <c r="P17013" s="594"/>
    </row>
    <row r="17014" spans="16:16">
      <c r="P17014" s="594"/>
    </row>
    <row r="17015" spans="16:16">
      <c r="P17015" s="594"/>
    </row>
    <row r="17016" spans="16:16">
      <c r="P17016" s="594"/>
    </row>
    <row r="17017" spans="16:16">
      <c r="P17017" s="594"/>
    </row>
    <row r="17018" spans="16:16">
      <c r="P17018" s="594"/>
    </row>
    <row r="17019" spans="16:16">
      <c r="P17019" s="594"/>
    </row>
    <row r="17020" spans="16:16">
      <c r="P17020" s="594"/>
    </row>
    <row r="17021" spans="16:16">
      <c r="P17021" s="594"/>
    </row>
    <row r="17022" spans="16:16">
      <c r="P17022" s="594"/>
    </row>
    <row r="17023" spans="16:16">
      <c r="P17023" s="594"/>
    </row>
    <row r="17024" spans="16:16">
      <c r="P17024" s="594"/>
    </row>
    <row r="17025" spans="16:16">
      <c r="P17025" s="594"/>
    </row>
    <row r="17026" spans="16:16">
      <c r="P17026" s="594"/>
    </row>
    <row r="17027" spans="16:16">
      <c r="P17027" s="594"/>
    </row>
    <row r="17028" spans="16:16">
      <c r="P17028" s="594"/>
    </row>
    <row r="17029" spans="16:16">
      <c r="P17029" s="594"/>
    </row>
    <row r="17030" spans="16:16">
      <c r="P17030" s="594"/>
    </row>
    <row r="17031" spans="16:16">
      <c r="P17031" s="594"/>
    </row>
    <row r="17032" spans="16:16">
      <c r="P17032" s="594"/>
    </row>
    <row r="17033" spans="16:16">
      <c r="P17033" s="594"/>
    </row>
    <row r="17034" spans="16:16">
      <c r="P17034" s="594"/>
    </row>
    <row r="17035" spans="16:16">
      <c r="P17035" s="594"/>
    </row>
    <row r="17036" spans="16:16">
      <c r="P17036" s="594"/>
    </row>
    <row r="17037" spans="16:16">
      <c r="P17037" s="594"/>
    </row>
    <row r="17038" spans="16:16">
      <c r="P17038" s="594"/>
    </row>
    <row r="17039" spans="16:16">
      <c r="P17039" s="594"/>
    </row>
    <row r="17040" spans="16:16">
      <c r="P17040" s="594"/>
    </row>
    <row r="17041" spans="16:16">
      <c r="P17041" s="594"/>
    </row>
    <row r="17042" spans="16:16">
      <c r="P17042" s="594"/>
    </row>
    <row r="17043" spans="16:16">
      <c r="P17043" s="594"/>
    </row>
    <row r="17044" spans="16:16">
      <c r="P17044" s="594"/>
    </row>
    <row r="17045" spans="16:16">
      <c r="P17045" s="594"/>
    </row>
    <row r="17046" spans="16:16">
      <c r="P17046" s="594"/>
    </row>
    <row r="17047" spans="16:16">
      <c r="P17047" s="594"/>
    </row>
    <row r="17048" spans="16:16">
      <c r="P17048" s="594"/>
    </row>
    <row r="17049" spans="16:16">
      <c r="P17049" s="594"/>
    </row>
    <row r="17050" spans="16:16">
      <c r="P17050" s="594"/>
    </row>
    <row r="17051" spans="16:16">
      <c r="P17051" s="594"/>
    </row>
    <row r="17052" spans="16:16">
      <c r="P17052" s="594"/>
    </row>
    <row r="17053" spans="16:16">
      <c r="P17053" s="594"/>
    </row>
    <row r="17054" spans="16:16">
      <c r="P17054" s="594"/>
    </row>
    <row r="17055" spans="16:16">
      <c r="P17055" s="594"/>
    </row>
    <row r="17056" spans="16:16">
      <c r="P17056" s="594"/>
    </row>
    <row r="17057" spans="16:16">
      <c r="P17057" s="594"/>
    </row>
    <row r="17058" spans="16:16">
      <c r="P17058" s="594"/>
    </row>
    <row r="17059" spans="16:16">
      <c r="P17059" s="594"/>
    </row>
    <row r="17060" spans="16:16">
      <c r="P17060" s="594"/>
    </row>
    <row r="17061" spans="16:16">
      <c r="P17061" s="594"/>
    </row>
    <row r="17062" spans="16:16">
      <c r="P17062" s="594"/>
    </row>
    <row r="17063" spans="16:16">
      <c r="P17063" s="594"/>
    </row>
    <row r="17064" spans="16:16">
      <c r="P17064" s="594"/>
    </row>
    <row r="17065" spans="16:16">
      <c r="P17065" s="594"/>
    </row>
    <row r="17066" spans="16:16">
      <c r="P17066" s="594"/>
    </row>
    <row r="17067" spans="16:16">
      <c r="P17067" s="594"/>
    </row>
    <row r="17068" spans="16:16">
      <c r="P17068" s="594"/>
    </row>
    <row r="17069" spans="16:16">
      <c r="P17069" s="594"/>
    </row>
    <row r="17070" spans="16:16">
      <c r="P17070" s="594"/>
    </row>
    <row r="17071" spans="16:16">
      <c r="P17071" s="594"/>
    </row>
    <row r="17072" spans="16:16">
      <c r="P17072" s="594"/>
    </row>
    <row r="17073" spans="16:16">
      <c r="P17073" s="594"/>
    </row>
    <row r="17074" spans="16:16">
      <c r="P17074" s="594"/>
    </row>
    <row r="17075" spans="16:16">
      <c r="P17075" s="594"/>
    </row>
    <row r="17076" spans="16:16">
      <c r="P17076" s="594"/>
    </row>
    <row r="17077" spans="16:16">
      <c r="P17077" s="594"/>
    </row>
    <row r="17078" spans="16:16">
      <c r="P17078" s="594"/>
    </row>
    <row r="17079" spans="16:16">
      <c r="P17079" s="594"/>
    </row>
    <row r="17080" spans="16:16">
      <c r="P17080" s="594"/>
    </row>
    <row r="17081" spans="16:16">
      <c r="P17081" s="594"/>
    </row>
    <row r="17082" spans="16:16">
      <c r="P17082" s="594"/>
    </row>
    <row r="17083" spans="16:16">
      <c r="P17083" s="594"/>
    </row>
    <row r="17084" spans="16:16">
      <c r="P17084" s="594"/>
    </row>
    <row r="17085" spans="16:16">
      <c r="P17085" s="594"/>
    </row>
    <row r="17086" spans="16:16">
      <c r="P17086" s="594"/>
    </row>
    <row r="17087" spans="16:16">
      <c r="P17087" s="594"/>
    </row>
    <row r="17088" spans="16:16">
      <c r="P17088" s="594"/>
    </row>
    <row r="17089" spans="16:16">
      <c r="P17089" s="594"/>
    </row>
    <row r="17090" spans="16:16">
      <c r="P17090" s="594"/>
    </row>
    <row r="17091" spans="16:16">
      <c r="P17091" s="594"/>
    </row>
    <row r="17092" spans="16:16">
      <c r="P17092" s="594"/>
    </row>
    <row r="17093" spans="16:16">
      <c r="P17093" s="594"/>
    </row>
    <row r="17094" spans="16:16">
      <c r="P17094" s="594"/>
    </row>
    <row r="17095" spans="16:16">
      <c r="P17095" s="594"/>
    </row>
    <row r="17096" spans="16:16">
      <c r="P17096" s="594"/>
    </row>
    <row r="17097" spans="16:16">
      <c r="P17097" s="594"/>
    </row>
    <row r="17098" spans="16:16">
      <c r="P17098" s="594"/>
    </row>
    <row r="17099" spans="16:16">
      <c r="P17099" s="594"/>
    </row>
    <row r="17100" spans="16:16">
      <c r="P17100" s="594"/>
    </row>
    <row r="17101" spans="16:16">
      <c r="P17101" s="594"/>
    </row>
    <row r="17102" spans="16:16">
      <c r="P17102" s="594"/>
    </row>
    <row r="17103" spans="16:16">
      <c r="P17103" s="594"/>
    </row>
    <row r="17104" spans="16:16">
      <c r="P17104" s="594"/>
    </row>
    <row r="17105" spans="16:16">
      <c r="P17105" s="594"/>
    </row>
    <row r="17106" spans="16:16">
      <c r="P17106" s="594"/>
    </row>
    <row r="17107" spans="16:16">
      <c r="P17107" s="594"/>
    </row>
    <row r="17108" spans="16:16">
      <c r="P17108" s="594"/>
    </row>
    <row r="17109" spans="16:16">
      <c r="P17109" s="594"/>
    </row>
    <row r="17110" spans="16:16">
      <c r="P17110" s="594"/>
    </row>
    <row r="17111" spans="16:16">
      <c r="P17111" s="594"/>
    </row>
    <row r="17112" spans="16:16">
      <c r="P17112" s="594"/>
    </row>
    <row r="17113" spans="16:16">
      <c r="P17113" s="594"/>
    </row>
    <row r="17114" spans="16:16">
      <c r="P17114" s="594"/>
    </row>
    <row r="17115" spans="16:16">
      <c r="P17115" s="594"/>
    </row>
    <row r="17116" spans="16:16">
      <c r="P17116" s="594"/>
    </row>
    <row r="17117" spans="16:16">
      <c r="P17117" s="594"/>
    </row>
    <row r="17118" spans="16:16">
      <c r="P17118" s="594"/>
    </row>
    <row r="17119" spans="16:16">
      <c r="P17119" s="594"/>
    </row>
    <row r="17120" spans="16:16">
      <c r="P17120" s="594"/>
    </row>
    <row r="17121" spans="16:16">
      <c r="P17121" s="594"/>
    </row>
    <row r="17122" spans="16:16">
      <c r="P17122" s="594"/>
    </row>
    <row r="17123" spans="16:16">
      <c r="P17123" s="594"/>
    </row>
    <row r="17124" spans="16:16">
      <c r="P17124" s="594"/>
    </row>
    <row r="17125" spans="16:16">
      <c r="P17125" s="594"/>
    </row>
    <row r="17126" spans="16:16">
      <c r="P17126" s="594"/>
    </row>
    <row r="17127" spans="16:16">
      <c r="P17127" s="594"/>
    </row>
    <row r="17128" spans="16:16">
      <c r="P17128" s="594"/>
    </row>
    <row r="17129" spans="16:16">
      <c r="P17129" s="594"/>
    </row>
    <row r="17130" spans="16:16">
      <c r="P17130" s="594"/>
    </row>
    <row r="17131" spans="16:16">
      <c r="P17131" s="594"/>
    </row>
    <row r="17132" spans="16:16">
      <c r="P17132" s="594"/>
    </row>
    <row r="17133" spans="16:16">
      <c r="P17133" s="594"/>
    </row>
    <row r="17134" spans="16:16">
      <c r="P17134" s="594"/>
    </row>
    <row r="17135" spans="16:16">
      <c r="P17135" s="594"/>
    </row>
    <row r="17136" spans="16:16">
      <c r="P17136" s="594"/>
    </row>
    <row r="17137" spans="16:16">
      <c r="P17137" s="594"/>
    </row>
    <row r="17138" spans="16:16">
      <c r="P17138" s="594"/>
    </row>
    <row r="17139" spans="16:16">
      <c r="P17139" s="594"/>
    </row>
    <row r="17140" spans="16:16">
      <c r="P17140" s="594"/>
    </row>
    <row r="17141" spans="16:16">
      <c r="P17141" s="594"/>
    </row>
    <row r="17142" spans="16:16">
      <c r="P17142" s="594"/>
    </row>
    <row r="17143" spans="16:16">
      <c r="P17143" s="594"/>
    </row>
    <row r="17144" spans="16:16">
      <c r="P17144" s="594"/>
    </row>
    <row r="17145" spans="16:16">
      <c r="P17145" s="594"/>
    </row>
    <row r="17146" spans="16:16">
      <c r="P17146" s="594"/>
    </row>
    <row r="17147" spans="16:16">
      <c r="P17147" s="594"/>
    </row>
    <row r="17148" spans="16:16">
      <c r="P17148" s="594"/>
    </row>
    <row r="17149" spans="16:16">
      <c r="P17149" s="594"/>
    </row>
    <row r="17150" spans="16:16">
      <c r="P17150" s="594"/>
    </row>
    <row r="17151" spans="16:16">
      <c r="P17151" s="594"/>
    </row>
    <row r="17152" spans="16:16">
      <c r="P17152" s="594"/>
    </row>
    <row r="17153" spans="16:16">
      <c r="P17153" s="594"/>
    </row>
    <row r="17154" spans="16:16">
      <c r="P17154" s="594"/>
    </row>
    <row r="17155" spans="16:16">
      <c r="P17155" s="594"/>
    </row>
    <row r="17156" spans="16:16">
      <c r="P17156" s="594"/>
    </row>
    <row r="17157" spans="16:16">
      <c r="P17157" s="594"/>
    </row>
    <row r="17158" spans="16:16">
      <c r="P17158" s="594"/>
    </row>
    <row r="17159" spans="16:16">
      <c r="P17159" s="594"/>
    </row>
    <row r="17160" spans="16:16">
      <c r="P17160" s="594"/>
    </row>
    <row r="17161" spans="16:16">
      <c r="P17161" s="594"/>
    </row>
    <row r="17162" spans="16:16">
      <c r="P17162" s="594"/>
    </row>
    <row r="17163" spans="16:16">
      <c r="P17163" s="594"/>
    </row>
    <row r="17164" spans="16:16">
      <c r="P17164" s="594"/>
    </row>
    <row r="17165" spans="16:16">
      <c r="P17165" s="594"/>
    </row>
    <row r="17166" spans="16:16">
      <c r="P17166" s="594"/>
    </row>
    <row r="17167" spans="16:16">
      <c r="P17167" s="594"/>
    </row>
    <row r="17168" spans="16:16">
      <c r="P17168" s="594"/>
    </row>
    <row r="17169" spans="16:16">
      <c r="P17169" s="594"/>
    </row>
    <row r="17170" spans="16:16">
      <c r="P17170" s="594"/>
    </row>
    <row r="17171" spans="16:16">
      <c r="P17171" s="594"/>
    </row>
    <row r="17172" spans="16:16">
      <c r="P17172" s="594"/>
    </row>
    <row r="17173" spans="16:16">
      <c r="P17173" s="594"/>
    </row>
    <row r="17174" spans="16:16">
      <c r="P17174" s="594"/>
    </row>
    <row r="17175" spans="16:16">
      <c r="P17175" s="594"/>
    </row>
    <row r="17176" spans="16:16">
      <c r="P17176" s="594"/>
    </row>
    <row r="17177" spans="16:16">
      <c r="P17177" s="594"/>
    </row>
    <row r="17178" spans="16:16">
      <c r="P17178" s="594"/>
    </row>
    <row r="17179" spans="16:16">
      <c r="P17179" s="594"/>
    </row>
    <row r="17180" spans="16:16">
      <c r="P17180" s="594"/>
    </row>
    <row r="17181" spans="16:16">
      <c r="P17181" s="594"/>
    </row>
    <row r="17182" spans="16:16">
      <c r="P17182" s="594"/>
    </row>
    <row r="17183" spans="16:16">
      <c r="P17183" s="594"/>
    </row>
    <row r="17184" spans="16:16">
      <c r="P17184" s="594"/>
    </row>
    <row r="17185" spans="16:16">
      <c r="P17185" s="594"/>
    </row>
    <row r="17186" spans="16:16">
      <c r="P17186" s="594"/>
    </row>
    <row r="17187" spans="16:16">
      <c r="P17187" s="594"/>
    </row>
    <row r="17188" spans="16:16">
      <c r="P17188" s="594"/>
    </row>
    <row r="17189" spans="16:16">
      <c r="P17189" s="594"/>
    </row>
    <row r="17190" spans="16:16">
      <c r="P17190" s="594"/>
    </row>
    <row r="17191" spans="16:16">
      <c r="P17191" s="594"/>
    </row>
    <row r="17192" spans="16:16">
      <c r="P17192" s="594"/>
    </row>
    <row r="17193" spans="16:16">
      <c r="P17193" s="594"/>
    </row>
    <row r="17194" spans="16:16">
      <c r="P17194" s="594"/>
    </row>
    <row r="17195" spans="16:16">
      <c r="P17195" s="594"/>
    </row>
    <row r="17196" spans="16:16">
      <c r="P17196" s="594"/>
    </row>
    <row r="17197" spans="16:16">
      <c r="P17197" s="594"/>
    </row>
    <row r="17198" spans="16:16">
      <c r="P17198" s="594"/>
    </row>
    <row r="17199" spans="16:16">
      <c r="P17199" s="594"/>
    </row>
    <row r="17200" spans="16:16">
      <c r="P17200" s="594"/>
    </row>
    <row r="17201" spans="16:16">
      <c r="P17201" s="594"/>
    </row>
    <row r="17202" spans="16:16">
      <c r="P17202" s="594"/>
    </row>
    <row r="17203" spans="16:16">
      <c r="P17203" s="594"/>
    </row>
    <row r="17204" spans="16:16">
      <c r="P17204" s="594"/>
    </row>
    <row r="17205" spans="16:16">
      <c r="P17205" s="594"/>
    </row>
    <row r="17206" spans="16:16">
      <c r="P17206" s="594"/>
    </row>
    <row r="17207" spans="16:16">
      <c r="P17207" s="594"/>
    </row>
    <row r="17208" spans="16:16">
      <c r="P17208" s="594"/>
    </row>
    <row r="17209" spans="16:16">
      <c r="P17209" s="594"/>
    </row>
    <row r="17210" spans="16:16">
      <c r="P17210" s="594"/>
    </row>
    <row r="17211" spans="16:16">
      <c r="P17211" s="594"/>
    </row>
    <row r="17212" spans="16:16">
      <c r="P17212" s="594"/>
    </row>
    <row r="17213" spans="16:16">
      <c r="P17213" s="594"/>
    </row>
    <row r="17214" spans="16:16">
      <c r="P17214" s="594"/>
    </row>
    <row r="17215" spans="16:16">
      <c r="P17215" s="594"/>
    </row>
    <row r="17216" spans="16:16">
      <c r="P17216" s="594"/>
    </row>
    <row r="17217" spans="16:16">
      <c r="P17217" s="594"/>
    </row>
    <row r="17218" spans="16:16">
      <c r="P17218" s="594"/>
    </row>
    <row r="17219" spans="16:16">
      <c r="P17219" s="594"/>
    </row>
    <row r="17220" spans="16:16">
      <c r="P17220" s="594"/>
    </row>
    <row r="17221" spans="16:16">
      <c r="P17221" s="594"/>
    </row>
    <row r="17222" spans="16:16">
      <c r="P17222" s="594"/>
    </row>
    <row r="17223" spans="16:16">
      <c r="P17223" s="594"/>
    </row>
    <row r="17224" spans="16:16">
      <c r="P17224" s="594"/>
    </row>
    <row r="17225" spans="16:16">
      <c r="P17225" s="594"/>
    </row>
    <row r="17226" spans="16:16">
      <c r="P17226" s="594"/>
    </row>
    <row r="17227" spans="16:16">
      <c r="P17227" s="594"/>
    </row>
    <row r="17228" spans="16:16">
      <c r="P17228" s="594"/>
    </row>
    <row r="17229" spans="16:16">
      <c r="P17229" s="594"/>
    </row>
    <row r="17230" spans="16:16">
      <c r="P17230" s="594"/>
    </row>
    <row r="17231" spans="16:16">
      <c r="P17231" s="594"/>
    </row>
    <row r="17232" spans="16:16">
      <c r="P17232" s="594"/>
    </row>
    <row r="17233" spans="16:16">
      <c r="P17233" s="594"/>
    </row>
    <row r="17234" spans="16:16">
      <c r="P17234" s="594"/>
    </row>
    <row r="17235" spans="16:16">
      <c r="P17235" s="594"/>
    </row>
    <row r="17236" spans="16:16">
      <c r="P17236" s="594"/>
    </row>
    <row r="17237" spans="16:16">
      <c r="P17237" s="594"/>
    </row>
    <row r="17238" spans="16:16">
      <c r="P17238" s="594"/>
    </row>
    <row r="17239" spans="16:16">
      <c r="P17239" s="594"/>
    </row>
    <row r="17240" spans="16:16">
      <c r="P17240" s="594"/>
    </row>
    <row r="17241" spans="16:16">
      <c r="P17241" s="594"/>
    </row>
    <row r="17242" spans="16:16">
      <c r="P17242" s="594"/>
    </row>
    <row r="17243" spans="16:16">
      <c r="P17243" s="594"/>
    </row>
    <row r="17244" spans="16:16">
      <c r="P17244" s="594"/>
    </row>
    <row r="17245" spans="16:16">
      <c r="P17245" s="594"/>
    </row>
    <row r="17246" spans="16:16">
      <c r="P17246" s="594"/>
    </row>
    <row r="17247" spans="16:16">
      <c r="P17247" s="594"/>
    </row>
    <row r="17248" spans="16:16">
      <c r="P17248" s="594"/>
    </row>
    <row r="17249" spans="16:16">
      <c r="P17249" s="594"/>
    </row>
    <row r="17250" spans="16:16">
      <c r="P17250" s="594"/>
    </row>
    <row r="17251" spans="16:16">
      <c r="P17251" s="594"/>
    </row>
    <row r="17252" spans="16:16">
      <c r="P17252" s="594"/>
    </row>
    <row r="17253" spans="16:16">
      <c r="P17253" s="594"/>
    </row>
    <row r="17254" spans="16:16">
      <c r="P17254" s="594"/>
    </row>
    <row r="17255" spans="16:16">
      <c r="P17255" s="594"/>
    </row>
    <row r="17256" spans="16:16">
      <c r="P17256" s="594"/>
    </row>
    <row r="17257" spans="16:16">
      <c r="P17257" s="594"/>
    </row>
    <row r="17258" spans="16:16">
      <c r="P17258" s="594"/>
    </row>
    <row r="17259" spans="16:16">
      <c r="P17259" s="594"/>
    </row>
    <row r="17260" spans="16:16">
      <c r="P17260" s="594"/>
    </row>
    <row r="17261" spans="16:16">
      <c r="P17261" s="594"/>
    </row>
    <row r="17262" spans="16:16">
      <c r="P17262" s="594"/>
    </row>
    <row r="17263" spans="16:16">
      <c r="P17263" s="594"/>
    </row>
    <row r="17264" spans="16:16">
      <c r="P17264" s="594"/>
    </row>
    <row r="17265" spans="16:16">
      <c r="P17265" s="594"/>
    </row>
    <row r="17266" spans="16:16">
      <c r="P17266" s="594"/>
    </row>
    <row r="17267" spans="16:16">
      <c r="P17267" s="594"/>
    </row>
    <row r="17268" spans="16:16">
      <c r="P17268" s="594"/>
    </row>
    <row r="17269" spans="16:16">
      <c r="P17269" s="594"/>
    </row>
    <row r="17270" spans="16:16">
      <c r="P17270" s="594"/>
    </row>
    <row r="17271" spans="16:16">
      <c r="P17271" s="594"/>
    </row>
    <row r="17272" spans="16:16">
      <c r="P17272" s="594"/>
    </row>
    <row r="17273" spans="16:16">
      <c r="P17273" s="594"/>
    </row>
    <row r="17274" spans="16:16">
      <c r="P17274" s="594"/>
    </row>
    <row r="17275" spans="16:16">
      <c r="P17275" s="594"/>
    </row>
    <row r="17276" spans="16:16">
      <c r="P17276" s="594"/>
    </row>
    <row r="17277" spans="16:16">
      <c r="P17277" s="594"/>
    </row>
    <row r="17278" spans="16:16">
      <c r="P17278" s="594"/>
    </row>
    <row r="17279" spans="16:16">
      <c r="P17279" s="594"/>
    </row>
    <row r="17280" spans="16:16">
      <c r="P17280" s="594"/>
    </row>
    <row r="17281" spans="16:16">
      <c r="P17281" s="594"/>
    </row>
    <row r="17282" spans="16:16">
      <c r="P17282" s="594"/>
    </row>
    <row r="17283" spans="16:16">
      <c r="P17283" s="594"/>
    </row>
    <row r="17284" spans="16:16">
      <c r="P17284" s="594"/>
    </row>
    <row r="17285" spans="16:16">
      <c r="P17285" s="594"/>
    </row>
    <row r="17286" spans="16:16">
      <c r="P17286" s="594"/>
    </row>
    <row r="17287" spans="16:16">
      <c r="P17287" s="594"/>
    </row>
    <row r="17288" spans="16:16">
      <c r="P17288" s="594"/>
    </row>
    <row r="17289" spans="16:16">
      <c r="P17289" s="594"/>
    </row>
    <row r="17290" spans="16:16">
      <c r="P17290" s="594"/>
    </row>
    <row r="17291" spans="16:16">
      <c r="P17291" s="594"/>
    </row>
    <row r="17292" spans="16:16">
      <c r="P17292" s="594"/>
    </row>
    <row r="17293" spans="16:16">
      <c r="P17293" s="594"/>
    </row>
    <row r="17294" spans="16:16">
      <c r="P17294" s="594"/>
    </row>
    <row r="17295" spans="16:16">
      <c r="P17295" s="594"/>
    </row>
    <row r="17296" spans="16:16">
      <c r="P17296" s="594"/>
    </row>
    <row r="17297" spans="16:16">
      <c r="P17297" s="594"/>
    </row>
    <row r="17298" spans="16:16">
      <c r="P17298" s="594"/>
    </row>
    <row r="17299" spans="16:16">
      <c r="P17299" s="594"/>
    </row>
    <row r="17300" spans="16:16">
      <c r="P17300" s="594"/>
    </row>
    <row r="17301" spans="16:16">
      <c r="P17301" s="594"/>
    </row>
    <row r="17302" spans="16:16">
      <c r="P17302" s="594"/>
    </row>
    <row r="17303" spans="16:16">
      <c r="P17303" s="594"/>
    </row>
    <row r="17304" spans="16:16">
      <c r="P17304" s="594"/>
    </row>
    <row r="17305" spans="16:16">
      <c r="P17305" s="594"/>
    </row>
    <row r="17306" spans="16:16">
      <c r="P17306" s="594"/>
    </row>
    <row r="17307" spans="16:16">
      <c r="P17307" s="594"/>
    </row>
    <row r="17308" spans="16:16">
      <c r="P17308" s="594"/>
    </row>
    <row r="17309" spans="16:16">
      <c r="P17309" s="594"/>
    </row>
    <row r="17310" spans="16:16">
      <c r="P17310" s="594"/>
    </row>
    <row r="17311" spans="16:16">
      <c r="P17311" s="594"/>
    </row>
    <row r="17312" spans="16:16">
      <c r="P17312" s="594"/>
    </row>
    <row r="17313" spans="16:16">
      <c r="P17313" s="594"/>
    </row>
    <row r="17314" spans="16:16">
      <c r="P17314" s="594"/>
    </row>
    <row r="17315" spans="16:16">
      <c r="P17315" s="594"/>
    </row>
    <row r="17316" spans="16:16">
      <c r="P17316" s="594"/>
    </row>
    <row r="17317" spans="16:16">
      <c r="P17317" s="594"/>
    </row>
    <row r="17318" spans="16:16">
      <c r="P17318" s="594"/>
    </row>
    <row r="17319" spans="16:16">
      <c r="P17319" s="594"/>
    </row>
    <row r="17320" spans="16:16">
      <c r="P17320" s="594"/>
    </row>
    <row r="17321" spans="16:16">
      <c r="P17321" s="594"/>
    </row>
    <row r="17322" spans="16:16">
      <c r="P17322" s="594"/>
    </row>
    <row r="17323" spans="16:16">
      <c r="P17323" s="594"/>
    </row>
    <row r="17324" spans="16:16">
      <c r="P17324" s="594"/>
    </row>
    <row r="17325" spans="16:16">
      <c r="P17325" s="594"/>
    </row>
    <row r="17326" spans="16:16">
      <c r="P17326" s="594"/>
    </row>
    <row r="17327" spans="16:16">
      <c r="P17327" s="594"/>
    </row>
    <row r="17328" spans="16:16">
      <c r="P17328" s="594"/>
    </row>
    <row r="17329" spans="16:16">
      <c r="P17329" s="594"/>
    </row>
    <row r="17330" spans="16:16">
      <c r="P17330" s="594"/>
    </row>
    <row r="17331" spans="16:16">
      <c r="P17331" s="594"/>
    </row>
    <row r="17332" spans="16:16">
      <c r="P17332" s="594"/>
    </row>
    <row r="17333" spans="16:16">
      <c r="P17333" s="594"/>
    </row>
    <row r="17334" spans="16:16">
      <c r="P17334" s="594"/>
    </row>
    <row r="17335" spans="16:16">
      <c r="P17335" s="594"/>
    </row>
    <row r="17336" spans="16:16">
      <c r="P17336" s="594"/>
    </row>
    <row r="17337" spans="16:16">
      <c r="P17337" s="594"/>
    </row>
    <row r="17338" spans="16:16">
      <c r="P17338" s="594"/>
    </row>
    <row r="17339" spans="16:16">
      <c r="P17339" s="594"/>
    </row>
    <row r="17340" spans="16:16">
      <c r="P17340" s="594"/>
    </row>
    <row r="17341" spans="16:16">
      <c r="P17341" s="594"/>
    </row>
    <row r="17342" spans="16:16">
      <c r="P17342" s="594"/>
    </row>
    <row r="17343" spans="16:16">
      <c r="P17343" s="594"/>
    </row>
    <row r="17344" spans="16:16">
      <c r="P17344" s="594"/>
    </row>
    <row r="17345" spans="16:16">
      <c r="P17345" s="594"/>
    </row>
    <row r="17346" spans="16:16">
      <c r="P17346" s="594"/>
    </row>
    <row r="17347" spans="16:16">
      <c r="P17347" s="594"/>
    </row>
    <row r="17348" spans="16:16">
      <c r="P17348" s="594"/>
    </row>
    <row r="17349" spans="16:16">
      <c r="P17349" s="594"/>
    </row>
    <row r="17350" spans="16:16">
      <c r="P17350" s="594"/>
    </row>
    <row r="17351" spans="16:16">
      <c r="P17351" s="594"/>
    </row>
    <row r="17352" spans="16:16">
      <c r="P17352" s="594"/>
    </row>
    <row r="17353" spans="16:16">
      <c r="P17353" s="594"/>
    </row>
    <row r="17354" spans="16:16">
      <c r="P17354" s="594"/>
    </row>
    <row r="17355" spans="16:16">
      <c r="P17355" s="594"/>
    </row>
    <row r="17356" spans="16:16">
      <c r="P17356" s="594"/>
    </row>
    <row r="17357" spans="16:16">
      <c r="P17357" s="594"/>
    </row>
    <row r="17358" spans="16:16">
      <c r="P17358" s="594"/>
    </row>
    <row r="17359" spans="16:16">
      <c r="P17359" s="594"/>
    </row>
    <row r="17360" spans="16:16">
      <c r="P17360" s="594"/>
    </row>
    <row r="17361" spans="16:16">
      <c r="P17361" s="594"/>
    </row>
    <row r="17362" spans="16:16">
      <c r="P17362" s="594"/>
    </row>
    <row r="17363" spans="16:16">
      <c r="P17363" s="594"/>
    </row>
    <row r="17364" spans="16:16">
      <c r="P17364" s="594"/>
    </row>
    <row r="17365" spans="16:16">
      <c r="P17365" s="594"/>
    </row>
    <row r="17366" spans="16:16">
      <c r="P17366" s="594"/>
    </row>
    <row r="17367" spans="16:16">
      <c r="P17367" s="594"/>
    </row>
    <row r="17368" spans="16:16">
      <c r="P17368" s="594"/>
    </row>
    <row r="17369" spans="16:16">
      <c r="P17369" s="594"/>
    </row>
    <row r="17370" spans="16:16">
      <c r="P17370" s="594"/>
    </row>
    <row r="17371" spans="16:16">
      <c r="P17371" s="594"/>
    </row>
    <row r="17372" spans="16:16">
      <c r="P17372" s="594"/>
    </row>
    <row r="17373" spans="16:16">
      <c r="P17373" s="594"/>
    </row>
    <row r="17374" spans="16:16">
      <c r="P17374" s="594"/>
    </row>
    <row r="17375" spans="16:16">
      <c r="P17375" s="594"/>
    </row>
    <row r="17376" spans="16:16">
      <c r="P17376" s="594"/>
    </row>
    <row r="17377" spans="16:16">
      <c r="P17377" s="594"/>
    </row>
    <row r="17378" spans="16:16">
      <c r="P17378" s="594"/>
    </row>
    <row r="17379" spans="16:16">
      <c r="P17379" s="594"/>
    </row>
    <row r="17380" spans="16:16">
      <c r="P17380" s="594"/>
    </row>
    <row r="17381" spans="16:16">
      <c r="P17381" s="594"/>
    </row>
    <row r="17382" spans="16:16">
      <c r="P17382" s="594"/>
    </row>
    <row r="17383" spans="16:16">
      <c r="P17383" s="594"/>
    </row>
    <row r="17384" spans="16:16">
      <c r="P17384" s="594"/>
    </row>
    <row r="17385" spans="16:16">
      <c r="P17385" s="594"/>
    </row>
    <row r="17386" spans="16:16">
      <c r="P17386" s="594"/>
    </row>
    <row r="17387" spans="16:16">
      <c r="P17387" s="594"/>
    </row>
    <row r="17388" spans="16:16">
      <c r="P17388" s="594"/>
    </row>
    <row r="17389" spans="16:16">
      <c r="P17389" s="594"/>
    </row>
    <row r="17390" spans="16:16">
      <c r="P17390" s="594"/>
    </row>
    <row r="17391" spans="16:16">
      <c r="P17391" s="594"/>
    </row>
    <row r="17392" spans="16:16">
      <c r="P17392" s="594"/>
    </row>
    <row r="17393" spans="16:16">
      <c r="P17393" s="594"/>
    </row>
    <row r="17394" spans="16:16">
      <c r="P17394" s="594"/>
    </row>
    <row r="17395" spans="16:16">
      <c r="P17395" s="594"/>
    </row>
    <row r="17396" spans="16:16">
      <c r="P17396" s="594"/>
    </row>
    <row r="17397" spans="16:16">
      <c r="P17397" s="594"/>
    </row>
    <row r="17398" spans="16:16">
      <c r="P17398" s="594"/>
    </row>
    <row r="17399" spans="16:16">
      <c r="P17399" s="594"/>
    </row>
    <row r="17400" spans="16:16">
      <c r="P17400" s="594"/>
    </row>
    <row r="17401" spans="16:16">
      <c r="P17401" s="594"/>
    </row>
    <row r="17402" spans="16:16">
      <c r="P17402" s="594"/>
    </row>
    <row r="17403" spans="16:16">
      <c r="P17403" s="594"/>
    </row>
    <row r="17404" spans="16:16">
      <c r="P17404" s="594"/>
    </row>
    <row r="17405" spans="16:16">
      <c r="P17405" s="594"/>
    </row>
    <row r="17406" spans="16:16">
      <c r="P17406" s="594"/>
    </row>
    <row r="17407" spans="16:16">
      <c r="P17407" s="594"/>
    </row>
    <row r="17408" spans="16:16">
      <c r="P17408" s="594"/>
    </row>
    <row r="17409" spans="16:16">
      <c r="P17409" s="594"/>
    </row>
    <row r="17410" spans="16:16">
      <c r="P17410" s="594"/>
    </row>
    <row r="17411" spans="16:16">
      <c r="P17411" s="594"/>
    </row>
    <row r="17412" spans="16:16">
      <c r="P17412" s="594"/>
    </row>
    <row r="17413" spans="16:16">
      <c r="P17413" s="594"/>
    </row>
    <row r="17414" spans="16:16">
      <c r="P17414" s="594"/>
    </row>
    <row r="17415" spans="16:16">
      <c r="P17415" s="594"/>
    </row>
    <row r="17416" spans="16:16">
      <c r="P17416" s="594"/>
    </row>
    <row r="17417" spans="16:16">
      <c r="P17417" s="594"/>
    </row>
    <row r="17418" spans="16:16">
      <c r="P17418" s="594"/>
    </row>
    <row r="17419" spans="16:16">
      <c r="P17419" s="594"/>
    </row>
    <row r="17420" spans="16:16">
      <c r="P17420" s="594"/>
    </row>
    <row r="17421" spans="16:16">
      <c r="P17421" s="594"/>
    </row>
    <row r="17422" spans="16:16">
      <c r="P17422" s="594"/>
    </row>
    <row r="17423" spans="16:16">
      <c r="P17423" s="594"/>
    </row>
    <row r="17424" spans="16:16">
      <c r="P17424" s="594"/>
    </row>
    <row r="17425" spans="16:16">
      <c r="P17425" s="594"/>
    </row>
    <row r="17426" spans="16:16">
      <c r="P17426" s="594"/>
    </row>
    <row r="17427" spans="16:16">
      <c r="P17427" s="594"/>
    </row>
    <row r="17428" spans="16:16">
      <c r="P17428" s="594"/>
    </row>
    <row r="17429" spans="16:16">
      <c r="P17429" s="594"/>
    </row>
    <row r="17430" spans="16:16">
      <c r="P17430" s="594"/>
    </row>
    <row r="17431" spans="16:16">
      <c r="P17431" s="594"/>
    </row>
    <row r="17432" spans="16:16">
      <c r="P17432" s="594"/>
    </row>
    <row r="17433" spans="16:16">
      <c r="P17433" s="594"/>
    </row>
    <row r="17434" spans="16:16">
      <c r="P17434" s="594"/>
    </row>
    <row r="17435" spans="16:16">
      <c r="P17435" s="594"/>
    </row>
    <row r="17436" spans="16:16">
      <c r="P17436" s="594"/>
    </row>
    <row r="17437" spans="16:16">
      <c r="P17437" s="594"/>
    </row>
    <row r="17438" spans="16:16">
      <c r="P17438" s="594"/>
    </row>
    <row r="17439" spans="16:16">
      <c r="P17439" s="594"/>
    </row>
    <row r="17440" spans="16:16">
      <c r="P17440" s="594"/>
    </row>
    <row r="17441" spans="16:16">
      <c r="P17441" s="594"/>
    </row>
    <row r="17442" spans="16:16">
      <c r="P17442" s="594"/>
    </row>
    <row r="17443" spans="16:16">
      <c r="P17443" s="594"/>
    </row>
    <row r="17444" spans="16:16">
      <c r="P17444" s="594"/>
    </row>
    <row r="17445" spans="16:16">
      <c r="P17445" s="594"/>
    </row>
    <row r="17446" spans="16:16">
      <c r="P17446" s="594"/>
    </row>
    <row r="17447" spans="16:16">
      <c r="P17447" s="594"/>
    </row>
    <row r="17448" spans="16:16">
      <c r="P17448" s="594"/>
    </row>
    <row r="17449" spans="16:16">
      <c r="P17449" s="594"/>
    </row>
    <row r="17450" spans="16:16">
      <c r="P17450" s="594"/>
    </row>
    <row r="17451" spans="16:16">
      <c r="P17451" s="594"/>
    </row>
    <row r="17452" spans="16:16">
      <c r="P17452" s="594"/>
    </row>
    <row r="17453" spans="16:16">
      <c r="P17453" s="594"/>
    </row>
    <row r="17454" spans="16:16">
      <c r="P17454" s="594"/>
    </row>
    <row r="17455" spans="16:16">
      <c r="P17455" s="594"/>
    </row>
    <row r="17456" spans="16:16">
      <c r="P17456" s="594"/>
    </row>
    <row r="17457" spans="16:16">
      <c r="P17457" s="594"/>
    </row>
    <row r="17458" spans="16:16">
      <c r="P17458" s="594"/>
    </row>
    <row r="17459" spans="16:16">
      <c r="P17459" s="594"/>
    </row>
    <row r="17460" spans="16:16">
      <c r="P17460" s="594"/>
    </row>
    <row r="17461" spans="16:16">
      <c r="P17461" s="594"/>
    </row>
    <row r="17462" spans="16:16">
      <c r="P17462" s="594"/>
    </row>
    <row r="17463" spans="16:16">
      <c r="P17463" s="594"/>
    </row>
    <row r="17464" spans="16:16">
      <c r="P17464" s="594"/>
    </row>
    <row r="17465" spans="16:16">
      <c r="P17465" s="594"/>
    </row>
    <row r="17466" spans="16:16">
      <c r="P17466" s="594"/>
    </row>
    <row r="17467" spans="16:16">
      <c r="P17467" s="594"/>
    </row>
    <row r="17468" spans="16:16">
      <c r="P17468" s="594"/>
    </row>
    <row r="17469" spans="16:16">
      <c r="P17469" s="594"/>
    </row>
    <row r="17470" spans="16:16">
      <c r="P17470" s="594"/>
    </row>
    <row r="17471" spans="16:16">
      <c r="P17471" s="594"/>
    </row>
    <row r="17472" spans="16:16">
      <c r="P17472" s="594"/>
    </row>
    <row r="17473" spans="16:16">
      <c r="P17473" s="594"/>
    </row>
    <row r="17474" spans="16:16">
      <c r="P17474" s="594"/>
    </row>
    <row r="17475" spans="16:16">
      <c r="P17475" s="594"/>
    </row>
    <row r="17476" spans="16:16">
      <c r="P17476" s="594"/>
    </row>
    <row r="17477" spans="16:16">
      <c r="P17477" s="594"/>
    </row>
    <row r="17478" spans="16:16">
      <c r="P17478" s="594"/>
    </row>
    <row r="17479" spans="16:16">
      <c r="P17479" s="594"/>
    </row>
    <row r="17480" spans="16:16">
      <c r="P17480" s="594"/>
    </row>
    <row r="17481" spans="16:16">
      <c r="P17481" s="594"/>
    </row>
    <row r="17482" spans="16:16">
      <c r="P17482" s="594"/>
    </row>
    <row r="17483" spans="16:16">
      <c r="P17483" s="594"/>
    </row>
    <row r="17484" spans="16:16">
      <c r="P17484" s="594"/>
    </row>
    <row r="17485" spans="16:16">
      <c r="P17485" s="594"/>
    </row>
    <row r="17486" spans="16:16">
      <c r="P17486" s="594"/>
    </row>
    <row r="17487" spans="16:16">
      <c r="P17487" s="594"/>
    </row>
    <row r="17488" spans="16:16">
      <c r="P17488" s="594"/>
    </row>
    <row r="17489" spans="16:16">
      <c r="P17489" s="594"/>
    </row>
    <row r="17490" spans="16:16">
      <c r="P17490" s="594"/>
    </row>
    <row r="17491" spans="16:16">
      <c r="P17491" s="594"/>
    </row>
    <row r="17492" spans="16:16">
      <c r="P17492" s="594"/>
    </row>
    <row r="17493" spans="16:16">
      <c r="P17493" s="594"/>
    </row>
    <row r="17494" spans="16:16">
      <c r="P17494" s="594"/>
    </row>
    <row r="17495" spans="16:16">
      <c r="P17495" s="594"/>
    </row>
    <row r="17496" spans="16:16">
      <c r="P17496" s="594"/>
    </row>
    <row r="17497" spans="16:16">
      <c r="P17497" s="594"/>
    </row>
    <row r="17498" spans="16:16">
      <c r="P17498" s="594"/>
    </row>
    <row r="17499" spans="16:16">
      <c r="P17499" s="594"/>
    </row>
    <row r="17500" spans="16:16">
      <c r="P17500" s="594"/>
    </row>
    <row r="17501" spans="16:16">
      <c r="P17501" s="594"/>
    </row>
    <row r="17502" spans="16:16">
      <c r="P17502" s="594"/>
    </row>
    <row r="17503" spans="16:16">
      <c r="P17503" s="594"/>
    </row>
    <row r="17504" spans="16:16">
      <c r="P17504" s="594"/>
    </row>
    <row r="17505" spans="16:16">
      <c r="P17505" s="594"/>
    </row>
    <row r="17506" spans="16:16">
      <c r="P17506" s="594"/>
    </row>
    <row r="17507" spans="16:16">
      <c r="P17507" s="594"/>
    </row>
    <row r="17508" spans="16:16">
      <c r="P17508" s="594"/>
    </row>
    <row r="17509" spans="16:16">
      <c r="P17509" s="594"/>
    </row>
    <row r="17510" spans="16:16">
      <c r="P17510" s="594"/>
    </row>
    <row r="17511" spans="16:16">
      <c r="P17511" s="594"/>
    </row>
    <row r="17512" spans="16:16">
      <c r="P17512" s="594"/>
    </row>
    <row r="17513" spans="16:16">
      <c r="P17513" s="594"/>
    </row>
    <row r="17514" spans="16:16">
      <c r="P17514" s="594"/>
    </row>
    <row r="17515" spans="16:16">
      <c r="P17515" s="594"/>
    </row>
    <row r="17516" spans="16:16">
      <c r="P17516" s="594"/>
    </row>
    <row r="17517" spans="16:16">
      <c r="P17517" s="594"/>
    </row>
    <row r="17518" spans="16:16">
      <c r="P17518" s="594"/>
    </row>
    <row r="17519" spans="16:16">
      <c r="P17519" s="594"/>
    </row>
    <row r="17520" spans="16:16">
      <c r="P17520" s="594"/>
    </row>
    <row r="17521" spans="16:16">
      <c r="P17521" s="594"/>
    </row>
    <row r="17522" spans="16:16">
      <c r="P17522" s="594"/>
    </row>
    <row r="17523" spans="16:16">
      <c r="P17523" s="594"/>
    </row>
    <row r="17524" spans="16:16">
      <c r="P17524" s="594"/>
    </row>
    <row r="17525" spans="16:16">
      <c r="P17525" s="594"/>
    </row>
    <row r="17526" spans="16:16">
      <c r="P17526" s="594"/>
    </row>
    <row r="17527" spans="16:16">
      <c r="P17527" s="594"/>
    </row>
    <row r="17528" spans="16:16">
      <c r="P17528" s="594"/>
    </row>
    <row r="17529" spans="16:16">
      <c r="P17529" s="594"/>
    </row>
    <row r="17530" spans="16:16">
      <c r="P17530" s="594"/>
    </row>
    <row r="17531" spans="16:16">
      <c r="P17531" s="594"/>
    </row>
    <row r="17532" spans="16:16">
      <c r="P17532" s="594"/>
    </row>
    <row r="17533" spans="16:16">
      <c r="P17533" s="594"/>
    </row>
    <row r="17534" spans="16:16">
      <c r="P17534" s="594"/>
    </row>
    <row r="17535" spans="16:16">
      <c r="P17535" s="594"/>
    </row>
    <row r="17536" spans="16:16">
      <c r="P17536" s="594"/>
    </row>
    <row r="17537" spans="16:16">
      <c r="P17537" s="594"/>
    </row>
    <row r="17538" spans="16:16">
      <c r="P17538" s="594"/>
    </row>
    <row r="17539" spans="16:16">
      <c r="P17539" s="594"/>
    </row>
    <row r="17540" spans="16:16">
      <c r="P17540" s="594"/>
    </row>
    <row r="17541" spans="16:16">
      <c r="P17541" s="594"/>
    </row>
    <row r="17542" spans="16:16">
      <c r="P17542" s="594"/>
    </row>
    <row r="17543" spans="16:16">
      <c r="P17543" s="594"/>
    </row>
    <row r="17544" spans="16:16">
      <c r="P17544" s="594"/>
    </row>
    <row r="17545" spans="16:16">
      <c r="P17545" s="594"/>
    </row>
    <row r="17546" spans="16:16">
      <c r="P17546" s="594"/>
    </row>
    <row r="17547" spans="16:16">
      <c r="P17547" s="594"/>
    </row>
    <row r="17548" spans="16:16">
      <c r="P17548" s="594"/>
    </row>
    <row r="17549" spans="16:16">
      <c r="P17549" s="594"/>
    </row>
    <row r="17550" spans="16:16">
      <c r="P17550" s="594"/>
    </row>
    <row r="17551" spans="16:16">
      <c r="P17551" s="594"/>
    </row>
    <row r="17552" spans="16:16">
      <c r="P17552" s="594"/>
    </row>
    <row r="17553" spans="16:16">
      <c r="P17553" s="594"/>
    </row>
    <row r="17554" spans="16:16">
      <c r="P17554" s="594"/>
    </row>
    <row r="17555" spans="16:16">
      <c r="P17555" s="594"/>
    </row>
    <row r="17556" spans="16:16">
      <c r="P17556" s="594"/>
    </row>
    <row r="17557" spans="16:16">
      <c r="P17557" s="594"/>
    </row>
    <row r="17558" spans="16:16">
      <c r="P17558" s="594"/>
    </row>
    <row r="17559" spans="16:16">
      <c r="P17559" s="594"/>
    </row>
    <row r="17560" spans="16:16">
      <c r="P17560" s="594"/>
    </row>
    <row r="17561" spans="16:16">
      <c r="P17561" s="594"/>
    </row>
    <row r="17562" spans="16:16">
      <c r="P17562" s="594"/>
    </row>
    <row r="17563" spans="16:16">
      <c r="P17563" s="594"/>
    </row>
    <row r="17564" spans="16:16">
      <c r="P17564" s="594"/>
    </row>
    <row r="17565" spans="16:16">
      <c r="P17565" s="594"/>
    </row>
    <row r="17566" spans="16:16">
      <c r="P17566" s="594"/>
    </row>
    <row r="17567" spans="16:16">
      <c r="P17567" s="594"/>
    </row>
    <row r="17568" spans="16:16">
      <c r="P17568" s="594"/>
    </row>
    <row r="17569" spans="16:16">
      <c r="P17569" s="594"/>
    </row>
    <row r="17570" spans="16:16">
      <c r="P17570" s="594"/>
    </row>
    <row r="17571" spans="16:16">
      <c r="P17571" s="594"/>
    </row>
    <row r="17572" spans="16:16">
      <c r="P17572" s="594"/>
    </row>
    <row r="17573" spans="16:16">
      <c r="P17573" s="594"/>
    </row>
    <row r="17574" spans="16:16">
      <c r="P17574" s="594"/>
    </row>
    <row r="17575" spans="16:16">
      <c r="P17575" s="594"/>
    </row>
    <row r="17576" spans="16:16">
      <c r="P17576" s="594"/>
    </row>
    <row r="17577" spans="16:16">
      <c r="P17577" s="594"/>
    </row>
    <row r="17578" spans="16:16">
      <c r="P17578" s="594"/>
    </row>
    <row r="17579" spans="16:16">
      <c r="P17579" s="594"/>
    </row>
    <row r="17580" spans="16:16">
      <c r="P17580" s="594"/>
    </row>
    <row r="17581" spans="16:16">
      <c r="P17581" s="594"/>
    </row>
    <row r="17582" spans="16:16">
      <c r="P17582" s="594"/>
    </row>
    <row r="17583" spans="16:16">
      <c r="P17583" s="594"/>
    </row>
    <row r="17584" spans="16:16">
      <c r="P17584" s="594"/>
    </row>
    <row r="17585" spans="16:16">
      <c r="P17585" s="594"/>
    </row>
    <row r="17586" spans="16:16">
      <c r="P17586" s="594"/>
    </row>
    <row r="17587" spans="16:16">
      <c r="P17587" s="594"/>
    </row>
    <row r="17588" spans="16:16">
      <c r="P17588" s="594"/>
    </row>
    <row r="17589" spans="16:16">
      <c r="P17589" s="594"/>
    </row>
    <row r="17590" spans="16:16">
      <c r="P17590" s="594"/>
    </row>
    <row r="17591" spans="16:16">
      <c r="P17591" s="594"/>
    </row>
    <row r="17592" spans="16:16">
      <c r="P17592" s="594"/>
    </row>
    <row r="17593" spans="16:16">
      <c r="P17593" s="594"/>
    </row>
    <row r="17594" spans="16:16">
      <c r="P17594" s="594"/>
    </row>
    <row r="17595" spans="16:16">
      <c r="P17595" s="594"/>
    </row>
    <row r="17596" spans="16:16">
      <c r="P17596" s="594"/>
    </row>
    <row r="17597" spans="16:16">
      <c r="P17597" s="594"/>
    </row>
    <row r="17598" spans="16:16">
      <c r="P17598" s="594"/>
    </row>
    <row r="17599" spans="16:16">
      <c r="P17599" s="594"/>
    </row>
    <row r="17600" spans="16:16">
      <c r="P17600" s="594"/>
    </row>
    <row r="17601" spans="16:16">
      <c r="P17601" s="594"/>
    </row>
    <row r="17602" spans="16:16">
      <c r="P17602" s="594"/>
    </row>
    <row r="17603" spans="16:16">
      <c r="P17603" s="594"/>
    </row>
    <row r="17604" spans="16:16">
      <c r="P17604" s="594"/>
    </row>
    <row r="17605" spans="16:16">
      <c r="P17605" s="594"/>
    </row>
    <row r="17606" spans="16:16">
      <c r="P17606" s="594"/>
    </row>
    <row r="17607" spans="16:16">
      <c r="P17607" s="594"/>
    </row>
    <row r="17608" spans="16:16">
      <c r="P17608" s="594"/>
    </row>
    <row r="17609" spans="16:16">
      <c r="P17609" s="594"/>
    </row>
    <row r="17610" spans="16:16">
      <c r="P17610" s="594"/>
    </row>
    <row r="17611" spans="16:16">
      <c r="P17611" s="594"/>
    </row>
    <row r="17612" spans="16:16">
      <c r="P17612" s="594"/>
    </row>
    <row r="17613" spans="16:16">
      <c r="P17613" s="594"/>
    </row>
    <row r="17614" spans="16:16">
      <c r="P17614" s="594"/>
    </row>
    <row r="17615" spans="16:16">
      <c r="P17615" s="594"/>
    </row>
    <row r="17616" spans="16:16">
      <c r="P17616" s="594"/>
    </row>
    <row r="17617" spans="16:16">
      <c r="P17617" s="594"/>
    </row>
    <row r="17618" spans="16:16">
      <c r="P17618" s="594"/>
    </row>
    <row r="17619" spans="16:16">
      <c r="P17619" s="594"/>
    </row>
    <row r="17620" spans="16:16">
      <c r="P17620" s="594"/>
    </row>
    <row r="17621" spans="16:16">
      <c r="P17621" s="594"/>
    </row>
    <row r="17622" spans="16:16">
      <c r="P17622" s="594"/>
    </row>
    <row r="17623" spans="16:16">
      <c r="P17623" s="594"/>
    </row>
    <row r="17624" spans="16:16">
      <c r="P17624" s="594"/>
    </row>
    <row r="17625" spans="16:16">
      <c r="P17625" s="594"/>
    </row>
    <row r="17626" spans="16:16">
      <c r="P17626" s="594"/>
    </row>
    <row r="17627" spans="16:16">
      <c r="P17627" s="594"/>
    </row>
    <row r="17628" spans="16:16">
      <c r="P17628" s="594"/>
    </row>
    <row r="17629" spans="16:16">
      <c r="P17629" s="594"/>
    </row>
    <row r="17630" spans="16:16">
      <c r="P17630" s="594"/>
    </row>
    <row r="17631" spans="16:16">
      <c r="P17631" s="594"/>
    </row>
    <row r="17632" spans="16:16">
      <c r="P17632" s="594"/>
    </row>
    <row r="17633" spans="16:16">
      <c r="P17633" s="594"/>
    </row>
    <row r="17634" spans="16:16">
      <c r="P17634" s="594"/>
    </row>
    <row r="17635" spans="16:16">
      <c r="P17635" s="594"/>
    </row>
    <row r="17636" spans="16:16">
      <c r="P17636" s="594"/>
    </row>
    <row r="17637" spans="16:16">
      <c r="P17637" s="594"/>
    </row>
    <row r="17638" spans="16:16">
      <c r="P17638" s="594"/>
    </row>
    <row r="17639" spans="16:16">
      <c r="P17639" s="594"/>
    </row>
    <row r="17640" spans="16:16">
      <c r="P17640" s="594"/>
    </row>
    <row r="17641" spans="16:16">
      <c r="P17641" s="594"/>
    </row>
    <row r="17642" spans="16:16">
      <c r="P17642" s="594"/>
    </row>
    <row r="17643" spans="16:16">
      <c r="P17643" s="594"/>
    </row>
    <row r="17644" spans="16:16">
      <c r="P17644" s="594"/>
    </row>
    <row r="17645" spans="16:16">
      <c r="P17645" s="594"/>
    </row>
    <row r="17646" spans="16:16">
      <c r="P17646" s="594"/>
    </row>
    <row r="17647" spans="16:16">
      <c r="P17647" s="594"/>
    </row>
    <row r="17648" spans="16:16">
      <c r="P17648" s="594"/>
    </row>
    <row r="17649" spans="16:16">
      <c r="P17649" s="594"/>
    </row>
    <row r="17650" spans="16:16">
      <c r="P17650" s="594"/>
    </row>
    <row r="17651" spans="16:16">
      <c r="P17651" s="594"/>
    </row>
    <row r="17652" spans="16:16">
      <c r="P17652" s="594"/>
    </row>
    <row r="17653" spans="16:16">
      <c r="P17653" s="594"/>
    </row>
    <row r="17654" spans="16:16">
      <c r="P17654" s="594"/>
    </row>
    <row r="17655" spans="16:16">
      <c r="P17655" s="594"/>
    </row>
    <row r="17656" spans="16:16">
      <c r="P17656" s="594"/>
    </row>
    <row r="17657" spans="16:16">
      <c r="P17657" s="594"/>
    </row>
    <row r="17658" spans="16:16">
      <c r="P17658" s="594"/>
    </row>
    <row r="17659" spans="16:16">
      <c r="P17659" s="594"/>
    </row>
    <row r="17660" spans="16:16">
      <c r="P17660" s="594"/>
    </row>
    <row r="17661" spans="16:16">
      <c r="P17661" s="594"/>
    </row>
    <row r="17662" spans="16:16">
      <c r="P17662" s="594"/>
    </row>
    <row r="17663" spans="16:16">
      <c r="P17663" s="594"/>
    </row>
    <row r="17664" spans="16:16">
      <c r="P17664" s="594"/>
    </row>
    <row r="17665" spans="16:16">
      <c r="P17665" s="594"/>
    </row>
    <row r="17666" spans="16:16">
      <c r="P17666" s="594"/>
    </row>
    <row r="17667" spans="16:16">
      <c r="P17667" s="594"/>
    </row>
    <row r="17668" spans="16:16">
      <c r="P17668" s="594"/>
    </row>
    <row r="17669" spans="16:16">
      <c r="P17669" s="594"/>
    </row>
    <row r="17670" spans="16:16">
      <c r="P17670" s="594"/>
    </row>
    <row r="17671" spans="16:16">
      <c r="P17671" s="594"/>
    </row>
    <row r="17672" spans="16:16">
      <c r="P17672" s="594"/>
    </row>
    <row r="17673" spans="16:16">
      <c r="P17673" s="594"/>
    </row>
    <row r="17674" spans="16:16">
      <c r="P17674" s="594"/>
    </row>
    <row r="17675" spans="16:16">
      <c r="P17675" s="594"/>
    </row>
    <row r="17676" spans="16:16">
      <c r="P17676" s="594"/>
    </row>
    <row r="17677" spans="16:16">
      <c r="P17677" s="594"/>
    </row>
    <row r="17678" spans="16:16">
      <c r="P17678" s="594"/>
    </row>
    <row r="17679" spans="16:16">
      <c r="P17679" s="594"/>
    </row>
    <row r="17680" spans="16:16">
      <c r="P17680" s="594"/>
    </row>
    <row r="17681" spans="16:16">
      <c r="P17681" s="594"/>
    </row>
    <row r="17682" spans="16:16">
      <c r="P17682" s="594"/>
    </row>
    <row r="17683" spans="16:16">
      <c r="P17683" s="594"/>
    </row>
    <row r="17684" spans="16:16">
      <c r="P17684" s="594"/>
    </row>
    <row r="17685" spans="16:16">
      <c r="P17685" s="594"/>
    </row>
    <row r="17686" spans="16:16">
      <c r="P17686" s="594"/>
    </row>
    <row r="17687" spans="16:16">
      <c r="P17687" s="594"/>
    </row>
    <row r="17688" spans="16:16">
      <c r="P17688" s="594"/>
    </row>
    <row r="17689" spans="16:16">
      <c r="P17689" s="594"/>
    </row>
    <row r="17690" spans="16:16">
      <c r="P17690" s="594"/>
    </row>
    <row r="17691" spans="16:16">
      <c r="P17691" s="594"/>
    </row>
    <row r="17692" spans="16:16">
      <c r="P17692" s="594"/>
    </row>
    <row r="17693" spans="16:16">
      <c r="P17693" s="594"/>
    </row>
    <row r="17694" spans="16:16">
      <c r="P17694" s="594"/>
    </row>
    <row r="17695" spans="16:16">
      <c r="P17695" s="594"/>
    </row>
    <row r="17696" spans="16:16">
      <c r="P17696" s="594"/>
    </row>
    <row r="17697" spans="16:16">
      <c r="P17697" s="594"/>
    </row>
    <row r="17698" spans="16:16">
      <c r="P17698" s="594"/>
    </row>
    <row r="17699" spans="16:16">
      <c r="P17699" s="594"/>
    </row>
    <row r="17700" spans="16:16">
      <c r="P17700" s="594"/>
    </row>
    <row r="17701" spans="16:16">
      <c r="P17701" s="594"/>
    </row>
    <row r="17702" spans="16:16">
      <c r="P17702" s="594"/>
    </row>
    <row r="17703" spans="16:16">
      <c r="P17703" s="594"/>
    </row>
    <row r="17704" spans="16:16">
      <c r="P17704" s="594"/>
    </row>
    <row r="17705" spans="16:16">
      <c r="P17705" s="594"/>
    </row>
    <row r="17706" spans="16:16">
      <c r="P17706" s="594"/>
    </row>
    <row r="17707" spans="16:16">
      <c r="P17707" s="594"/>
    </row>
    <row r="17708" spans="16:16">
      <c r="P17708" s="594"/>
    </row>
    <row r="17709" spans="16:16">
      <c r="P17709" s="594"/>
    </row>
    <row r="17710" spans="16:16">
      <c r="P17710" s="594"/>
    </row>
    <row r="17711" spans="16:16">
      <c r="P17711" s="594"/>
    </row>
    <row r="17712" spans="16:16">
      <c r="P17712" s="594"/>
    </row>
    <row r="17713" spans="16:16">
      <c r="P17713" s="594"/>
    </row>
    <row r="17714" spans="16:16">
      <c r="P17714" s="594"/>
    </row>
    <row r="17715" spans="16:16">
      <c r="P17715" s="594"/>
    </row>
    <row r="17716" spans="16:16">
      <c r="P17716" s="594"/>
    </row>
    <row r="17717" spans="16:16">
      <c r="P17717" s="594"/>
    </row>
    <row r="17718" spans="16:16">
      <c r="P17718" s="594"/>
    </row>
    <row r="17719" spans="16:16">
      <c r="P17719" s="594"/>
    </row>
    <row r="17720" spans="16:16">
      <c r="P17720" s="594"/>
    </row>
    <row r="17721" spans="16:16">
      <c r="P17721" s="594"/>
    </row>
    <row r="17722" spans="16:16">
      <c r="P17722" s="594"/>
    </row>
    <row r="17723" spans="16:16">
      <c r="P17723" s="594"/>
    </row>
    <row r="17724" spans="16:16">
      <c r="P17724" s="594"/>
    </row>
    <row r="17725" spans="16:16">
      <c r="P17725" s="594"/>
    </row>
    <row r="17726" spans="16:16">
      <c r="P17726" s="594"/>
    </row>
    <row r="17727" spans="16:16">
      <c r="P17727" s="594"/>
    </row>
    <row r="17728" spans="16:16">
      <c r="P17728" s="594"/>
    </row>
    <row r="17729" spans="16:16">
      <c r="P17729" s="594"/>
    </row>
    <row r="17730" spans="16:16">
      <c r="P17730" s="594"/>
    </row>
    <row r="17731" spans="16:16">
      <c r="P17731" s="594"/>
    </row>
    <row r="17732" spans="16:16">
      <c r="P17732" s="594"/>
    </row>
    <row r="17733" spans="16:16">
      <c r="P17733" s="594"/>
    </row>
    <row r="17734" spans="16:16">
      <c r="P17734" s="594"/>
    </row>
    <row r="17735" spans="16:16">
      <c r="P17735" s="594"/>
    </row>
    <row r="17736" spans="16:16">
      <c r="P17736" s="594"/>
    </row>
    <row r="17737" spans="16:16">
      <c r="P17737" s="594"/>
    </row>
    <row r="17738" spans="16:16">
      <c r="P17738" s="594"/>
    </row>
    <row r="17739" spans="16:16">
      <c r="P17739" s="594"/>
    </row>
    <row r="17740" spans="16:16">
      <c r="P17740" s="594"/>
    </row>
    <row r="17741" spans="16:16">
      <c r="P17741" s="594"/>
    </row>
    <row r="17742" spans="16:16">
      <c r="P17742" s="594"/>
    </row>
    <row r="17743" spans="16:16">
      <c r="P17743" s="594"/>
    </row>
    <row r="17744" spans="16:16">
      <c r="P17744" s="594"/>
    </row>
    <row r="17745" spans="16:16">
      <c r="P17745" s="594"/>
    </row>
    <row r="17746" spans="16:16">
      <c r="P17746" s="594"/>
    </row>
    <row r="17747" spans="16:16">
      <c r="P17747" s="594"/>
    </row>
    <row r="17748" spans="16:16">
      <c r="P17748" s="594"/>
    </row>
    <row r="17749" spans="16:16">
      <c r="P17749" s="594"/>
    </row>
    <row r="17750" spans="16:16">
      <c r="P17750" s="594"/>
    </row>
    <row r="17751" spans="16:16">
      <c r="P17751" s="594"/>
    </row>
    <row r="17752" spans="16:16">
      <c r="P17752" s="594"/>
    </row>
    <row r="17753" spans="16:16">
      <c r="P17753" s="594"/>
    </row>
    <row r="17754" spans="16:16">
      <c r="P17754" s="594"/>
    </row>
    <row r="17755" spans="16:16">
      <c r="P17755" s="594"/>
    </row>
    <row r="17756" spans="16:16">
      <c r="P17756" s="594"/>
    </row>
    <row r="17757" spans="16:16">
      <c r="P17757" s="594"/>
    </row>
    <row r="17758" spans="16:16">
      <c r="P17758" s="594"/>
    </row>
    <row r="17759" spans="16:16">
      <c r="P17759" s="594"/>
    </row>
    <row r="17760" spans="16:16">
      <c r="P17760" s="594"/>
    </row>
    <row r="17761" spans="16:16">
      <c r="P17761" s="594"/>
    </row>
    <row r="17762" spans="16:16">
      <c r="P17762" s="594"/>
    </row>
    <row r="17763" spans="16:16">
      <c r="P17763" s="594"/>
    </row>
    <row r="17764" spans="16:16">
      <c r="P17764" s="594"/>
    </row>
    <row r="17765" spans="16:16">
      <c r="P17765" s="594"/>
    </row>
    <row r="17766" spans="16:16">
      <c r="P17766" s="594"/>
    </row>
    <row r="17767" spans="16:16">
      <c r="P17767" s="594"/>
    </row>
    <row r="17768" spans="16:16">
      <c r="P17768" s="594"/>
    </row>
    <row r="17769" spans="16:16">
      <c r="P17769" s="594"/>
    </row>
    <row r="17770" spans="16:16">
      <c r="P17770" s="594"/>
    </row>
    <row r="17771" spans="16:16">
      <c r="P17771" s="594"/>
    </row>
    <row r="17772" spans="16:16">
      <c r="P17772" s="594"/>
    </row>
    <row r="17773" spans="16:16">
      <c r="P17773" s="594"/>
    </row>
    <row r="17774" spans="16:16">
      <c r="P17774" s="594"/>
    </row>
    <row r="17775" spans="16:16">
      <c r="P17775" s="594"/>
    </row>
    <row r="17776" spans="16:16">
      <c r="P17776" s="594"/>
    </row>
    <row r="17777" spans="16:16">
      <c r="P17777" s="594"/>
    </row>
    <row r="17778" spans="16:16">
      <c r="P17778" s="594"/>
    </row>
    <row r="17779" spans="16:16">
      <c r="P17779" s="594"/>
    </row>
    <row r="17780" spans="16:16">
      <c r="P17780" s="594"/>
    </row>
    <row r="17781" spans="16:16">
      <c r="P17781" s="594"/>
    </row>
    <row r="17782" spans="16:16">
      <c r="P17782" s="594"/>
    </row>
    <row r="17783" spans="16:16">
      <c r="P17783" s="594"/>
    </row>
    <row r="17784" spans="16:16">
      <c r="P17784" s="594"/>
    </row>
    <row r="17785" spans="16:16">
      <c r="P17785" s="594"/>
    </row>
    <row r="17786" spans="16:16">
      <c r="P17786" s="594"/>
    </row>
    <row r="17787" spans="16:16">
      <c r="P17787" s="594"/>
    </row>
    <row r="17788" spans="16:16">
      <c r="P17788" s="594"/>
    </row>
    <row r="17789" spans="16:16">
      <c r="P17789" s="594"/>
    </row>
    <row r="17790" spans="16:16">
      <c r="P17790" s="594"/>
    </row>
    <row r="17791" spans="16:16">
      <c r="P17791" s="594"/>
    </row>
    <row r="17792" spans="16:16">
      <c r="P17792" s="594"/>
    </row>
    <row r="17793" spans="16:16">
      <c r="P17793" s="594"/>
    </row>
    <row r="17794" spans="16:16">
      <c r="P17794" s="594"/>
    </row>
    <row r="17795" spans="16:16">
      <c r="P17795" s="594"/>
    </row>
    <row r="17796" spans="16:16">
      <c r="P17796" s="594"/>
    </row>
    <row r="17797" spans="16:16">
      <c r="P17797" s="594"/>
    </row>
    <row r="17798" spans="16:16">
      <c r="P17798" s="594"/>
    </row>
    <row r="17799" spans="16:16">
      <c r="P17799" s="594"/>
    </row>
    <row r="17800" spans="16:16">
      <c r="P17800" s="594"/>
    </row>
    <row r="17801" spans="16:16">
      <c r="P17801" s="594"/>
    </row>
    <row r="17802" spans="16:16">
      <c r="P17802" s="594"/>
    </row>
    <row r="17803" spans="16:16">
      <c r="P17803" s="594"/>
    </row>
    <row r="17804" spans="16:16">
      <c r="P17804" s="594"/>
    </row>
    <row r="17805" spans="16:16">
      <c r="P17805" s="594"/>
    </row>
    <row r="17806" spans="16:16">
      <c r="P17806" s="594"/>
    </row>
    <row r="17807" spans="16:16">
      <c r="P17807" s="594"/>
    </row>
    <row r="17808" spans="16:16">
      <c r="P17808" s="594"/>
    </row>
    <row r="17809" spans="16:16">
      <c r="P17809" s="594"/>
    </row>
    <row r="17810" spans="16:16">
      <c r="P17810" s="594"/>
    </row>
    <row r="17811" spans="16:16">
      <c r="P17811" s="594"/>
    </row>
    <row r="17812" spans="16:16">
      <c r="P17812" s="594"/>
    </row>
    <row r="17813" spans="16:16">
      <c r="P17813" s="594"/>
    </row>
    <row r="17814" spans="16:16">
      <c r="P17814" s="594"/>
    </row>
    <row r="17815" spans="16:16">
      <c r="P17815" s="594"/>
    </row>
    <row r="17816" spans="16:16">
      <c r="P17816" s="594"/>
    </row>
    <row r="17817" spans="16:16">
      <c r="P17817" s="594"/>
    </row>
    <row r="17818" spans="16:16">
      <c r="P17818" s="594"/>
    </row>
    <row r="17819" spans="16:16">
      <c r="P17819" s="594"/>
    </row>
    <row r="17820" spans="16:16">
      <c r="P17820" s="594"/>
    </row>
    <row r="17821" spans="16:16">
      <c r="P17821" s="594"/>
    </row>
    <row r="17822" spans="16:16">
      <c r="P17822" s="594"/>
    </row>
    <row r="17823" spans="16:16">
      <c r="P17823" s="594"/>
    </row>
    <row r="17824" spans="16:16">
      <c r="P17824" s="594"/>
    </row>
    <row r="17825" spans="16:16">
      <c r="P17825" s="594"/>
    </row>
    <row r="17826" spans="16:16">
      <c r="P17826" s="594"/>
    </row>
    <row r="17827" spans="16:16">
      <c r="P17827" s="594"/>
    </row>
    <row r="17828" spans="16:16">
      <c r="P17828" s="594"/>
    </row>
    <row r="17829" spans="16:16">
      <c r="P17829" s="594"/>
    </row>
    <row r="17830" spans="16:16">
      <c r="P17830" s="594"/>
    </row>
    <row r="17831" spans="16:16">
      <c r="P17831" s="594"/>
    </row>
    <row r="17832" spans="16:16">
      <c r="P17832" s="594"/>
    </row>
    <row r="17833" spans="16:16">
      <c r="P17833" s="594"/>
    </row>
    <row r="17834" spans="16:16">
      <c r="P17834" s="594"/>
    </row>
    <row r="17835" spans="16:16">
      <c r="P17835" s="594"/>
    </row>
    <row r="17836" spans="16:16">
      <c r="P17836" s="594"/>
    </row>
    <row r="17837" spans="16:16">
      <c r="P17837" s="594"/>
    </row>
    <row r="17838" spans="16:16">
      <c r="P17838" s="594"/>
    </row>
    <row r="17839" spans="16:16">
      <c r="P17839" s="594"/>
    </row>
    <row r="17840" spans="16:16">
      <c r="P17840" s="594"/>
    </row>
    <row r="17841" spans="16:16">
      <c r="P17841" s="594"/>
    </row>
    <row r="17842" spans="16:16">
      <c r="P17842" s="594"/>
    </row>
    <row r="17843" spans="16:16">
      <c r="P17843" s="594"/>
    </row>
    <row r="17844" spans="16:16">
      <c r="P17844" s="594"/>
    </row>
    <row r="17845" spans="16:16">
      <c r="P17845" s="594"/>
    </row>
    <row r="17846" spans="16:16">
      <c r="P17846" s="594"/>
    </row>
    <row r="17847" spans="16:16">
      <c r="P17847" s="594"/>
    </row>
    <row r="17848" spans="16:16">
      <c r="P17848" s="594"/>
    </row>
    <row r="17849" spans="16:16">
      <c r="P17849" s="594"/>
    </row>
    <row r="17850" spans="16:16">
      <c r="P17850" s="594"/>
    </row>
    <row r="17851" spans="16:16">
      <c r="P17851" s="594"/>
    </row>
    <row r="17852" spans="16:16">
      <c r="P17852" s="594"/>
    </row>
    <row r="17853" spans="16:16">
      <c r="P17853" s="594"/>
    </row>
    <row r="17854" spans="16:16">
      <c r="P17854" s="594"/>
    </row>
    <row r="17855" spans="16:16">
      <c r="P17855" s="594"/>
    </row>
    <row r="17856" spans="16:16">
      <c r="P17856" s="594"/>
    </row>
    <row r="17857" spans="16:16">
      <c r="P17857" s="594"/>
    </row>
    <row r="17858" spans="16:16">
      <c r="P17858" s="594"/>
    </row>
    <row r="17859" spans="16:16">
      <c r="P17859" s="594"/>
    </row>
    <row r="17860" spans="16:16">
      <c r="P17860" s="594"/>
    </row>
    <row r="17861" spans="16:16">
      <c r="P17861" s="594"/>
    </row>
    <row r="17862" spans="16:16">
      <c r="P17862" s="594"/>
    </row>
    <row r="17863" spans="16:16">
      <c r="P17863" s="594"/>
    </row>
    <row r="17864" spans="16:16">
      <c r="P17864" s="594"/>
    </row>
    <row r="17865" spans="16:16">
      <c r="P17865" s="594"/>
    </row>
    <row r="17866" spans="16:16">
      <c r="P17866" s="594"/>
    </row>
    <row r="17867" spans="16:16">
      <c r="P17867" s="594"/>
    </row>
    <row r="17868" spans="16:16">
      <c r="P17868" s="594"/>
    </row>
    <row r="17869" spans="16:16">
      <c r="P17869" s="594"/>
    </row>
    <row r="17870" spans="16:16">
      <c r="P17870" s="594"/>
    </row>
    <row r="17871" spans="16:16">
      <c r="P17871" s="594"/>
    </row>
    <row r="17872" spans="16:16">
      <c r="P17872" s="594"/>
    </row>
    <row r="17873" spans="16:16">
      <c r="P17873" s="594"/>
    </row>
    <row r="17874" spans="16:16">
      <c r="P17874" s="594"/>
    </row>
    <row r="17875" spans="16:16">
      <c r="P17875" s="594"/>
    </row>
    <row r="17876" spans="16:16">
      <c r="P17876" s="594"/>
    </row>
    <row r="17877" spans="16:16">
      <c r="P17877" s="594"/>
    </row>
    <row r="17878" spans="16:16">
      <c r="P17878" s="594"/>
    </row>
    <row r="17879" spans="16:16">
      <c r="P17879" s="594"/>
    </row>
    <row r="17880" spans="16:16">
      <c r="P17880" s="594"/>
    </row>
    <row r="17881" spans="16:16">
      <c r="P17881" s="594"/>
    </row>
    <row r="17882" spans="16:16">
      <c r="P17882" s="594"/>
    </row>
    <row r="17883" spans="16:16">
      <c r="P17883" s="594"/>
    </row>
    <row r="17884" spans="16:16">
      <c r="P17884" s="594"/>
    </row>
    <row r="17885" spans="16:16">
      <c r="P17885" s="594"/>
    </row>
    <row r="17886" spans="16:16">
      <c r="P17886" s="594"/>
    </row>
    <row r="17887" spans="16:16">
      <c r="P17887" s="594"/>
    </row>
    <row r="17888" spans="16:16">
      <c r="P17888" s="594"/>
    </row>
    <row r="17889" spans="16:16">
      <c r="P17889" s="594"/>
    </row>
    <row r="17890" spans="16:16">
      <c r="P17890" s="594"/>
    </row>
    <row r="17891" spans="16:16">
      <c r="P17891" s="594"/>
    </row>
    <row r="17892" spans="16:16">
      <c r="P17892" s="594"/>
    </row>
    <row r="17893" spans="16:16">
      <c r="P17893" s="594"/>
    </row>
    <row r="17894" spans="16:16">
      <c r="P17894" s="594"/>
    </row>
    <row r="17895" spans="16:16">
      <c r="P17895" s="594"/>
    </row>
    <row r="17896" spans="16:16">
      <c r="P17896" s="594"/>
    </row>
    <row r="17897" spans="16:16">
      <c r="P17897" s="594"/>
    </row>
    <row r="17898" spans="16:16">
      <c r="P17898" s="594"/>
    </row>
    <row r="17899" spans="16:16">
      <c r="P17899" s="594"/>
    </row>
    <row r="17900" spans="16:16">
      <c r="P17900" s="594"/>
    </row>
    <row r="17901" spans="16:16">
      <c r="P17901" s="594"/>
    </row>
    <row r="17902" spans="16:16">
      <c r="P17902" s="594"/>
    </row>
    <row r="17903" spans="16:16">
      <c r="P17903" s="594"/>
    </row>
    <row r="17904" spans="16:16">
      <c r="P17904" s="594"/>
    </row>
    <row r="17905" spans="16:16">
      <c r="P17905" s="594"/>
    </row>
    <row r="17906" spans="16:16">
      <c r="P17906" s="594"/>
    </row>
    <row r="17907" spans="16:16">
      <c r="P17907" s="594"/>
    </row>
    <row r="17908" spans="16:16">
      <c r="P17908" s="594"/>
    </row>
    <row r="17909" spans="16:16">
      <c r="P17909" s="594"/>
    </row>
    <row r="17910" spans="16:16">
      <c r="P17910" s="594"/>
    </row>
    <row r="17911" spans="16:16">
      <c r="P17911" s="594"/>
    </row>
    <row r="17912" spans="16:16">
      <c r="P17912" s="594"/>
    </row>
    <row r="17913" spans="16:16">
      <c r="P17913" s="594"/>
    </row>
    <row r="17914" spans="16:16">
      <c r="P17914" s="594"/>
    </row>
    <row r="17915" spans="16:16">
      <c r="P17915" s="594"/>
    </row>
    <row r="17916" spans="16:16">
      <c r="P17916" s="594"/>
    </row>
    <row r="17917" spans="16:16">
      <c r="P17917" s="594"/>
    </row>
    <row r="17918" spans="16:16">
      <c r="P17918" s="594"/>
    </row>
    <row r="17919" spans="16:16">
      <c r="P17919" s="594"/>
    </row>
    <row r="17920" spans="16:16">
      <c r="P17920" s="594"/>
    </row>
    <row r="17921" spans="16:16">
      <c r="P17921" s="594"/>
    </row>
    <row r="17922" spans="16:16">
      <c r="P17922" s="594"/>
    </row>
    <row r="17923" spans="16:16">
      <c r="P17923" s="594"/>
    </row>
    <row r="17924" spans="16:16">
      <c r="P17924" s="594"/>
    </row>
    <row r="17925" spans="16:16">
      <c r="P17925" s="594"/>
    </row>
  </sheetData>
  <phoneticPr fontId="0" type="noConversion"/>
  <dataValidations count="31">
    <dataValidation allowBlank="1" errorTitle="1x1xSingleCell" error="147.375" promptTitle="FactSet Formula" prompt="=FDS(&quot;SHOP-US&quot;,&quot;P_PRICE(NOW)&quot;)" sqref="C6" xr:uid="{456037F3-5A6F-452F-A44F-5B5D83319C30}"/>
    <dataValidation allowBlank="1" errorTitle="1x1xSingleCell" error="147.375" promptTitle="FactSet Formula" prompt="=FDS(&quot;SHOP-US&quot;,&quot;P_PRICE(NOW)&quot;)" sqref="D6" xr:uid="{072EF040-CE9A-4F02-AE6F-A4FDF4256FAB}"/>
    <dataValidation allowBlank="1" errorTitle="1x1xSingleCell" error="147.375" promptTitle="FactSet Formula" prompt="=FDS(&quot;SHOP-US&quot;,&quot;P_PRICE(NOW)&quot;)" sqref="F6" xr:uid="{040CF827-EC0D-4E6D-9E23-BDE806A66992}"/>
    <dataValidation allowBlank="1" errorTitle="1x1xSingleCell" error="147.375" promptTitle="FactSet Formula" prompt="=FDS(&quot;SHOP-US&quot;,&quot;P_PRICE(NOW)&quot;)" sqref="G6" xr:uid="{80EC50EB-7C8A-4295-B6F1-80885098D604}"/>
    <dataValidation allowBlank="1" errorTitle="1x1xSingleCell" error="147.375" promptTitle="FactSet Formula" prompt="=FDS(&quot;SHOP-US&quot;,&quot;P_PRICE(NOW)&quot;)" sqref="H6" xr:uid="{63303CDD-C33C-48EF-96DF-A96DE056B64B}"/>
    <dataValidation allowBlank="1" errorTitle="1x1xSingleCell" error="147.375" promptTitle="FactSet Formula" prompt="=FDS(&quot;SHOP-US&quot;,&quot;P_PRICE(NOW)&quot;)" sqref="I6" xr:uid="{F64095EB-CD66-4A96-8446-940E10B1CACE}"/>
    <dataValidation allowBlank="1" errorTitle="1x1xSingleCell" error="147.375" promptTitle="FactSet Formula" prompt="=FDS(&quot;SHOP-US&quot;,&quot;P_PRICE(NOW)&quot;)" sqref="J6" xr:uid="{EDAE1E8D-6154-47AF-B929-8849E0893BF3}"/>
    <dataValidation allowBlank="1" errorTitle="1x1xSingleCell" error="487453.25" promptTitle="FactSet Formula" prompt="=FDS(&quot;SHOP-US&quot;,&quot;FE_ACTUAL(ACTUAL,GMV,ANNUAL,&quot;&amp;LEFT(J$5,4)&amp;&quot;,,,,'')@FE_ESTIMATE(GMV,MEAN,ANNUAL,&quot;&amp;LEFT(J$5,4)&amp;&quot;,NOW,,,'')&quot;)" sqref="J13" xr:uid="{D748383F-691C-44B9-83B3-A2AEC08015D0}"/>
    <dataValidation allowBlank="1" errorTitle="1x1xSingleCell" error="14977.527" promptTitle="FactSet Formula" prompt="=FDS(&quot;SHOP-US&quot;,&quot;FE_ACTUAL(ACTUAL,SALES,ANNUAL,&quot;&amp;LEFT(J$5,4)&amp;&quot;,,,,'')@FE_ESTIMATE(SALES,MEAN,ANNUAL,&quot;&amp;LEFT(J$5,4)&amp;&quot;,NOW,,,'')&quot;)" sqref="J15" xr:uid="{08C783DD-1EE0-48E8-A38D-BD9D4348B447}"/>
    <dataValidation allowBlank="1" errorTitle="1x1xSingleCell" error="2760.9685" promptTitle="FactSet Formula" prompt="=FDS(&quot;SHOP&quot;,&quot;FE_ESTIMATE(EBITDA_ADJ,MEAN,ANNUAL_ROLL,&quot;&amp;LEFT(J$11,4)&amp;&quot;,NOW,,,'')&quot;)" sqref="J18" xr:uid="{2D48049A-31D6-478F-A0A4-F9C1C10233C4}"/>
    <dataValidation allowBlank="1" errorTitle="1x1xSingleCell" error="1.8687166" promptTitle="FactSet Formula" prompt="=FDS(&quot;SHOP&quot;,&quot;FE_ESTIMATE(EPS,MEAN,ANNUAL_ROLL,&quot;&amp;LEFT(J$5,4)&amp;&quot;,NOW,,,'')&quot;)" sqref="J22" xr:uid="{FFFBE235-66C8-4357-879C-045823AC7492}"/>
    <dataValidation allowBlank="1" errorTitle="1x1xSingleCell" error="147.375" promptTitle="FactSet Formula" prompt="=FDS(&quot;SHOP-US&quot;,&quot;P_PRICE(NOW)&quot;)" sqref="K6" xr:uid="{AAEB3276-6E62-4DA9-9A0E-DF5397566A25}"/>
    <dataValidation allowBlank="1" errorTitle="1x1xSingleCell" error="604181.8" promptTitle="FactSet Formula" prompt="=FDS(&quot;SHOP-US&quot;,&quot;FE_ACTUAL(ACTUAL,GMV,ANNUAL,&quot;&amp;LEFT(K$5,4)&amp;&quot;,,,,'')@FE_ESTIMATE(GMV,MEAN,ANNUAL,&quot;&amp;LEFT(K$5,4)&amp;&quot;,NOW,,,'')&quot;)" sqref="K13" xr:uid="{462042F9-731F-40BE-B58B-2A427AAD4668}"/>
    <dataValidation allowBlank="1" errorTitle="1x1xSingleCell" error="18667.963" promptTitle="FactSet Formula" prompt="=FDS(&quot;SHOP-US&quot;,&quot;FE_ACTUAL(ACTUAL,SALES,ANNUAL,&quot;&amp;LEFT(K$5,4)&amp;&quot;,,,,'')@FE_ESTIMATE(SALES,MEAN,ANNUAL,&quot;&amp;LEFT(K$5,4)&amp;&quot;,NOW,,,'')&quot;)" sqref="K15" xr:uid="{1A0E7B5B-A5E6-443B-B462-C76113777CC5}"/>
    <dataValidation allowBlank="1" errorTitle="1x1xSingleCell" error="3575.3567" promptTitle="FactSet Formula" prompt="=FDS(&quot;SHOP&quot;,&quot;FE_ESTIMATE(EBITDA_ADJ,MEAN,ANNUAL_ROLL,&quot;&amp;LEFT(K$11,4)&amp;&quot;,NOW,,,'')&quot;)" sqref="K18" xr:uid="{97E8DFD4-AF69-4270-9079-E62AA6273706}"/>
    <dataValidation allowBlank="1" errorTitle="1x1xSingleCell" error="2.400098" promptTitle="FactSet Formula" prompt="=FDS(&quot;SHOP&quot;,&quot;FE_ESTIMATE(EPS,MEAN,ANNUAL_ROLL,&quot;&amp;LEFT(K$5,4)&amp;&quot;,NOW,,,'')&quot;)" sqref="K22" xr:uid="{DA279DAC-B1D7-440B-A206-59FB02485BCB}"/>
    <dataValidation allowBlank="1" errorTitle="1x1xSingleCell" error="147.375" promptTitle="FactSet Formula" prompt="=FDS(&quot;SHOP-US&quot;,&quot;P_PRICE(NOW)&quot;)" sqref="L6" xr:uid="{A05BD9E9-0FCA-4468-9BF6-7021E0CCAD70}"/>
    <dataValidation allowBlank="1" errorTitle="1x1xSingleCell" error="752986.7" promptTitle="FactSet Formula" prompt="=FDS(&quot;SHOP-US&quot;,&quot;FE_ACTUAL(ACTUAL,GMV,ANNUAL,&quot;&amp;LEFT(L$5,4)&amp;&quot;,,,,'')@FE_ESTIMATE(GMV,MEAN,ANNUAL,&quot;&amp;LEFT(L$5,4)&amp;&quot;,NOW,,,'')&quot;)" sqref="L13" xr:uid="{FC8A1D28-430C-419E-8738-9441EF75929F}"/>
    <dataValidation allowBlank="1" errorTitle="1x1xSingleCell" error="23471.11" promptTitle="FactSet Formula" prompt="=FDS(&quot;SHOP-US&quot;,&quot;FE_ACTUAL(ACTUAL,SALES,ANNUAL,&quot;&amp;LEFT(L$5,4)&amp;&quot;,,,,'')@FE_ESTIMATE(SALES,MEAN,ANNUAL,&quot;&amp;LEFT(L$5,4)&amp;&quot;,NOW,,,'')&quot;)" sqref="L15" xr:uid="{59E4ED9C-1F81-4673-BF09-CF8D54859C22}"/>
    <dataValidation allowBlank="1" errorTitle="1x1xSingleCell" error="5274.8657" promptTitle="FactSet Formula" prompt="=FDS(&quot;SHOP&quot;,&quot;FE_ESTIMATE(EBITDA_ADJ,MEAN,ANNUAL_ROLL,&quot;&amp;LEFT(L$11,4)&amp;&quot;,NOW,,,'')&quot;)" sqref="L18" xr:uid="{80BBCD45-11DC-43E5-BB9F-C835A5690791}"/>
    <dataValidation allowBlank="1" errorTitle="1x1xSingleCell" error="3.2661428" promptTitle="FactSet Formula" prompt="=FDS(&quot;SHOP&quot;,&quot;FE_ESTIMATE(EPS,MEAN,ANNUAL_ROLL,&quot;&amp;LEFT(L$5,4)&amp;&quot;,NOW,,,'')&quot;)" sqref="L22" xr:uid="{20F58006-FDB0-403A-B487-44A5B397BE97}"/>
    <dataValidation allowBlank="1" errorTitle="1x1xSingleCell" error="147.375" promptTitle="FactSet Formula" prompt="=FDS(&quot;SHOP-US&quot;,&quot;P_PRICE(NOW)&quot;)" sqref="M6" xr:uid="{2FC0140E-220A-438B-8A36-0A2384410EDD}"/>
    <dataValidation allowBlank="1" errorTitle="1x1xSingleCell" error="897686.9" promptTitle="FactSet Formula" prompt="=FDS(&quot;SHOP-US&quot;,&quot;FE_ACTUAL(ACTUAL,GMV,ANNUAL,&quot;&amp;LEFT(M$5,4)&amp;&quot;,,,,'')@FE_ESTIMATE(GMV,MEAN,ANNUAL,&quot;&amp;LEFT(M$5,4)&amp;&quot;,NOW,,,'')&quot;)" sqref="M13" xr:uid="{6877412B-78F3-4906-9FE2-619D29E3DF28}"/>
    <dataValidation allowBlank="1" errorTitle="1x1xSingleCell" error="28231.14" promptTitle="FactSet Formula" prompt="=FDS(&quot;SHOP-US&quot;,&quot;FE_ACTUAL(ACTUAL,SALES,ANNUAL,&quot;&amp;LEFT(M$5,4)&amp;&quot;,,,,'')@FE_ESTIMATE(SALES,MEAN,ANNUAL,&quot;&amp;LEFT(M$5,4)&amp;&quot;,NOW,,,'')&quot;)" sqref="M15" xr:uid="{C407D0C7-A689-42E5-86A8-E6B408466669}"/>
    <dataValidation allowBlank="1" errorTitle="1x1xSingleCell" error="5374" promptTitle="FactSet Formula" prompt="=FDS(&quot;SHOP&quot;,&quot;FE_ESTIMATE(EBITDA_ADJ,MEAN,ANNUAL_ROLL,&quot;&amp;LEFT(M$11,4)&amp;&quot;,NOW,,,'')&quot;)" sqref="M18" xr:uid="{986A512F-DB34-4059-9347-CF39F8005EE4}"/>
    <dataValidation allowBlank="1" errorTitle="1x1xSingleCell" error="3.78" promptTitle="FactSet Formula" prompt="=FDS(&quot;SHOP&quot;,&quot;FE_ESTIMATE(EPS,MEAN,ANNUAL_ROLL,&quot;&amp;LEFT(M$5,4)&amp;&quot;,NOW,,,'')&quot;)" sqref="M22" xr:uid="{24CE95C0-DE66-4EA6-85E0-F5F5AB059360}"/>
    <dataValidation allowBlank="1" errorTitle="1x1xSingleCell" error="147.375" promptTitle="FactSet Formula" prompt="=FDS(&quot;SHOP-US&quot;,&quot;P_PRICE(NOW)&quot;)" sqref="N6" xr:uid="{21BE6A00-9F0E-4A55-BAFE-9D7D145EC6E4}"/>
    <dataValidation allowBlank="1" errorTitle="1x1xSingleCell" error="1057535.1" promptTitle="FactSet Formula" prompt="=FDS(&quot;SHOP-US&quot;,&quot;FE_ACTUAL(ACTUAL,GMV,ANNUAL,&quot;&amp;LEFT(N$5,4)&amp;&quot;,,,,'')@FE_ESTIMATE(GMV,MEAN,ANNUAL,&quot;&amp;LEFT(N$5,4)&amp;&quot;,NOW,,,'')&quot;)" sqref="N13" xr:uid="{67CB16CA-E105-4902-A113-D451DA3A2662}"/>
    <dataValidation allowBlank="1" errorTitle="1x1xSingleCell" error="33373.3" promptTitle="FactSet Formula" prompt="=FDS(&quot;SHOP-US&quot;,&quot;FE_ACTUAL(ACTUAL,SALES,ANNUAL,&quot;&amp;LEFT(N$5,4)&amp;&quot;,,,,'')@FE_ESTIMATE(SALES,MEAN,ANNUAL,&quot;&amp;LEFT(N$5,4)&amp;&quot;,NOW,,,'')&quot;)" sqref="N15" xr:uid="{70DCE82D-9984-473A-BD18-2A83A6CC9A70}"/>
    <dataValidation allowBlank="1" errorTitle="1x1xSingleCell" error="6657.5" promptTitle="FactSet Formula" prompt="=FDS(&quot;SHOP&quot;,&quot;FE_ESTIMATE(EBITDA_ADJ,MEAN,ANNUAL_ROLL,&quot;&amp;LEFT(N$11,4)&amp;&quot;,NOW,,,'')&quot;)" sqref="N18" xr:uid="{CAE62233-8407-415A-9F39-691B00EA9DAD}"/>
    <dataValidation allowBlank="1" errorTitle="1x1xSingleCell" error="4.4866667" promptTitle="FactSet Formula" prompt="=FDS(&quot;SHOP&quot;,&quot;FE_ESTIMATE(EPS,MEAN,ANNUAL_ROLL,&quot;&amp;LEFT(N$5,4)&amp;&quot;,NOW,,,'')&quot;)" sqref="N22" xr:uid="{BBAE6ACC-B999-483B-92C7-E830ADCC6904}"/>
  </dataValidations>
  <pageMargins left="0.15" right="0.15" top="0.3" bottom="0.3" header="0.25" footer="0.25"/>
  <pageSetup scale="15" pageOrder="overThenDown" orientation="portrait" verticalDpi="598" r:id="rId1"/>
  <headerFooter alignWithMargins="0">
    <oddFooter>&amp;R&amp;"Book Antiqua,Regular"&amp;8Daniel Salmon
BMO Capital Markets
 (212) 885-4029</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6">
    <tabColor theme="6" tint="0.79998168889431442"/>
    <pageSetUpPr fitToPage="1"/>
  </sheetPr>
  <dimension ref="A2:IJ82"/>
  <sheetViews>
    <sheetView showGridLines="0" zoomScaleNormal="100" workbookViewId="0">
      <pane xSplit="3" ySplit="6" topLeftCell="D7" activePane="bottomRight" state="frozen"/>
      <selection activeCell="F6" sqref="F6"/>
      <selection pane="topRight" activeCell="F6" sqref="F6"/>
      <selection pane="bottomLeft" activeCell="F6" sqref="F6"/>
      <selection pane="bottomRight" activeCell="N17" sqref="N17"/>
    </sheetView>
  </sheetViews>
  <sheetFormatPr defaultColWidth="9.33203125" defaultRowHeight="10.199999999999999"/>
  <cols>
    <col min="1" max="1" width="1.6640625" style="676" customWidth="1"/>
    <col min="2" max="2" width="3.5546875" style="167" customWidth="1"/>
    <col min="3" max="3" width="19" style="167" customWidth="1"/>
    <col min="4" max="5" width="9.6640625" style="167" bestFit="1" customWidth="1"/>
    <col min="6" max="8" width="8.44140625" style="167" bestFit="1" customWidth="1"/>
    <col min="9" max="9" width="8.5546875" style="167" bestFit="1" customWidth="1"/>
    <col min="10" max="11" width="8.44140625" style="167" bestFit="1" customWidth="1"/>
    <col min="12" max="14" width="8.5546875" style="167" bestFit="1" customWidth="1"/>
    <col min="15" max="15" width="8.5546875" style="167" customWidth="1"/>
    <col min="16" max="17" width="8.5546875" style="167" bestFit="1" customWidth="1"/>
    <col min="18" max="18" width="8.44140625" style="167" bestFit="1" customWidth="1"/>
    <col min="19" max="19" width="7.33203125" style="167" customWidth="1"/>
    <col min="20" max="20" width="7.33203125" style="167" bestFit="1" customWidth="1"/>
    <col min="21" max="21" width="10.44140625" style="167" bestFit="1" customWidth="1"/>
    <col min="22" max="16384" width="9.33203125" style="167"/>
  </cols>
  <sheetData>
    <row r="2" spans="1:244">
      <c r="B2" s="168" t="str">
        <f>Summary!B2</f>
        <v>Shopify</v>
      </c>
      <c r="C2" s="169"/>
      <c r="D2" s="171"/>
      <c r="E2" s="171"/>
      <c r="F2" s="171"/>
      <c r="G2" s="171"/>
      <c r="H2" s="171"/>
      <c r="I2" s="172"/>
      <c r="J2" s="172"/>
      <c r="K2" s="172"/>
      <c r="L2" s="172"/>
      <c r="M2" s="172"/>
      <c r="N2" s="172"/>
      <c r="O2" s="172"/>
      <c r="P2" s="172"/>
      <c r="Q2" s="172"/>
      <c r="R2" s="172"/>
    </row>
    <row r="3" spans="1:244">
      <c r="B3" s="169" t="s">
        <v>52</v>
      </c>
      <c r="C3" s="169"/>
      <c r="D3" s="171"/>
      <c r="E3" s="171"/>
      <c r="F3" s="171"/>
      <c r="G3" s="171"/>
      <c r="H3" s="171"/>
      <c r="I3" s="172"/>
      <c r="J3" s="172"/>
      <c r="K3" s="172"/>
      <c r="L3" s="172"/>
      <c r="M3" s="172"/>
      <c r="N3" s="172"/>
      <c r="O3" s="172"/>
      <c r="P3" s="172"/>
      <c r="Q3" s="172"/>
      <c r="R3" s="172"/>
    </row>
    <row r="4" spans="1:244" ht="12.75" customHeight="1">
      <c r="B4" s="173" t="s">
        <v>65</v>
      </c>
      <c r="C4" s="174"/>
      <c r="D4" s="171"/>
      <c r="E4" s="171"/>
      <c r="F4" s="171"/>
      <c r="G4" s="171"/>
      <c r="H4" s="171"/>
      <c r="I4" s="172"/>
      <c r="J4" s="172"/>
      <c r="K4" s="172"/>
      <c r="L4" s="172"/>
      <c r="M4" s="172"/>
      <c r="N4" s="172"/>
      <c r="O4" s="172"/>
      <c r="P4" s="172"/>
      <c r="Q4" s="172"/>
      <c r="R4" s="172"/>
    </row>
    <row r="5" spans="1:244" ht="12.75" customHeight="1" thickBot="1">
      <c r="B5" s="171"/>
      <c r="C5" s="171"/>
      <c r="D5" s="175"/>
      <c r="E5" s="175"/>
      <c r="F5" s="175"/>
      <c r="G5" s="175"/>
      <c r="H5" s="175"/>
      <c r="I5" s="172"/>
      <c r="J5" s="172"/>
      <c r="K5" s="172"/>
      <c r="L5" s="172"/>
      <c r="M5" s="172"/>
      <c r="N5" s="172"/>
      <c r="O5" s="172"/>
      <c r="P5" s="172"/>
      <c r="Q5" s="172"/>
      <c r="R5" s="172"/>
    </row>
    <row r="6" spans="1:244" s="176" customFormat="1" ht="12" customHeight="1">
      <c r="A6" s="676"/>
      <c r="B6" s="1461" t="s">
        <v>60</v>
      </c>
      <c r="C6" s="1458"/>
      <c r="D6" s="1459">
        <v>2024</v>
      </c>
      <c r="E6" s="1459">
        <f>D6+1</f>
        <v>2025</v>
      </c>
      <c r="F6" s="1459">
        <f t="shared" ref="F6:O6" si="0">E6+1</f>
        <v>2026</v>
      </c>
      <c r="G6" s="1459">
        <f t="shared" si="0"/>
        <v>2027</v>
      </c>
      <c r="H6" s="1459">
        <f t="shared" si="0"/>
        <v>2028</v>
      </c>
      <c r="I6" s="1459">
        <f t="shared" si="0"/>
        <v>2029</v>
      </c>
      <c r="J6" s="1459">
        <f t="shared" si="0"/>
        <v>2030</v>
      </c>
      <c r="K6" s="1459">
        <f t="shared" si="0"/>
        <v>2031</v>
      </c>
      <c r="L6" s="1459">
        <f t="shared" si="0"/>
        <v>2032</v>
      </c>
      <c r="M6" s="1459">
        <f t="shared" si="0"/>
        <v>2033</v>
      </c>
      <c r="N6" s="1459">
        <f t="shared" si="0"/>
        <v>2034</v>
      </c>
      <c r="O6" s="1460">
        <f t="shared" si="0"/>
        <v>2035</v>
      </c>
      <c r="P6"/>
      <c r="Q6"/>
      <c r="R6" s="246"/>
      <c r="S6"/>
      <c r="T6"/>
      <c r="U6"/>
      <c r="V6"/>
      <c r="W6"/>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67"/>
      <c r="AV6" s="167"/>
      <c r="AW6" s="167"/>
      <c r="AX6" s="167"/>
      <c r="AY6" s="167"/>
      <c r="AZ6" s="167"/>
      <c r="BA6" s="167"/>
      <c r="BB6" s="167"/>
      <c r="BC6" s="167"/>
      <c r="BD6" s="167"/>
      <c r="BE6" s="167"/>
      <c r="BF6" s="167"/>
      <c r="BG6" s="167"/>
      <c r="BH6" s="167"/>
      <c r="BI6" s="167"/>
      <c r="BJ6" s="167"/>
      <c r="BK6" s="167"/>
      <c r="BL6" s="167"/>
      <c r="BM6" s="167"/>
      <c r="BN6" s="167"/>
      <c r="BO6" s="167"/>
      <c r="BP6" s="167"/>
      <c r="BQ6" s="167"/>
      <c r="BR6" s="167"/>
      <c r="BS6" s="167"/>
      <c r="BT6" s="167"/>
      <c r="BU6" s="167"/>
      <c r="BV6" s="167"/>
      <c r="BW6" s="167"/>
      <c r="BX6" s="167"/>
      <c r="BY6" s="167"/>
      <c r="BZ6" s="167"/>
      <c r="CA6" s="167"/>
      <c r="CB6" s="167"/>
      <c r="CC6" s="167"/>
      <c r="CD6" s="167"/>
      <c r="CE6" s="167"/>
      <c r="CF6" s="167"/>
      <c r="CG6" s="167"/>
      <c r="CH6" s="167"/>
      <c r="CI6" s="167"/>
      <c r="CJ6" s="167"/>
      <c r="CK6" s="167"/>
      <c r="CL6" s="167"/>
      <c r="CM6" s="167"/>
      <c r="CN6" s="167"/>
      <c r="CO6" s="167"/>
      <c r="CP6" s="167"/>
      <c r="CQ6" s="167"/>
      <c r="CR6" s="167"/>
      <c r="CS6" s="167"/>
      <c r="CT6" s="167"/>
      <c r="CU6" s="167"/>
      <c r="CV6" s="167"/>
      <c r="CW6" s="167"/>
      <c r="CX6" s="167"/>
      <c r="CY6" s="167"/>
      <c r="CZ6" s="167"/>
      <c r="DA6" s="167"/>
      <c r="DB6" s="167"/>
      <c r="DC6" s="167"/>
      <c r="DD6" s="167"/>
      <c r="DE6" s="167"/>
      <c r="DF6" s="167"/>
      <c r="DG6" s="167"/>
      <c r="DH6" s="167"/>
      <c r="DI6" s="167"/>
      <c r="DJ6" s="167"/>
      <c r="DK6" s="167"/>
      <c r="DL6" s="167"/>
      <c r="DM6" s="167"/>
      <c r="DN6" s="167"/>
      <c r="DO6" s="167"/>
      <c r="DP6" s="167"/>
      <c r="DQ6" s="167"/>
      <c r="DR6" s="167"/>
      <c r="DS6" s="167"/>
      <c r="DT6" s="167"/>
      <c r="DU6" s="167"/>
      <c r="DV6" s="167"/>
      <c r="DW6" s="167"/>
      <c r="DX6" s="167"/>
      <c r="DY6" s="167"/>
      <c r="DZ6" s="167"/>
      <c r="EA6" s="167"/>
      <c r="EB6" s="167"/>
      <c r="EC6" s="167"/>
      <c r="ED6" s="167"/>
      <c r="EE6" s="167"/>
      <c r="EF6" s="167"/>
      <c r="EG6" s="167"/>
      <c r="EH6" s="167"/>
      <c r="EI6" s="167"/>
      <c r="EJ6" s="167"/>
      <c r="EK6" s="167"/>
      <c r="EL6" s="167"/>
      <c r="EM6" s="167"/>
      <c r="EN6" s="167"/>
      <c r="EO6" s="167"/>
      <c r="EP6" s="167"/>
      <c r="EQ6" s="167"/>
      <c r="ER6" s="167"/>
      <c r="ES6" s="167"/>
      <c r="ET6" s="167"/>
      <c r="EU6" s="167"/>
      <c r="EV6" s="167"/>
      <c r="EW6" s="167"/>
      <c r="EX6" s="167"/>
      <c r="EY6" s="167"/>
      <c r="EZ6" s="167"/>
      <c r="FA6" s="167"/>
      <c r="FB6" s="167"/>
      <c r="FC6" s="167"/>
      <c r="FD6" s="167"/>
      <c r="FE6" s="167"/>
      <c r="FF6" s="167"/>
      <c r="FG6" s="167"/>
      <c r="FH6" s="167"/>
      <c r="FI6" s="167"/>
      <c r="FJ6" s="167"/>
      <c r="FK6" s="167"/>
      <c r="FL6" s="167"/>
      <c r="FM6" s="167"/>
      <c r="FN6" s="167"/>
      <c r="FO6" s="167"/>
      <c r="FP6" s="167"/>
      <c r="FQ6" s="167"/>
      <c r="FR6" s="167"/>
      <c r="FS6" s="167"/>
      <c r="FT6" s="167"/>
      <c r="FU6" s="167"/>
      <c r="FV6" s="167"/>
      <c r="FW6" s="167"/>
      <c r="FX6" s="167"/>
      <c r="FY6" s="167"/>
      <c r="FZ6" s="167"/>
      <c r="GA6" s="167"/>
      <c r="GB6" s="167"/>
      <c r="GC6" s="167"/>
      <c r="GD6" s="167"/>
      <c r="GE6" s="167"/>
      <c r="GF6" s="167"/>
      <c r="GG6" s="167"/>
      <c r="GH6" s="167"/>
      <c r="GI6" s="167"/>
      <c r="GJ6" s="167"/>
      <c r="GK6" s="167"/>
      <c r="GL6" s="167"/>
      <c r="GM6" s="167"/>
      <c r="GN6" s="167"/>
      <c r="GO6" s="167"/>
      <c r="GP6" s="167"/>
      <c r="GQ6" s="167"/>
      <c r="GR6" s="167"/>
      <c r="GS6" s="167"/>
      <c r="GT6" s="167"/>
      <c r="GU6" s="167"/>
      <c r="GV6" s="167"/>
      <c r="GW6" s="167"/>
      <c r="GX6" s="167"/>
      <c r="GY6" s="167"/>
      <c r="GZ6" s="167"/>
      <c r="HA6" s="167"/>
      <c r="HB6" s="167"/>
      <c r="HC6" s="167"/>
      <c r="HD6" s="167"/>
      <c r="HE6" s="167"/>
      <c r="HF6" s="167"/>
      <c r="HG6" s="167"/>
      <c r="HH6" s="167"/>
      <c r="HI6" s="167"/>
      <c r="HJ6" s="167"/>
      <c r="HK6" s="167"/>
      <c r="HL6" s="167"/>
      <c r="HM6" s="167"/>
      <c r="HN6" s="167"/>
      <c r="HO6" s="167"/>
      <c r="HP6" s="167"/>
      <c r="HQ6" s="167"/>
      <c r="HR6" s="167"/>
      <c r="HS6" s="167"/>
      <c r="HT6" s="167"/>
      <c r="HU6" s="167"/>
      <c r="HV6" s="167"/>
      <c r="HW6" s="167"/>
      <c r="HX6" s="167"/>
      <c r="HY6" s="167"/>
      <c r="HZ6" s="167"/>
      <c r="IA6" s="167"/>
      <c r="IB6" s="167"/>
      <c r="IC6" s="167"/>
      <c r="ID6" s="167"/>
      <c r="IE6" s="167"/>
      <c r="IF6" s="167"/>
      <c r="IG6" s="167"/>
      <c r="IH6" s="167"/>
      <c r="II6" s="167"/>
      <c r="IJ6" s="167"/>
    </row>
    <row r="7" spans="1:244" ht="12.75" customHeight="1">
      <c r="B7" s="177" t="s">
        <v>515</v>
      </c>
      <c r="C7" s="1703"/>
      <c r="D7" s="749">
        <f>'Cash Flow'!DN54</f>
        <v>1616</v>
      </c>
      <c r="E7" s="749">
        <f>'Cash Flow'!DS54</f>
        <v>2033</v>
      </c>
      <c r="F7" s="749">
        <f>'Cash Flow'!DX54</f>
        <v>2970.7948701727973</v>
      </c>
      <c r="G7" s="749">
        <f>'Cash Flow'!EC54</f>
        <v>3785.1617959994178</v>
      </c>
      <c r="H7" s="749">
        <f>'Cash Flow'!EH54</f>
        <v>4510.3462304554141</v>
      </c>
      <c r="I7" s="749">
        <f>'Cash Flow'!EM54</f>
        <v>5373.0899222123307</v>
      </c>
      <c r="J7" s="749">
        <f>'Cash Flow'!ER54</f>
        <v>6421.0568805291205</v>
      </c>
      <c r="O7" s="840"/>
      <c r="S7"/>
      <c r="T7"/>
      <c r="AC7" s="749"/>
    </row>
    <row r="8" spans="1:244" ht="12.75" customHeight="1">
      <c r="B8" s="178" t="s">
        <v>384</v>
      </c>
      <c r="C8" s="172"/>
      <c r="D8" s="749">
        <f>'Cash Flow'!DN55</f>
        <v>-19</v>
      </c>
      <c r="E8" s="749">
        <f>'Cash Flow'!DS55</f>
        <v>-26</v>
      </c>
      <c r="F8" s="749">
        <f>'Cash Flow'!DX55</f>
        <v>-28.2</v>
      </c>
      <c r="G8" s="749">
        <f>'Cash Flow'!EC55</f>
        <v>-33.839999999999996</v>
      </c>
      <c r="H8" s="749">
        <f>'Cash Flow'!EH55</f>
        <v>-40.60799999999999</v>
      </c>
      <c r="I8" s="749">
        <f>'Cash Flow'!EM55</f>
        <v>-48.729599999999991</v>
      </c>
      <c r="J8" s="749">
        <f>'Cash Flow'!ER55</f>
        <v>-58.475519999999989</v>
      </c>
      <c r="O8" s="840"/>
      <c r="S8"/>
      <c r="T8"/>
      <c r="AC8" s="749"/>
    </row>
    <row r="9" spans="1:244" ht="12.75" customHeight="1">
      <c r="B9" s="1464" t="s">
        <v>168</v>
      </c>
      <c r="C9" s="1704"/>
      <c r="D9" s="1705">
        <f>SUM(D7:D8)</f>
        <v>1597</v>
      </c>
      <c r="E9" s="1705">
        <f>SUM(E7:E8)</f>
        <v>2007</v>
      </c>
      <c r="F9" s="1705">
        <f>SUM(F7:F8)</f>
        <v>2942.5948701727975</v>
      </c>
      <c r="G9" s="1705">
        <f>SUM(G7:G8)</f>
        <v>3751.3217959994176</v>
      </c>
      <c r="H9" s="1705">
        <f t="shared" ref="H9:J9" si="1">SUM(H7:H8)</f>
        <v>4469.7382304554139</v>
      </c>
      <c r="I9" s="1705">
        <f t="shared" si="1"/>
        <v>5324.3603222123311</v>
      </c>
      <c r="J9" s="1705">
        <f t="shared" si="1"/>
        <v>6362.5813605291205</v>
      </c>
      <c r="K9" s="1705">
        <f t="shared" ref="K9:O9" si="2">J9*(1+K10)</f>
        <v>7542.2039447712195</v>
      </c>
      <c r="L9" s="1705">
        <f t="shared" si="2"/>
        <v>8865.1065166840908</v>
      </c>
      <c r="M9" s="1705">
        <f t="shared" si="2"/>
        <v>10331.39513454364</v>
      </c>
      <c r="N9" s="1705">
        <f t="shared" si="2"/>
        <v>11936.893938451722</v>
      </c>
      <c r="O9" s="1462">
        <f t="shared" si="2"/>
        <v>13672.518317102602</v>
      </c>
      <c r="S9" s="604">
        <f>+(J9/D9)^(1/6)-1</f>
        <v>0.25908409765029727</v>
      </c>
      <c r="T9" s="991"/>
      <c r="U9"/>
      <c r="V9"/>
    </row>
    <row r="10" spans="1:244" ht="12.75" customHeight="1" thickBot="1">
      <c r="B10" s="1465" t="s">
        <v>1</v>
      </c>
      <c r="C10" s="1497"/>
      <c r="D10" s="1498">
        <f>+'Cash Flow'!DN58</f>
        <v>0.76464088397790064</v>
      </c>
      <c r="E10" s="1498">
        <f>E9/D9-1</f>
        <v>0.25673137132122736</v>
      </c>
      <c r="F10" s="1498">
        <f>F9/E9-1</f>
        <v>0.46616585459531512</v>
      </c>
      <c r="G10" s="1498">
        <f>G9/F9-1</f>
        <v>0.2748346141781759</v>
      </c>
      <c r="H10" s="1498">
        <f t="shared" ref="H10:J10" si="3">H9/G9-1</f>
        <v>0.19151021253952361</v>
      </c>
      <c r="I10" s="1498">
        <f t="shared" si="3"/>
        <v>0.19120182160417953</v>
      </c>
      <c r="J10" s="1498">
        <f t="shared" si="3"/>
        <v>0.19499451116888289</v>
      </c>
      <c r="K10" s="1576">
        <v>0.18540000000000001</v>
      </c>
      <c r="L10" s="1576">
        <f>K10-0.01</f>
        <v>0.1754</v>
      </c>
      <c r="M10" s="1576">
        <f>L10-0.01</f>
        <v>0.16539999999999999</v>
      </c>
      <c r="N10" s="1576">
        <f>M10-0.01</f>
        <v>0.15539999999999998</v>
      </c>
      <c r="O10" s="1706">
        <f>N10-0.01</f>
        <v>0.14539999999999997</v>
      </c>
      <c r="U10"/>
      <c r="V10"/>
    </row>
    <row r="11" spans="1:244" s="179" customFormat="1" ht="12.75" customHeight="1">
      <c r="A11" s="677"/>
      <c r="B11" s="180" t="s">
        <v>107</v>
      </c>
      <c r="C11" s="685"/>
      <c r="D11" s="685"/>
      <c r="E11" s="600"/>
      <c r="F11" s="180" t="s">
        <v>108</v>
      </c>
      <c r="G11" s="686"/>
      <c r="H11" s="686"/>
      <c r="I11" s="1478" t="s">
        <v>34</v>
      </c>
      <c r="J11" s="1479"/>
      <c r="K11" s="1480"/>
      <c r="L11" s="1480"/>
      <c r="M11" s="1480"/>
      <c r="N11" s="1481" t="s">
        <v>136</v>
      </c>
      <c r="O11" s="1480"/>
      <c r="P11" s="1480"/>
      <c r="Q11" s="1482"/>
    </row>
    <row r="12" spans="1:244" s="179" customFormat="1" ht="12.75" customHeight="1">
      <c r="A12" s="677"/>
      <c r="B12" s="1466"/>
      <c r="C12" s="1467"/>
      <c r="D12" s="1468" t="s">
        <v>32</v>
      </c>
      <c r="E12" s="172"/>
      <c r="F12" s="181" t="s">
        <v>12</v>
      </c>
      <c r="G12" s="686"/>
      <c r="H12" s="687">
        <f>+G28</f>
        <v>6735.7605411722161</v>
      </c>
      <c r="I12" s="1715" t="s">
        <v>62</v>
      </c>
      <c r="J12" s="182"/>
      <c r="K12" s="183">
        <f>L12-1</f>
        <v>17.04</v>
      </c>
      <c r="L12" s="183">
        <f>M12-1</f>
        <v>18.04</v>
      </c>
      <c r="M12" s="183">
        <f>N12-1</f>
        <v>19.04</v>
      </c>
      <c r="N12" s="1483">
        <f>D14</f>
        <v>20.04</v>
      </c>
      <c r="O12" s="183">
        <f>N12+1</f>
        <v>21.04</v>
      </c>
      <c r="P12" s="183">
        <f>O12+1</f>
        <v>22.04</v>
      </c>
      <c r="Q12" s="184">
        <f>P12+1</f>
        <v>23.04</v>
      </c>
    </row>
    <row r="13" spans="1:244" ht="12.75" customHeight="1">
      <c r="B13" s="181" t="s">
        <v>61</v>
      </c>
      <c r="C13" s="172"/>
      <c r="D13" s="185">
        <f>O9</f>
        <v>13672.518317102602</v>
      </c>
      <c r="E13" s="172"/>
      <c r="F13" s="186" t="s">
        <v>56</v>
      </c>
      <c r="G13" s="686"/>
      <c r="H13" s="688">
        <f>+G30</f>
        <v>192942.01743524999</v>
      </c>
      <c r="I13" s="1715"/>
      <c r="J13" s="601">
        <f>J14-0.005</f>
        <v>7.8689618340667219E-2</v>
      </c>
      <c r="K13" s="187">
        <f>((NPV($J13,$H$9:$O$9))+$D$19+((($D$13*K$12))/((1+$J13)^($O$6-$G$6))))/Summary!$J$7</f>
        <v>138.57311468182482</v>
      </c>
      <c r="L13" s="187">
        <f>((NPV($J13,$H$9:$O$9))+$D$19+((($D$13*L$12))/((1+$J13)^($O$6-$G$6))))/Summary!$J$7</f>
        <v>144.30559296600597</v>
      </c>
      <c r="M13" s="187">
        <f>((NPV($J13,$H$9:$O$9))+$D$19+((($D$13*M$12))/((1+$J13)^($O$6-$G$6))))/Summary!$J$7</f>
        <v>150.0380712501871</v>
      </c>
      <c r="N13" s="187">
        <f>((NPV($J13,$H$9:$O$9))+$D$19+((($D$13*N$12))/((1+$J13)^($O$6-$G$6))))/Summary!$J$7</f>
        <v>155.77054953436826</v>
      </c>
      <c r="O13" s="187">
        <f>((NPV($J13,$H$9:$O$9))+$D$19+((($D$13*O$12))/((1+$J13)^($O$6-$G$6))))/Summary!$J$7</f>
        <v>161.50302781854941</v>
      </c>
      <c r="P13" s="187">
        <f>((NPV($J13,$H$9:$O$9))+$D$19+((($D$13*P$12))/((1+$J13)^($O$6-$G$6))))/Summary!$J$7</f>
        <v>167.23550610273054</v>
      </c>
      <c r="Q13" s="188">
        <f>((NPV($J13,$H$9:$O$9))+$D$19+((($D$13*Q$12))/((1+$J13)^($O$6-$G$6))))/Summary!$J$7</f>
        <v>172.9679843869117</v>
      </c>
      <c r="AD13" s="170"/>
      <c r="AE13" s="170"/>
      <c r="AF13" s="170"/>
      <c r="AG13" s="170"/>
      <c r="AH13" s="170"/>
      <c r="AI13" s="170"/>
      <c r="AJ13" s="170"/>
      <c r="AK13" s="170"/>
      <c r="AL13" s="170"/>
      <c r="AM13" s="170"/>
      <c r="AN13" s="170"/>
      <c r="AO13" s="170"/>
      <c r="AP13" s="170"/>
      <c r="AQ13" s="170"/>
      <c r="AR13" s="170"/>
      <c r="AS13" s="170"/>
      <c r="AT13" s="170"/>
      <c r="AU13" s="170"/>
      <c r="AV13" s="170"/>
      <c r="AW13" s="170"/>
      <c r="AX13" s="170"/>
      <c r="AY13" s="170"/>
      <c r="AZ13" s="170"/>
      <c r="BA13" s="170"/>
      <c r="BB13" s="170"/>
    </row>
    <row r="14" spans="1:244" ht="12.75" customHeight="1">
      <c r="B14" s="181" t="s">
        <v>38</v>
      </c>
      <c r="C14" s="172"/>
      <c r="D14" s="1081">
        <v>20.04</v>
      </c>
      <c r="E14" s="172"/>
      <c r="F14" s="181" t="s">
        <v>109</v>
      </c>
      <c r="G14" s="686"/>
      <c r="H14" s="687">
        <f>H13+H12</f>
        <v>199677.77797642219</v>
      </c>
      <c r="I14" s="1715"/>
      <c r="J14" s="601">
        <f>J15-0.005</f>
        <v>8.3689618340667224E-2</v>
      </c>
      <c r="K14" s="187">
        <f>((NPV($J14,$H$9:$O$9))+$D$19+((($D$13*K$12))/((1+$J14)^($O$6-$G$6))))/Summary!$J$7</f>
        <v>134.22134276589051</v>
      </c>
      <c r="L14" s="187">
        <f>((NPV($J14,$H$9:$O$9))+$D$19+((($D$13*L$12))/((1+$J14)^($O$6-$G$6))))/Summary!$J$7</f>
        <v>139.74561543937187</v>
      </c>
      <c r="M14" s="187">
        <f>((NPV($J14,$H$9:$O$9))+$D$19+((($D$13*M$12))/((1+$J14)^($O$6-$G$6))))/Summary!$J$7</f>
        <v>145.26988811285324</v>
      </c>
      <c r="N14" s="187">
        <f>((NPV($J14,$H$9:$O$9))+$D$19+((($D$13*N$12))/((1+$J14)^($O$6-$G$6))))/Summary!$J$7</f>
        <v>150.7941607863346</v>
      </c>
      <c r="O14" s="187">
        <f>((NPV($J14,$H$9:$O$9))+$D$19+((($D$13*O$12))/((1+$J14)^($O$6-$G$6))))/Summary!$J$7</f>
        <v>156.31843345981599</v>
      </c>
      <c r="P14" s="187">
        <f>((NPV($J14,$H$9:$O$9))+$D$19+((($D$13*P$12))/((1+$J14)^($O$6-$G$6))))/Summary!$J$7</f>
        <v>161.84270613329733</v>
      </c>
      <c r="Q14" s="188">
        <f>((NPV($J14,$H$9:$O$9))+$D$19+((($D$13*Q$12))/((1+$J14)^($O$6-$G$6))))/Summary!$J$7</f>
        <v>167.36697880677872</v>
      </c>
      <c r="AD14" s="170"/>
      <c r="AE14" s="170"/>
      <c r="AF14" s="170"/>
      <c r="AG14" s="170"/>
      <c r="AH14" s="170"/>
      <c r="AI14" s="170"/>
      <c r="AJ14" s="170"/>
      <c r="AK14" s="170"/>
      <c r="AL14" s="170"/>
      <c r="AM14" s="170"/>
      <c r="AN14" s="170"/>
      <c r="AO14" s="170"/>
      <c r="AP14" s="170"/>
      <c r="AQ14" s="170"/>
      <c r="AR14" s="170"/>
      <c r="AS14" s="170"/>
      <c r="AT14" s="170"/>
      <c r="AU14" s="170"/>
      <c r="AV14" s="170"/>
      <c r="AW14" s="170"/>
      <c r="AX14" s="170"/>
      <c r="AY14" s="170"/>
      <c r="AZ14" s="170"/>
      <c r="BA14" s="170"/>
      <c r="BB14" s="170"/>
    </row>
    <row r="15" spans="1:244" ht="12.75" customHeight="1" thickBot="1">
      <c r="B15" s="1469" t="s">
        <v>110</v>
      </c>
      <c r="C15" s="1470"/>
      <c r="D15" s="1471">
        <f>D13*D14</f>
        <v>273997.26707473613</v>
      </c>
      <c r="E15" s="172"/>
      <c r="F15" s="181" t="s">
        <v>111</v>
      </c>
      <c r="G15" s="686"/>
      <c r="H15" s="1079">
        <v>4.2999999999999997E-2</v>
      </c>
      <c r="I15" s="1715"/>
      <c r="J15" s="601">
        <f>J16-0.005</f>
        <v>8.8689618340667228E-2</v>
      </c>
      <c r="K15" s="187">
        <f>((NPV($J15,$H$9:$O$9))+$D$19+((($D$13*K$12))/((1+$J15)^($O$6-$G$6))))/Summary!$J$7</f>
        <v>130.0392262146037</v>
      </c>
      <c r="L15" s="187">
        <f>((NPV($J15,$H$9:$O$9))+$D$19+((($D$13*L$12))/((1+$J15)^($O$6-$G$6))))/Summary!$J$7</f>
        <v>135.36376209021574</v>
      </c>
      <c r="M15" s="187">
        <f>((NPV($J15,$H$9:$O$9))+$D$19+((($D$13*M$12))/((1+$J15)^($O$6-$G$6))))/Summary!$J$7</f>
        <v>140.68829796582776</v>
      </c>
      <c r="N15" s="187">
        <f>((NPV($J15,$H$9:$O$9))+$D$19+((($D$13*N$12))/((1+$J15)^($O$6-$G$6))))/Summary!$J$7</f>
        <v>146.0128338414398</v>
      </c>
      <c r="O15" s="187">
        <f>((NPV($J15,$H$9:$O$9))+$D$19+((($D$13*O$12))/((1+$J15)^($O$6-$G$6))))/Summary!$J$7</f>
        <v>151.33736971705187</v>
      </c>
      <c r="P15" s="187">
        <f>((NPV($J15,$H$9:$O$9))+$D$19+((($D$13*P$12))/((1+$J15)^($O$6-$G$6))))/Summary!$J$7</f>
        <v>156.66190559266386</v>
      </c>
      <c r="Q15" s="188">
        <f>((NPV($J15,$H$9:$O$9))+$D$19+((($D$13*Q$12))/((1+$J15)^($O$6-$G$6))))/Summary!$J$7</f>
        <v>161.9864414682759</v>
      </c>
      <c r="AD15" s="170"/>
      <c r="AE15" s="170"/>
      <c r="AF15" s="170"/>
      <c r="AG15" s="170"/>
      <c r="AH15" s="170"/>
      <c r="AI15" s="170"/>
      <c r="AJ15" s="170"/>
      <c r="AK15" s="170"/>
      <c r="AL15" s="170"/>
      <c r="AM15" s="170"/>
      <c r="AN15" s="170"/>
      <c r="AO15" s="170"/>
      <c r="AP15" s="170"/>
      <c r="AQ15" s="170"/>
      <c r="AR15" s="170"/>
      <c r="AS15" s="170"/>
      <c r="AT15" s="170"/>
      <c r="AU15" s="170"/>
      <c r="AV15" s="170"/>
      <c r="AW15" s="170"/>
      <c r="AX15" s="170"/>
      <c r="AY15" s="170"/>
      <c r="AZ15" s="170"/>
      <c r="BA15" s="170"/>
      <c r="BB15" s="170"/>
    </row>
    <row r="16" spans="1:244" ht="12.75" customHeight="1" thickBot="1">
      <c r="B16" s="189" t="s">
        <v>112</v>
      </c>
      <c r="C16" s="190"/>
      <c r="D16" s="190"/>
      <c r="E16" s="191"/>
      <c r="F16" s="181" t="s">
        <v>36</v>
      </c>
      <c r="G16" s="686"/>
      <c r="H16" s="690">
        <v>1.2</v>
      </c>
      <c r="I16" s="1715"/>
      <c r="J16" s="601">
        <f>J17-0.005</f>
        <v>9.3689618340667233E-2</v>
      </c>
      <c r="K16" s="187">
        <f>((NPV($J16,$H$9:$O$9))+$D$19+((($D$13*K$12))/((1+$J16)^($O$6-$G$6))))/Summary!$J$7</f>
        <v>126.01930665416707</v>
      </c>
      <c r="L16" s="187">
        <f>((NPV($J16,$H$9:$O$9))+$D$19+((($D$13*L$12))/((1+$J16)^($O$6-$G$6))))/Summary!$J$7</f>
        <v>131.1521935257293</v>
      </c>
      <c r="M16" s="187">
        <f>((NPV($J16,$H$9:$O$9))+$D$19+((($D$13*M$12))/((1+$J16)^($O$6-$G$6))))/Summary!$J$7</f>
        <v>136.28508039729152</v>
      </c>
      <c r="N16" s="192">
        <f>((NPV($J16,$H$9:$O$9))+$D$19+((($D$13*N$12))/((1+$J16)^($O$6-$G$6))))/Summary!$J$7</f>
        <v>141.41796726885377</v>
      </c>
      <c r="O16" s="187">
        <f>((NPV($J16,$H$9:$O$9))+$D$19+((($D$13*O$12))/((1+$J16)^($O$6-$G$6))))/Summary!$J$7</f>
        <v>146.55085414041602</v>
      </c>
      <c r="P16" s="187">
        <f>((NPV($J16,$H$9:$O$9))+$D$19+((($D$13*P$12))/((1+$J16)^($O$6-$G$6))))/Summary!$J$7</f>
        <v>151.68374101197827</v>
      </c>
      <c r="Q16" s="188">
        <f>((NPV($J16,$H$9:$O$9))+$D$19+((($D$13*Q$12))/((1+$J16)^($O$6-$G$6))))/Summary!$J$7</f>
        <v>156.81662788354052</v>
      </c>
      <c r="AD16" s="170"/>
      <c r="AE16" s="170"/>
      <c r="AF16" s="170"/>
      <c r="AG16" s="170"/>
      <c r="AH16" s="170"/>
      <c r="AI16" s="170"/>
      <c r="AJ16" s="170"/>
      <c r="AK16" s="170"/>
      <c r="AL16" s="170"/>
      <c r="AM16" s="170"/>
      <c r="AN16" s="170"/>
      <c r="AO16" s="170"/>
      <c r="AP16" s="170"/>
      <c r="AQ16" s="170"/>
      <c r="AR16" s="170"/>
      <c r="AS16" s="170"/>
      <c r="AT16" s="170"/>
      <c r="AU16" s="170"/>
      <c r="AV16" s="170"/>
      <c r="AW16" s="170"/>
      <c r="AX16" s="170"/>
      <c r="AY16" s="170"/>
      <c r="AZ16" s="170"/>
      <c r="BA16" s="170"/>
      <c r="BB16" s="170"/>
    </row>
    <row r="17" spans="2:56" ht="12.75" customHeight="1" thickBot="1">
      <c r="B17" s="1466"/>
      <c r="C17" s="1467"/>
      <c r="D17" s="1468" t="s">
        <v>32</v>
      </c>
      <c r="E17" s="1472" t="s">
        <v>113</v>
      </c>
      <c r="F17" s="186" t="s">
        <v>114</v>
      </c>
      <c r="G17" s="691"/>
      <c r="H17" s="1251">
        <v>0.05</v>
      </c>
      <c r="I17" s="1715"/>
      <c r="J17" s="1484">
        <f>H21</f>
        <v>9.8689618340667237E-2</v>
      </c>
      <c r="K17" s="187">
        <f>((NPV($J17,$H$9:$O$9))+$D$19+((($D$13*K$12))/((1+$J17)^($O$6-$G$6))))/Summary!$J$7</f>
        <v>122.15448782614115</v>
      </c>
      <c r="L17" s="187">
        <f>((NPV($J17,$H$9:$O$9))+$D$19+((($D$13*L$12))/((1+$J17)^($O$6-$G$6))))/Summary!$J$7</f>
        <v>127.1034512403875</v>
      </c>
      <c r="M17" s="193">
        <f>((NPV($J17,$H$9:$O$9))+$D$19+((($D$13*M$12))/((1+$J17)^($O$6-$G$6))))/Summary!$J$7</f>
        <v>132.05241465463385</v>
      </c>
      <c r="N17" s="987">
        <f>((NPV($J17,$H$9:$O$9))+$D$19+((($D$13*N$12))/((1+$J17)^($O$6-$G$6))))/Summary!$J$7</f>
        <v>137.00137806888017</v>
      </c>
      <c r="O17" s="194">
        <f>((NPV($J17,$H$9:$O$9))+$D$19+((($D$13*O$12))/((1+$J17)^($O$6-$G$6))))/Summary!$J$7</f>
        <v>141.95034148312652</v>
      </c>
      <c r="P17" s="187">
        <f>((NPV($J17,$H$9:$O$9))+$D$19+((($D$13*P$12))/((1+$J17)^($O$6-$G$6))))/Summary!$J$7</f>
        <v>146.89930489737287</v>
      </c>
      <c r="Q17" s="188">
        <f>((NPV($J17,$H$9:$O$9))+$D$19+((($D$13*Q$12))/((1+$J17)^($O$6-$G$6))))/Summary!$J$7</f>
        <v>151.84826831161922</v>
      </c>
      <c r="AD17" s="170"/>
      <c r="AE17" s="170"/>
      <c r="AF17" s="170"/>
      <c r="AG17" s="170"/>
      <c r="AH17" s="170"/>
      <c r="AI17" s="170"/>
      <c r="AJ17" s="170"/>
      <c r="AK17" s="170"/>
      <c r="AL17" s="170"/>
      <c r="AM17" s="170"/>
      <c r="AN17" s="170"/>
      <c r="AO17" s="170"/>
      <c r="AP17" s="170"/>
      <c r="AQ17" s="170"/>
      <c r="AR17" s="170"/>
      <c r="AS17" s="170"/>
      <c r="AT17" s="170"/>
      <c r="AU17" s="170"/>
      <c r="AV17" s="170"/>
      <c r="AW17" s="170"/>
      <c r="AX17" s="170"/>
      <c r="AY17" s="170"/>
      <c r="AZ17" s="170"/>
      <c r="BA17" s="170"/>
      <c r="BB17" s="170"/>
    </row>
    <row r="18" spans="2:56" ht="12.75" customHeight="1">
      <c r="B18" s="195" t="s">
        <v>736</v>
      </c>
      <c r="C18" s="171"/>
      <c r="D18" s="196">
        <f>NPV(J17,$H$9:$O$9)</f>
        <v>42479.89741050209</v>
      </c>
      <c r="E18" s="759">
        <f>D18/G29</f>
        <v>32.447441796723815</v>
      </c>
      <c r="F18" s="181" t="s">
        <v>115</v>
      </c>
      <c r="G18" s="686"/>
      <c r="H18" s="692">
        <f>(H17*H16)+H15</f>
        <v>0.10299999999999999</v>
      </c>
      <c r="I18" s="1715"/>
      <c r="J18" s="601">
        <f>J17+0.005</f>
        <v>0.10368961834066724</v>
      </c>
      <c r="K18" s="187">
        <f>((NPV($J18,$H$9:$O$9))+$D$19+((($D$13*K$12))/((1+$J18)^($O$6-$G$6))))/Summary!$J$7</f>
        <v>118.43801640716141</v>
      </c>
      <c r="L18" s="187">
        <f>((NPV($J18,$H$9:$O$9))+$D$19+((($D$13*L$12))/((1+$J18)^($O$6-$G$6))))/Summary!$J$7</f>
        <v>123.2104374312491</v>
      </c>
      <c r="M18" s="187">
        <f>((NPV($J18,$H$9:$O$9))+$D$19+((($D$13*M$12))/((1+$J18)^($O$6-$G$6))))/Summary!$J$7</f>
        <v>127.98285845533681</v>
      </c>
      <c r="N18" s="197">
        <f>((NPV($J18,$H$9:$O$9))+$D$19+((($D$13*N$12))/((1+$J18)^($O$6-$G$6))))/Summary!$J$7</f>
        <v>132.7552794794245</v>
      </c>
      <c r="O18" s="187">
        <f>((NPV($J18,$H$9:$O$9))+$D$19+((($D$13*O$12))/((1+$J18)^($O$6-$G$6))))/Summary!$J$7</f>
        <v>137.52770050351222</v>
      </c>
      <c r="P18" s="187">
        <f>((NPV($J18,$H$9:$O$9))+$D$19+((($D$13*P$12))/((1+$J18)^($O$6-$G$6))))/Summary!$J$7</f>
        <v>142.30012152759986</v>
      </c>
      <c r="Q18" s="188">
        <f>((NPV($J18,$H$9:$O$9))+$D$19+((($D$13*Q$12))/((1+$J18)^($O$6-$G$6))))/Summary!$J$7</f>
        <v>147.07254255168758</v>
      </c>
      <c r="AD18" s="170"/>
      <c r="AE18" s="170"/>
      <c r="AF18" s="170"/>
      <c r="AG18" s="170"/>
      <c r="AH18" s="170"/>
      <c r="AI18" s="170"/>
      <c r="AJ18" s="170"/>
      <c r="AK18" s="170"/>
      <c r="AL18" s="170"/>
      <c r="AM18" s="170"/>
      <c r="AN18" s="170"/>
      <c r="AO18" s="170"/>
      <c r="AP18" s="170"/>
      <c r="AQ18" s="170"/>
      <c r="AR18" s="170"/>
      <c r="AS18" s="170"/>
      <c r="AT18" s="170"/>
      <c r="AU18" s="170"/>
      <c r="AV18" s="170"/>
      <c r="AW18" s="170"/>
      <c r="AX18" s="170"/>
      <c r="AY18" s="170"/>
      <c r="AZ18" s="170"/>
      <c r="BA18" s="170"/>
      <c r="BB18" s="170"/>
    </row>
    <row r="19" spans="2:56" ht="12.75" customHeight="1">
      <c r="B19" s="195" t="s">
        <v>333</v>
      </c>
      <c r="C19" s="171"/>
      <c r="D19" s="687">
        <f>+G28</f>
        <v>6735.7605411722161</v>
      </c>
      <c r="E19" s="759">
        <f>D19/G29</f>
        <v>5.1449794241339522</v>
      </c>
      <c r="F19" s="181" t="s">
        <v>116</v>
      </c>
      <c r="G19" s="686"/>
      <c r="H19" s="689">
        <v>0.03</v>
      </c>
      <c r="I19" s="1715"/>
      <c r="J19" s="601">
        <f>J18+0.005</f>
        <v>0.10868961834066725</v>
      </c>
      <c r="K19" s="187">
        <f>((NPV($J19,$H$9:$O$9))+$D$19+((($D$13*K$12))/((1+$J19)^($O$6-$G$6))))/Summary!$J$7</f>
        <v>114.86346392730873</v>
      </c>
      <c r="L19" s="187">
        <f>((NPV($J19,$H$9:$O$9))+$D$19+((($D$13*L$12))/((1+$J19)^($O$6-$G$6))))/Summary!$J$7</f>
        <v>119.46639596987326</v>
      </c>
      <c r="M19" s="187">
        <f>((NPV($J19,$H$9:$O$9))+$D$19+((($D$13*M$12))/((1+$J19)^($O$6-$G$6))))/Summary!$J$7</f>
        <v>124.06932801243784</v>
      </c>
      <c r="N19" s="187">
        <f>((NPV($J19,$H$9:$O$9))+$D$19+((($D$13*N$12))/((1+$J19)^($O$6-$G$6))))/Summary!$J$7</f>
        <v>128.67226005500237</v>
      </c>
      <c r="O19" s="187">
        <f>((NPV($J19,$H$9:$O$9))+$D$19+((($D$13*O$12))/((1+$J19)^($O$6-$G$6))))/Summary!$J$7</f>
        <v>133.27519209756696</v>
      </c>
      <c r="P19" s="187">
        <f>((NPV($J19,$H$9:$O$9))+$D$19+((($D$13*P$12))/((1+$J19)^($O$6-$G$6))))/Summary!$J$7</f>
        <v>137.87812414013152</v>
      </c>
      <c r="Q19" s="188">
        <f>((NPV($J19,$H$9:$O$9))+$D$19+((($D$13*Q$12))/((1+$J19)^($O$6-$G$6))))/Summary!$J$7</f>
        <v>142.48105618269608</v>
      </c>
      <c r="AD19" s="170"/>
      <c r="AE19" s="170"/>
      <c r="AF19" s="170"/>
      <c r="AG19" s="170"/>
      <c r="AH19" s="170"/>
      <c r="AI19" s="170"/>
      <c r="AJ19" s="170"/>
      <c r="AK19" s="170"/>
      <c r="AL19" s="170"/>
      <c r="AM19" s="170"/>
      <c r="AN19" s="170"/>
      <c r="AO19" s="170"/>
      <c r="AP19" s="170"/>
      <c r="AQ19" s="170"/>
      <c r="AR19" s="170"/>
      <c r="AS19" s="170"/>
      <c r="AT19" s="170"/>
      <c r="AU19" s="170"/>
      <c r="AV19" s="170"/>
      <c r="AW19" s="170"/>
      <c r="AX19" s="170"/>
      <c r="AY19" s="170"/>
      <c r="AZ19" s="170"/>
      <c r="BA19" s="170"/>
      <c r="BB19" s="170"/>
    </row>
    <row r="20" spans="2:56" ht="12.75" customHeight="1">
      <c r="B20" s="198" t="s">
        <v>66</v>
      </c>
      <c r="C20" s="693"/>
      <c r="D20" s="199">
        <f>(D15)/(((1+J17)^(O6-G6)))</f>
        <v>129046.45076946821</v>
      </c>
      <c r="E20" s="761">
        <f>D20/G29</f>
        <v>98.569616587184086</v>
      </c>
      <c r="F20" s="181" t="s">
        <v>117</v>
      </c>
      <c r="G20" s="686"/>
      <c r="H20" s="692">
        <f>Income!EC58</f>
        <v>0.17403983705104731</v>
      </c>
      <c r="I20" s="1715"/>
      <c r="J20" s="601">
        <f>J19+0.005</f>
        <v>0.11368961834066725</v>
      </c>
      <c r="K20" s="187">
        <f>((NPV($J20,$H$9:$O$9))+$D$19+((($D$13*K$12))/((1+$J20)^($O$6-$G$6))))/Summary!$J$7</f>
        <v>111.42470971954042</v>
      </c>
      <c r="L20" s="187">
        <f>((NPV($J20,$H$9:$O$9))+$D$19+((($D$13*L$12))/((1+$J20)^($O$6-$G$6))))/Summary!$J$7</f>
        <v>115.86489445967219</v>
      </c>
      <c r="M20" s="187">
        <f>((NPV($J20,$H$9:$O$9))+$D$19+((($D$13*M$12))/((1+$J20)^($O$6-$G$6))))/Summary!$J$7</f>
        <v>120.30507919980394</v>
      </c>
      <c r="N20" s="187">
        <f>((NPV($J20,$H$9:$O$9))+$D$19+((($D$13*N$12))/((1+$J20)^($O$6-$G$6))))/Summary!$J$7</f>
        <v>124.7452639399357</v>
      </c>
      <c r="O20" s="187">
        <f>((NPV($J20,$H$9:$O$9))+$D$19+((($D$13*O$12))/((1+$J20)^($O$6-$G$6))))/Summary!$J$7</f>
        <v>129.18544868006745</v>
      </c>
      <c r="P20" s="187">
        <f>((NPV($J20,$H$9:$O$9))+$D$19+((($D$13*P$12))/((1+$J20)^($O$6-$G$6))))/Summary!$J$7</f>
        <v>133.62563342019922</v>
      </c>
      <c r="Q20" s="188">
        <f>((NPV($J20,$H$9:$O$9))+$D$19+((($D$13*Q$12))/((1+$J20)^($O$6-$G$6))))/Summary!$J$7</f>
        <v>138.06581816033099</v>
      </c>
      <c r="AD20" s="170"/>
      <c r="AE20" s="170"/>
      <c r="AF20" s="170"/>
      <c r="AG20" s="170"/>
      <c r="AH20" s="170"/>
      <c r="AI20" s="170"/>
      <c r="AJ20" s="170"/>
      <c r="AK20" s="170"/>
      <c r="AL20" s="170"/>
      <c r="AM20" s="170"/>
      <c r="AN20" s="170"/>
      <c r="AO20" s="170"/>
      <c r="AP20" s="170"/>
      <c r="AQ20" s="170"/>
      <c r="AR20" s="170"/>
      <c r="AS20" s="170"/>
      <c r="AT20" s="170"/>
      <c r="AU20" s="170"/>
      <c r="AV20" s="170"/>
      <c r="AW20" s="170"/>
      <c r="AX20" s="170"/>
      <c r="AY20" s="170"/>
      <c r="AZ20" s="170"/>
      <c r="BA20" s="170"/>
      <c r="BB20" s="170"/>
    </row>
    <row r="21" spans="2:56" ht="12.75" customHeight="1" thickBot="1">
      <c r="B21" s="1473" t="s">
        <v>33</v>
      </c>
      <c r="C21" s="1463"/>
      <c r="D21" s="1474">
        <f>SUM(D18:D20)</f>
        <v>178262.10872114252</v>
      </c>
      <c r="E21" s="1475">
        <f>D21/G29</f>
        <v>136.16203780804184</v>
      </c>
      <c r="F21" s="1473" t="s">
        <v>37</v>
      </c>
      <c r="G21" s="1476"/>
      <c r="H21" s="1477">
        <f>((H13/H14)*H18)+((-H12/H14)*(H19*(1-H20)))</f>
        <v>9.8689618340667237E-2</v>
      </c>
      <c r="I21" s="1716"/>
      <c r="J21" s="602">
        <f>J20+0.005</f>
        <v>0.11868961834066726</v>
      </c>
      <c r="K21" s="200">
        <f>((NPV($J21,$H$9:$O$9))+$D$19+((($D$13*K$12))/((1+$J21)^($O$6-$G$6))))/Summary!$J$7</f>
        <v>108.11592483703734</v>
      </c>
      <c r="L21" s="200">
        <f>((NPV($J21,$H$9:$O$9))+$D$19+((($D$13*L$12))/((1+$J21)^($O$6-$G$6))))/Summary!$J$7</f>
        <v>112.39980731220616</v>
      </c>
      <c r="M21" s="200">
        <f>((NPV($J21,$H$9:$O$9))+$D$19+((($D$13*M$12))/((1+$J21)^($O$6-$G$6))))/Summary!$J$7</f>
        <v>116.683689787375</v>
      </c>
      <c r="N21" s="200">
        <f>((NPV($J21,$H$9:$O$9))+$D$19+((($D$13*N$12))/((1+$J21)^($O$6-$G$6))))/Summary!$J$7</f>
        <v>120.96757226254384</v>
      </c>
      <c r="O21" s="200">
        <f>((NPV($J21,$H$9:$O$9))+$D$19+((($D$13*O$12))/((1+$J21)^($O$6-$G$6))))/Summary!$J$7</f>
        <v>125.25145473771268</v>
      </c>
      <c r="P21" s="200">
        <f>((NPV($J21,$H$9:$O$9))+$D$19+((($D$13*P$12))/((1+$J21)^($O$6-$G$6))))/Summary!$J$7</f>
        <v>129.53533721288147</v>
      </c>
      <c r="Q21" s="201">
        <f>((NPV($J21,$H$9:$O$9))+$D$19+((($D$13*Q$12))/((1+$J21)^($O$6-$G$6))))/Summary!$J$7</f>
        <v>133.81921968805031</v>
      </c>
      <c r="AD21" s="170"/>
      <c r="AE21" s="170"/>
      <c r="AF21" s="170"/>
      <c r="AG21" s="170"/>
      <c r="AH21" s="170"/>
      <c r="AI21" s="170"/>
      <c r="AJ21" s="170"/>
      <c r="AK21" s="170"/>
      <c r="AL21" s="170"/>
      <c r="AM21" s="170"/>
      <c r="AN21" s="170"/>
      <c r="AO21" s="170"/>
      <c r="AP21" s="170"/>
      <c r="AQ21" s="170"/>
      <c r="AR21" s="170"/>
      <c r="AS21" s="170"/>
      <c r="AT21" s="170"/>
      <c r="AU21" s="170"/>
      <c r="AV21" s="170"/>
      <c r="AW21" s="170"/>
      <c r="AX21" s="170"/>
      <c r="AY21" s="170"/>
      <c r="AZ21" s="170"/>
      <c r="BA21" s="170"/>
      <c r="BB21" s="170"/>
    </row>
    <row r="22" spans="2:56" ht="10.8" thickBot="1">
      <c r="B22" s="172"/>
      <c r="C22" s="172"/>
      <c r="D22" s="172"/>
      <c r="E22" s="172"/>
      <c r="F22" s="171"/>
      <c r="G22" s="171"/>
      <c r="H22" s="171"/>
      <c r="I22" s="171"/>
      <c r="J22" s="171"/>
      <c r="K22" s="171"/>
      <c r="L22" s="171"/>
      <c r="M22" s="171"/>
      <c r="N22" s="171"/>
      <c r="O22" s="171"/>
      <c r="P22" s="171"/>
      <c r="Q22" s="171"/>
      <c r="R22" s="171"/>
      <c r="S22" s="170"/>
      <c r="T22" s="170"/>
      <c r="U22" s="170"/>
      <c r="V22" s="170"/>
      <c r="W22" s="170"/>
      <c r="X22" s="170"/>
      <c r="Y22" s="170"/>
      <c r="Z22" s="170"/>
      <c r="AA22" s="170"/>
      <c r="AB22" s="170"/>
      <c r="AC22" s="170"/>
      <c r="AD22" s="170"/>
      <c r="AE22" s="170"/>
      <c r="AF22" s="170"/>
      <c r="AG22" s="170"/>
      <c r="AH22" s="170"/>
      <c r="AI22" s="170"/>
      <c r="AJ22" s="170"/>
      <c r="AK22" s="170"/>
      <c r="AL22" s="170"/>
      <c r="AM22" s="170"/>
      <c r="AN22" s="170"/>
      <c r="AO22" s="170"/>
      <c r="AP22" s="170"/>
      <c r="AQ22" s="170"/>
      <c r="AR22" s="170"/>
      <c r="AS22" s="170"/>
      <c r="AT22" s="170"/>
      <c r="AU22" s="170"/>
      <c r="AV22" s="170"/>
      <c r="AW22" s="170"/>
      <c r="AX22" s="170"/>
      <c r="AY22" s="170"/>
      <c r="AZ22" s="170"/>
      <c r="BA22" s="170"/>
    </row>
    <row r="23" spans="2:56" ht="12.75" customHeight="1" thickBot="1">
      <c r="B23" s="1575" t="s">
        <v>195</v>
      </c>
      <c r="C23" s="1574"/>
      <c r="D23" s="603">
        <f>(D15*H21-D13)/(D15+D13)</f>
        <v>4.6470530016491027E-2</v>
      </c>
      <c r="E23" s="172"/>
      <c r="F23" s="171"/>
      <c r="G23" s="171"/>
      <c r="H23" s="171"/>
      <c r="I23" s="171"/>
      <c r="J23" s="171"/>
      <c r="K23" s="171"/>
      <c r="L23" s="171"/>
      <c r="M23" s="171"/>
      <c r="N23" s="171"/>
      <c r="O23" s="171"/>
      <c r="P23" s="171"/>
      <c r="Q23" s="171"/>
      <c r="R23" s="171"/>
      <c r="S23" s="170"/>
      <c r="T23" s="170"/>
      <c r="U23" s="170"/>
      <c r="V23" s="170"/>
      <c r="W23" s="170"/>
      <c r="X23" s="170"/>
      <c r="Y23" s="170"/>
      <c r="Z23" s="170"/>
      <c r="AA23" s="170"/>
      <c r="AB23" s="170"/>
      <c r="AC23" s="170"/>
      <c r="AD23" s="170"/>
      <c r="AE23" s="170"/>
      <c r="AF23" s="170"/>
      <c r="AG23" s="170"/>
      <c r="AH23" s="170"/>
      <c r="AI23" s="170"/>
      <c r="AJ23" s="170"/>
      <c r="AK23" s="170"/>
      <c r="AL23" s="170"/>
      <c r="AM23" s="170"/>
      <c r="AN23" s="170"/>
      <c r="AO23" s="170"/>
      <c r="AP23" s="170"/>
      <c r="AQ23" s="170"/>
      <c r="AR23" s="170"/>
      <c r="AS23" s="170"/>
      <c r="AT23" s="170"/>
      <c r="AU23" s="170"/>
      <c r="AV23" s="170"/>
      <c r="AW23" s="170"/>
      <c r="AX23" s="170"/>
      <c r="AY23" s="170"/>
      <c r="AZ23" s="170"/>
      <c r="BA23" s="170"/>
    </row>
    <row r="24" spans="2:56" ht="3.45" customHeight="1">
      <c r="B24" s="171"/>
      <c r="C24" s="172"/>
      <c r="D24" s="171"/>
      <c r="E24" s="171"/>
      <c r="F24" s="171"/>
      <c r="G24" s="171"/>
      <c r="H24" s="171"/>
      <c r="I24" s="171"/>
      <c r="J24" s="171"/>
      <c r="K24" s="171"/>
      <c r="L24" s="171"/>
      <c r="M24" s="171"/>
      <c r="N24" s="171"/>
      <c r="O24" s="171"/>
      <c r="P24" s="171"/>
      <c r="Q24" s="171"/>
      <c r="R24" s="171"/>
      <c r="S24" s="170"/>
      <c r="T24" s="170"/>
      <c r="U24" s="170"/>
      <c r="V24" s="170"/>
      <c r="W24" s="170"/>
      <c r="X24" s="170"/>
      <c r="Y24" s="170"/>
      <c r="Z24" s="170"/>
      <c r="AA24" s="170"/>
      <c r="AB24" s="170"/>
      <c r="AC24" s="170"/>
      <c r="AD24" s="170"/>
      <c r="AE24" s="170"/>
      <c r="AF24" s="170"/>
      <c r="AG24" s="170"/>
      <c r="AH24" s="170"/>
      <c r="AI24" s="170"/>
      <c r="AJ24" s="170"/>
      <c r="AK24" s="170"/>
      <c r="AL24" s="170"/>
      <c r="AM24" s="170"/>
      <c r="AN24" s="170"/>
      <c r="AO24" s="170"/>
      <c r="AP24" s="170"/>
      <c r="AQ24" s="170"/>
      <c r="AR24" s="170"/>
      <c r="AS24" s="170"/>
      <c r="AT24" s="170"/>
      <c r="AU24" s="170"/>
      <c r="AV24" s="170"/>
      <c r="AW24" s="170"/>
      <c r="AX24" s="170"/>
      <c r="AY24" s="170"/>
      <c r="AZ24" s="170"/>
      <c r="BA24" s="170"/>
    </row>
    <row r="25" spans="2:56" ht="12.75" customHeight="1">
      <c r="B25" s="171" t="s">
        <v>383</v>
      </c>
      <c r="C25" s="172"/>
      <c r="D25" s="171"/>
      <c r="E25" s="171"/>
      <c r="F25" s="171"/>
      <c r="G25" s="171"/>
      <c r="H25" s="171"/>
      <c r="I25" s="171"/>
      <c r="J25" s="171"/>
      <c r="K25" s="171"/>
      <c r="L25" s="171"/>
      <c r="M25" s="171"/>
      <c r="N25" s="171"/>
      <c r="O25" s="171"/>
      <c r="P25" s="171"/>
      <c r="Q25" s="171"/>
      <c r="R25" s="171"/>
      <c r="S25" s="170"/>
      <c r="T25" s="170"/>
      <c r="U25" s="170"/>
      <c r="V25" s="170"/>
      <c r="W25" s="170"/>
      <c r="X25" s="170"/>
      <c r="Y25" s="170"/>
      <c r="Z25" s="170"/>
      <c r="AA25" s="170"/>
      <c r="AB25" s="170"/>
      <c r="AC25" s="170"/>
      <c r="AD25" s="170"/>
      <c r="AE25" s="170"/>
      <c r="AF25" s="170"/>
      <c r="AG25" s="170"/>
      <c r="AH25" s="170"/>
      <c r="AI25" s="170"/>
      <c r="AJ25" s="170"/>
      <c r="AK25" s="170"/>
      <c r="AL25" s="170"/>
      <c r="AM25" s="170"/>
      <c r="AN25" s="170"/>
      <c r="AO25" s="170"/>
      <c r="AP25" s="170"/>
      <c r="AQ25" s="170"/>
      <c r="AR25" s="170"/>
      <c r="AS25" s="170"/>
      <c r="AT25" s="170"/>
      <c r="AU25" s="170"/>
      <c r="AV25" s="170"/>
      <c r="AW25" s="170"/>
      <c r="AX25" s="170"/>
      <c r="AY25" s="170"/>
      <c r="AZ25" s="170"/>
      <c r="BA25" s="170"/>
      <c r="BB25" s="170"/>
      <c r="BC25" s="170"/>
    </row>
    <row r="26" spans="2:56" ht="12.75" customHeight="1">
      <c r="G26" s="170"/>
      <c r="H26" s="170"/>
      <c r="I26" s="170"/>
      <c r="J26" s="170"/>
      <c r="K26" s="170"/>
      <c r="L26" s="170"/>
      <c r="M26" s="170"/>
      <c r="N26" s="170"/>
      <c r="O26" s="170"/>
      <c r="P26" s="170"/>
      <c r="Q26" s="170"/>
      <c r="R26" s="170"/>
      <c r="S26" s="170"/>
      <c r="T26" s="170"/>
      <c r="U26" s="170"/>
      <c r="V26" s="170"/>
      <c r="W26" s="170"/>
      <c r="X26" s="170"/>
      <c r="Y26" s="170"/>
      <c r="Z26" s="170"/>
      <c r="AA26" s="170"/>
      <c r="AB26" s="170"/>
      <c r="AC26" s="170"/>
      <c r="AD26" s="170"/>
      <c r="AE26" s="170"/>
      <c r="AF26" s="170"/>
      <c r="AG26" s="170"/>
      <c r="AH26" s="170"/>
      <c r="AI26" s="170"/>
      <c r="AJ26" s="170"/>
      <c r="AK26" s="170"/>
      <c r="AL26" s="170"/>
      <c r="AM26" s="170"/>
      <c r="AN26" s="170"/>
      <c r="AO26" s="170"/>
      <c r="AP26" s="170"/>
      <c r="AQ26" s="170"/>
      <c r="AR26" s="170"/>
      <c r="AS26" s="170"/>
      <c r="AT26" s="170"/>
      <c r="AU26" s="170"/>
      <c r="AV26" s="170"/>
      <c r="AW26" s="170"/>
      <c r="AX26" s="170"/>
      <c r="AY26" s="170"/>
      <c r="AZ26" s="170"/>
      <c r="BA26" s="170"/>
      <c r="BB26" s="170"/>
      <c r="BC26" s="170"/>
    </row>
    <row r="27" spans="2:56" ht="12.75" customHeight="1">
      <c r="D27" s="760" t="str">
        <f>Summary!H5</f>
        <v>2024A</v>
      </c>
      <c r="E27" s="760" t="str">
        <f>Summary!I5</f>
        <v>2025A</v>
      </c>
      <c r="F27" s="760" t="str">
        <f>Summary!J5</f>
        <v>2026E</v>
      </c>
      <c r="G27" s="760" t="str">
        <f>Summary!K5</f>
        <v>2027E</v>
      </c>
      <c r="H27" s="133"/>
      <c r="I27" s="133"/>
      <c r="J27" s="760"/>
      <c r="K27" s="133"/>
      <c r="L27" s="133"/>
      <c r="M27" s="133"/>
      <c r="N27" s="133"/>
      <c r="O27" s="133"/>
      <c r="P27" s="133"/>
      <c r="Q27" s="133"/>
      <c r="R27" s="133"/>
      <c r="S27" s="133"/>
      <c r="T27" s="133"/>
      <c r="U27" s="170"/>
      <c r="V27" s="170"/>
      <c r="W27" s="170"/>
      <c r="X27" s="170"/>
      <c r="Y27" s="170"/>
      <c r="Z27" s="170"/>
      <c r="AA27" s="170"/>
      <c r="AB27" s="170"/>
      <c r="AC27" s="170"/>
      <c r="AD27" s="170"/>
      <c r="AE27" s="170"/>
      <c r="AF27" s="170"/>
      <c r="AG27" s="170"/>
      <c r="AH27" s="170"/>
      <c r="AI27" s="170"/>
      <c r="AJ27" s="170"/>
      <c r="AK27" s="170"/>
      <c r="AL27" s="170"/>
      <c r="AM27" s="170"/>
      <c r="AN27" s="170"/>
      <c r="AO27" s="170"/>
      <c r="AP27" s="170"/>
      <c r="AQ27" s="170"/>
      <c r="AR27" s="170"/>
      <c r="AS27" s="170"/>
      <c r="AT27" s="170"/>
      <c r="AU27" s="170"/>
      <c r="AV27" s="170"/>
      <c r="AW27" s="170"/>
      <c r="AX27" s="170"/>
      <c r="AY27" s="170"/>
      <c r="AZ27" s="170"/>
      <c r="BA27" s="170"/>
      <c r="BB27" s="170"/>
      <c r="BC27" s="170"/>
      <c r="BD27" s="170"/>
    </row>
    <row r="28" spans="2:56" ht="12.75" customHeight="1">
      <c r="B28" s="133"/>
      <c r="C28" s="203" t="s">
        <v>12</v>
      </c>
      <c r="D28" s="988">
        <f>+Summary!H9</f>
        <v>1498.0000000000018</v>
      </c>
      <c r="E28" s="988">
        <f>+Summary!I9</f>
        <v>1544.6720000000018</v>
      </c>
      <c r="F28" s="988">
        <f>+Summary!J9</f>
        <v>3332.7043701727989</v>
      </c>
      <c r="G28" s="988">
        <f>+Summary!K9</f>
        <v>6735.7605411722161</v>
      </c>
      <c r="H28" s="133"/>
      <c r="I28" s="133"/>
      <c r="J28" s="988"/>
      <c r="K28" s="989"/>
      <c r="L28" s="989"/>
      <c r="M28" s="133"/>
      <c r="N28" s="133"/>
      <c r="O28" s="133"/>
      <c r="P28" s="133"/>
      <c r="Q28" s="133"/>
      <c r="R28" s="133"/>
      <c r="S28" s="133"/>
      <c r="T28" s="133"/>
      <c r="U28" s="170"/>
      <c r="V28" s="170"/>
      <c r="W28" s="170"/>
      <c r="X28" s="170"/>
      <c r="Y28" s="170"/>
      <c r="Z28" s="170"/>
      <c r="AA28" s="170"/>
      <c r="AB28" s="170"/>
      <c r="AC28" s="170"/>
      <c r="AD28" s="170"/>
      <c r="AE28" s="170"/>
      <c r="AF28" s="170"/>
      <c r="AG28" s="170"/>
      <c r="AH28" s="170"/>
      <c r="AI28" s="170"/>
      <c r="AJ28" s="170"/>
      <c r="AK28" s="170"/>
      <c r="AL28" s="170"/>
      <c r="AM28" s="170"/>
      <c r="AN28" s="170"/>
      <c r="AO28" s="170"/>
      <c r="AP28" s="170"/>
      <c r="AQ28" s="170"/>
      <c r="AR28" s="170"/>
      <c r="AS28" s="170"/>
      <c r="AT28" s="170"/>
      <c r="AU28" s="170"/>
      <c r="AV28" s="170"/>
      <c r="AW28" s="170"/>
      <c r="AX28" s="170"/>
      <c r="AY28" s="170"/>
      <c r="AZ28" s="170"/>
      <c r="BA28" s="170"/>
      <c r="BB28" s="170"/>
      <c r="BC28" s="170"/>
      <c r="BD28" s="170"/>
    </row>
    <row r="29" spans="2:56" ht="12.75" customHeight="1">
      <c r="B29" s="133"/>
      <c r="C29" s="203" t="s">
        <v>149</v>
      </c>
      <c r="D29" s="760">
        <f>+Summary!H7</f>
        <v>1298.530094</v>
      </c>
      <c r="E29" s="760">
        <f>+Summary!I7</f>
        <v>1306.4131762500001</v>
      </c>
      <c r="F29" s="760">
        <f>+Summary!J7</f>
        <v>1301.1701869999999</v>
      </c>
      <c r="G29" s="760">
        <f>+Summary!K7</f>
        <v>1309.1909579999999</v>
      </c>
      <c r="H29" s="133"/>
      <c r="I29" s="133"/>
      <c r="J29" s="760"/>
      <c r="K29" s="989"/>
      <c r="L29" s="989"/>
      <c r="M29" s="133"/>
      <c r="N29" s="133"/>
      <c r="O29" s="133"/>
      <c r="P29" s="133"/>
      <c r="Q29" s="133"/>
      <c r="R29" s="133"/>
      <c r="S29" s="133"/>
      <c r="T29" s="133"/>
      <c r="U29" s="170"/>
      <c r="V29" s="170"/>
      <c r="W29" s="170"/>
      <c r="X29" s="170"/>
      <c r="Y29" s="170"/>
      <c r="Z29" s="170"/>
      <c r="AA29" s="170"/>
      <c r="AB29" s="170"/>
      <c r="AC29" s="170"/>
      <c r="AD29" s="170"/>
      <c r="AE29" s="170"/>
      <c r="AF29" s="170"/>
      <c r="AG29" s="170"/>
      <c r="AH29" s="170"/>
      <c r="AI29" s="170"/>
      <c r="AJ29" s="170"/>
      <c r="AK29" s="170"/>
      <c r="AL29" s="170"/>
      <c r="AM29" s="170"/>
      <c r="AN29" s="170"/>
      <c r="AO29" s="170"/>
      <c r="AP29" s="170"/>
      <c r="AQ29" s="170"/>
      <c r="AR29" s="170"/>
      <c r="AS29" s="170"/>
      <c r="AT29" s="170"/>
      <c r="AU29" s="170"/>
      <c r="AV29" s="170"/>
      <c r="AW29" s="170"/>
      <c r="AX29" s="170"/>
      <c r="AY29" s="170"/>
      <c r="AZ29" s="170"/>
      <c r="BA29" s="170"/>
      <c r="BB29" s="170"/>
      <c r="BC29" s="170"/>
      <c r="BD29" s="170"/>
    </row>
    <row r="30" spans="2:56" ht="12.75" customHeight="1" thickBot="1">
      <c r="B30" s="133"/>
      <c r="C30" s="203" t="s">
        <v>592</v>
      </c>
      <c r="D30" s="760">
        <f>+Summary!H8</f>
        <v>191370.87260325</v>
      </c>
      <c r="E30" s="760">
        <f>+Summary!I8</f>
        <v>192532.64184984376</v>
      </c>
      <c r="F30" s="760">
        <f>+Summary!J8</f>
        <v>191759.956309125</v>
      </c>
      <c r="G30" s="760">
        <f>+Summary!K8</f>
        <v>192942.01743524999</v>
      </c>
      <c r="H30" s="133"/>
      <c r="I30" s="133"/>
      <c r="J30" s="760"/>
      <c r="K30" s="989"/>
      <c r="L30" s="989"/>
      <c r="M30" s="133"/>
      <c r="N30" s="133"/>
      <c r="O30" s="133"/>
      <c r="P30" s="133"/>
      <c r="Q30" s="133"/>
      <c r="R30" s="133"/>
      <c r="S30" s="133"/>
      <c r="T30" s="133"/>
      <c r="U30" s="170"/>
      <c r="V30" s="170"/>
      <c r="W30" s="170"/>
      <c r="X30" s="170"/>
      <c r="Y30" s="170"/>
      <c r="Z30" s="170"/>
      <c r="AA30" s="170"/>
      <c r="AB30" s="170"/>
      <c r="AC30" s="170"/>
      <c r="AD30" s="170"/>
      <c r="AE30" s="170"/>
      <c r="AF30" s="170"/>
      <c r="AG30" s="170"/>
      <c r="AH30" s="170"/>
      <c r="AI30" s="170"/>
      <c r="AJ30" s="170"/>
      <c r="AK30" s="170"/>
      <c r="AL30" s="170"/>
      <c r="AM30" s="170"/>
      <c r="AN30" s="170"/>
      <c r="AO30" s="170"/>
      <c r="AP30" s="170"/>
      <c r="AQ30" s="170"/>
      <c r="AR30" s="170"/>
      <c r="AS30" s="170"/>
      <c r="AT30" s="170"/>
      <c r="AU30" s="170"/>
      <c r="AV30" s="170"/>
      <c r="AW30" s="170"/>
      <c r="AX30" s="170"/>
      <c r="AY30" s="170"/>
      <c r="AZ30" s="170"/>
      <c r="BA30" s="170"/>
      <c r="BB30" s="170"/>
      <c r="BC30" s="170"/>
      <c r="BD30" s="170"/>
    </row>
    <row r="31" spans="2:56" ht="12.75" customHeight="1" thickBot="1">
      <c r="B31" s="133"/>
      <c r="C31" s="203" t="s">
        <v>57</v>
      </c>
      <c r="D31" s="1718">
        <f>Summary!M52</f>
        <v>144.60155473201942</v>
      </c>
      <c r="E31" s="133"/>
      <c r="F31" s="133"/>
      <c r="G31" s="133"/>
      <c r="H31" s="133"/>
      <c r="I31" s="133"/>
      <c r="J31" s="989"/>
      <c r="K31" s="989"/>
      <c r="L31" s="989"/>
      <c r="M31" s="133"/>
      <c r="N31" s="133"/>
      <c r="O31" s="133"/>
      <c r="P31" s="133"/>
      <c r="Q31" s="133"/>
      <c r="R31" s="133"/>
      <c r="S31" s="133"/>
      <c r="T31" s="133"/>
      <c r="U31" s="170"/>
      <c r="V31" s="170"/>
      <c r="W31" s="170"/>
      <c r="X31" s="170"/>
      <c r="Y31" s="170"/>
      <c r="Z31" s="170"/>
      <c r="AA31" s="170"/>
      <c r="AB31" s="170"/>
      <c r="AC31" s="170"/>
      <c r="AD31" s="170"/>
      <c r="AE31" s="170"/>
      <c r="AF31" s="170"/>
      <c r="AG31" s="170"/>
      <c r="AH31" s="170"/>
      <c r="AI31" s="170"/>
      <c r="AJ31" s="170"/>
      <c r="AK31" s="170"/>
      <c r="AL31" s="170"/>
      <c r="AM31" s="170"/>
      <c r="AN31" s="170"/>
      <c r="AO31" s="170"/>
      <c r="AP31" s="170"/>
      <c r="AQ31" s="170"/>
      <c r="AR31" s="170"/>
      <c r="AS31" s="170"/>
      <c r="AT31" s="170"/>
      <c r="AU31" s="170"/>
      <c r="AV31" s="170"/>
      <c r="AW31" s="170"/>
      <c r="AX31" s="170"/>
      <c r="AY31" s="170"/>
      <c r="AZ31" s="170"/>
      <c r="BA31" s="170"/>
      <c r="BB31" s="170"/>
      <c r="BC31" s="170"/>
      <c r="BD31" s="170"/>
    </row>
    <row r="32" spans="2:56" ht="12.75" customHeight="1">
      <c r="B32" s="133"/>
      <c r="C32" s="133"/>
      <c r="D32" s="133"/>
      <c r="E32" s="133"/>
      <c r="F32" s="133"/>
      <c r="G32" s="133"/>
      <c r="H32" s="133"/>
      <c r="I32" s="133"/>
      <c r="J32" s="989"/>
      <c r="K32" s="989"/>
      <c r="L32" s="989"/>
      <c r="M32" s="133"/>
      <c r="N32" s="133"/>
      <c r="O32" s="133"/>
      <c r="P32" s="133"/>
      <c r="Q32" s="133"/>
      <c r="R32" s="133"/>
      <c r="S32" s="133"/>
      <c r="T32" s="133"/>
      <c r="U32" s="170"/>
      <c r="V32" s="170"/>
      <c r="W32" s="170"/>
      <c r="X32" s="170"/>
      <c r="Y32" s="170"/>
      <c r="Z32" s="170"/>
      <c r="AA32" s="170"/>
      <c r="AB32" s="170"/>
      <c r="AC32" s="170"/>
      <c r="AD32" s="170"/>
      <c r="AE32" s="170"/>
      <c r="AF32" s="170"/>
      <c r="AG32" s="170"/>
      <c r="AH32" s="170"/>
      <c r="AI32" s="170"/>
      <c r="AJ32" s="170"/>
      <c r="AK32" s="170"/>
      <c r="AL32" s="170"/>
      <c r="AM32" s="170"/>
      <c r="AN32" s="170"/>
      <c r="AO32" s="170"/>
      <c r="AP32" s="170"/>
      <c r="AQ32" s="170"/>
      <c r="AR32" s="170"/>
      <c r="AS32" s="170"/>
      <c r="AT32" s="170"/>
      <c r="AU32" s="170"/>
      <c r="AV32" s="170"/>
      <c r="AW32" s="170"/>
      <c r="AX32" s="170"/>
      <c r="AY32" s="170"/>
      <c r="AZ32" s="170"/>
      <c r="BA32" s="170"/>
      <c r="BB32" s="170"/>
      <c r="BC32" s="170"/>
      <c r="BD32" s="170"/>
    </row>
    <row r="33" spans="1:56" ht="12.75" customHeight="1">
      <c r="B33" s="133"/>
      <c r="C33" s="133"/>
      <c r="D33" s="133"/>
      <c r="E33" s="133"/>
      <c r="F33" s="133"/>
      <c r="G33" s="133"/>
      <c r="H33" s="133"/>
      <c r="I33" s="133"/>
      <c r="J33" s="989"/>
      <c r="K33" s="989"/>
      <c r="L33" s="989"/>
      <c r="M33" s="133"/>
      <c r="N33" s="133"/>
      <c r="O33" s="133"/>
      <c r="P33" s="133"/>
      <c r="Q33" s="133"/>
      <c r="R33" s="133"/>
      <c r="S33" s="133"/>
      <c r="T33" s="133"/>
      <c r="U33" s="170"/>
      <c r="V33" s="170"/>
      <c r="W33" s="170"/>
      <c r="X33" s="170"/>
      <c r="Y33" s="170"/>
      <c r="Z33" s="170"/>
      <c r="AA33" s="170"/>
      <c r="AB33" s="170"/>
      <c r="AC33" s="170"/>
      <c r="AD33" s="170"/>
      <c r="AE33" s="170"/>
      <c r="AF33" s="170"/>
      <c r="AG33" s="170"/>
      <c r="AH33" s="170"/>
      <c r="AI33" s="170"/>
      <c r="AJ33" s="170"/>
      <c r="AK33" s="170"/>
      <c r="AL33" s="170"/>
      <c r="AM33" s="170"/>
      <c r="AN33" s="170"/>
      <c r="AO33" s="170"/>
      <c r="AP33" s="170"/>
      <c r="AQ33" s="170"/>
      <c r="AR33" s="170"/>
      <c r="AS33" s="170"/>
      <c r="AT33" s="170"/>
      <c r="AU33" s="170"/>
      <c r="AV33" s="170"/>
      <c r="AW33" s="170"/>
      <c r="AX33" s="170"/>
      <c r="AY33" s="170"/>
      <c r="AZ33" s="170"/>
      <c r="BA33" s="170"/>
      <c r="BB33" s="170"/>
      <c r="BC33" s="170"/>
      <c r="BD33" s="170"/>
    </row>
    <row r="34" spans="1:56" ht="12.75" customHeight="1">
      <c r="B34" s="133"/>
      <c r="C34" s="133"/>
      <c r="D34" s="133"/>
      <c r="E34" s="133"/>
      <c r="F34" s="133"/>
      <c r="G34" s="133"/>
      <c r="H34" s="133"/>
      <c r="I34" s="133"/>
      <c r="J34" s="989"/>
      <c r="K34" s="989"/>
      <c r="L34" s="990"/>
      <c r="M34" s="133"/>
      <c r="N34" s="133"/>
      <c r="O34" s="133"/>
      <c r="P34" s="133"/>
      <c r="Q34" s="133"/>
      <c r="R34" s="133"/>
      <c r="S34" s="133"/>
      <c r="T34" s="133"/>
      <c r="U34" s="170"/>
      <c r="V34" s="170"/>
      <c r="W34" s="170"/>
      <c r="X34" s="170"/>
      <c r="Y34" s="170"/>
      <c r="Z34" s="170"/>
      <c r="AA34" s="170"/>
      <c r="AB34" s="170"/>
      <c r="AC34" s="170"/>
      <c r="AD34" s="170"/>
      <c r="AE34" s="170"/>
      <c r="AF34" s="170"/>
      <c r="AG34" s="170"/>
      <c r="AH34" s="170"/>
      <c r="AI34" s="170"/>
      <c r="AJ34" s="170"/>
      <c r="AK34" s="170"/>
      <c r="AL34" s="170"/>
      <c r="AM34" s="170"/>
      <c r="AN34" s="170"/>
      <c r="AO34" s="170"/>
      <c r="AP34" s="170"/>
      <c r="AQ34" s="170"/>
      <c r="AR34" s="170"/>
      <c r="AS34" s="170"/>
      <c r="AT34" s="170"/>
      <c r="AU34" s="170"/>
      <c r="AV34" s="170"/>
      <c r="AW34" s="170"/>
      <c r="AX34" s="170"/>
      <c r="AY34" s="170"/>
      <c r="AZ34" s="170"/>
      <c r="BA34" s="170"/>
      <c r="BB34" s="170"/>
      <c r="BC34" s="170"/>
      <c r="BD34" s="170"/>
    </row>
    <row r="35" spans="1:56" ht="12.75" customHeight="1">
      <c r="B35" s="133"/>
      <c r="C35" s="133"/>
      <c r="D35" s="133"/>
      <c r="E35" s="133"/>
      <c r="F35" s="133"/>
      <c r="G35" s="133"/>
      <c r="H35" s="133"/>
      <c r="I35" s="133"/>
      <c r="J35" s="989"/>
      <c r="K35" s="989"/>
      <c r="L35" s="989"/>
      <c r="M35" s="133"/>
      <c r="N35" s="133"/>
      <c r="O35" s="133"/>
      <c r="P35" s="133"/>
      <c r="Q35" s="133"/>
      <c r="R35" s="133"/>
      <c r="S35" s="133"/>
      <c r="T35" s="133"/>
      <c r="U35" s="170"/>
      <c r="V35" s="170"/>
      <c r="W35" s="170"/>
      <c r="X35" s="170"/>
      <c r="Y35" s="170"/>
      <c r="Z35" s="170"/>
      <c r="AA35" s="170"/>
      <c r="AB35" s="170"/>
      <c r="AC35" s="170"/>
      <c r="AD35" s="170"/>
      <c r="AE35" s="170"/>
      <c r="AF35" s="170"/>
      <c r="AG35" s="170"/>
      <c r="AH35" s="170"/>
      <c r="AI35" s="170"/>
      <c r="AJ35" s="170"/>
      <c r="AK35" s="170"/>
      <c r="AL35" s="170"/>
      <c r="AM35" s="170"/>
      <c r="AN35" s="170"/>
      <c r="AO35" s="170"/>
      <c r="AP35" s="170"/>
      <c r="AQ35" s="170"/>
      <c r="AR35" s="170"/>
      <c r="AS35" s="170"/>
      <c r="AT35" s="170"/>
      <c r="AU35" s="170"/>
      <c r="AV35" s="170"/>
      <c r="AW35" s="170"/>
      <c r="AX35" s="170"/>
      <c r="AY35" s="170"/>
      <c r="AZ35" s="170"/>
      <c r="BA35" s="170"/>
      <c r="BB35" s="170"/>
      <c r="BC35" s="170"/>
      <c r="BD35" s="170"/>
    </row>
    <row r="36" spans="1:56" ht="12.75" customHeight="1">
      <c r="B36" s="133"/>
      <c r="C36" s="133"/>
      <c r="D36" s="133"/>
      <c r="E36" s="133"/>
      <c r="F36" s="133"/>
      <c r="G36" s="133"/>
      <c r="H36" s="133"/>
      <c r="I36" s="133"/>
      <c r="J36" s="989"/>
      <c r="K36" s="989"/>
      <c r="L36" s="989"/>
      <c r="M36" s="133"/>
      <c r="N36" s="133"/>
      <c r="O36" s="133"/>
      <c r="P36" s="133"/>
      <c r="Q36" s="133"/>
      <c r="R36" s="133"/>
      <c r="S36" s="133"/>
      <c r="T36" s="133"/>
    </row>
    <row r="37" spans="1:56" ht="12.75" customHeight="1">
      <c r="B37" s="133"/>
      <c r="C37" s="133"/>
      <c r="D37" s="133"/>
      <c r="E37" s="133"/>
      <c r="F37" s="133"/>
      <c r="G37" s="133"/>
      <c r="H37" s="133"/>
      <c r="I37" s="133"/>
      <c r="J37" s="989"/>
      <c r="K37" s="989"/>
      <c r="L37" s="989"/>
      <c r="M37" s="133"/>
      <c r="N37" s="133"/>
      <c r="O37" s="133"/>
      <c r="P37" s="133"/>
      <c r="Q37" s="133"/>
      <c r="R37" s="133"/>
      <c r="S37" s="133"/>
      <c r="T37" s="133"/>
    </row>
    <row r="38" spans="1:56" s="179" customFormat="1" ht="12.75" customHeight="1">
      <c r="A38" s="677"/>
      <c r="B38" s="133"/>
      <c r="C38" s="133"/>
      <c r="D38" s="133"/>
      <c r="E38" s="133"/>
      <c r="F38" s="133"/>
      <c r="G38" s="133"/>
      <c r="H38" s="133"/>
      <c r="I38" s="133"/>
      <c r="J38" s="989"/>
      <c r="K38" s="989"/>
      <c r="L38" s="989"/>
      <c r="M38" s="133"/>
      <c r="N38" s="133"/>
      <c r="O38" s="133"/>
      <c r="P38" s="133"/>
      <c r="Q38" s="133"/>
      <c r="R38" s="133"/>
      <c r="S38" s="133"/>
      <c r="T38" s="133"/>
    </row>
    <row r="39" spans="1:56" s="179" customFormat="1" ht="12.75" customHeight="1">
      <c r="A39" s="677"/>
      <c r="B39" s="133"/>
      <c r="C39" s="133"/>
      <c r="D39" s="133"/>
      <c r="E39" s="133"/>
      <c r="F39" s="133"/>
      <c r="G39" s="133"/>
      <c r="H39" s="133"/>
      <c r="I39" s="133"/>
      <c r="J39" s="133"/>
      <c r="K39" s="133"/>
      <c r="L39" s="133"/>
      <c r="M39" s="133"/>
      <c r="N39" s="133"/>
      <c r="O39" s="133"/>
      <c r="P39" s="133"/>
      <c r="Q39" s="133"/>
      <c r="R39" s="133"/>
      <c r="S39" s="133"/>
      <c r="T39" s="133"/>
    </row>
    <row r="40" spans="1:56" s="179" customFormat="1" ht="12.75" customHeight="1">
      <c r="A40" s="677"/>
      <c r="B40" s="133"/>
      <c r="C40" s="133"/>
      <c r="D40" s="133"/>
      <c r="E40" s="133"/>
      <c r="F40" s="133"/>
      <c r="G40" s="133"/>
      <c r="H40" s="133"/>
      <c r="I40" s="133"/>
      <c r="J40" s="133"/>
      <c r="K40" s="133"/>
      <c r="L40" s="133"/>
      <c r="M40" s="133"/>
      <c r="N40" s="133"/>
      <c r="O40" s="133"/>
      <c r="P40" s="133"/>
      <c r="Q40" s="133"/>
      <c r="R40" s="133"/>
      <c r="S40" s="133"/>
      <c r="T40" s="133"/>
    </row>
    <row r="41" spans="1:56" s="179" customFormat="1" ht="12.75" customHeight="1">
      <c r="A41" s="677"/>
      <c r="B41" s="133"/>
      <c r="C41" s="133"/>
      <c r="D41" s="133"/>
      <c r="E41" s="133"/>
      <c r="F41" s="133"/>
      <c r="G41" s="133"/>
      <c r="H41" s="133"/>
      <c r="I41" s="133"/>
      <c r="J41" s="133"/>
      <c r="K41" s="133"/>
      <c r="L41" s="133"/>
      <c r="M41" s="133"/>
      <c r="N41" s="133"/>
      <c r="O41" s="133"/>
      <c r="P41" s="133"/>
      <c r="Q41" s="133"/>
      <c r="R41" s="133"/>
      <c r="S41" s="133"/>
      <c r="T41" s="133"/>
    </row>
    <row r="42" spans="1:56" ht="12.75" customHeight="1">
      <c r="B42" s="133"/>
      <c r="C42" s="133"/>
      <c r="D42" s="133"/>
      <c r="E42" s="133"/>
      <c r="F42" s="133"/>
      <c r="G42" s="133"/>
      <c r="H42" s="133"/>
      <c r="I42" s="133"/>
      <c r="J42" s="133"/>
      <c r="K42" s="133"/>
      <c r="L42" s="133"/>
      <c r="M42" s="133"/>
      <c r="N42" s="133"/>
      <c r="O42" s="133"/>
      <c r="P42" s="133"/>
      <c r="Q42" s="133"/>
      <c r="R42" s="133"/>
      <c r="S42" s="133"/>
      <c r="T42" s="133"/>
    </row>
    <row r="43" spans="1:56" ht="12.75" customHeight="1">
      <c r="B43" s="133"/>
      <c r="C43" s="133"/>
      <c r="D43" s="133"/>
      <c r="E43" s="133"/>
      <c r="F43" s="133"/>
      <c r="G43" s="133"/>
      <c r="H43" s="133"/>
      <c r="I43" s="133"/>
      <c r="J43" s="133"/>
      <c r="K43" s="133"/>
      <c r="L43" s="133"/>
      <c r="M43" s="133"/>
      <c r="N43" s="133"/>
      <c r="O43" s="133"/>
      <c r="P43" s="133"/>
      <c r="Q43" s="133"/>
      <c r="R43" s="133"/>
      <c r="S43" s="133"/>
      <c r="T43" s="133"/>
    </row>
    <row r="44" spans="1:56" ht="12.75" customHeight="1">
      <c r="B44" s="133"/>
      <c r="C44" s="133"/>
      <c r="D44" s="133"/>
      <c r="E44" s="133"/>
      <c r="F44" s="133"/>
      <c r="G44" s="133"/>
      <c r="H44" s="133"/>
      <c r="I44" s="133"/>
      <c r="J44" s="133"/>
      <c r="K44" s="133"/>
      <c r="L44" s="133"/>
      <c r="M44" s="133"/>
      <c r="N44" s="133"/>
      <c r="O44" s="133"/>
      <c r="P44" s="133"/>
      <c r="Q44" s="133"/>
      <c r="R44" s="133"/>
      <c r="S44" s="133"/>
      <c r="T44" s="133"/>
    </row>
    <row r="45" spans="1:56" ht="12.75" customHeight="1">
      <c r="B45" s="133"/>
      <c r="C45" s="133"/>
      <c r="D45" s="133"/>
      <c r="E45" s="133"/>
      <c r="F45" s="133"/>
      <c r="G45" s="133"/>
      <c r="H45" s="133"/>
      <c r="I45" s="133"/>
      <c r="J45" s="133"/>
      <c r="K45" s="133"/>
      <c r="L45" s="133"/>
      <c r="M45" s="133"/>
      <c r="N45" s="133"/>
      <c r="O45" s="133"/>
      <c r="P45" s="133"/>
      <c r="Q45" s="133"/>
      <c r="R45" s="133"/>
      <c r="S45" s="133"/>
      <c r="T45" s="133"/>
    </row>
    <row r="46" spans="1:56" ht="12.75" customHeight="1">
      <c r="B46" s="133"/>
      <c r="C46" s="133"/>
      <c r="D46" s="133"/>
      <c r="E46" s="133"/>
      <c r="F46" s="133"/>
      <c r="G46" s="133"/>
      <c r="H46" s="133"/>
      <c r="I46" s="133"/>
      <c r="J46" s="133"/>
      <c r="K46" s="133"/>
      <c r="L46" s="133"/>
      <c r="M46" s="133"/>
      <c r="N46" s="133"/>
      <c r="O46" s="133"/>
      <c r="P46" s="133"/>
      <c r="Q46" s="133"/>
      <c r="R46" s="133"/>
      <c r="S46" s="133"/>
      <c r="T46" s="133"/>
    </row>
    <row r="47" spans="1:56" ht="12.75" customHeight="1">
      <c r="B47" s="133"/>
      <c r="C47" s="133"/>
      <c r="D47" s="133"/>
      <c r="E47" s="133"/>
      <c r="F47" s="133"/>
      <c r="G47" s="133"/>
      <c r="H47" s="133"/>
      <c r="I47" s="133"/>
      <c r="J47" s="133"/>
      <c r="K47" s="133"/>
      <c r="L47" s="133"/>
      <c r="M47" s="133"/>
      <c r="N47" s="133"/>
      <c r="O47" s="133"/>
      <c r="P47" s="133"/>
      <c r="Q47" s="133"/>
      <c r="R47" s="133"/>
      <c r="S47" s="133"/>
      <c r="T47" s="133"/>
    </row>
    <row r="48" spans="1:56" ht="12.75" customHeight="1">
      <c r="B48" s="133"/>
      <c r="C48" s="133"/>
      <c r="D48" s="133"/>
      <c r="E48" s="133"/>
      <c r="F48" s="133"/>
      <c r="G48" s="133"/>
      <c r="H48" s="133"/>
      <c r="I48" s="133"/>
      <c r="J48" s="133"/>
      <c r="K48" s="133"/>
      <c r="L48" s="133"/>
      <c r="M48" s="133"/>
      <c r="N48" s="133"/>
      <c r="O48" s="133"/>
      <c r="P48" s="133"/>
      <c r="Q48" s="133"/>
      <c r="R48" s="133"/>
      <c r="S48" s="133"/>
      <c r="T48" s="133"/>
    </row>
    <row r="49" spans="2:20" ht="12.75" customHeight="1">
      <c r="B49" s="133"/>
      <c r="C49" s="133"/>
      <c r="D49" s="133"/>
      <c r="E49" s="133"/>
      <c r="F49" s="133"/>
      <c r="G49" s="133"/>
      <c r="H49" s="133"/>
      <c r="I49" s="133"/>
      <c r="J49" s="133"/>
      <c r="K49" s="133"/>
      <c r="L49" s="133"/>
      <c r="M49" s="133"/>
      <c r="N49" s="133"/>
      <c r="O49" s="133"/>
      <c r="P49" s="133"/>
      <c r="Q49" s="133"/>
      <c r="R49" s="133"/>
      <c r="S49" s="133"/>
      <c r="T49" s="133"/>
    </row>
    <row r="50" spans="2:20" ht="12.75" customHeight="1">
      <c r="B50" s="133"/>
      <c r="C50" s="133"/>
      <c r="D50" s="133"/>
      <c r="E50" s="133"/>
      <c r="F50" s="133"/>
      <c r="G50" s="133"/>
      <c r="H50" s="133"/>
      <c r="I50" s="133"/>
      <c r="J50" s="133"/>
      <c r="K50" s="133"/>
      <c r="L50" s="133"/>
      <c r="M50" s="133"/>
      <c r="N50" s="133"/>
      <c r="O50" s="133"/>
      <c r="P50" s="133"/>
      <c r="Q50" s="133"/>
      <c r="R50" s="133"/>
      <c r="S50" s="133"/>
      <c r="T50" s="133"/>
    </row>
    <row r="51" spans="2:20" ht="12.75" customHeight="1">
      <c r="B51" s="133"/>
      <c r="C51" s="133"/>
      <c r="D51" s="133"/>
      <c r="E51" s="133"/>
      <c r="F51" s="133"/>
      <c r="G51" s="133"/>
      <c r="H51" s="133"/>
      <c r="I51" s="133"/>
      <c r="J51" s="133"/>
      <c r="K51" s="133"/>
      <c r="L51" s="133"/>
      <c r="M51" s="133"/>
      <c r="N51" s="133"/>
      <c r="O51" s="133"/>
      <c r="P51" s="133"/>
      <c r="Q51" s="133"/>
      <c r="R51" s="133"/>
      <c r="S51" s="133"/>
      <c r="T51" s="133"/>
    </row>
    <row r="52" spans="2:20" ht="12.75" customHeight="1">
      <c r="B52" s="133"/>
      <c r="C52" s="133"/>
      <c r="D52" s="133"/>
      <c r="E52" s="133"/>
      <c r="F52" s="133"/>
      <c r="G52" s="133"/>
      <c r="H52" s="133"/>
      <c r="I52" s="133"/>
      <c r="J52" s="133"/>
      <c r="K52" s="133"/>
      <c r="L52" s="133"/>
      <c r="M52" s="133"/>
      <c r="N52" s="133"/>
      <c r="O52" s="133"/>
      <c r="P52" s="133"/>
      <c r="Q52" s="133"/>
      <c r="R52" s="133"/>
      <c r="S52" s="133"/>
      <c r="T52" s="133"/>
    </row>
    <row r="53" spans="2:20" ht="12.75" customHeight="1"/>
    <row r="54" spans="2:20" ht="12.75" customHeight="1"/>
    <row r="55" spans="2:20" ht="12.75" customHeight="1"/>
    <row r="56" spans="2:20" ht="12.75" customHeight="1"/>
    <row r="57" spans="2:20" ht="12.75" customHeight="1"/>
    <row r="58" spans="2:20" ht="12.75" customHeight="1"/>
    <row r="59" spans="2:20" ht="12.75" customHeight="1"/>
    <row r="60" spans="2:20" ht="12.75" customHeight="1"/>
    <row r="61" spans="2:20" ht="12.75" customHeight="1"/>
    <row r="62" spans="2:20" ht="12.75" customHeight="1"/>
    <row r="63" spans="2:20" ht="12.75" customHeight="1"/>
    <row r="64" spans="2:20"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sheetData>
  <mergeCells count="1">
    <mergeCell ref="I12:I21"/>
  </mergeCells>
  <phoneticPr fontId="12" type="noConversion"/>
  <pageMargins left="0.75" right="0.75" top="0.5" bottom="0.5" header="0.5" footer="0.5"/>
  <pageSetup scale="72" orientation="landscape" horizontalDpi="300" verticalDpi="300" r:id="rId1"/>
  <headerFooter alignWithMargins="0">
    <oddFooter>&amp;R&amp;"Book Antiqua,Regular"&amp;8Daniel Salmon
BMO Capital Markets
 (212) 885-4029</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3">
    <tabColor theme="6" tint="0.79998168889431442"/>
  </sheetPr>
  <dimension ref="A2:AD47"/>
  <sheetViews>
    <sheetView showGridLines="0" zoomScaleNormal="100" workbookViewId="0">
      <pane xSplit="5" ySplit="12" topLeftCell="F13" activePane="bottomRight" state="frozen"/>
      <selection activeCell="F6" sqref="F6"/>
      <selection pane="topRight" activeCell="F6" sqref="F6"/>
      <selection pane="bottomLeft" activeCell="F6" sqref="F6"/>
      <selection pane="bottomRight" activeCell="H31" sqref="H31"/>
    </sheetView>
  </sheetViews>
  <sheetFormatPr defaultColWidth="9.33203125" defaultRowHeight="13.2" outlineLevelCol="2"/>
  <cols>
    <col min="1" max="3" width="9.33203125" style="203" hidden="1" customWidth="1" outlineLevel="2"/>
    <col min="4" max="4" width="1.6640625" style="203" customWidth="1" collapsed="1"/>
    <col min="5" max="5" width="30.33203125" style="203" bestFit="1" customWidth="1"/>
    <col min="6" max="10" width="15.5546875" style="203" customWidth="1"/>
    <col min="11" max="11" width="1.6640625" style="203" customWidth="1"/>
    <col min="12" max="12" width="28.33203125" style="203" bestFit="1" customWidth="1"/>
    <col min="13" max="15" width="10.33203125" style="203" bestFit="1" customWidth="1"/>
    <col min="16" max="20" width="9.33203125" style="203"/>
    <col min="22" max="16384" width="9.33203125" style="203"/>
  </cols>
  <sheetData>
    <row r="2" spans="5:29">
      <c r="E2" s="202" t="str">
        <f>Summary!B2</f>
        <v>Shopify</v>
      </c>
    </row>
    <row r="3" spans="5:29">
      <c r="E3" s="204" t="s">
        <v>94</v>
      </c>
    </row>
    <row r="4" spans="5:29">
      <c r="E4" s="205" t="str">
        <f>Income!C3</f>
        <v>Income Statement</v>
      </c>
    </row>
    <row r="5" spans="5:29" ht="13.8" thickBot="1"/>
    <row r="6" spans="5:29" ht="13.8" thickBot="1">
      <c r="E6" s="1175" t="s">
        <v>95</v>
      </c>
      <c r="F6" s="1176" t="s">
        <v>131</v>
      </c>
      <c r="G6" s="1176" t="s">
        <v>132</v>
      </c>
      <c r="H6" s="1176" t="s">
        <v>96</v>
      </c>
      <c r="I6" s="1176" t="s">
        <v>133</v>
      </c>
      <c r="J6" s="1177" t="s">
        <v>134</v>
      </c>
    </row>
    <row r="7" spans="5:29">
      <c r="E7" s="763" t="s">
        <v>294</v>
      </c>
      <c r="F7" s="206">
        <f>$H7*(1+F35)</f>
        <v>3611.2389476124522</v>
      </c>
      <c r="G7" s="206">
        <f>$H7*(1+G35)</f>
        <v>3629.8535813630319</v>
      </c>
      <c r="H7" s="206">
        <f>+P13</f>
        <v>3722.9267501159302</v>
      </c>
      <c r="I7" s="206">
        <f>$H7*(1+I35)</f>
        <v>3815.999918868828</v>
      </c>
      <c r="J7" s="207">
        <f>$H7*(1+J35)</f>
        <v>3909.0730876217267</v>
      </c>
    </row>
    <row r="8" spans="5:29">
      <c r="E8" s="764" t="s">
        <v>295</v>
      </c>
      <c r="F8" s="855">
        <f>+F14</f>
        <v>941.46486619918562</v>
      </c>
      <c r="G8" s="855">
        <f>+G14</f>
        <v>922.05321947342918</v>
      </c>
      <c r="H8" s="855">
        <f>+H14</f>
        <v>970.58233628782023</v>
      </c>
      <c r="I8" s="855">
        <f>+I14</f>
        <v>1019.1114531022113</v>
      </c>
      <c r="J8" s="1450">
        <f>+J14</f>
        <v>1067.6405699166023</v>
      </c>
    </row>
    <row r="9" spans="5:29">
      <c r="E9" s="763" t="s">
        <v>293</v>
      </c>
      <c r="F9" s="206">
        <f>G9-F37</f>
        <v>378441.17500000005</v>
      </c>
      <c r="G9" s="206">
        <f>H9-G37</f>
        <v>378441.02500000002</v>
      </c>
      <c r="H9" s="206">
        <f>+P16</f>
        <v>378441</v>
      </c>
      <c r="I9" s="206">
        <f>H9+I37</f>
        <v>378441.02500000002</v>
      </c>
      <c r="J9" s="208">
        <f>I9+J37</f>
        <v>378441.07500000001</v>
      </c>
    </row>
    <row r="10" spans="5:29" ht="13.8" thickBot="1">
      <c r="E10" s="764" t="s">
        <v>296</v>
      </c>
      <c r="F10" s="605">
        <f>$H10*(1+F38)</f>
        <v>2.3263864116203053E-2</v>
      </c>
      <c r="G10" s="605">
        <f>$H10*(1+G38)</f>
        <v>2.2100670910392899E-2</v>
      </c>
      <c r="H10" s="605">
        <f>+P17</f>
        <v>2.3263864116203053E-2</v>
      </c>
      <c r="I10" s="605">
        <f>$H10*(1+I38)</f>
        <v>2.4427057322013206E-2</v>
      </c>
      <c r="J10" s="606">
        <f>$H10*(1+J38)</f>
        <v>2.559025052782336E-2</v>
      </c>
    </row>
    <row r="11" spans="5:29" ht="21" hidden="1" thickBot="1">
      <c r="E11" s="765" t="s">
        <v>97</v>
      </c>
      <c r="F11" s="209" t="s">
        <v>118</v>
      </c>
      <c r="G11" s="209" t="s">
        <v>119</v>
      </c>
      <c r="H11" s="209" t="s">
        <v>120</v>
      </c>
      <c r="I11" s="209" t="s">
        <v>154</v>
      </c>
      <c r="J11" s="210" t="s">
        <v>121</v>
      </c>
    </row>
    <row r="12" spans="5:29" ht="14.7" customHeight="1" thickBot="1">
      <c r="E12" s="1328" t="s">
        <v>707</v>
      </c>
      <c r="F12" s="1176" t="s">
        <v>708</v>
      </c>
      <c r="G12" s="1176" t="s">
        <v>709</v>
      </c>
      <c r="H12" s="1176" t="s">
        <v>710</v>
      </c>
      <c r="I12" s="1176" t="str">
        <f>I6</f>
        <v>Weak Bull Case</v>
      </c>
      <c r="J12" s="1177" t="str">
        <f>J6</f>
        <v>Strong Bull Case</v>
      </c>
      <c r="K12" s="211"/>
      <c r="L12" s="750" t="s">
        <v>0</v>
      </c>
      <c r="M12" s="751" t="s">
        <v>349</v>
      </c>
      <c r="N12" s="751" t="s">
        <v>372</v>
      </c>
      <c r="O12" s="751" t="s">
        <v>279</v>
      </c>
      <c r="P12" s="751" t="s">
        <v>326</v>
      </c>
      <c r="Q12" s="751" t="s">
        <v>356</v>
      </c>
      <c r="R12" s="751" t="s">
        <v>357</v>
      </c>
      <c r="S12" s="751"/>
      <c r="T12" s="751"/>
      <c r="V12" s="751"/>
      <c r="W12" s="751"/>
      <c r="X12" s="751"/>
      <c r="Y12" s="751"/>
      <c r="Z12" s="751"/>
    </row>
    <row r="13" spans="5:29">
      <c r="E13" s="766" t="s">
        <v>297</v>
      </c>
      <c r="F13" s="212">
        <f>$H13*(1+F35)</f>
        <v>4025.1160466228539</v>
      </c>
      <c r="G13" s="212">
        <f>$H13*(1+G35)</f>
        <v>4045.8640674817348</v>
      </c>
      <c r="H13" s="212">
        <f>Q13</f>
        <v>4149.6041717761382</v>
      </c>
      <c r="I13" s="212">
        <f>$H13*(1+I35)</f>
        <v>4253.3442760705411</v>
      </c>
      <c r="J13" s="213">
        <f>$H13*(1+J35)</f>
        <v>4357.084380364945</v>
      </c>
      <c r="K13" s="211"/>
      <c r="L13" s="752" t="s">
        <v>297</v>
      </c>
      <c r="M13" s="753">
        <f>'Revenue Build'!DD16</f>
        <v>2444.3376074500002</v>
      </c>
      <c r="N13" s="753">
        <f>'Revenue Build'!DI16</f>
        <v>3055.579363545979</v>
      </c>
      <c r="O13" s="753">
        <f>'Revenue Build'!DN16</f>
        <v>3372.7878898097838</v>
      </c>
      <c r="P13" s="753">
        <f>'Revenue Build'!DS16</f>
        <v>3722.9267501159302</v>
      </c>
      <c r="Q13" s="753">
        <f>'Revenue Build'!DX16</f>
        <v>4149.6041717761382</v>
      </c>
      <c r="R13" s="753">
        <f>'Revenue Build'!EC16</f>
        <v>4670.4160533467975</v>
      </c>
      <c r="S13" s="753"/>
      <c r="T13" s="753"/>
      <c r="V13" s="753"/>
      <c r="W13" s="753"/>
      <c r="X13" s="753"/>
      <c r="Y13" s="753"/>
      <c r="Z13" s="753"/>
      <c r="AA13" s="214"/>
      <c r="AB13" s="214"/>
      <c r="AC13" s="214"/>
    </row>
    <row r="14" spans="5:29">
      <c r="E14" s="763" t="s">
        <v>299</v>
      </c>
      <c r="F14" s="1451">
        <f>$H14*(1+F36)</f>
        <v>941.46486619918562</v>
      </c>
      <c r="G14" s="1451">
        <f>$H14*(1+G36)</f>
        <v>922.05321947342918</v>
      </c>
      <c r="H14" s="1451">
        <f>+H15/H13*1000</f>
        <v>970.58233628782023</v>
      </c>
      <c r="I14" s="1451">
        <f>$H14*(1+I36)</f>
        <v>1019.1114531022113</v>
      </c>
      <c r="J14" s="859">
        <f>$H14*(1+J36)</f>
        <v>1067.6405699166023</v>
      </c>
      <c r="K14" s="211"/>
      <c r="L14" s="752" t="s">
        <v>298</v>
      </c>
      <c r="M14" s="856">
        <f>'Revenue Build'!DD21</f>
        <v>170.09393362297834</v>
      </c>
      <c r="N14" s="856">
        <f>'Revenue Build'!DI21</f>
        <v>155.29295341206074</v>
      </c>
      <c r="O14" s="856">
        <f>'Revenue Build'!DN21</f>
        <v>180.34361067634592</v>
      </c>
      <c r="P14" s="856">
        <f>'Revenue Build'!DS21</f>
        <v>191.40567212417227</v>
      </c>
      <c r="Q14" s="856">
        <f>'Revenue Build'!DX21</f>
        <v>210.15117425573163</v>
      </c>
      <c r="R14" s="856">
        <f>'Revenue Build'!EC21</f>
        <v>224.86175645363289</v>
      </c>
      <c r="S14" s="856"/>
      <c r="T14" s="856"/>
      <c r="V14" s="856"/>
      <c r="W14" s="856"/>
      <c r="X14" s="856"/>
      <c r="Y14" s="856"/>
      <c r="Z14" s="856"/>
      <c r="AA14" s="203" t="s">
        <v>696</v>
      </c>
    </row>
    <row r="15" spans="5:29">
      <c r="E15" s="771" t="s">
        <v>285</v>
      </c>
      <c r="F15" s="1452">
        <f>F13*F14/1000</f>
        <v>3789.50534026998</v>
      </c>
      <c r="G15" s="1452">
        <f>G13*G14/1000</f>
        <v>3730.5019889733967</v>
      </c>
      <c r="H15" s="1452">
        <f>+'Revenue Build'!EC39</f>
        <v>4027.5325117121693</v>
      </c>
      <c r="I15" s="1452">
        <f>I13*I14/1000</f>
        <v>4334.6318657302227</v>
      </c>
      <c r="J15" s="1241">
        <f>J13*J14/1000</f>
        <v>4651.800051027556</v>
      </c>
      <c r="K15" s="211"/>
      <c r="L15" s="752"/>
    </row>
    <row r="16" spans="5:29">
      <c r="E16" s="763" t="s">
        <v>301</v>
      </c>
      <c r="F16" s="1451">
        <f>$H16*(1+F37)</f>
        <v>421329.52150000003</v>
      </c>
      <c r="G16" s="1451">
        <f>$H16*(1+G37)</f>
        <v>483289.74525000004</v>
      </c>
      <c r="H16" s="1451">
        <f>Q16</f>
        <v>495681.79000000004</v>
      </c>
      <c r="I16" s="1451">
        <f>$H16*(1+I37)</f>
        <v>508073.83474999998</v>
      </c>
      <c r="J16" s="859">
        <f>$H16*(1+J37)</f>
        <v>520465.87950000004</v>
      </c>
      <c r="K16" s="211"/>
      <c r="L16" s="752" t="s">
        <v>300</v>
      </c>
      <c r="M16" s="856">
        <f>'Revenue Build'!DD63</f>
        <v>197250.171</v>
      </c>
      <c r="N16" s="856">
        <f>'Revenue Build'!DI63</f>
        <v>235925</v>
      </c>
      <c r="O16" s="856">
        <f>'Revenue Build'!DN63</f>
        <v>292275</v>
      </c>
      <c r="P16" s="856">
        <f>'Revenue Build'!DS63</f>
        <v>378441</v>
      </c>
      <c r="Q16" s="856">
        <f>'Revenue Build'!DX63</f>
        <v>495681.79000000004</v>
      </c>
      <c r="R16" s="856">
        <f>'Revenue Build'!EC63</f>
        <v>623338.3186</v>
      </c>
      <c r="S16" s="856"/>
      <c r="T16" s="856"/>
      <c r="V16" s="856"/>
      <c r="W16" s="856"/>
      <c r="X16" s="856"/>
      <c r="Y16" s="856"/>
      <c r="Z16" s="856"/>
    </row>
    <row r="17" spans="5:30">
      <c r="E17" s="763" t="s">
        <v>689</v>
      </c>
      <c r="F17" s="607">
        <f>$H17*(1+F38)</f>
        <v>2.3934177398366806E-2</v>
      </c>
      <c r="G17" s="607">
        <f>$H17*(1+G38)</f>
        <v>2.2737468528448466E-2</v>
      </c>
      <c r="H17" s="607">
        <f>Q17</f>
        <v>2.3934177398366806E-2</v>
      </c>
      <c r="I17" s="607">
        <f>$H17*(1+I38)</f>
        <v>2.5130886268285146E-2</v>
      </c>
      <c r="J17" s="608">
        <f>$H17*(1+J38)</f>
        <v>2.6327595138203489E-2</v>
      </c>
      <c r="K17" s="211"/>
      <c r="L17" s="752" t="s">
        <v>688</v>
      </c>
      <c r="M17" s="754">
        <f>'Revenue Build'!DD70</f>
        <v>2.0847155564696566E-2</v>
      </c>
      <c r="N17" s="754">
        <f>'Revenue Build'!DI70</f>
        <v>2.2138391437956977E-2</v>
      </c>
      <c r="O17" s="754">
        <f>'Revenue Build'!DN70</f>
        <v>2.2341972457445899E-2</v>
      </c>
      <c r="P17" s="754">
        <f>'Revenue Build'!DS70</f>
        <v>2.3263864116203053E-2</v>
      </c>
      <c r="Q17" s="754">
        <f>'Revenue Build'!DX70</f>
        <v>2.3934177398366806E-2</v>
      </c>
      <c r="R17" s="754">
        <f>'Revenue Build'!EC70</f>
        <v>2.4235229311442497E-2</v>
      </c>
      <c r="S17" s="754"/>
      <c r="T17" s="754"/>
      <c r="V17" s="754"/>
      <c r="W17" s="754"/>
      <c r="X17" s="754"/>
      <c r="Y17" s="754"/>
      <c r="Z17" s="754"/>
    </row>
    <row r="18" spans="5:30">
      <c r="E18" s="1242" t="s">
        <v>286</v>
      </c>
      <c r="F18" s="1452">
        <f>F16*F17</f>
        <v>10084.175510750001</v>
      </c>
      <c r="G18" s="1452">
        <f>G16*G17</f>
        <v>10988.785372743752</v>
      </c>
      <c r="H18" s="1452">
        <f>H16*H17</f>
        <v>11863.735895000002</v>
      </c>
      <c r="I18" s="1452">
        <f>I16*I17</f>
        <v>12768.345756993751</v>
      </c>
      <c r="J18" s="1241">
        <f>J16*J17</f>
        <v>13702.614958725004</v>
      </c>
      <c r="K18" s="211"/>
      <c r="L18" s="752"/>
    </row>
    <row r="19" spans="5:30">
      <c r="E19" s="771" t="s">
        <v>98</v>
      </c>
      <c r="F19" s="1453">
        <f>F15+F18</f>
        <v>13873.680851019981</v>
      </c>
      <c r="G19" s="1453">
        <f>G15+G18</f>
        <v>14719.28736171715</v>
      </c>
      <c r="H19" s="1453">
        <f>H15+H18</f>
        <v>15891.26840671217</v>
      </c>
      <c r="I19" s="1453">
        <f>I15+I18</f>
        <v>17102.977622723974</v>
      </c>
      <c r="J19" s="1243">
        <f>J15+J18</f>
        <v>18354.41500975256</v>
      </c>
      <c r="K19" s="211"/>
      <c r="L19" s="752" t="s">
        <v>323</v>
      </c>
      <c r="M19" s="856">
        <f>'Revenue Build'!DD39</f>
        <v>1487.759</v>
      </c>
      <c r="N19" s="856">
        <f>'Revenue Build'!DI39</f>
        <v>1837</v>
      </c>
      <c r="O19" s="856">
        <f>'Revenue Build'!DN39</f>
        <v>2350</v>
      </c>
      <c r="P19" s="856">
        <f>'Revenue Build'!DS39</f>
        <v>2752</v>
      </c>
      <c r="Q19" s="856">
        <f>'Revenue Build'!DX39</f>
        <v>3347.9496287696875</v>
      </c>
      <c r="R19" s="856">
        <f>'Revenue Build'!EC39</f>
        <v>4027.5325117121693</v>
      </c>
      <c r="S19" s="856"/>
      <c r="T19" s="856"/>
      <c r="V19" s="856"/>
      <c r="W19" s="856"/>
      <c r="X19" s="856"/>
      <c r="Y19" s="856"/>
      <c r="Z19" s="856"/>
      <c r="AB19"/>
      <c r="AC19"/>
      <c r="AD19"/>
    </row>
    <row r="20" spans="5:30">
      <c r="E20" s="767" t="s">
        <v>99</v>
      </c>
      <c r="F20" s="762">
        <f>F19/$P22-1</f>
        <v>0.20056082130667874</v>
      </c>
      <c r="G20" s="762">
        <f>G19/$P22-1</f>
        <v>0.27373549339885339</v>
      </c>
      <c r="H20" s="762">
        <f>Income!EC11</f>
        <v>0.25786715559515483</v>
      </c>
      <c r="I20" s="762">
        <f>I19/$P22-1</f>
        <v>0.48000844779542873</v>
      </c>
      <c r="J20" s="609">
        <f>J19/$P22-1</f>
        <v>0.58830174885363107</v>
      </c>
      <c r="K20" s="211"/>
      <c r="L20" s="752" t="s">
        <v>321</v>
      </c>
      <c r="M20" s="856">
        <f>+'Revenue Build'!DD73</f>
        <v>4112.1049999999996</v>
      </c>
      <c r="N20" s="856">
        <f>+'Revenue Build'!DI73</f>
        <v>5223</v>
      </c>
      <c r="O20" s="856">
        <f>+'Revenue Build'!DN73</f>
        <v>6530</v>
      </c>
      <c r="P20" s="856">
        <f>+'Revenue Build'!DS73</f>
        <v>8804</v>
      </c>
      <c r="Q20" s="856">
        <f>+'Revenue Build'!DX73</f>
        <v>11863.735895000002</v>
      </c>
      <c r="R20" s="856">
        <f>+'Revenue Build'!EC73</f>
        <v>15106.747089880002</v>
      </c>
      <c r="S20" s="856"/>
      <c r="T20" s="856"/>
      <c r="V20" s="856"/>
      <c r="W20" s="856"/>
      <c r="X20" s="856"/>
      <c r="Y20" s="856"/>
      <c r="Z20" s="856"/>
      <c r="AB20"/>
      <c r="AC20"/>
      <c r="AD20"/>
    </row>
    <row r="21" spans="5:30">
      <c r="E21" s="771" t="s">
        <v>88</v>
      </c>
      <c r="F21" s="1454">
        <f>F19*F22</f>
        <v>2803.4808972028509</v>
      </c>
      <c r="G21" s="1454">
        <f>G19*G22</f>
        <v>2827.1613285684434</v>
      </c>
      <c r="H21" s="1454">
        <f>Income!EC115</f>
        <v>3866.5000240983682</v>
      </c>
      <c r="I21" s="1454">
        <f>I19*I22</f>
        <v>3627.0607722890672</v>
      </c>
      <c r="J21" s="1244">
        <f>J19*J22</f>
        <v>4075.9996130418908</v>
      </c>
      <c r="K21" s="211"/>
      <c r="L21" s="752"/>
      <c r="M21" s="1248"/>
      <c r="N21" s="1248">
        <f>F21/G21-1</f>
        <v>-8.3760453025095716E-3</v>
      </c>
    </row>
    <row r="22" spans="5:30">
      <c r="E22" s="767" t="s">
        <v>58</v>
      </c>
      <c r="F22" s="762">
        <f>$H22+F39</f>
        <v>0.20207188901831638</v>
      </c>
      <c r="G22" s="762">
        <f>$H22+G39</f>
        <v>0.19207188901831637</v>
      </c>
      <c r="H22" s="762">
        <f>Income!EC118</f>
        <v>0.20207188901831638</v>
      </c>
      <c r="I22" s="762">
        <f>$H22+I39</f>
        <v>0.21207188901831639</v>
      </c>
      <c r="J22" s="609">
        <f>$H22+J39</f>
        <v>0.22207188901831637</v>
      </c>
      <c r="L22" s="752" t="s">
        <v>178</v>
      </c>
      <c r="M22" s="755">
        <f t="shared" ref="M22:R22" si="0">M19+M20</f>
        <v>5599.8639999999996</v>
      </c>
      <c r="N22" s="755">
        <f t="shared" si="0"/>
        <v>7060</v>
      </c>
      <c r="O22" s="755">
        <f t="shared" si="0"/>
        <v>8880</v>
      </c>
      <c r="P22" s="755">
        <f t="shared" si="0"/>
        <v>11556</v>
      </c>
      <c r="Q22" s="755">
        <f t="shared" si="0"/>
        <v>15211.685523769689</v>
      </c>
      <c r="R22" s="755">
        <f t="shared" si="0"/>
        <v>19134.27960159217</v>
      </c>
      <c r="S22" s="755"/>
      <c r="T22" s="755"/>
      <c r="V22" s="755"/>
      <c r="W22" s="755"/>
      <c r="X22" s="755"/>
      <c r="Y22" s="755"/>
      <c r="Z22" s="755"/>
    </row>
    <row r="23" spans="5:30">
      <c r="E23" s="1325" t="s">
        <v>711</v>
      </c>
      <c r="F23" s="1455">
        <f>H23+F40</f>
        <v>23.919781789424551</v>
      </c>
      <c r="G23" s="1455">
        <f>H23+G40</f>
        <v>42.219781789424552</v>
      </c>
      <c r="H23" s="1455">
        <f>Summary!M49</f>
        <v>47.219781789424552</v>
      </c>
      <c r="I23" s="1455">
        <f>H23+I40</f>
        <v>52.219781789424552</v>
      </c>
      <c r="J23" s="700">
        <f>H23+J40</f>
        <v>57.219781789424552</v>
      </c>
      <c r="L23" s="756" t="s">
        <v>148</v>
      </c>
      <c r="M23" s="757">
        <f>M22-Income!DD10</f>
        <v>0</v>
      </c>
      <c r="N23" s="757">
        <f>N22-Income!DI10</f>
        <v>0</v>
      </c>
      <c r="O23" s="757">
        <f>O22-Income!DN10</f>
        <v>0</v>
      </c>
      <c r="P23" s="757">
        <f>P22-Income!DS10</f>
        <v>0</v>
      </c>
      <c r="Q23" s="757">
        <f>Q22-Income!DX10</f>
        <v>0</v>
      </c>
      <c r="R23" s="757">
        <f>R22-Income!EC10</f>
        <v>0</v>
      </c>
      <c r="S23" s="757"/>
      <c r="T23" s="757"/>
      <c r="V23" s="757"/>
      <c r="W23" s="757"/>
      <c r="X23" s="757"/>
      <c r="Y23" s="757"/>
      <c r="Z23" s="757"/>
    </row>
    <row r="24" spans="5:30">
      <c r="E24" s="768" t="s">
        <v>92</v>
      </c>
      <c r="F24" s="70">
        <f>F23*F21</f>
        <v>67058.651311912356</v>
      </c>
      <c r="G24" s="70">
        <f>G23*G21</f>
        <v>119362.13437565928</v>
      </c>
      <c r="H24" s="70">
        <f>H23*H21</f>
        <v>182575.28742672972</v>
      </c>
      <c r="I24" s="70">
        <f>I23*I21</f>
        <v>189404.32206591679</v>
      </c>
      <c r="J24" s="215">
        <f>J23*J21</f>
        <v>233227.8084320359</v>
      </c>
    </row>
    <row r="25" spans="5:30">
      <c r="E25" s="769" t="s">
        <v>19</v>
      </c>
      <c r="F25" s="1456">
        <f>$H25-($H19-F19)</f>
        <v>4718.1729854800269</v>
      </c>
      <c r="G25" s="1456">
        <f>$H25-($H19-G19)</f>
        <v>5563.7794961771961</v>
      </c>
      <c r="H25" s="1456">
        <f>Summary!K9</f>
        <v>6735.7605411722161</v>
      </c>
      <c r="I25" s="1456">
        <f>$H25-($H19-I19)</f>
        <v>7947.4697571840206</v>
      </c>
      <c r="J25" s="216">
        <f>$H25-($H19-J19)</f>
        <v>9198.907144212606</v>
      </c>
    </row>
    <row r="26" spans="5:30">
      <c r="E26" s="770" t="s">
        <v>56</v>
      </c>
      <c r="F26" s="70">
        <f>F24+F25</f>
        <v>71776.824297392377</v>
      </c>
      <c r="G26" s="70">
        <f>G24+G25</f>
        <v>124925.91387183648</v>
      </c>
      <c r="H26" s="70">
        <f>H24+H25</f>
        <v>189311.04796790192</v>
      </c>
      <c r="I26" s="70">
        <f>I24+I25</f>
        <v>197351.79182310079</v>
      </c>
      <c r="J26" s="215">
        <f>J24+J25</f>
        <v>242426.71557624851</v>
      </c>
    </row>
    <row r="27" spans="5:30" ht="13.8" thickBot="1">
      <c r="E27" s="1245" t="s">
        <v>100</v>
      </c>
      <c r="F27" s="1246">
        <f>H27</f>
        <v>1309.1909579999999</v>
      </c>
      <c r="G27" s="1246">
        <f>H27</f>
        <v>1309.1909579999999</v>
      </c>
      <c r="H27" s="1246">
        <f>Summary!$K7</f>
        <v>1309.1909579999999</v>
      </c>
      <c r="I27" s="1246">
        <f>H27</f>
        <v>1309.1909579999999</v>
      </c>
      <c r="J27" s="1247">
        <f>H27</f>
        <v>1309.1909579999999</v>
      </c>
    </row>
    <row r="28" spans="5:30">
      <c r="E28" s="1326" t="s">
        <v>712</v>
      </c>
      <c r="F28" s="1178">
        <f>F26/F27</f>
        <v>54.825328466248379</v>
      </c>
      <c r="G28" s="1178">
        <f>G26/G27</f>
        <v>95.422224778179753</v>
      </c>
      <c r="H28" s="1178">
        <f>H26/H27</f>
        <v>144.60155473201942</v>
      </c>
      <c r="I28" s="1178">
        <f>I26/I27</f>
        <v>150.7433202293021</v>
      </c>
      <c r="J28" s="1179">
        <f>J26/J27</f>
        <v>185.17292232646821</v>
      </c>
    </row>
    <row r="29" spans="5:30" ht="13.8" thickBot="1">
      <c r="E29" s="1327" t="s">
        <v>104</v>
      </c>
      <c r="F29" s="1180">
        <f>F28/Summary!$J$6-1</f>
        <v>-0.62798759310433672</v>
      </c>
      <c r="G29" s="1180">
        <f>G28/Summary!$J$6-1</f>
        <v>-0.35252095146273277</v>
      </c>
      <c r="H29" s="1180">
        <f>H28/Summary!$K$6-1</f>
        <v>-1.8818967043125245E-2</v>
      </c>
      <c r="I29" s="1180">
        <f>I28/Summary!$J$6-1</f>
        <v>2.2855438366765624E-2</v>
      </c>
      <c r="J29" s="1181">
        <f>J28/Summary!$J$6-1</f>
        <v>0.25647445174872407</v>
      </c>
    </row>
    <row r="30" spans="5:30" ht="13.8" thickBot="1">
      <c r="E30" s="771" t="s">
        <v>101</v>
      </c>
      <c r="F30" s="610">
        <v>0.06</v>
      </c>
      <c r="G30" s="610">
        <v>0.26</v>
      </c>
      <c r="H30" s="1712">
        <f>1-G30-F30-I30-J30</f>
        <v>0.38499999999999995</v>
      </c>
      <c r="I30" s="610">
        <v>0.25</v>
      </c>
      <c r="J30" s="611">
        <v>4.4999999999999998E-2</v>
      </c>
    </row>
    <row r="31" spans="5:30">
      <c r="E31" s="771"/>
      <c r="F31" s="1457"/>
      <c r="G31" s="1182" t="s">
        <v>105</v>
      </c>
      <c r="H31" s="1171">
        <f>Summary!M52</f>
        <v>144.60155473201942</v>
      </c>
      <c r="I31" s="1457"/>
      <c r="J31" s="217"/>
    </row>
    <row r="32" spans="5:30" ht="13.8" thickBot="1">
      <c r="E32" s="772"/>
      <c r="F32" s="218"/>
      <c r="G32" s="1183" t="s">
        <v>104</v>
      </c>
      <c r="H32" s="1172">
        <f>H31/Summary!$J$6-1</f>
        <v>-1.8818967043125245E-2</v>
      </c>
      <c r="I32" s="218"/>
      <c r="J32" s="219"/>
    </row>
    <row r="33" spans="5:10">
      <c r="E33" s="752"/>
    </row>
    <row r="34" spans="5:10" ht="13.8" thickBot="1">
      <c r="E34" s="773" t="s">
        <v>302</v>
      </c>
    </row>
    <row r="35" spans="5:10">
      <c r="E35" s="766" t="s">
        <v>294</v>
      </c>
      <c r="F35" s="612">
        <v>-0.03</v>
      </c>
      <c r="G35" s="612">
        <f>-I35</f>
        <v>-2.5000000000000001E-2</v>
      </c>
      <c r="H35" s="220"/>
      <c r="I35" s="612">
        <v>2.5000000000000001E-2</v>
      </c>
      <c r="J35" s="613">
        <v>0.05</v>
      </c>
    </row>
    <row r="36" spans="5:10">
      <c r="E36" s="764" t="s">
        <v>295</v>
      </c>
      <c r="F36" s="614">
        <v>-0.03</v>
      </c>
      <c r="G36" s="614">
        <f t="shared" ref="G36:G40" si="1">-I36</f>
        <v>-0.05</v>
      </c>
      <c r="I36" s="614">
        <v>0.05</v>
      </c>
      <c r="J36" s="615">
        <v>0.1</v>
      </c>
    </row>
    <row r="37" spans="5:10">
      <c r="E37" s="763" t="s">
        <v>293</v>
      </c>
      <c r="F37" s="614">
        <v>-0.15</v>
      </c>
      <c r="G37" s="614">
        <f t="shared" si="1"/>
        <v>-2.5000000000000001E-2</v>
      </c>
      <c r="I37" s="614">
        <v>2.5000000000000001E-2</v>
      </c>
      <c r="J37" s="615">
        <v>0.05</v>
      </c>
    </row>
    <row r="38" spans="5:10">
      <c r="E38" s="764" t="s">
        <v>296</v>
      </c>
      <c r="F38" s="614">
        <v>0</v>
      </c>
      <c r="G38" s="614">
        <f t="shared" si="1"/>
        <v>-0.05</v>
      </c>
      <c r="I38" s="614">
        <v>0.05</v>
      </c>
      <c r="J38" s="615">
        <v>0.1</v>
      </c>
    </row>
    <row r="39" spans="5:10">
      <c r="E39" s="774" t="s">
        <v>102</v>
      </c>
      <c r="F39" s="614">
        <v>0</v>
      </c>
      <c r="G39" s="614">
        <f t="shared" si="1"/>
        <v>-0.01</v>
      </c>
      <c r="H39" s="221" t="s">
        <v>106</v>
      </c>
      <c r="I39" s="614">
        <v>0.01</v>
      </c>
      <c r="J39" s="615">
        <v>0.02</v>
      </c>
    </row>
    <row r="40" spans="5:10">
      <c r="E40" s="774" t="s">
        <v>103</v>
      </c>
      <c r="F40" s="851">
        <v>-23.3</v>
      </c>
      <c r="G40" s="851">
        <f t="shared" si="1"/>
        <v>-5</v>
      </c>
      <c r="H40" s="616">
        <f>SUM(F30:J30)-1</f>
        <v>0</v>
      </c>
      <c r="I40" s="851">
        <v>5</v>
      </c>
      <c r="J40" s="852">
        <v>10</v>
      </c>
    </row>
    <row r="41" spans="5:10" ht="13.8" thickBot="1">
      <c r="E41" s="222"/>
      <c r="F41" s="853"/>
      <c r="G41" s="858">
        <f>ROUND(H28,0)-ROUND(G28,0)</f>
        <v>50</v>
      </c>
      <c r="H41" s="223"/>
      <c r="I41" s="858">
        <f>ROUND(I28,0)-ROUND(H28,0)</f>
        <v>6</v>
      </c>
      <c r="J41" s="854"/>
    </row>
    <row r="43" spans="5:10">
      <c r="G43" s="857"/>
      <c r="I43" s="857"/>
    </row>
    <row r="46" spans="5:10">
      <c r="H46" s="857"/>
    </row>
    <row r="47" spans="5:10">
      <c r="H47" s="857"/>
    </row>
  </sheetData>
  <phoneticPr fontId="16" type="noConversion"/>
  <pageMargins left="0.75" right="0.75" top="1" bottom="1" header="0.5" footer="0.5"/>
  <pageSetup orientation="landscape" r:id="rId1"/>
  <headerFooter alignWithMargins="0"/>
  <colBreaks count="1" manualBreakCount="1">
    <brk id="10" max="1048575" man="1"/>
  </colBreaks>
  <ignoredErrors>
    <ignoredError sqref="H24" formula="1"/>
  </ignoredError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tabColor theme="9" tint="0.79998168889431442"/>
    <pageSetUpPr autoPageBreaks="0"/>
  </sheetPr>
  <dimension ref="A1:FA151"/>
  <sheetViews>
    <sheetView showGridLines="0" zoomScaleNormal="100" workbookViewId="0">
      <pane xSplit="3" ySplit="5" topLeftCell="DN36" activePane="bottomRight" state="frozen"/>
      <selection activeCell="F6" sqref="F6"/>
      <selection pane="topRight" activeCell="F6" sqref="F6"/>
      <selection pane="bottomLeft" activeCell="F6" sqref="F6"/>
      <selection pane="bottomRight" activeCell="C2" sqref="C2"/>
    </sheetView>
  </sheetViews>
  <sheetFormatPr defaultColWidth="7.5546875" defaultRowHeight="13.2" outlineLevelCol="2"/>
  <cols>
    <col min="1" max="1" width="14.33203125" style="133" hidden="1" customWidth="1" outlineLevel="2"/>
    <col min="2" max="2" width="1.6640625" style="133" customWidth="1" collapsed="1"/>
    <col min="3" max="3" width="40.6640625" style="94" customWidth="1"/>
    <col min="4" max="6" width="7.5546875" style="94" hidden="1" customWidth="1"/>
    <col min="7" max="7" width="9.33203125" style="94" hidden="1" customWidth="1"/>
    <col min="8" max="62" width="7.5546875" style="94" hidden="1" customWidth="1"/>
    <col min="63" max="63" width="9.33203125" style="94" hidden="1" customWidth="1"/>
    <col min="64" max="67" width="7.5546875" style="94" hidden="1" customWidth="1"/>
    <col min="68" max="68" width="7.5546875" style="94" hidden="1" customWidth="1" collapsed="1"/>
    <col min="69" max="69" width="7.5546875" style="94" hidden="1" customWidth="1" outlineLevel="2" collapsed="1"/>
    <col min="70" max="72" width="7.5546875" style="94" hidden="1" customWidth="1" outlineLevel="2"/>
    <col min="73" max="73" width="7.5546875" style="94" hidden="1" customWidth="1" outlineLevel="2" collapsed="1"/>
    <col min="74" max="74" width="7.5546875" style="253" hidden="1" customWidth="1" outlineLevel="2" collapsed="1"/>
    <col min="75" max="77" width="7.5546875" style="253" hidden="1" customWidth="1" outlineLevel="2"/>
    <col min="78" max="94" width="7.5546875" style="94" hidden="1" customWidth="1" outlineLevel="2"/>
    <col min="95" max="95" width="8.33203125" style="94" hidden="1" customWidth="1" outlineLevel="2"/>
    <col min="96" max="98" width="7.5546875" style="94" hidden="1" customWidth="1" outlineLevel="2"/>
    <col min="99" max="99" width="8.33203125" style="94" hidden="1" customWidth="1" outlineLevel="2"/>
    <col min="100" max="102" width="7.5546875" style="94" hidden="1" customWidth="1" outlineLevel="2"/>
    <col min="103" max="103" width="7.5546875" style="94" hidden="1" customWidth="1" outlineLevel="2" collapsed="1"/>
    <col min="104" max="109" width="7.5546875" style="94" hidden="1" customWidth="1" outlineLevel="2"/>
    <col min="110" max="110" width="8.5546875" style="94" hidden="1" customWidth="1" outlineLevel="2"/>
    <col min="111" max="112" width="7.5546875" style="94" hidden="1" customWidth="1" outlineLevel="2"/>
    <col min="113" max="113" width="9.109375" style="94" hidden="1" customWidth="1" outlineLevel="2" collapsed="1"/>
    <col min="114" max="117" width="9.109375" style="94" hidden="1" customWidth="1" outlineLevel="2"/>
    <col min="118" max="118" width="9.109375" style="94" customWidth="1" collapsed="1"/>
    <col min="119" max="122" width="9.109375" style="94" hidden="1" customWidth="1" outlineLevel="2"/>
    <col min="123" max="123" width="9.109375" style="94" customWidth="1" collapsed="1"/>
    <col min="124" max="127" width="9.109375" style="94" customWidth="1" outlineLevel="1"/>
    <col min="128" max="128" width="9.109375" style="94" customWidth="1"/>
    <col min="129" max="132" width="9.109375" style="94" customWidth="1" outlineLevel="1"/>
    <col min="133" max="133" width="9.109375" style="94" customWidth="1"/>
    <col min="134" max="137" width="9.109375" style="94" hidden="1" customWidth="1" outlineLevel="2"/>
    <col min="138" max="138" width="9.109375" style="94" customWidth="1" collapsed="1"/>
    <col min="139" max="142" width="9.109375" style="94" hidden="1" customWidth="1" outlineLevel="2"/>
    <col min="143" max="143" width="9.109375" style="94" customWidth="1" collapsed="1"/>
    <col min="144" max="147" width="9.109375" style="94" hidden="1" customWidth="1" outlineLevel="2"/>
    <col min="148" max="148" width="9.109375" style="94" customWidth="1" collapsed="1"/>
    <col min="149" max="149" width="10.6640625" style="99" bestFit="1" customWidth="1"/>
    <col min="150" max="150" width="7.5546875" style="133"/>
    <col min="151" max="16384" width="7.5546875" style="94"/>
  </cols>
  <sheetData>
    <row r="1" spans="1:150" s="1204" customFormat="1" ht="12.75" customHeight="1">
      <c r="A1" s="1200"/>
      <c r="B1" s="1200"/>
      <c r="C1" s="1201" t="s">
        <v>697</v>
      </c>
      <c r="D1" s="1202">
        <v>1998</v>
      </c>
      <c r="E1" s="1202">
        <f>+D1+1</f>
        <v>1999</v>
      </c>
      <c r="F1" s="1202">
        <f>+E1+1</f>
        <v>2000</v>
      </c>
      <c r="G1" s="1202">
        <f>+F1+1</f>
        <v>2001</v>
      </c>
      <c r="H1" s="1202">
        <f>+G1+1</f>
        <v>2002</v>
      </c>
      <c r="I1" s="1199">
        <v>37711</v>
      </c>
      <c r="J1" s="1199">
        <f>EOMONTH(I1,3)</f>
        <v>37802</v>
      </c>
      <c r="K1" s="1199">
        <f>EOMONTH(J1,3)</f>
        <v>37894</v>
      </c>
      <c r="L1" s="1199">
        <f>EOMONTH(K1,3)</f>
        <v>37986</v>
      </c>
      <c r="M1" s="1202">
        <f>+H1+1</f>
        <v>2003</v>
      </c>
      <c r="N1" s="1199">
        <f>EOMONTH(I1,12)</f>
        <v>38077</v>
      </c>
      <c r="O1" s="1199">
        <f>EOMONTH(N1,3)</f>
        <v>38168</v>
      </c>
      <c r="P1" s="1199">
        <f>EOMONTH(O1,3)</f>
        <v>38260</v>
      </c>
      <c r="Q1" s="1199">
        <f>EOMONTH(P1,3)</f>
        <v>38352</v>
      </c>
      <c r="R1" s="1202">
        <f>+M1+1</f>
        <v>2004</v>
      </c>
      <c r="S1" s="1199">
        <f>EOMONTH(N1,12)</f>
        <v>38442</v>
      </c>
      <c r="T1" s="1199">
        <f>EOMONTH(S1,3)</f>
        <v>38533</v>
      </c>
      <c r="U1" s="1199">
        <f>EOMONTH(T1,3)</f>
        <v>38625</v>
      </c>
      <c r="V1" s="1199">
        <f>EOMONTH(U1,3)</f>
        <v>38717</v>
      </c>
      <c r="W1" s="1202">
        <f>+R1+1</f>
        <v>2005</v>
      </c>
      <c r="X1" s="1199">
        <f>EOMONTH(S1,12)</f>
        <v>38807</v>
      </c>
      <c r="Y1" s="1199">
        <f>EOMONTH(X1,3)</f>
        <v>38898</v>
      </c>
      <c r="Z1" s="1199">
        <f>EOMONTH(Y1,3)</f>
        <v>38990</v>
      </c>
      <c r="AA1" s="1199">
        <f>EOMONTH(Z1,3)</f>
        <v>39082</v>
      </c>
      <c r="AB1" s="1202">
        <f>+W1+1</f>
        <v>2006</v>
      </c>
      <c r="AC1" s="1199">
        <f>EOMONTH(X1,12)</f>
        <v>39172</v>
      </c>
      <c r="AD1" s="1199">
        <f>EOMONTH(AC1,3)</f>
        <v>39263</v>
      </c>
      <c r="AE1" s="1199">
        <f>EOMONTH(AD1,3)</f>
        <v>39355</v>
      </c>
      <c r="AF1" s="1199">
        <f>EOMONTH(AE1,3)</f>
        <v>39447</v>
      </c>
      <c r="AG1" s="1202">
        <f>+AB1+1</f>
        <v>2007</v>
      </c>
      <c r="AH1" s="1199">
        <f>EOMONTH(AC1,12)</f>
        <v>39538</v>
      </c>
      <c r="AI1" s="1199">
        <f>EOMONTH(AH1,3)</f>
        <v>39629</v>
      </c>
      <c r="AJ1" s="1199">
        <f>EOMONTH(AI1,3)</f>
        <v>39721</v>
      </c>
      <c r="AK1" s="1199">
        <f>EOMONTH(AJ1,3)</f>
        <v>39813</v>
      </c>
      <c r="AL1" s="1202">
        <f>+AG1+1</f>
        <v>2008</v>
      </c>
      <c r="AM1" s="1199">
        <f>EOMONTH(AH1,12)</f>
        <v>39903</v>
      </c>
      <c r="AN1" s="1199">
        <f>EOMONTH(AM1,3)</f>
        <v>39994</v>
      </c>
      <c r="AO1" s="1199">
        <f>EOMONTH(AN1,3)</f>
        <v>40086</v>
      </c>
      <c r="AP1" s="1199">
        <f>EOMONTH(AO1,3)</f>
        <v>40178</v>
      </c>
      <c r="AQ1" s="1202">
        <f>+AL1+1</f>
        <v>2009</v>
      </c>
      <c r="AR1" s="1199">
        <f>EOMONTH(AM1,12)</f>
        <v>40268</v>
      </c>
      <c r="AS1" s="1199">
        <f>EOMONTH(AR1,3)</f>
        <v>40359</v>
      </c>
      <c r="AT1" s="1199">
        <f>EOMONTH(AS1,3)</f>
        <v>40451</v>
      </c>
      <c r="AU1" s="1199">
        <f>EOMONTH(AT1,3)</f>
        <v>40543</v>
      </c>
      <c r="AV1" s="1202">
        <f>+AQ1+1</f>
        <v>2010</v>
      </c>
      <c r="AW1" s="1199">
        <f>EOMONTH(AR1,12)</f>
        <v>40633</v>
      </c>
      <c r="AX1" s="1199">
        <f>EOMONTH(AW1,3)</f>
        <v>40724</v>
      </c>
      <c r="AY1" s="1199">
        <f>EOMONTH(AX1,3)</f>
        <v>40816</v>
      </c>
      <c r="AZ1" s="1199">
        <f>EOMONTH(AY1,3)</f>
        <v>40908</v>
      </c>
      <c r="BA1" s="1202">
        <f>+AV1+1</f>
        <v>2011</v>
      </c>
      <c r="BB1" s="1199">
        <f>EOMONTH(AW1,12)</f>
        <v>40999</v>
      </c>
      <c r="BC1" s="1199">
        <f>EOMONTH(BB1,3)</f>
        <v>41090</v>
      </c>
      <c r="BD1" s="1199">
        <f>EOMONTH(BC1,3)</f>
        <v>41182</v>
      </c>
      <c r="BE1" s="1199">
        <f>EOMONTH(BD1,3)</f>
        <v>41274</v>
      </c>
      <c r="BF1" s="1202">
        <f>+BA1+1</f>
        <v>2012</v>
      </c>
      <c r="BG1" s="1199">
        <f>EOMONTH(BB1,12)</f>
        <v>41364</v>
      </c>
      <c r="BH1" s="1199">
        <f>EOMONTH(BG1,3)</f>
        <v>41455</v>
      </c>
      <c r="BI1" s="1199">
        <f>EOMONTH(BH1,3)</f>
        <v>41547</v>
      </c>
      <c r="BJ1" s="1199">
        <f>EOMONTH(BI1,3)</f>
        <v>41639</v>
      </c>
      <c r="BK1" s="1202">
        <f>+BF1+1</f>
        <v>2013</v>
      </c>
      <c r="BL1" s="1199">
        <f>EOMONTH(BG1,12)</f>
        <v>41729</v>
      </c>
      <c r="BM1" s="1199">
        <f>EOMONTH(BL1,3)</f>
        <v>41820</v>
      </c>
      <c r="BN1" s="1199">
        <f>EOMONTH(BM1,3)</f>
        <v>41912</v>
      </c>
      <c r="BO1" s="1199">
        <f>EOMONTH(BN1,3)</f>
        <v>42004</v>
      </c>
      <c r="BP1" s="1202">
        <f>+BK1+1</f>
        <v>2014</v>
      </c>
      <c r="BQ1" s="1199">
        <f>EOMONTH(BL1,12)</f>
        <v>42094</v>
      </c>
      <c r="BR1" s="1199">
        <f>EOMONTH(BQ1,3)</f>
        <v>42185</v>
      </c>
      <c r="BS1" s="1199">
        <f>EOMONTH(BR1,3)</f>
        <v>42277</v>
      </c>
      <c r="BT1" s="1199">
        <f>EOMONTH(BS1,3)</f>
        <v>42369</v>
      </c>
      <c r="BU1" s="1202">
        <f>+BP1+1</f>
        <v>2015</v>
      </c>
      <c r="BV1" s="1199">
        <f>EOMONTH(BQ1,12)</f>
        <v>42460</v>
      </c>
      <c r="BW1" s="1199">
        <f>EOMONTH(BV1,3)</f>
        <v>42551</v>
      </c>
      <c r="BX1" s="1199">
        <f>EOMONTH(BW1,3)</f>
        <v>42643</v>
      </c>
      <c r="BY1" s="1199">
        <f>EOMONTH(BX1,3)</f>
        <v>42735</v>
      </c>
      <c r="BZ1" s="1202">
        <f>+BU1+1</f>
        <v>2016</v>
      </c>
      <c r="CA1" s="1199">
        <f>EOMONTH(BV1,12)</f>
        <v>42825</v>
      </c>
      <c r="CB1" s="1199">
        <f>EOMONTH(CA1,3)</f>
        <v>42916</v>
      </c>
      <c r="CC1" s="1199">
        <f>EOMONTH(CB1,3)</f>
        <v>43008</v>
      </c>
      <c r="CD1" s="1199">
        <f>EOMONTH(CC1,3)</f>
        <v>43100</v>
      </c>
      <c r="CE1" s="1202">
        <f>+BZ1+1</f>
        <v>2017</v>
      </c>
      <c r="CF1" s="1199">
        <f>EOMONTH(CA1,12)</f>
        <v>43190</v>
      </c>
      <c r="CG1" s="1199">
        <f>EOMONTH(CF1,3)</f>
        <v>43281</v>
      </c>
      <c r="CH1" s="1199">
        <f>EOMONTH(CG1,3)</f>
        <v>43373</v>
      </c>
      <c r="CI1" s="1199">
        <f>EOMONTH(CH1,3)</f>
        <v>43465</v>
      </c>
      <c r="CJ1" s="1202">
        <f>+CE1+1</f>
        <v>2018</v>
      </c>
      <c r="CK1" s="1199">
        <f>EOMONTH(CF1,12)</f>
        <v>43555</v>
      </c>
      <c r="CL1" s="1199">
        <f>EOMONTH(CK1,3)</f>
        <v>43646</v>
      </c>
      <c r="CM1" s="1199">
        <f>EOMONTH(CL1,3)</f>
        <v>43738</v>
      </c>
      <c r="CN1" s="1199">
        <f>EOMONTH(CM1,3)</f>
        <v>43830</v>
      </c>
      <c r="CO1" s="1202">
        <f>+CJ1+1</f>
        <v>2019</v>
      </c>
      <c r="CP1" s="1199">
        <f>EOMONTH(CK1,12)</f>
        <v>43921</v>
      </c>
      <c r="CQ1" s="1199">
        <f>EOMONTH(CP1,3)</f>
        <v>44012</v>
      </c>
      <c r="CR1" s="1199">
        <f>EOMONTH(CQ1,3)</f>
        <v>44104</v>
      </c>
      <c r="CS1" s="1199">
        <f>EOMONTH(CR1,3)</f>
        <v>44196</v>
      </c>
      <c r="CT1" s="1202">
        <f>+CO1+1</f>
        <v>2020</v>
      </c>
      <c r="CU1" s="1199">
        <f>EOMONTH(CP1,12)</f>
        <v>44286</v>
      </c>
      <c r="CV1" s="1199">
        <f>EOMONTH(CU1,3)</f>
        <v>44377</v>
      </c>
      <c r="CW1" s="1199">
        <f>EOMONTH(CV1,3)</f>
        <v>44469</v>
      </c>
      <c r="CX1" s="1199">
        <f>EOMONTH(CW1,3)</f>
        <v>44561</v>
      </c>
      <c r="CY1" s="1202">
        <f>+CT1+1</f>
        <v>2021</v>
      </c>
      <c r="CZ1" s="1199">
        <f>EOMONTH(CU1,12)</f>
        <v>44651</v>
      </c>
      <c r="DA1" s="1199">
        <f>EOMONTH(CZ1,3)</f>
        <v>44742</v>
      </c>
      <c r="DB1" s="1199">
        <f>EOMONTH(DA1,3)</f>
        <v>44834</v>
      </c>
      <c r="DC1" s="1199">
        <f>EOMONTH(DB1,3)</f>
        <v>44926</v>
      </c>
      <c r="DD1" s="1202">
        <f>+CY1+1</f>
        <v>2022</v>
      </c>
      <c r="DE1" s="1199">
        <f>EOMONTH(CZ1,12)</f>
        <v>45016</v>
      </c>
      <c r="DF1" s="1199">
        <f>EOMONTH(DE1,3)</f>
        <v>45107</v>
      </c>
      <c r="DG1" s="1199">
        <f>EOMONTH(DF1,3)</f>
        <v>45199</v>
      </c>
      <c r="DH1" s="1199">
        <f>EOMONTH(DG1,3)</f>
        <v>45291</v>
      </c>
      <c r="DI1" s="1202">
        <f>+DD1+1</f>
        <v>2023</v>
      </c>
      <c r="DJ1" s="1199">
        <f>EOMONTH(DE1,12)</f>
        <v>45382</v>
      </c>
      <c r="DK1" s="1199">
        <f>EOMONTH(DJ1,3)</f>
        <v>45473</v>
      </c>
      <c r="DL1" s="1199">
        <f>EOMONTH(DK1,3)</f>
        <v>45565</v>
      </c>
      <c r="DM1" s="1199">
        <f>EOMONTH(DL1,3)</f>
        <v>45657</v>
      </c>
      <c r="DN1" s="1202">
        <f>+DI1+1</f>
        <v>2024</v>
      </c>
      <c r="DO1" s="1199">
        <f>EOMONTH(DJ1,12)</f>
        <v>45747</v>
      </c>
      <c r="DP1" s="1199">
        <f>EOMONTH(DO1,3)</f>
        <v>45838</v>
      </c>
      <c r="DQ1" s="1199">
        <f>EOMONTH(DP1,3)</f>
        <v>45930</v>
      </c>
      <c r="DR1" s="1199">
        <f>EOMONTH(DQ1,3)</f>
        <v>46022</v>
      </c>
      <c r="DS1" s="1202">
        <f>+DN1+1</f>
        <v>2025</v>
      </c>
      <c r="DT1" s="1199">
        <f>EOMONTH(DO1,12)</f>
        <v>46112</v>
      </c>
      <c r="DU1" s="1199">
        <f>EOMONTH(DT1,3)</f>
        <v>46203</v>
      </c>
      <c r="DV1" s="1199">
        <f>EOMONTH(DU1,3)</f>
        <v>46295</v>
      </c>
      <c r="DW1" s="1199">
        <f>EOMONTH(DV1,3)</f>
        <v>46387</v>
      </c>
      <c r="DX1" s="1202">
        <f>+DS1+1</f>
        <v>2026</v>
      </c>
      <c r="DY1" s="1199">
        <f>EOMONTH(DT1,12)</f>
        <v>46477</v>
      </c>
      <c r="DZ1" s="1199">
        <f>EOMONTH(DY1,3)</f>
        <v>46568</v>
      </c>
      <c r="EA1" s="1199">
        <f>EOMONTH(DZ1,3)</f>
        <v>46660</v>
      </c>
      <c r="EB1" s="1199">
        <f>EOMONTH(EA1,3)</f>
        <v>46752</v>
      </c>
      <c r="EC1" s="1202">
        <f>+DX1+1</f>
        <v>2027</v>
      </c>
      <c r="ED1" s="1199">
        <f>EOMONTH(DY1,12)</f>
        <v>46843</v>
      </c>
      <c r="EE1" s="1199">
        <f>EOMONTH(ED1,3)</f>
        <v>46934</v>
      </c>
      <c r="EF1" s="1199">
        <f>EOMONTH(EE1,3)</f>
        <v>47026</v>
      </c>
      <c r="EG1" s="1199">
        <f>EOMONTH(EF1,3)</f>
        <v>47118</v>
      </c>
      <c r="EH1" s="1202">
        <f>+EC1+1</f>
        <v>2028</v>
      </c>
      <c r="EI1" s="1199">
        <f>EOMONTH(ED1,12)</f>
        <v>47208</v>
      </c>
      <c r="EJ1" s="1199">
        <f>EOMONTH(EI1,3)</f>
        <v>47299</v>
      </c>
      <c r="EK1" s="1199">
        <f>EOMONTH(EJ1,3)</f>
        <v>47391</v>
      </c>
      <c r="EL1" s="1199">
        <f>EOMONTH(EK1,3)</f>
        <v>47483</v>
      </c>
      <c r="EM1" s="1202">
        <f>+EH1+1</f>
        <v>2029</v>
      </c>
      <c r="EN1" s="1199">
        <f>EOMONTH(EI1,12)</f>
        <v>47573</v>
      </c>
      <c r="EO1" s="1199">
        <f>EOMONTH(EN1,3)</f>
        <v>47664</v>
      </c>
      <c r="EP1" s="1199">
        <f>EOMONTH(EO1,3)</f>
        <v>47756</v>
      </c>
      <c r="EQ1" s="1199">
        <f>EOMONTH(EP1,3)</f>
        <v>47848</v>
      </c>
      <c r="ER1" s="1202">
        <f>+EM1+1</f>
        <v>2030</v>
      </c>
      <c r="ES1" s="1203" t="s">
        <v>570</v>
      </c>
      <c r="ET1" s="1200"/>
    </row>
    <row r="2" spans="1:150">
      <c r="C2" s="18" t="str">
        <f>Summary!B2</f>
        <v>Shopify</v>
      </c>
      <c r="D2" s="18"/>
      <c r="E2" s="18"/>
      <c r="J2" s="618"/>
      <c r="K2" s="618"/>
      <c r="L2" s="618"/>
      <c r="N2" s="618"/>
      <c r="O2" s="618"/>
      <c r="P2" s="618"/>
      <c r="Q2" s="618"/>
      <c r="BH2" s="225"/>
      <c r="BI2" s="225"/>
      <c r="BJ2" s="225"/>
      <c r="BK2" s="225"/>
      <c r="BL2" s="225"/>
      <c r="BM2" s="225"/>
      <c r="BN2" s="225"/>
      <c r="BO2" s="225"/>
      <c r="BP2" s="225"/>
      <c r="BQ2" s="225"/>
      <c r="BR2" s="225"/>
      <c r="BS2" s="225"/>
      <c r="BT2" s="225"/>
      <c r="BU2" s="225"/>
      <c r="BV2" s="225"/>
      <c r="BW2" s="225"/>
      <c r="BX2" s="225"/>
      <c r="BY2" s="225"/>
      <c r="BZ2" s="225"/>
      <c r="CA2" s="225"/>
      <c r="CB2" s="225"/>
      <c r="CC2" s="225"/>
      <c r="CD2" s="225"/>
      <c r="CE2" s="225"/>
      <c r="CF2" s="617"/>
      <c r="CG2" s="617"/>
      <c r="CH2" s="617"/>
      <c r="CI2" s="617"/>
      <c r="CJ2" s="225"/>
      <c r="CK2" s="617"/>
      <c r="CL2" s="617"/>
      <c r="CM2" s="617"/>
      <c r="CN2" s="617"/>
      <c r="CO2" s="225"/>
      <c r="CP2" s="617"/>
      <c r="CQ2" s="617"/>
      <c r="CR2" s="225"/>
      <c r="CS2" s="225"/>
      <c r="CT2" s="225"/>
      <c r="CU2" s="225"/>
      <c r="CV2" s="225"/>
      <c r="CW2" s="225"/>
      <c r="CX2" s="226"/>
      <c r="CY2" s="226"/>
      <c r="CZ2" s="225"/>
      <c r="DA2" s="225"/>
      <c r="DB2" s="225"/>
      <c r="DC2" s="225"/>
      <c r="DD2" s="225"/>
      <c r="DE2" s="225"/>
      <c r="DF2" s="225"/>
      <c r="DG2" s="225"/>
      <c r="DH2" s="225"/>
      <c r="DI2" s="225"/>
      <c r="DJ2" s="227"/>
      <c r="DK2" s="225"/>
      <c r="DL2" s="225"/>
      <c r="DM2" s="225"/>
      <c r="DN2" s="225"/>
      <c r="DO2" s="225"/>
      <c r="DP2" s="225"/>
      <c r="DQ2" s="225"/>
      <c r="DR2" s="225"/>
      <c r="DS2" s="225"/>
      <c r="DX2" s="225"/>
      <c r="DY2" s="225"/>
      <c r="DZ2" s="225"/>
      <c r="EA2" s="225"/>
      <c r="EB2" s="225"/>
      <c r="EC2" s="225"/>
      <c r="ED2" s="225"/>
      <c r="EE2" s="225"/>
      <c r="EF2" s="225"/>
      <c r="EG2" s="225"/>
      <c r="EH2" s="225"/>
      <c r="EI2" s="225"/>
      <c r="EJ2" s="225"/>
      <c r="EK2" s="225"/>
      <c r="EL2" s="225"/>
      <c r="EM2" s="225"/>
      <c r="EN2" s="225"/>
      <c r="EO2" s="225"/>
      <c r="EP2" s="225"/>
      <c r="EQ2" s="225"/>
      <c r="ER2" s="225"/>
      <c r="ES2" s="1203" t="s">
        <v>570</v>
      </c>
    </row>
    <row r="3" spans="1:150" ht="12" customHeight="1">
      <c r="C3" s="898" t="s">
        <v>567</v>
      </c>
      <c r="ET3" s="21"/>
    </row>
    <row r="4" spans="1:150" s="93" customFormat="1" ht="12.75" customHeight="1">
      <c r="A4" s="133"/>
      <c r="B4" s="133"/>
      <c r="C4" s="1623"/>
      <c r="D4" s="1624" t="s">
        <v>13</v>
      </c>
      <c r="E4" s="1624" t="s">
        <v>16</v>
      </c>
      <c r="F4" s="1624" t="s">
        <v>15</v>
      </c>
      <c r="G4" s="1624" t="s">
        <v>17</v>
      </c>
      <c r="H4" s="1624" t="s">
        <v>18</v>
      </c>
      <c r="I4" s="1625" t="str">
        <f>"1Q"&amp;RIGHT(M5,2)&amp;"A"</f>
        <v>1Q03A</v>
      </c>
      <c r="J4" s="1625" t="str">
        <f>"2Q"&amp;RIGHT(M5,2)&amp;"A"</f>
        <v>2Q03A</v>
      </c>
      <c r="K4" s="1625" t="str">
        <f>"3Q"&amp;RIGHT(M5,2)&amp;"A"</f>
        <v>3Q03A</v>
      </c>
      <c r="L4" s="1625" t="str">
        <f>"4Q"&amp;RIGHT(M5,2)&amp;"A"</f>
        <v>4Q03A</v>
      </c>
      <c r="M4" s="1624" t="str">
        <f>+M5&amp;"A"</f>
        <v>2003A</v>
      </c>
      <c r="N4" s="1625" t="str">
        <f>"1Q"&amp;RIGHT(R5,2)&amp;"A"</f>
        <v>1Q04A</v>
      </c>
      <c r="O4" s="1625" t="str">
        <f>"2Q"&amp;RIGHT(R5,2)&amp;"A"</f>
        <v>2Q04A</v>
      </c>
      <c r="P4" s="1625" t="str">
        <f>"3Q"&amp;RIGHT(R5,2)&amp;"A"</f>
        <v>3Q04A</v>
      </c>
      <c r="Q4" s="1625" t="str">
        <f>"4Q"&amp;RIGHT(R5,2)&amp;"A"</f>
        <v>4Q04A</v>
      </c>
      <c r="R4" s="1624" t="str">
        <f>+R5&amp;"A"</f>
        <v>2004A</v>
      </c>
      <c r="S4" s="1625" t="str">
        <f>"1Q"&amp;RIGHT(W5,2)&amp;"A"</f>
        <v>1Q05A</v>
      </c>
      <c r="T4" s="1625" t="str">
        <f>"2Q"&amp;RIGHT(W5,2)&amp;"A"</f>
        <v>2Q05A</v>
      </c>
      <c r="U4" s="1625" t="str">
        <f>"3Q"&amp;RIGHT(W5,2)&amp;"A"</f>
        <v>3Q05A</v>
      </c>
      <c r="V4" s="1625" t="str">
        <f>"4Q"&amp;RIGHT(W5,2)&amp;"A"</f>
        <v>4Q05A</v>
      </c>
      <c r="W4" s="1624" t="str">
        <f>+W5&amp;"A"</f>
        <v>2005A</v>
      </c>
      <c r="X4" s="1625" t="str">
        <f>"1Q"&amp;RIGHT(AB5,2)&amp;"A"</f>
        <v>1Q06A</v>
      </c>
      <c r="Y4" s="1625" t="str">
        <f>"2Q"&amp;RIGHT(AB5,2)&amp;"A"</f>
        <v>2Q06A</v>
      </c>
      <c r="Z4" s="1625" t="str">
        <f>"3Q"&amp;RIGHT(AB5,2)&amp;"A"</f>
        <v>3Q06A</v>
      </c>
      <c r="AA4" s="1625" t="str">
        <f>"4Q"&amp;RIGHT(AB5,2)&amp;"A"</f>
        <v>4Q06A</v>
      </c>
      <c r="AB4" s="1624" t="str">
        <f>+AB5&amp;"A"</f>
        <v>2006A</v>
      </c>
      <c r="AC4" s="1625" t="str">
        <f>"1Q"&amp;RIGHT(AG5,2)&amp;"A"</f>
        <v>1Q07A</v>
      </c>
      <c r="AD4" s="1625" t="str">
        <f>"2Q"&amp;RIGHT(AG5,2)&amp;"A"</f>
        <v>2Q07A</v>
      </c>
      <c r="AE4" s="1625" t="str">
        <f>"3Q"&amp;RIGHT(AG5,2)&amp;"A"</f>
        <v>3Q07A</v>
      </c>
      <c r="AF4" s="1625" t="str">
        <f>"4Q"&amp;RIGHT(AG5,2)&amp;"A"</f>
        <v>4Q07A</v>
      </c>
      <c r="AG4" s="1624" t="str">
        <f>+AG5&amp;"A"</f>
        <v>2007A</v>
      </c>
      <c r="AH4" s="1625" t="str">
        <f>"1Q"&amp;RIGHT(AL5,2)&amp;"A"</f>
        <v>1Q08A</v>
      </c>
      <c r="AI4" s="1625" t="str">
        <f>"2Q"&amp;RIGHT(AL5,2)&amp;"A"</f>
        <v>2Q08A</v>
      </c>
      <c r="AJ4" s="1625" t="str">
        <f>"3Q"&amp;RIGHT(AL5,2)&amp;"A"</f>
        <v>3Q08A</v>
      </c>
      <c r="AK4" s="1625" t="str">
        <f>"4Q"&amp;RIGHT(AL5,2)&amp;"A"</f>
        <v>4Q08A</v>
      </c>
      <c r="AL4" s="1624" t="str">
        <f>+AL5&amp;"A"</f>
        <v>2008A</v>
      </c>
      <c r="AM4" s="1625" t="str">
        <f>"1Q"&amp;RIGHT(AQ5,2)&amp;"A"</f>
        <v>1Q09A</v>
      </c>
      <c r="AN4" s="1625" t="str">
        <f>"2Q"&amp;RIGHT(AQ5,2)&amp;"A"</f>
        <v>2Q09A</v>
      </c>
      <c r="AO4" s="1625" t="str">
        <f>"3Q"&amp;RIGHT(AQ5,2)&amp;"A"</f>
        <v>3Q09A</v>
      </c>
      <c r="AP4" s="1625" t="str">
        <f>"4Q"&amp;RIGHT(AQ5,2)&amp;"A"</f>
        <v>4Q09A</v>
      </c>
      <c r="AQ4" s="1624" t="str">
        <f>+AQ5&amp;"A"</f>
        <v>2009A</v>
      </c>
      <c r="AR4" s="1625" t="str">
        <f>"1Q"&amp;RIGHT(AV5,2)&amp;"A"</f>
        <v>1Q10A</v>
      </c>
      <c r="AS4" s="1625" t="str">
        <f>"2Q"&amp;RIGHT(AV5,2)&amp;"A"</f>
        <v>2Q10A</v>
      </c>
      <c r="AT4" s="1625" t="str">
        <f>"3Q"&amp;RIGHT(AV5,2)&amp;"A"</f>
        <v>3Q10A</v>
      </c>
      <c r="AU4" s="1625" t="str">
        <f>"4Q"&amp;RIGHT(AV5,2)&amp;"A"</f>
        <v>4Q10A</v>
      </c>
      <c r="AV4" s="1624" t="str">
        <f>+AV5&amp;"A"</f>
        <v>2010A</v>
      </c>
      <c r="AW4" s="1625" t="str">
        <f>"1Q"&amp;RIGHT(BA5,2)&amp;"A"</f>
        <v>1Q11A</v>
      </c>
      <c r="AX4" s="1625" t="str">
        <f>"2Q"&amp;RIGHT(BA5,2)&amp;"A"</f>
        <v>2Q11A</v>
      </c>
      <c r="AY4" s="1625" t="str">
        <f>"3Q"&amp;RIGHT(BA5,2)&amp;"A"</f>
        <v>3Q11A</v>
      </c>
      <c r="AZ4" s="1625" t="str">
        <f>"4Q"&amp;RIGHT(BA5,2)&amp;"A"</f>
        <v>4Q11A</v>
      </c>
      <c r="BA4" s="1624" t="str">
        <f>+BA5&amp;"A"</f>
        <v>2011A</v>
      </c>
      <c r="BB4" s="1625" t="str">
        <f>"1Q"&amp;RIGHT(BF5,2)&amp;"A"</f>
        <v>1Q12A</v>
      </c>
      <c r="BC4" s="1625" t="str">
        <f>"2Q"&amp;RIGHT(BF5,2)&amp;"A"</f>
        <v>2Q12A</v>
      </c>
      <c r="BD4" s="1625" t="str">
        <f>"3Q"&amp;RIGHT(BF5,2)&amp;"A"</f>
        <v>3Q12A</v>
      </c>
      <c r="BE4" s="1625" t="str">
        <f>"4Q"&amp;RIGHT(BF5,2)&amp;"A"</f>
        <v>4Q12A</v>
      </c>
      <c r="BF4" s="1624" t="str">
        <f>+BF5&amp;"A"</f>
        <v>2012A</v>
      </c>
      <c r="BG4" s="1625" t="str">
        <f>"1Q"&amp;RIGHT(BK5,2)&amp;"A"</f>
        <v>1Q13A</v>
      </c>
      <c r="BH4" s="1625" t="str">
        <f>"2Q"&amp;RIGHT(BK5,2)&amp;"A"</f>
        <v>2Q13A</v>
      </c>
      <c r="BI4" s="1625" t="str">
        <f>"3Q"&amp;RIGHT(BK5,2)&amp;"A"</f>
        <v>3Q13A</v>
      </c>
      <c r="BJ4" s="1625" t="str">
        <f>"4Q"&amp;RIGHT(BK5,2)&amp;"A"</f>
        <v>4Q13A</v>
      </c>
      <c r="BK4" s="1624" t="str">
        <f>+BK5&amp;"A"</f>
        <v>2013A</v>
      </c>
      <c r="BL4" s="1625" t="str">
        <f>"1Q"&amp;RIGHT(BP5,2)&amp;"A"</f>
        <v>1Q14A</v>
      </c>
      <c r="BM4" s="1625" t="str">
        <f>"2Q"&amp;RIGHT(BP5,2)&amp;"A"</f>
        <v>2Q14A</v>
      </c>
      <c r="BN4" s="1625" t="str">
        <f>"3Q"&amp;RIGHT(BP5,2)&amp;"A"</f>
        <v>3Q14A</v>
      </c>
      <c r="BO4" s="1625" t="str">
        <f>"4Q"&amp;RIGHT(BP5,2)&amp;"A"</f>
        <v>4Q14A</v>
      </c>
      <c r="BP4" s="1624" t="str">
        <f>+BP5&amp;"A"</f>
        <v>2014A</v>
      </c>
      <c r="BQ4" s="1625" t="str">
        <f>"1Q"&amp;RIGHT(BU5,2)&amp;"A"</f>
        <v>1Q15A</v>
      </c>
      <c r="BR4" s="1625" t="str">
        <f>"2Q"&amp;RIGHT(BU5,2)&amp;"A"</f>
        <v>2Q15A</v>
      </c>
      <c r="BS4" s="1625" t="str">
        <f>"3Q"&amp;RIGHT(BU5,2)&amp;"A"</f>
        <v>3Q15A</v>
      </c>
      <c r="BT4" s="1625" t="str">
        <f>"4Q"&amp;RIGHT(BU5,2)&amp;"A"</f>
        <v>4Q15A</v>
      </c>
      <c r="BU4" s="1624" t="str">
        <f>+BU5&amp;"A"</f>
        <v>2015A</v>
      </c>
      <c r="BV4" s="1625" t="str">
        <f>"1Q"&amp;RIGHT(BZ5,2)&amp;"A"</f>
        <v>1Q16A</v>
      </c>
      <c r="BW4" s="1625" t="str">
        <f>"2Q"&amp;RIGHT(BZ5,2)&amp;"A"</f>
        <v>2Q16A</v>
      </c>
      <c r="BX4" s="1625" t="str">
        <f>"3Q"&amp;RIGHT(BZ5,2)&amp;"A"</f>
        <v>3Q16A</v>
      </c>
      <c r="BY4" s="1625" t="str">
        <f>"4Q"&amp;RIGHT(BZ5,2)&amp;"A"</f>
        <v>4Q16A</v>
      </c>
      <c r="BZ4" s="1624" t="str">
        <f>+BZ5&amp;"A"</f>
        <v>2016A</v>
      </c>
      <c r="CA4" s="1625" t="str">
        <f>"1Q"&amp;RIGHT(CE5,2)&amp;"A"</f>
        <v>1Q17A</v>
      </c>
      <c r="CB4" s="1625" t="str">
        <f>"2Q"&amp;RIGHT(CE5,2)&amp;"A"</f>
        <v>2Q17A</v>
      </c>
      <c r="CC4" s="1625" t="str">
        <f>"3Q"&amp;RIGHT(CE5,2)&amp;"A"</f>
        <v>3Q17A</v>
      </c>
      <c r="CD4" s="1625" t="str">
        <f>"4Q"&amp;RIGHT(CE5,2)&amp;"A"</f>
        <v>4Q17A</v>
      </c>
      <c r="CE4" s="1624" t="str">
        <f>+CE5&amp;"A"</f>
        <v>2017A</v>
      </c>
      <c r="CF4" s="1625" t="str">
        <f>"1Q"&amp;RIGHT(CJ5,2)&amp;"A"</f>
        <v>1Q18A</v>
      </c>
      <c r="CG4" s="1625" t="str">
        <f>"2Q"&amp;RIGHT(CJ5,2)&amp;"A"</f>
        <v>2Q18A</v>
      </c>
      <c r="CH4" s="1625" t="str">
        <f>"3Q"&amp;RIGHT(CJ5,2)&amp;"A"</f>
        <v>3Q18A</v>
      </c>
      <c r="CI4" s="1625" t="str">
        <f>"4Q"&amp;RIGHT(CJ5,2)&amp;"A"</f>
        <v>4Q18A</v>
      </c>
      <c r="CJ4" s="1624" t="str">
        <f>+CJ5&amp;"A"</f>
        <v>2018A</v>
      </c>
      <c r="CK4" s="1625" t="str">
        <f>"1Q"&amp;RIGHT(CO5,2)&amp;"A"</f>
        <v>1Q19A</v>
      </c>
      <c r="CL4" s="1625" t="str">
        <f>"2Q"&amp;RIGHT(CO5,2)&amp;"A"</f>
        <v>2Q19A</v>
      </c>
      <c r="CM4" s="1625" t="str">
        <f>"3Q"&amp;RIGHT(CO5,2)&amp;"A"</f>
        <v>3Q19A</v>
      </c>
      <c r="CN4" s="1625" t="str">
        <f>"4Q"&amp;RIGHT(CO5,2)&amp;"A"</f>
        <v>4Q19A</v>
      </c>
      <c r="CO4" s="1624" t="str">
        <f>+CO5&amp;"A"</f>
        <v>2019A</v>
      </c>
      <c r="CP4" s="1625" t="str">
        <f>"1Q"&amp;RIGHT(CT5,2)&amp;"A"</f>
        <v>1Q20A</v>
      </c>
      <c r="CQ4" s="1625" t="str">
        <f>"2Q"&amp;RIGHT(CT5,2)&amp;"A"</f>
        <v>2Q20A</v>
      </c>
      <c r="CR4" s="1625" t="str">
        <f>"3Q"&amp;RIGHT(CT5,2)&amp;"A"</f>
        <v>3Q20A</v>
      </c>
      <c r="CS4" s="1625" t="str">
        <f>"4Q"&amp;RIGHT(CT5,2)&amp;"A"</f>
        <v>4Q20A</v>
      </c>
      <c r="CT4" s="1624" t="str">
        <f>+CT5&amp;"A"</f>
        <v>2020A</v>
      </c>
      <c r="CU4" s="1625" t="str">
        <f>"1Q"&amp;RIGHT(CY5,2)&amp;"A"</f>
        <v>1Q21A</v>
      </c>
      <c r="CV4" s="1625" t="str">
        <f>"2Q"&amp;RIGHT(CY5,2)&amp;"A"</f>
        <v>2Q21A</v>
      </c>
      <c r="CW4" s="1625" t="str">
        <f>"3Q"&amp;RIGHT(CY5,2)&amp;"A"</f>
        <v>3Q21A</v>
      </c>
      <c r="CX4" s="1625" t="str">
        <f>"4Q"&amp;RIGHT(CY5,2)&amp;"A"</f>
        <v>4Q21A</v>
      </c>
      <c r="CY4" s="1624" t="str">
        <f>+CY5&amp;"A"</f>
        <v>2021A</v>
      </c>
      <c r="CZ4" s="1625" t="str">
        <f>"1Q"&amp;RIGHT(DD5,2)&amp;"A"</f>
        <v>1Q22A</v>
      </c>
      <c r="DA4" s="1625" t="str">
        <f>"2Q"&amp;RIGHT(DD5,2)&amp;"A"</f>
        <v>2Q22A</v>
      </c>
      <c r="DB4" s="1625" t="str">
        <f>"3Q"&amp;RIGHT(DD5,2)&amp;"A"</f>
        <v>3Q22A</v>
      </c>
      <c r="DC4" s="1625" t="str">
        <f>"4Q"&amp;RIGHT(DD5,2)&amp;"A"</f>
        <v>4Q22A</v>
      </c>
      <c r="DD4" s="1624" t="str">
        <f>+DD5&amp;"A"</f>
        <v>2022A</v>
      </c>
      <c r="DE4" s="1625" t="str">
        <f>"1Q"&amp;RIGHT(DI5,2)&amp;"A"</f>
        <v>1Q23A</v>
      </c>
      <c r="DF4" s="1625" t="str">
        <f>"2Q"&amp;RIGHT(DI5,2)&amp;"A"</f>
        <v>2Q23A</v>
      </c>
      <c r="DG4" s="1625" t="str">
        <f>"3Q"&amp;RIGHT(DI5,2)&amp;"A"</f>
        <v>3Q23A</v>
      </c>
      <c r="DH4" s="1625" t="str">
        <f>"4Q"&amp;RIGHT(DI5,2)&amp;"A"</f>
        <v>4Q23A</v>
      </c>
      <c r="DI4" s="1624" t="str">
        <f>+DI5&amp;"A"</f>
        <v>2023A</v>
      </c>
      <c r="DJ4" s="1625" t="str">
        <f>"1Q"&amp;RIGHT(DN5,2)&amp;"A"</f>
        <v>1Q24A</v>
      </c>
      <c r="DK4" s="1625" t="str">
        <f>"2Q"&amp;RIGHT(DN5,2)&amp;"A"</f>
        <v>2Q24A</v>
      </c>
      <c r="DL4" s="1625" t="str">
        <f>"3Q"&amp;RIGHT(DN5,2)&amp;"A"</f>
        <v>3Q24A</v>
      </c>
      <c r="DM4" s="1625" t="str">
        <f>"4Q"&amp;RIGHT(DN5,2)&amp;"A"</f>
        <v>4Q24A</v>
      </c>
      <c r="DN4" s="1624" t="str">
        <f>+DN5&amp;"A"</f>
        <v>2024A</v>
      </c>
      <c r="DO4" s="1625" t="str">
        <f>"1Q"&amp;RIGHT(DS5,2)&amp;"A"</f>
        <v>1Q25A</v>
      </c>
      <c r="DP4" s="1625" t="str">
        <f>"2Q"&amp;RIGHT(DS5,2)&amp;"A"</f>
        <v>2Q25A</v>
      </c>
      <c r="DQ4" s="1625" t="str">
        <f>"3Q"&amp;RIGHT(DS5,2)&amp;"A"</f>
        <v>3Q25A</v>
      </c>
      <c r="DR4" s="1625" t="str">
        <f>"4Q"&amp;RIGHT(DS5,2)&amp;"A"</f>
        <v>4Q25A</v>
      </c>
      <c r="DS4" s="1624" t="str">
        <f>+DS5&amp;"A"</f>
        <v>2025A</v>
      </c>
      <c r="DT4" s="1625" t="str">
        <f>"1Q"&amp;RIGHT(DX5,2)&amp;"A"</f>
        <v>1Q26A</v>
      </c>
      <c r="DU4" s="1625" t="str">
        <f>"2Q"&amp;RIGHT(DX5,2)&amp;"A"</f>
        <v>2Q26A</v>
      </c>
      <c r="DV4" s="1625" t="str">
        <f>"3Q"&amp;RIGHT(DX5,2)&amp;"E"</f>
        <v>3Q26E</v>
      </c>
      <c r="DW4" s="1625" t="str">
        <f>"4Q"&amp;RIGHT(DX5,2)&amp;"E"</f>
        <v>4Q26E</v>
      </c>
      <c r="DX4" s="1624" t="str">
        <f>+DX5&amp;"E"</f>
        <v>2026E</v>
      </c>
      <c r="DY4" s="1625" t="str">
        <f>"1Q"&amp;RIGHT(EC5,2)&amp;"E"</f>
        <v>1Q27E</v>
      </c>
      <c r="DZ4" s="1625" t="str">
        <f>"2Q"&amp;RIGHT(EC5,2)&amp;"E"</f>
        <v>2Q27E</v>
      </c>
      <c r="EA4" s="1625" t="str">
        <f>"3Q"&amp;RIGHT(EC5,2)&amp;"E"</f>
        <v>3Q27E</v>
      </c>
      <c r="EB4" s="1625" t="str">
        <f>"4Q"&amp;RIGHT(EC5,2)&amp;"E"</f>
        <v>4Q27E</v>
      </c>
      <c r="EC4" s="1624" t="str">
        <f>+EC5&amp;"E"</f>
        <v>2027E</v>
      </c>
      <c r="ED4" s="1625" t="str">
        <f>"1Q"&amp;RIGHT(EH5,2)&amp;"E"</f>
        <v>1Q28E</v>
      </c>
      <c r="EE4" s="1625" t="str">
        <f>"2Q"&amp;RIGHT(EH5,2)&amp;"E"</f>
        <v>2Q28E</v>
      </c>
      <c r="EF4" s="1625" t="str">
        <f>"3Q"&amp;RIGHT(EH5,2)&amp;"E"</f>
        <v>3Q28E</v>
      </c>
      <c r="EG4" s="1625" t="str">
        <f>"4Q"&amp;RIGHT(EH5,2)&amp;"E"</f>
        <v>4Q28E</v>
      </c>
      <c r="EH4" s="1624" t="str">
        <f>+EH5&amp;"E"</f>
        <v>2028E</v>
      </c>
      <c r="EI4" s="1625" t="str">
        <f>"1Q"&amp;RIGHT(EM5,2)&amp;"E"</f>
        <v>1Q29E</v>
      </c>
      <c r="EJ4" s="1625" t="str">
        <f>"2Q"&amp;RIGHT(EM5,2)&amp;"E"</f>
        <v>2Q29E</v>
      </c>
      <c r="EK4" s="1625" t="str">
        <f>"3Q"&amp;RIGHT(EM5,2)&amp;"E"</f>
        <v>3Q29E</v>
      </c>
      <c r="EL4" s="1625" t="str">
        <f>"4Q"&amp;RIGHT(EM5,2)&amp;"E"</f>
        <v>4Q29E</v>
      </c>
      <c r="EM4" s="1624" t="str">
        <f>+EM5&amp;"E"</f>
        <v>2029E</v>
      </c>
      <c r="EN4" s="1625" t="str">
        <f>"1Q"&amp;RIGHT(ER5,2)&amp;"E"</f>
        <v>1Q30E</v>
      </c>
      <c r="EO4" s="1625" t="str">
        <f>"2Q"&amp;RIGHT(ER5,2)&amp;"E"</f>
        <v>2Q30E</v>
      </c>
      <c r="EP4" s="1625" t="str">
        <f>"3Q"&amp;RIGHT(ER5,2)&amp;"E"</f>
        <v>3Q30E</v>
      </c>
      <c r="EQ4" s="1625" t="str">
        <f>"4Q"&amp;RIGHT(ER5,2)&amp;"E"</f>
        <v>4Q30E</v>
      </c>
      <c r="ER4" s="1624" t="str">
        <f>+ER5&amp;"E"</f>
        <v>2030E</v>
      </c>
      <c r="ES4" s="129"/>
      <c r="ET4" s="133"/>
    </row>
    <row r="5" spans="1:150" s="93" customFormat="1" ht="12.75" customHeight="1">
      <c r="A5" s="133"/>
      <c r="B5" s="133"/>
      <c r="C5" s="228" t="s">
        <v>65</v>
      </c>
      <c r="D5" s="682">
        <v>1998</v>
      </c>
      <c r="E5" s="682">
        <f>+D5+1</f>
        <v>1999</v>
      </c>
      <c r="F5" s="682">
        <f>+E5+1</f>
        <v>2000</v>
      </c>
      <c r="G5" s="682">
        <f>+F5+1</f>
        <v>2001</v>
      </c>
      <c r="H5" s="682">
        <f>+G5+1</f>
        <v>2002</v>
      </c>
      <c r="I5" s="683">
        <v>37711</v>
      </c>
      <c r="J5" s="684">
        <f>EOMONTH(I5,3)</f>
        <v>37802</v>
      </c>
      <c r="K5" s="684">
        <f>EOMONTH(J5,3)</f>
        <v>37894</v>
      </c>
      <c r="L5" s="684">
        <f>EOMONTH(K5,3)</f>
        <v>37986</v>
      </c>
      <c r="M5" s="682">
        <f>+H5+1</f>
        <v>2003</v>
      </c>
      <c r="N5" s="684">
        <f>EOMONTH(I5,12)</f>
        <v>38077</v>
      </c>
      <c r="O5" s="684">
        <f>EOMONTH(N5,3)</f>
        <v>38168</v>
      </c>
      <c r="P5" s="684">
        <f>EOMONTH(O5,3)</f>
        <v>38260</v>
      </c>
      <c r="Q5" s="684">
        <f>EOMONTH(P5,3)</f>
        <v>38352</v>
      </c>
      <c r="R5" s="682">
        <f>+M5+1</f>
        <v>2004</v>
      </c>
      <c r="S5" s="684">
        <f>EOMONTH(N5,12)</f>
        <v>38442</v>
      </c>
      <c r="T5" s="684">
        <f>EOMONTH(S5,3)</f>
        <v>38533</v>
      </c>
      <c r="U5" s="684">
        <f>EOMONTH(T5,3)</f>
        <v>38625</v>
      </c>
      <c r="V5" s="684">
        <f>EOMONTH(U5,3)</f>
        <v>38717</v>
      </c>
      <c r="W5" s="682">
        <f>+R5+1</f>
        <v>2005</v>
      </c>
      <c r="X5" s="684">
        <f>EOMONTH(S5,12)</f>
        <v>38807</v>
      </c>
      <c r="Y5" s="684">
        <f>EOMONTH(X5,3)</f>
        <v>38898</v>
      </c>
      <c r="Z5" s="684">
        <f>EOMONTH(Y5,3)</f>
        <v>38990</v>
      </c>
      <c r="AA5" s="684">
        <f>EOMONTH(Z5,3)</f>
        <v>39082</v>
      </c>
      <c r="AB5" s="682">
        <f>+W5+1</f>
        <v>2006</v>
      </c>
      <c r="AC5" s="684">
        <f>EOMONTH(X5,12)</f>
        <v>39172</v>
      </c>
      <c r="AD5" s="684">
        <f>EOMONTH(AC5,3)</f>
        <v>39263</v>
      </c>
      <c r="AE5" s="684">
        <f>EOMONTH(AD5,3)</f>
        <v>39355</v>
      </c>
      <c r="AF5" s="684">
        <f>EOMONTH(AE5,3)</f>
        <v>39447</v>
      </c>
      <c r="AG5" s="682">
        <f>+AB5+1</f>
        <v>2007</v>
      </c>
      <c r="AH5" s="684">
        <f>EOMONTH(AC5,12)</f>
        <v>39538</v>
      </c>
      <c r="AI5" s="684">
        <f>EOMONTH(AH5,3)</f>
        <v>39629</v>
      </c>
      <c r="AJ5" s="684">
        <f>EOMONTH(AI5,3)</f>
        <v>39721</v>
      </c>
      <c r="AK5" s="684">
        <f>EOMONTH(AJ5,3)</f>
        <v>39813</v>
      </c>
      <c r="AL5" s="682">
        <f>+AG5+1</f>
        <v>2008</v>
      </c>
      <c r="AM5" s="684">
        <f>EOMONTH(AH5,12)</f>
        <v>39903</v>
      </c>
      <c r="AN5" s="684">
        <f>EOMONTH(AM5,3)</f>
        <v>39994</v>
      </c>
      <c r="AO5" s="684">
        <f>EOMONTH(AN5,3)</f>
        <v>40086</v>
      </c>
      <c r="AP5" s="684">
        <f>EOMONTH(AO5,3)</f>
        <v>40178</v>
      </c>
      <c r="AQ5" s="682">
        <f>+AL5+1</f>
        <v>2009</v>
      </c>
      <c r="AR5" s="684">
        <f>EOMONTH(AM5,12)</f>
        <v>40268</v>
      </c>
      <c r="AS5" s="684">
        <f>EOMONTH(AR5,3)</f>
        <v>40359</v>
      </c>
      <c r="AT5" s="684">
        <f>EOMONTH(AS5,3)</f>
        <v>40451</v>
      </c>
      <c r="AU5" s="684">
        <f>EOMONTH(AT5,3)</f>
        <v>40543</v>
      </c>
      <c r="AV5" s="682">
        <f>+AQ5+1</f>
        <v>2010</v>
      </c>
      <c r="AW5" s="684">
        <f>EOMONTH(AR5,12)</f>
        <v>40633</v>
      </c>
      <c r="AX5" s="684">
        <f>EOMONTH(AW5,3)</f>
        <v>40724</v>
      </c>
      <c r="AY5" s="684">
        <f>EOMONTH(AX5,3)</f>
        <v>40816</v>
      </c>
      <c r="AZ5" s="684">
        <f>EOMONTH(AY5,3)</f>
        <v>40908</v>
      </c>
      <c r="BA5" s="682">
        <f>+AV5+1</f>
        <v>2011</v>
      </c>
      <c r="BB5" s="684">
        <f>EOMONTH(AW5,12)</f>
        <v>40999</v>
      </c>
      <c r="BC5" s="684">
        <f>EOMONTH(BB5,3)</f>
        <v>41090</v>
      </c>
      <c r="BD5" s="684">
        <f>EOMONTH(BC5,3)</f>
        <v>41182</v>
      </c>
      <c r="BE5" s="684">
        <f>EOMONTH(BD5,3)</f>
        <v>41274</v>
      </c>
      <c r="BF5" s="682">
        <f>+BA5+1</f>
        <v>2012</v>
      </c>
      <c r="BG5" s="684">
        <f>EOMONTH(BB5,12)</f>
        <v>41364</v>
      </c>
      <c r="BH5" s="684">
        <f>EOMONTH(BG5,3)</f>
        <v>41455</v>
      </c>
      <c r="BI5" s="684">
        <f>EOMONTH(BH5,3)</f>
        <v>41547</v>
      </c>
      <c r="BJ5" s="684">
        <f>EOMONTH(BI5,3)</f>
        <v>41639</v>
      </c>
      <c r="BK5" s="682">
        <f>+BF5+1</f>
        <v>2013</v>
      </c>
      <c r="BL5" s="684">
        <f>EOMONTH(BG5,12)</f>
        <v>41729</v>
      </c>
      <c r="BM5" s="684">
        <f>EOMONTH(BL5,3)</f>
        <v>41820</v>
      </c>
      <c r="BN5" s="684">
        <f>EOMONTH(BM5,3)</f>
        <v>41912</v>
      </c>
      <c r="BO5" s="684">
        <f>EOMONTH(BN5,3)</f>
        <v>42004</v>
      </c>
      <c r="BP5" s="682">
        <f>+BK5+1</f>
        <v>2014</v>
      </c>
      <c r="BQ5" s="684">
        <f>EOMONTH(BL5,12)</f>
        <v>42094</v>
      </c>
      <c r="BR5" s="684">
        <f>EOMONTH(BQ5,3)</f>
        <v>42185</v>
      </c>
      <c r="BS5" s="684">
        <f>EOMONTH(BR5,3)</f>
        <v>42277</v>
      </c>
      <c r="BT5" s="684">
        <f>EOMONTH(BS5,3)</f>
        <v>42369</v>
      </c>
      <c r="BU5" s="682">
        <f>+BP5+1</f>
        <v>2015</v>
      </c>
      <c r="BV5" s="684">
        <f>EOMONTH(BQ5,12)</f>
        <v>42460</v>
      </c>
      <c r="BW5" s="684">
        <f>EOMONTH(BV5,3)</f>
        <v>42551</v>
      </c>
      <c r="BX5" s="684">
        <f>EOMONTH(BW5,3)</f>
        <v>42643</v>
      </c>
      <c r="BY5" s="684">
        <f>EOMONTH(BX5,3)</f>
        <v>42735</v>
      </c>
      <c r="BZ5" s="682">
        <f>+BU5+1</f>
        <v>2016</v>
      </c>
      <c r="CA5" s="684">
        <f>EOMONTH(BV5,12)</f>
        <v>42825</v>
      </c>
      <c r="CB5" s="684">
        <f>EOMONTH(CA5,3)</f>
        <v>42916</v>
      </c>
      <c r="CC5" s="684">
        <f>EOMONTH(CB5,3)</f>
        <v>43008</v>
      </c>
      <c r="CD5" s="684">
        <f>EOMONTH(CC5,3)</f>
        <v>43100</v>
      </c>
      <c r="CE5" s="682">
        <f>+BZ5+1</f>
        <v>2017</v>
      </c>
      <c r="CF5" s="684">
        <f>EOMONTH(CA5,12)</f>
        <v>43190</v>
      </c>
      <c r="CG5" s="684">
        <f>EOMONTH(CF5,3)</f>
        <v>43281</v>
      </c>
      <c r="CH5" s="684">
        <f>EOMONTH(CG5,3)</f>
        <v>43373</v>
      </c>
      <c r="CI5" s="684">
        <f>EOMONTH(CH5,3)</f>
        <v>43465</v>
      </c>
      <c r="CJ5" s="682">
        <f>+CE5+1</f>
        <v>2018</v>
      </c>
      <c r="CK5" s="684">
        <f>EOMONTH(CF5,12)</f>
        <v>43555</v>
      </c>
      <c r="CL5" s="684">
        <f>EOMONTH(CK5,3)</f>
        <v>43646</v>
      </c>
      <c r="CM5" s="684">
        <f>EOMONTH(CL5,3)</f>
        <v>43738</v>
      </c>
      <c r="CN5" s="684">
        <f>EOMONTH(CM5,3)</f>
        <v>43830</v>
      </c>
      <c r="CO5" s="682">
        <f>+CJ5+1</f>
        <v>2019</v>
      </c>
      <c r="CP5" s="684">
        <f>EOMONTH(CK5,12)</f>
        <v>43921</v>
      </c>
      <c r="CQ5" s="684">
        <f>EOMONTH(CP5,3)</f>
        <v>44012</v>
      </c>
      <c r="CR5" s="684">
        <f>EOMONTH(CQ5,3)</f>
        <v>44104</v>
      </c>
      <c r="CS5" s="684">
        <f>EOMONTH(CR5,3)</f>
        <v>44196</v>
      </c>
      <c r="CT5" s="682">
        <f>+CO5+1</f>
        <v>2020</v>
      </c>
      <c r="CU5" s="684">
        <f>EOMONTH(CP5,12)</f>
        <v>44286</v>
      </c>
      <c r="CV5" s="684">
        <f>EOMONTH(CU5,3)</f>
        <v>44377</v>
      </c>
      <c r="CW5" s="684">
        <f>EOMONTH(CV5,3)</f>
        <v>44469</v>
      </c>
      <c r="CX5" s="684">
        <f>EOMONTH(CW5,3)</f>
        <v>44561</v>
      </c>
      <c r="CY5" s="682">
        <f>+CT5+1</f>
        <v>2021</v>
      </c>
      <c r="CZ5" s="684">
        <f>EOMONTH(CU5,12)</f>
        <v>44651</v>
      </c>
      <c r="DA5" s="684">
        <f>EOMONTH(CZ5,3)</f>
        <v>44742</v>
      </c>
      <c r="DB5" s="684">
        <f>EOMONTH(DA5,3)</f>
        <v>44834</v>
      </c>
      <c r="DC5" s="684">
        <f>EOMONTH(DB5,3)</f>
        <v>44926</v>
      </c>
      <c r="DD5" s="682">
        <f>+CY5+1</f>
        <v>2022</v>
      </c>
      <c r="DE5" s="684">
        <f>EOMONTH(CZ5,12)</f>
        <v>45016</v>
      </c>
      <c r="DF5" s="684">
        <f>EOMONTH(DE5,3)</f>
        <v>45107</v>
      </c>
      <c r="DG5" s="684">
        <f>EOMONTH(DF5,3)</f>
        <v>45199</v>
      </c>
      <c r="DH5" s="684">
        <f>EOMONTH(DG5,3)</f>
        <v>45291</v>
      </c>
      <c r="DI5" s="682">
        <f>+DD5+1</f>
        <v>2023</v>
      </c>
      <c r="DJ5" s="684">
        <f>EOMONTH(DE5,12)</f>
        <v>45382</v>
      </c>
      <c r="DK5" s="684">
        <f>EOMONTH(DJ5,3)</f>
        <v>45473</v>
      </c>
      <c r="DL5" s="684">
        <f>EOMONTH(DK5,3)</f>
        <v>45565</v>
      </c>
      <c r="DM5" s="684">
        <f>EOMONTH(DL5,3)</f>
        <v>45657</v>
      </c>
      <c r="DN5" s="682">
        <f>+DI5+1</f>
        <v>2024</v>
      </c>
      <c r="DO5" s="684">
        <f>EOMONTH(DJ5,12)</f>
        <v>45747</v>
      </c>
      <c r="DP5" s="684">
        <f>EOMONTH(DO5,3)</f>
        <v>45838</v>
      </c>
      <c r="DQ5" s="684">
        <f>EOMONTH(DP5,3)</f>
        <v>45930</v>
      </c>
      <c r="DR5" s="684">
        <f>EOMONTH(DQ5,3)</f>
        <v>46022</v>
      </c>
      <c r="DS5" s="682">
        <f>+DN5+1</f>
        <v>2025</v>
      </c>
      <c r="DT5" s="684">
        <f>EOMONTH(DO5,12)</f>
        <v>46112</v>
      </c>
      <c r="DU5" s="684">
        <f>EOMONTH(DT5,3)</f>
        <v>46203</v>
      </c>
      <c r="DV5" s="684">
        <f>EOMONTH(DU5,3)</f>
        <v>46295</v>
      </c>
      <c r="DW5" s="684">
        <f>EOMONTH(DV5,3)</f>
        <v>46387</v>
      </c>
      <c r="DX5" s="682">
        <f>+DS5+1</f>
        <v>2026</v>
      </c>
      <c r="DY5" s="684">
        <f>EOMONTH(DT5,12)</f>
        <v>46477</v>
      </c>
      <c r="DZ5" s="684">
        <f>EOMONTH(DY5,3)</f>
        <v>46568</v>
      </c>
      <c r="EA5" s="684">
        <f>EOMONTH(DZ5,3)</f>
        <v>46660</v>
      </c>
      <c r="EB5" s="684">
        <f>EOMONTH(EA5,3)</f>
        <v>46752</v>
      </c>
      <c r="EC5" s="682">
        <f>+DX5+1</f>
        <v>2027</v>
      </c>
      <c r="ED5" s="684">
        <f>EOMONTH(DY5,12)</f>
        <v>46843</v>
      </c>
      <c r="EE5" s="684">
        <f>EOMONTH(ED5,3)</f>
        <v>46934</v>
      </c>
      <c r="EF5" s="684">
        <f>EOMONTH(EE5,3)</f>
        <v>47026</v>
      </c>
      <c r="EG5" s="684">
        <f>EOMONTH(EF5,3)</f>
        <v>47118</v>
      </c>
      <c r="EH5" s="682">
        <f>+EC5+1</f>
        <v>2028</v>
      </c>
      <c r="EI5" s="684">
        <f>EOMONTH(ED5,12)</f>
        <v>47208</v>
      </c>
      <c r="EJ5" s="684">
        <f>EOMONTH(EI5,3)</f>
        <v>47299</v>
      </c>
      <c r="EK5" s="684">
        <f>EOMONTH(EJ5,3)</f>
        <v>47391</v>
      </c>
      <c r="EL5" s="684">
        <f>EOMONTH(EK5,3)</f>
        <v>47483</v>
      </c>
      <c r="EM5" s="682">
        <f>+EH5+1</f>
        <v>2029</v>
      </c>
      <c r="EN5" s="684">
        <f>EOMONTH(EI5,12)</f>
        <v>47573</v>
      </c>
      <c r="EO5" s="684">
        <f>EOMONTH(EN5,3)</f>
        <v>47664</v>
      </c>
      <c r="EP5" s="684">
        <f>EOMONTH(EO5,3)</f>
        <v>47756</v>
      </c>
      <c r="EQ5" s="684">
        <f>EOMONTH(EP5,3)</f>
        <v>47848</v>
      </c>
      <c r="ER5" s="682">
        <f>+EM5+1</f>
        <v>2030</v>
      </c>
      <c r="ES5" s="909" t="s">
        <v>570</v>
      </c>
      <c r="ET5" s="133"/>
    </row>
    <row r="6" spans="1:150">
      <c r="A6" s="791" t="s">
        <v>494</v>
      </c>
      <c r="B6" s="791"/>
      <c r="C6" s="996" t="s">
        <v>331</v>
      </c>
      <c r="D6" s="235"/>
      <c r="E6" s="235"/>
      <c r="F6" s="235"/>
      <c r="G6" s="235"/>
      <c r="H6" s="235"/>
      <c r="I6" s="229"/>
      <c r="J6" s="620"/>
      <c r="K6" s="620"/>
      <c r="L6" s="621"/>
      <c r="M6" s="235"/>
      <c r="N6" s="229"/>
      <c r="O6" s="620"/>
      <c r="P6" s="620"/>
      <c r="Q6" s="621"/>
      <c r="R6" s="235"/>
      <c r="S6" s="229"/>
      <c r="T6" s="620"/>
      <c r="U6" s="620"/>
      <c r="V6" s="621"/>
      <c r="W6" s="235"/>
      <c r="X6" s="229"/>
      <c r="Y6" s="620"/>
      <c r="Z6" s="620"/>
      <c r="AA6" s="621"/>
      <c r="AB6" s="235"/>
      <c r="AC6" s="229"/>
      <c r="AD6" s="620"/>
      <c r="AE6" s="620"/>
      <c r="AF6" s="621"/>
      <c r="AG6" s="235"/>
      <c r="AH6" s="229"/>
      <c r="AI6" s="620"/>
      <c r="AJ6" s="620"/>
      <c r="AK6" s="621"/>
      <c r="AL6" s="235"/>
      <c r="AM6" s="229"/>
      <c r="AN6" s="620"/>
      <c r="AO6" s="620"/>
      <c r="AP6" s="621"/>
      <c r="AQ6" s="235"/>
      <c r="AR6" s="229"/>
      <c r="AS6" s="620"/>
      <c r="AT6" s="620"/>
      <c r="AU6" s="621"/>
      <c r="AV6" s="235"/>
      <c r="AW6" s="229"/>
      <c r="AX6" s="620"/>
      <c r="AY6" s="620"/>
      <c r="AZ6" s="621"/>
      <c r="BA6" s="235"/>
      <c r="BB6" s="229"/>
      <c r="BC6" s="620"/>
      <c r="BD6" s="620"/>
      <c r="BE6" s="621"/>
      <c r="BF6" s="235"/>
      <c r="BG6" s="236"/>
      <c r="BH6" s="236"/>
      <c r="BI6" s="236"/>
      <c r="BJ6" s="237"/>
      <c r="BK6" s="235"/>
      <c r="BL6" s="236"/>
      <c r="BM6" s="236"/>
      <c r="BN6" s="236"/>
      <c r="BO6" s="237"/>
      <c r="BP6" s="235"/>
      <c r="BQ6" s="120">
        <v>22.352</v>
      </c>
      <c r="BR6" s="120">
        <v>25.459</v>
      </c>
      <c r="BS6" s="120">
        <v>29.56</v>
      </c>
      <c r="BT6" s="120">
        <v>34.607999999999997</v>
      </c>
      <c r="BU6" s="238">
        <f>SUM(BQ6:BT6)</f>
        <v>111.97899999999998</v>
      </c>
      <c r="BV6" s="120">
        <v>38.706000000000003</v>
      </c>
      <c r="BW6" s="120">
        <v>43.673999999999999</v>
      </c>
      <c r="BX6" s="120">
        <v>49.838999999999999</v>
      </c>
      <c r="BY6" s="120">
        <v>56.387</v>
      </c>
      <c r="BZ6" s="238">
        <f>SUM(BV6:BY6)</f>
        <v>188.60599999999999</v>
      </c>
      <c r="CA6" s="120">
        <v>62.08</v>
      </c>
      <c r="CB6" s="120">
        <v>71.597999999999999</v>
      </c>
      <c r="CC6" s="120">
        <v>82.435000000000002</v>
      </c>
      <c r="CD6" s="120">
        <v>93.918000000000006</v>
      </c>
      <c r="CE6" s="238">
        <f>SUM(CA6:CD6)</f>
        <v>310.03100000000001</v>
      </c>
      <c r="CF6" s="120">
        <v>100.19799999999999</v>
      </c>
      <c r="CG6" s="120">
        <v>110.721</v>
      </c>
      <c r="CH6" s="120">
        <v>120.517</v>
      </c>
      <c r="CI6" s="120">
        <v>133.56</v>
      </c>
      <c r="CJ6" s="238">
        <f>SUM(CF6:CI6)</f>
        <v>464.99599999999998</v>
      </c>
      <c r="CK6" s="120">
        <v>140.45099999999999</v>
      </c>
      <c r="CL6" s="120">
        <v>153.047</v>
      </c>
      <c r="CM6" s="120">
        <v>165.577</v>
      </c>
      <c r="CN6" s="120">
        <v>183.166</v>
      </c>
      <c r="CO6" s="238">
        <f>SUM(CK6:CN6)</f>
        <v>642.24099999999999</v>
      </c>
      <c r="CP6" s="120">
        <v>187.60900000000001</v>
      </c>
      <c r="CQ6" s="120">
        <v>196.434</v>
      </c>
      <c r="CR6" s="120">
        <v>245.274</v>
      </c>
      <c r="CS6" s="120">
        <v>279.44</v>
      </c>
      <c r="CT6" s="238">
        <f>SUM(CP6:CS6)</f>
        <v>908.75700000000006</v>
      </c>
      <c r="CU6" s="239">
        <v>320.68099999999998</v>
      </c>
      <c r="CV6" s="239">
        <v>334.23700000000002</v>
      </c>
      <c r="CW6" s="239">
        <v>336.20800000000003</v>
      </c>
      <c r="CX6" s="239">
        <v>351.20800000000003</v>
      </c>
      <c r="CY6" s="238">
        <f>SUM(CU6:CX6)</f>
        <v>1342.3340000000001</v>
      </c>
      <c r="CZ6" s="239">
        <v>344.76100000000002</v>
      </c>
      <c r="DA6" s="239">
        <v>366.44299999999998</v>
      </c>
      <c r="DB6" s="239">
        <v>376.30099999999999</v>
      </c>
      <c r="DC6" s="239">
        <v>400.25400000000002</v>
      </c>
      <c r="DD6" s="238">
        <f>SUM(CZ6:DC6)</f>
        <v>1487.759</v>
      </c>
      <c r="DE6" s="239">
        <v>382</v>
      </c>
      <c r="DF6" s="239">
        <v>444</v>
      </c>
      <c r="DG6" s="239">
        <v>486</v>
      </c>
      <c r="DH6" s="239">
        <v>525</v>
      </c>
      <c r="DI6" s="238">
        <f>SUM(DE6:DH6)</f>
        <v>1837</v>
      </c>
      <c r="DJ6" s="239">
        <v>511</v>
      </c>
      <c r="DK6" s="239">
        <v>563</v>
      </c>
      <c r="DL6" s="239">
        <v>610</v>
      </c>
      <c r="DM6" s="239">
        <v>666</v>
      </c>
      <c r="DN6" s="238">
        <f>SUM(DJ6:DM6)</f>
        <v>2350</v>
      </c>
      <c r="DO6" s="239">
        <v>620</v>
      </c>
      <c r="DP6" s="239">
        <v>656</v>
      </c>
      <c r="DQ6" s="239">
        <v>699</v>
      </c>
      <c r="DR6" s="239">
        <v>777</v>
      </c>
      <c r="DS6" s="238">
        <f>SUM(DO6:DR6)</f>
        <v>2752</v>
      </c>
      <c r="DT6" s="239">
        <v>750</v>
      </c>
      <c r="DU6" s="239">
        <v>802</v>
      </c>
      <c r="DV6" s="109">
        <f>'Revenue Build'!DV39</f>
        <v>860.61512704218728</v>
      </c>
      <c r="DW6" s="109">
        <f>'Revenue Build'!DW39</f>
        <v>935.33450172749986</v>
      </c>
      <c r="DX6" s="238">
        <f>SUM(DT6:DW6)</f>
        <v>3347.9496287696875</v>
      </c>
      <c r="DY6" s="109">
        <f>'Revenue Build'!DY39</f>
        <v>898.83625293750015</v>
      </c>
      <c r="DZ6" s="109">
        <f>'Revenue Build'!DZ39</f>
        <v>965.84413021340015</v>
      </c>
      <c r="EA6" s="109">
        <f>'Revenue Build'!EA39</f>
        <v>1036.4340010306189</v>
      </c>
      <c r="EB6" s="109">
        <f>'Revenue Build'!EB39</f>
        <v>1126.4181275306501</v>
      </c>
      <c r="EC6" s="238">
        <f>SUM(DY6:EB6)</f>
        <v>4027.5325117121693</v>
      </c>
      <c r="ED6" s="109">
        <f>'Revenue Build'!ED39</f>
        <v>1067.1414407107902</v>
      </c>
      <c r="EE6" s="109">
        <f>'Revenue Build'!EE39</f>
        <v>1141.1299139334049</v>
      </c>
      <c r="EF6" s="109">
        <f>'Revenue Build'!EF39</f>
        <v>1218.5864313702677</v>
      </c>
      <c r="EG6" s="109">
        <f>'Revenue Build'!EG39</f>
        <v>1317.9561403661266</v>
      </c>
      <c r="EH6" s="238">
        <f>SUM(ED6:EG6)</f>
        <v>4744.8139263805897</v>
      </c>
      <c r="EI6" s="109">
        <f>'Revenue Build'!EI39</f>
        <v>1248.5999470793063</v>
      </c>
      <c r="EJ6" s="109">
        <f>'Revenue Build'!EJ39</f>
        <v>1335.1695434101377</v>
      </c>
      <c r="EK6" s="109">
        <f>'Revenue Build'!EK39</f>
        <v>1425.7968959644509</v>
      </c>
      <c r="EL6" s="109">
        <f>'Revenue Build'!EL39</f>
        <v>1542.0635956353719</v>
      </c>
      <c r="EM6" s="238">
        <f>SUM(EI6:EL6)</f>
        <v>5551.6299820892673</v>
      </c>
      <c r="EN6" s="109">
        <f>'Revenue Build'!EN39</f>
        <v>1460.9139598290203</v>
      </c>
      <c r="EO6" s="109">
        <f>'Revenue Build'!EO39</f>
        <v>1562.2039943771658</v>
      </c>
      <c r="EP6" s="109">
        <f>'Revenue Build'!EP39</f>
        <v>1668.241772769393</v>
      </c>
      <c r="EQ6" s="109">
        <f>'Revenue Build'!EQ39</f>
        <v>1804.2786555274126</v>
      </c>
      <c r="ER6" s="238">
        <f>SUM(EN6:EQ6)</f>
        <v>6495.6383825029916</v>
      </c>
      <c r="ES6" s="910">
        <f>+(EC6/DN6)^(0.333333333333333)-1</f>
        <v>0.19671407108812566</v>
      </c>
    </row>
    <row r="7" spans="1:150" ht="12" customHeight="1">
      <c r="A7" s="791" t="s">
        <v>495</v>
      </c>
      <c r="B7" s="791"/>
      <c r="C7" s="240" t="s">
        <v>129</v>
      </c>
      <c r="D7" s="241"/>
      <c r="E7" s="241"/>
      <c r="F7" s="241"/>
      <c r="G7" s="241"/>
      <c r="H7" s="241"/>
      <c r="I7" s="99"/>
      <c r="J7" s="99"/>
      <c r="K7" s="99"/>
      <c r="L7" s="99"/>
      <c r="M7" s="241"/>
      <c r="N7" s="622"/>
      <c r="O7" s="622"/>
      <c r="P7" s="622"/>
      <c r="Q7" s="622"/>
      <c r="R7" s="241"/>
      <c r="S7" s="622"/>
      <c r="T7" s="622"/>
      <c r="U7" s="622"/>
      <c r="V7" s="622"/>
      <c r="W7" s="241"/>
      <c r="X7" s="622"/>
      <c r="Y7" s="622"/>
      <c r="Z7" s="622"/>
      <c r="AA7" s="622"/>
      <c r="AB7" s="241"/>
      <c r="AC7" s="622"/>
      <c r="AD7" s="622"/>
      <c r="AE7" s="622"/>
      <c r="AF7" s="622"/>
      <c r="AG7" s="241"/>
      <c r="AH7" s="622"/>
      <c r="AI7" s="622"/>
      <c r="AJ7" s="622"/>
      <c r="AK7" s="622"/>
      <c r="AL7" s="241"/>
      <c r="AM7" s="622"/>
      <c r="AN7" s="622"/>
      <c r="AO7" s="622"/>
      <c r="AP7" s="622"/>
      <c r="AQ7" s="241"/>
      <c r="AR7" s="622"/>
      <c r="AS7" s="622"/>
      <c r="AT7" s="622"/>
      <c r="AU7" s="622"/>
      <c r="AV7" s="241"/>
      <c r="AW7" s="622"/>
      <c r="AX7" s="622"/>
      <c r="AY7" s="622"/>
      <c r="AZ7" s="622"/>
      <c r="BA7" s="241"/>
      <c r="BB7" s="622"/>
      <c r="BC7" s="622"/>
      <c r="BD7" s="622"/>
      <c r="BE7" s="622"/>
      <c r="BF7" s="241"/>
      <c r="BG7" s="242"/>
      <c r="BH7" s="242"/>
      <c r="BI7" s="242"/>
      <c r="BJ7" s="242"/>
      <c r="BK7" s="241"/>
      <c r="BL7" s="622"/>
      <c r="BM7" s="622"/>
      <c r="BN7" s="622"/>
      <c r="BO7" s="622"/>
      <c r="BP7" s="241"/>
      <c r="BQ7" s="244"/>
      <c r="BR7" s="244"/>
      <c r="BS7" s="244"/>
      <c r="BT7" s="244"/>
      <c r="BU7" s="243"/>
      <c r="BV7" s="244">
        <f t="shared" ref="BV7:DA7" si="0">+IF(BQ6&lt;=0,"nm",BV6/BQ6-1)</f>
        <v>0.73165712240515401</v>
      </c>
      <c r="BW7" s="244">
        <f t="shared" si="0"/>
        <v>0.71546407950037305</v>
      </c>
      <c r="BX7" s="244">
        <f t="shared" si="0"/>
        <v>0.68602841677943172</v>
      </c>
      <c r="BY7" s="244">
        <f t="shared" si="0"/>
        <v>0.62930536292186789</v>
      </c>
      <c r="BZ7" s="243">
        <f t="shared" si="0"/>
        <v>0.68429794872252847</v>
      </c>
      <c r="CA7" s="244">
        <f t="shared" si="0"/>
        <v>0.60388570247506834</v>
      </c>
      <c r="CB7" s="244">
        <f t="shared" si="0"/>
        <v>0.63937354032147264</v>
      </c>
      <c r="CC7" s="244">
        <f t="shared" si="0"/>
        <v>0.65402596360280119</v>
      </c>
      <c r="CD7" s="244">
        <f t="shared" si="0"/>
        <v>0.6655966800858355</v>
      </c>
      <c r="CE7" s="243">
        <f t="shared" si="0"/>
        <v>0.64380242410103605</v>
      </c>
      <c r="CF7" s="244">
        <f t="shared" si="0"/>
        <v>0.61401417525773194</v>
      </c>
      <c r="CG7" s="244">
        <f t="shared" si="0"/>
        <v>0.54642587781781615</v>
      </c>
      <c r="CH7" s="244">
        <f t="shared" si="0"/>
        <v>0.46196397161399871</v>
      </c>
      <c r="CI7" s="244">
        <f t="shared" si="0"/>
        <v>0.4220916118315976</v>
      </c>
      <c r="CJ7" s="243">
        <f t="shared" si="0"/>
        <v>0.49983711306288714</v>
      </c>
      <c r="CK7" s="244">
        <f t="shared" si="0"/>
        <v>0.40173456556019094</v>
      </c>
      <c r="CL7" s="244">
        <f t="shared" si="0"/>
        <v>0.38227617163862315</v>
      </c>
      <c r="CM7" s="244">
        <f t="shared" si="0"/>
        <v>0.37388916086527213</v>
      </c>
      <c r="CN7" s="244">
        <f t="shared" si="0"/>
        <v>0.37141359688529496</v>
      </c>
      <c r="CO7" s="243">
        <f t="shared" si="0"/>
        <v>0.38117532193825321</v>
      </c>
      <c r="CP7" s="244">
        <f t="shared" si="0"/>
        <v>0.33576122633516325</v>
      </c>
      <c r="CQ7" s="244">
        <f t="shared" si="0"/>
        <v>0.28348807882545879</v>
      </c>
      <c r="CR7" s="244">
        <f t="shared" si="0"/>
        <v>0.48132892853476039</v>
      </c>
      <c r="CS7" s="244">
        <f t="shared" si="0"/>
        <v>0.52561064826441584</v>
      </c>
      <c r="CT7" s="243">
        <f t="shared" si="0"/>
        <v>0.41497817797368919</v>
      </c>
      <c r="CU7" s="244">
        <f t="shared" si="0"/>
        <v>0.70930499069874031</v>
      </c>
      <c r="CV7" s="244">
        <f t="shared" si="0"/>
        <v>0.70152315790545439</v>
      </c>
      <c r="CW7" s="244">
        <f t="shared" si="0"/>
        <v>0.37074455506902493</v>
      </c>
      <c r="CX7" s="245">
        <f t="shared" si="0"/>
        <v>0.25682794159748079</v>
      </c>
      <c r="CY7" s="243">
        <f t="shared" si="0"/>
        <v>0.47710994248187366</v>
      </c>
      <c r="CZ7" s="244">
        <f t="shared" si="0"/>
        <v>7.5090198670953567E-2</v>
      </c>
      <c r="DA7" s="244">
        <f t="shared" si="0"/>
        <v>9.6356776778154352E-2</v>
      </c>
      <c r="DB7" s="244">
        <f t="shared" ref="DB7:EC7" si="1">+IF(CW6&lt;=0,"nm",DB6/CW6-1)</f>
        <v>0.11925058297244551</v>
      </c>
      <c r="DC7" s="244">
        <f t="shared" si="1"/>
        <v>0.13964943850937339</v>
      </c>
      <c r="DD7" s="243">
        <f t="shared" si="1"/>
        <v>0.10833741825804899</v>
      </c>
      <c r="DE7" s="244">
        <f t="shared" si="1"/>
        <v>0.10801395749519216</v>
      </c>
      <c r="DF7" s="244">
        <f t="shared" si="1"/>
        <v>0.21164819630883946</v>
      </c>
      <c r="DG7" s="244">
        <f t="shared" si="1"/>
        <v>0.29151928907975266</v>
      </c>
      <c r="DH7" s="244">
        <f t="shared" si="1"/>
        <v>0.3116670913969628</v>
      </c>
      <c r="DI7" s="243">
        <f t="shared" si="1"/>
        <v>0.23474299264867504</v>
      </c>
      <c r="DJ7" s="244">
        <f t="shared" si="1"/>
        <v>0.33769633507853403</v>
      </c>
      <c r="DK7" s="244">
        <f t="shared" si="1"/>
        <v>0.26801801801801806</v>
      </c>
      <c r="DL7" s="244">
        <f t="shared" si="1"/>
        <v>0.25514403292181065</v>
      </c>
      <c r="DM7" s="244">
        <f t="shared" si="1"/>
        <v>0.26857142857142846</v>
      </c>
      <c r="DN7" s="243">
        <f t="shared" si="1"/>
        <v>0.27925966249319534</v>
      </c>
      <c r="DO7" s="244">
        <f>+IF(DJ6&lt;=0,"nm",DO6/DJ6-1)</f>
        <v>0.21330724070450091</v>
      </c>
      <c r="DP7" s="244">
        <f t="shared" si="1"/>
        <v>0.1651865008880995</v>
      </c>
      <c r="DQ7" s="244">
        <f t="shared" si="1"/>
        <v>0.14590163934426226</v>
      </c>
      <c r="DR7" s="244">
        <f>+IF(DM6&lt;=0,"nm",DR6/DM6-1)</f>
        <v>0.16666666666666674</v>
      </c>
      <c r="DS7" s="243">
        <f t="shared" si="1"/>
        <v>0.171063829787234</v>
      </c>
      <c r="DT7" s="244">
        <f>+IF(DO6&lt;=0,"nm",DT6/DO6-1)</f>
        <v>0.20967741935483875</v>
      </c>
      <c r="DU7" s="244">
        <f t="shared" si="1"/>
        <v>0.22256097560975618</v>
      </c>
      <c r="DV7" s="244">
        <f t="shared" si="1"/>
        <v>0.2312090515624996</v>
      </c>
      <c r="DW7" s="244">
        <f t="shared" si="1"/>
        <v>0.20377670749999988</v>
      </c>
      <c r="DX7" s="243">
        <f t="shared" si="1"/>
        <v>0.21655146394247371</v>
      </c>
      <c r="DY7" s="244">
        <f t="shared" si="1"/>
        <v>0.19844833725000011</v>
      </c>
      <c r="DZ7" s="244">
        <f t="shared" si="1"/>
        <v>0.2042944267000002</v>
      </c>
      <c r="EA7" s="244">
        <f t="shared" si="1"/>
        <v>0.20429442670000042</v>
      </c>
      <c r="EB7" s="244">
        <f t="shared" si="1"/>
        <v>0.20429442670000042</v>
      </c>
      <c r="EC7" s="243">
        <f t="shared" si="1"/>
        <v>0.202984799144728</v>
      </c>
      <c r="ED7" s="244">
        <f t="shared" ref="ED7" si="2">+IF(DY6&lt;=0,"nm",ED6/DY6-1)</f>
        <v>0.18724788549999993</v>
      </c>
      <c r="EE7" s="244">
        <f t="shared" ref="EE7" si="3">+IF(DZ6&lt;=0,"nm",EE6/DZ6-1)</f>
        <v>0.18148454624999988</v>
      </c>
      <c r="EF7" s="244">
        <f t="shared" ref="EF7" si="4">+IF(EA6&lt;=0,"nm",EF6/EA6-1)</f>
        <v>0.17574918437499965</v>
      </c>
      <c r="EG7" s="244">
        <f t="shared" ref="EG7" si="5">+IF(EB6&lt;=0,"nm",EG6/EB6-1)</f>
        <v>0.17004166406249954</v>
      </c>
      <c r="EH7" s="243">
        <f t="shared" ref="EH7" si="6">+IF(EC6&lt;=0,"nm",EH6/EC6-1)</f>
        <v>0.17809450639629776</v>
      </c>
      <c r="EI7" s="244">
        <f t="shared" ref="EI7" si="7">+IF(ED6&lt;=0,"nm",EI6/ED6-1)</f>
        <v>0.17004166406249954</v>
      </c>
      <c r="EJ7" s="244">
        <f t="shared" ref="EJ7" si="8">+IF(EE6&lt;=0,"nm",EJ6/EE6-1)</f>
        <v>0.17004166406249932</v>
      </c>
      <c r="EK7" s="244">
        <f t="shared" ref="EK7" si="9">+IF(EF6&lt;=0,"nm",EK6/EF6-1)</f>
        <v>0.17004166406249954</v>
      </c>
      <c r="EL7" s="244">
        <f t="shared" ref="EL7" si="10">+IF(EG6&lt;=0,"nm",EL6/EG6-1)</f>
        <v>0.17004166406249954</v>
      </c>
      <c r="EM7" s="243">
        <f t="shared" ref="EM7" si="11">+IF(EH6&lt;=0,"nm",EM6/EH6-1)</f>
        <v>0.17004166406249954</v>
      </c>
      <c r="EN7" s="244">
        <f t="shared" ref="EN7" si="12">+IF(EI6&lt;=0,"nm",EN6/EI6-1)</f>
        <v>0.17004166406249954</v>
      </c>
      <c r="EO7" s="244">
        <f t="shared" ref="EO7" si="13">+IF(EJ6&lt;=0,"nm",EO6/EJ6-1)</f>
        <v>0.17004166406249999</v>
      </c>
      <c r="EP7" s="244">
        <f t="shared" ref="EP7" si="14">+IF(EK6&lt;=0,"nm",EP6/EK6-1)</f>
        <v>0.17004166406249976</v>
      </c>
      <c r="EQ7" s="244">
        <f t="shared" ref="EQ7" si="15">+IF(EL6&lt;=0,"nm",EQ6/EL6-1)</f>
        <v>0.17004166406249999</v>
      </c>
      <c r="ER7" s="243">
        <f t="shared" ref="ER7" si="16">+IF(EM6&lt;=0,"nm",ER6/EM6-1)</f>
        <v>0.17004166406249976</v>
      </c>
      <c r="ES7" s="244"/>
    </row>
    <row r="8" spans="1:150" ht="12" customHeight="1">
      <c r="A8" s="791" t="s">
        <v>497</v>
      </c>
      <c r="B8" s="791"/>
      <c r="C8" s="997" t="s">
        <v>332</v>
      </c>
      <c r="D8" s="235"/>
      <c r="E8" s="235"/>
      <c r="F8" s="235"/>
      <c r="G8" s="235"/>
      <c r="H8" s="235"/>
      <c r="I8" s="246"/>
      <c r="J8" s="623"/>
      <c r="K8" s="623"/>
      <c r="L8" s="621"/>
      <c r="M8" s="235"/>
      <c r="N8" s="246"/>
      <c r="O8" s="623"/>
      <c r="P8" s="623"/>
      <c r="Q8" s="621"/>
      <c r="R8" s="235"/>
      <c r="S8" s="246"/>
      <c r="T8" s="623"/>
      <c r="U8" s="623"/>
      <c r="V8" s="621"/>
      <c r="W8" s="235"/>
      <c r="X8" s="246"/>
      <c r="Y8" s="623"/>
      <c r="Z8" s="623"/>
      <c r="AA8" s="621"/>
      <c r="AB8" s="235"/>
      <c r="AC8" s="246"/>
      <c r="AD8" s="623"/>
      <c r="AE8" s="623"/>
      <c r="AF8" s="621"/>
      <c r="AG8" s="235"/>
      <c r="AH8" s="246"/>
      <c r="AI8" s="623"/>
      <c r="AJ8" s="623"/>
      <c r="AK8" s="621"/>
      <c r="AL8" s="235"/>
      <c r="AM8" s="246"/>
      <c r="AN8" s="623"/>
      <c r="AO8" s="623"/>
      <c r="AP8" s="621"/>
      <c r="AQ8" s="235"/>
      <c r="AR8" s="246"/>
      <c r="AS8" s="623"/>
      <c r="AT8" s="623"/>
      <c r="AU8" s="621"/>
      <c r="AV8" s="235"/>
      <c r="AW8" s="246"/>
      <c r="AX8" s="623"/>
      <c r="AY8" s="623"/>
      <c r="AZ8" s="621"/>
      <c r="BA8" s="235"/>
      <c r="BB8" s="246"/>
      <c r="BC8" s="623"/>
      <c r="BD8" s="623"/>
      <c r="BE8" s="621"/>
      <c r="BF8" s="235"/>
      <c r="BG8" s="247"/>
      <c r="BH8" s="247"/>
      <c r="BI8" s="247"/>
      <c r="BJ8" s="247"/>
      <c r="BK8" s="235"/>
      <c r="BL8" s="247"/>
      <c r="BM8" s="247"/>
      <c r="BN8" s="247"/>
      <c r="BO8" s="247"/>
      <c r="BP8" s="235"/>
      <c r="BQ8" s="120">
        <v>14.996</v>
      </c>
      <c r="BR8" s="120">
        <v>19.466999999999999</v>
      </c>
      <c r="BS8" s="120">
        <v>23.225999999999999</v>
      </c>
      <c r="BT8" s="120">
        <v>35.564999999999998</v>
      </c>
      <c r="BU8" s="238">
        <f>SUM(BQ8:BT8)</f>
        <v>93.253999999999991</v>
      </c>
      <c r="BV8" s="120">
        <v>34.015999999999998</v>
      </c>
      <c r="BW8" s="120">
        <v>42.972999999999999</v>
      </c>
      <c r="BX8" s="120">
        <v>49.738999999999997</v>
      </c>
      <c r="BY8" s="120">
        <v>73.995999999999995</v>
      </c>
      <c r="BZ8" s="238">
        <f>SUM(BV8:BY8)</f>
        <v>200.72399999999999</v>
      </c>
      <c r="CA8" s="120">
        <v>65.299000000000007</v>
      </c>
      <c r="CB8" s="120">
        <v>80.057000000000002</v>
      </c>
      <c r="CC8" s="120">
        <v>89.021000000000001</v>
      </c>
      <c r="CD8" s="120">
        <v>128.89599999999999</v>
      </c>
      <c r="CE8" s="238">
        <f>SUM(CA8:CD8)</f>
        <v>363.27300000000002</v>
      </c>
      <c r="CF8" s="120">
        <v>114.142</v>
      </c>
      <c r="CG8" s="120">
        <v>134.24199999999999</v>
      </c>
      <c r="CH8" s="120">
        <v>149.547</v>
      </c>
      <c r="CI8" s="120">
        <v>210.30199999999999</v>
      </c>
      <c r="CJ8" s="238">
        <f>SUM(CF8:CI8)</f>
        <v>608.23299999999995</v>
      </c>
      <c r="CK8" s="120">
        <v>180.03100000000001</v>
      </c>
      <c r="CL8" s="120">
        <v>208.93199999999999</v>
      </c>
      <c r="CM8" s="120">
        <v>224.97499999999999</v>
      </c>
      <c r="CN8" s="120">
        <v>321.99400000000003</v>
      </c>
      <c r="CO8" s="238">
        <f>SUM(CK8:CN8)</f>
        <v>935.93200000000002</v>
      </c>
      <c r="CP8" s="120">
        <v>282.392</v>
      </c>
      <c r="CQ8" s="120">
        <v>517.90700000000004</v>
      </c>
      <c r="CR8" s="120">
        <v>522.13099999999997</v>
      </c>
      <c r="CS8" s="120">
        <v>698.30399999999997</v>
      </c>
      <c r="CT8" s="238">
        <f>SUM(CP8:CS8)</f>
        <v>2020.7339999999999</v>
      </c>
      <c r="CU8" s="239">
        <v>667.96600000000001</v>
      </c>
      <c r="CV8" s="239">
        <v>785.20799999999997</v>
      </c>
      <c r="CW8" s="239">
        <v>787.53200000000004</v>
      </c>
      <c r="CX8" s="239">
        <v>1028.816</v>
      </c>
      <c r="CY8" s="238">
        <f>SUM(CU8:CX8)</f>
        <v>3269.5219999999999</v>
      </c>
      <c r="CZ8" s="239">
        <v>858.86199999999997</v>
      </c>
      <c r="DA8" s="239">
        <v>928.62</v>
      </c>
      <c r="DB8" s="239">
        <v>989.899</v>
      </c>
      <c r="DC8" s="239">
        <v>1334.7239999999999</v>
      </c>
      <c r="DD8" s="238">
        <f>SUM(CZ8:DC8)</f>
        <v>4112.1049999999996</v>
      </c>
      <c r="DE8" s="239">
        <v>1126</v>
      </c>
      <c r="DF8" s="239">
        <v>1250</v>
      </c>
      <c r="DG8" s="239">
        <v>1228</v>
      </c>
      <c r="DH8" s="239">
        <v>1619</v>
      </c>
      <c r="DI8" s="238">
        <f>SUM(DE8:DH8)</f>
        <v>5223</v>
      </c>
      <c r="DJ8" s="239">
        <v>1350</v>
      </c>
      <c r="DK8" s="239">
        <v>1482</v>
      </c>
      <c r="DL8" s="239">
        <v>1552</v>
      </c>
      <c r="DM8" s="239">
        <v>2146</v>
      </c>
      <c r="DN8" s="238">
        <f>SUM(DJ8:DM8)</f>
        <v>6530</v>
      </c>
      <c r="DO8" s="239">
        <v>1740</v>
      </c>
      <c r="DP8" s="239">
        <v>2024</v>
      </c>
      <c r="DQ8" s="239">
        <v>2145</v>
      </c>
      <c r="DR8" s="239">
        <v>2895</v>
      </c>
      <c r="DS8" s="238">
        <f>SUM(DO8:DR8)</f>
        <v>8804</v>
      </c>
      <c r="DT8" s="239">
        <v>2420</v>
      </c>
      <c r="DU8" s="239">
        <v>2781</v>
      </c>
      <c r="DV8" s="109">
        <f>'Revenue Build'!DV73</f>
        <v>2848.3084500000004</v>
      </c>
      <c r="DW8" s="109">
        <f>'Revenue Build'!DW73</f>
        <v>3814.4274450000003</v>
      </c>
      <c r="DX8" s="238">
        <f>SUM(DT8:DW8)</f>
        <v>11863.735895000002</v>
      </c>
      <c r="DY8" s="109">
        <f>'Revenue Build'!DY73</f>
        <v>3136.2853120000004</v>
      </c>
      <c r="DZ8" s="109">
        <f>'Revenue Build'!DZ73</f>
        <v>3575.9010270000003</v>
      </c>
      <c r="EA8" s="109">
        <f>'Revenue Build'!EA73</f>
        <v>3605.2419000000004</v>
      </c>
      <c r="EB8" s="109">
        <f>'Revenue Build'!EB73</f>
        <v>4789.3188508800004</v>
      </c>
      <c r="EC8" s="238">
        <f>SUM(DY8:EB8)</f>
        <v>15106.747089880002</v>
      </c>
      <c r="ED8" s="109">
        <f>'Revenue Build'!ED73</f>
        <v>3809.9647488000001</v>
      </c>
      <c r="EE8" s="109">
        <f>'Revenue Build'!EE73</f>
        <v>4343.9184648</v>
      </c>
      <c r="EF8" s="109">
        <f>'Revenue Build'!EF73</f>
        <v>4380.1178850000006</v>
      </c>
      <c r="EG8" s="109">
        <f>'Revenue Build'!EG73</f>
        <v>5818.4972039520007</v>
      </c>
      <c r="EH8" s="238">
        <f>SUM(ED8:EG8)</f>
        <v>18352.498302552001</v>
      </c>
      <c r="EI8" s="109">
        <f>'Revenue Build'!EI73</f>
        <v>4531.2548697600014</v>
      </c>
      <c r="EJ8" s="109">
        <f>'Revenue Build'!EJ73</f>
        <v>5166.1879442100008</v>
      </c>
      <c r="EK8" s="109">
        <f>'Revenue Build'!EK73</f>
        <v>5209.885950750001</v>
      </c>
      <c r="EL8" s="109">
        <f>'Revenue Build'!EL73</f>
        <v>6920.528849546401</v>
      </c>
      <c r="EM8" s="238">
        <f>SUM(EI8:EL8)</f>
        <v>21827.857614266406</v>
      </c>
      <c r="EN8" s="109">
        <f>'Revenue Build'!EN73</f>
        <v>5319.5293452288015</v>
      </c>
      <c r="EO8" s="109">
        <f>'Revenue Build'!EO73</f>
        <v>6064.7951630448006</v>
      </c>
      <c r="EP8" s="109">
        <f>'Revenue Build'!EP73</f>
        <v>6116.8347284850015</v>
      </c>
      <c r="EQ8" s="109">
        <f>'Revenue Build'!EQ73</f>
        <v>8125.0152419610731</v>
      </c>
      <c r="ER8" s="238">
        <f>SUM(EN8:EQ8)</f>
        <v>25626.17447871968</v>
      </c>
      <c r="ES8" s="910">
        <f>+(EC8/DN8)^(0.333333333333333)-1</f>
        <v>0.32257180207362834</v>
      </c>
    </row>
    <row r="9" spans="1:150" ht="12" customHeight="1">
      <c r="A9" s="791" t="s">
        <v>498</v>
      </c>
      <c r="B9" s="791"/>
      <c r="C9" s="240" t="s">
        <v>129</v>
      </c>
      <c r="D9" s="241"/>
      <c r="E9" s="241"/>
      <c r="F9" s="241"/>
      <c r="G9" s="241"/>
      <c r="H9" s="241"/>
      <c r="I9" s="99"/>
      <c r="J9" s="99"/>
      <c r="K9" s="99"/>
      <c r="L9" s="99"/>
      <c r="M9" s="241"/>
      <c r="N9" s="622"/>
      <c r="O9" s="622"/>
      <c r="P9" s="622"/>
      <c r="Q9" s="622"/>
      <c r="R9" s="241"/>
      <c r="S9" s="622"/>
      <c r="T9" s="622"/>
      <c r="U9" s="622"/>
      <c r="V9" s="622"/>
      <c r="W9" s="241"/>
      <c r="X9" s="622"/>
      <c r="Y9" s="622"/>
      <c r="Z9" s="622"/>
      <c r="AA9" s="622"/>
      <c r="AB9" s="241"/>
      <c r="AC9" s="622"/>
      <c r="AD9" s="622"/>
      <c r="AE9" s="622"/>
      <c r="AF9" s="622"/>
      <c r="AG9" s="241"/>
      <c r="AH9" s="622"/>
      <c r="AI9" s="622"/>
      <c r="AJ9" s="622"/>
      <c r="AK9" s="622"/>
      <c r="AL9" s="241"/>
      <c r="AM9" s="622"/>
      <c r="AN9" s="622"/>
      <c r="AO9" s="622"/>
      <c r="AP9" s="622"/>
      <c r="AQ9" s="241"/>
      <c r="AR9" s="622"/>
      <c r="AS9" s="622"/>
      <c r="AT9" s="622"/>
      <c r="AU9" s="622"/>
      <c r="AV9" s="241"/>
      <c r="AW9" s="622"/>
      <c r="AX9" s="622"/>
      <c r="AY9" s="622"/>
      <c r="AZ9" s="622"/>
      <c r="BA9" s="241"/>
      <c r="BB9" s="622"/>
      <c r="BC9" s="622"/>
      <c r="BD9" s="622"/>
      <c r="BE9" s="622"/>
      <c r="BF9" s="241"/>
      <c r="BG9" s="242"/>
      <c r="BH9" s="242"/>
      <c r="BI9" s="242"/>
      <c r="BJ9" s="242"/>
      <c r="BK9" s="241"/>
      <c r="BL9" s="622"/>
      <c r="BM9" s="622"/>
      <c r="BN9" s="622"/>
      <c r="BO9" s="622"/>
      <c r="BP9" s="241"/>
      <c r="BQ9" s="244"/>
      <c r="BR9" s="244"/>
      <c r="BS9" s="244"/>
      <c r="BT9" s="244"/>
      <c r="BU9" s="243"/>
      <c r="BV9" s="244">
        <f t="shared" ref="BV9:DA9" si="17">+IF(BQ8&lt;=0,"nm",BV8/BQ8-1)</f>
        <v>1.2683382235262735</v>
      </c>
      <c r="BW9" s="244">
        <f t="shared" si="17"/>
        <v>1.2074793239841783</v>
      </c>
      <c r="BX9" s="244">
        <f t="shared" si="17"/>
        <v>1.141522431757513</v>
      </c>
      <c r="BY9" s="244">
        <f t="shared" si="17"/>
        <v>1.0805848446506396</v>
      </c>
      <c r="BZ9" s="243">
        <f t="shared" si="17"/>
        <v>1.152443862997834</v>
      </c>
      <c r="CA9" s="244">
        <f t="shared" si="17"/>
        <v>0.91965545625587986</v>
      </c>
      <c r="CB9" s="244">
        <f t="shared" si="17"/>
        <v>0.86296046354687839</v>
      </c>
      <c r="CC9" s="244">
        <f t="shared" si="17"/>
        <v>0.78976256056615535</v>
      </c>
      <c r="CD9" s="244">
        <f t="shared" si="17"/>
        <v>0.74193199632412554</v>
      </c>
      <c r="CE9" s="243">
        <f t="shared" si="17"/>
        <v>0.80981347521970481</v>
      </c>
      <c r="CF9" s="244">
        <f t="shared" si="17"/>
        <v>0.74799001516102837</v>
      </c>
      <c r="CG9" s="244">
        <f t="shared" si="17"/>
        <v>0.67683025844086075</v>
      </c>
      <c r="CH9" s="244">
        <f t="shared" si="17"/>
        <v>0.67990698823873008</v>
      </c>
      <c r="CI9" s="244">
        <f t="shared" si="17"/>
        <v>0.63156343098311818</v>
      </c>
      <c r="CJ9" s="243">
        <f t="shared" si="17"/>
        <v>0.67431380807271646</v>
      </c>
      <c r="CK9" s="244">
        <f t="shared" si="17"/>
        <v>0.5772546477195073</v>
      </c>
      <c r="CL9" s="244">
        <f t="shared" si="17"/>
        <v>0.55638324816376405</v>
      </c>
      <c r="CM9" s="244">
        <f t="shared" si="17"/>
        <v>0.50437655051589125</v>
      </c>
      <c r="CN9" s="244">
        <f t="shared" si="17"/>
        <v>0.53110289012943301</v>
      </c>
      <c r="CO9" s="243">
        <f t="shared" si="17"/>
        <v>0.53877214817347974</v>
      </c>
      <c r="CP9" s="244">
        <f t="shared" si="17"/>
        <v>0.56857430109258944</v>
      </c>
      <c r="CQ9" s="244">
        <f t="shared" si="17"/>
        <v>1.4788304328681106</v>
      </c>
      <c r="CR9" s="244">
        <f t="shared" si="17"/>
        <v>1.3208400933437048</v>
      </c>
      <c r="CS9" s="244">
        <f t="shared" si="17"/>
        <v>1.1686863730380068</v>
      </c>
      <c r="CT9" s="243">
        <f t="shared" si="17"/>
        <v>1.1590607009910974</v>
      </c>
      <c r="CU9" s="244">
        <f t="shared" si="17"/>
        <v>1.365385704977478</v>
      </c>
      <c r="CV9" s="244">
        <f t="shared" si="17"/>
        <v>0.51611775859372422</v>
      </c>
      <c r="CW9" s="244">
        <f t="shared" si="17"/>
        <v>0.50830347173410528</v>
      </c>
      <c r="CX9" s="245">
        <f t="shared" si="17"/>
        <v>0.47330675465126948</v>
      </c>
      <c r="CY9" s="243">
        <f t="shared" si="17"/>
        <v>0.61798732539760315</v>
      </c>
      <c r="CZ9" s="244">
        <f t="shared" si="17"/>
        <v>0.28578700113478828</v>
      </c>
      <c r="DA9" s="244">
        <f t="shared" si="17"/>
        <v>0.18264205153284241</v>
      </c>
      <c r="DB9" s="244">
        <f t="shared" ref="DB9:EC9" si="18">+IF(CW8&lt;=0,"nm",DB8/CW8-1)</f>
        <v>0.25696352656146026</v>
      </c>
      <c r="DC9" s="244">
        <f t="shared" si="18"/>
        <v>0.29733985474564917</v>
      </c>
      <c r="DD9" s="243">
        <f t="shared" si="18"/>
        <v>0.25770831332531174</v>
      </c>
      <c r="DE9" s="244">
        <f t="shared" si="18"/>
        <v>0.31103716312981611</v>
      </c>
      <c r="DF9" s="244">
        <f t="shared" si="18"/>
        <v>0.34608343563567434</v>
      </c>
      <c r="DG9" s="244">
        <f t="shared" si="18"/>
        <v>0.24053059958642242</v>
      </c>
      <c r="DH9" s="244">
        <f t="shared" si="18"/>
        <v>0.21298485679436352</v>
      </c>
      <c r="DI9" s="243">
        <f t="shared" si="18"/>
        <v>0.27015239153669479</v>
      </c>
      <c r="DJ9" s="244">
        <f t="shared" si="18"/>
        <v>0.19893428063943164</v>
      </c>
      <c r="DK9" s="244">
        <f t="shared" si="18"/>
        <v>0.18559999999999999</v>
      </c>
      <c r="DL9" s="244">
        <f t="shared" si="18"/>
        <v>0.26384364820846895</v>
      </c>
      <c r="DM9" s="244">
        <f t="shared" si="18"/>
        <v>0.32550957381099455</v>
      </c>
      <c r="DN9" s="243">
        <f t="shared" si="18"/>
        <v>0.25023932605782107</v>
      </c>
      <c r="DO9" s="244">
        <f>+IF(DJ8&lt;=0,"nm",DO8/DJ8-1)</f>
        <v>0.28888888888888897</v>
      </c>
      <c r="DP9" s="244">
        <f t="shared" si="18"/>
        <v>0.36572199730094468</v>
      </c>
      <c r="DQ9" s="244">
        <f t="shared" si="18"/>
        <v>0.38208762886597936</v>
      </c>
      <c r="DR9" s="244">
        <f>+IF(DM8&lt;=0,"nm",DR8/DM8-1)</f>
        <v>0.34902143522833184</v>
      </c>
      <c r="DS9" s="243">
        <f t="shared" si="18"/>
        <v>0.34823889739663083</v>
      </c>
      <c r="DT9" s="244">
        <f>+IF(DO8&lt;=0,"nm",DT8/DO8-1)</f>
        <v>0.39080459770114939</v>
      </c>
      <c r="DU9" s="244">
        <f t="shared" si="18"/>
        <v>0.37401185770750978</v>
      </c>
      <c r="DV9" s="244">
        <f t="shared" si="18"/>
        <v>0.32788272727272738</v>
      </c>
      <c r="DW9" s="244">
        <f t="shared" si="18"/>
        <v>0.31759151813471509</v>
      </c>
      <c r="DX9" s="243">
        <f t="shared" si="18"/>
        <v>0.34753928839164039</v>
      </c>
      <c r="DY9" s="244">
        <f t="shared" si="18"/>
        <v>0.29598566611570276</v>
      </c>
      <c r="DZ9" s="244">
        <f t="shared" si="18"/>
        <v>0.28583280366774555</v>
      </c>
      <c r="EA9" s="244">
        <f t="shared" si="18"/>
        <v>0.26574841288695406</v>
      </c>
      <c r="EB9" s="244">
        <f t="shared" si="18"/>
        <v>0.25558001035198608</v>
      </c>
      <c r="EC9" s="243">
        <f t="shared" si="18"/>
        <v>0.27335497212532989</v>
      </c>
      <c r="ED9" s="244">
        <f t="shared" ref="ED9" si="19">+IF(DY8&lt;=0,"nm",ED8/DY8-1)</f>
        <v>0.21480170640801677</v>
      </c>
      <c r="EE9" s="244">
        <f t="shared" ref="EE9" si="20">+IF(DZ8&lt;=0,"nm",EE8/DZ8-1)</f>
        <v>0.21477592136948132</v>
      </c>
      <c r="EF9" s="244">
        <f t="shared" ref="EF9" si="21">+IF(EA8&lt;=0,"nm",EF8/EA8-1)</f>
        <v>0.21493037263324832</v>
      </c>
      <c r="EG9" s="244">
        <f t="shared" ref="EG9" si="22">+IF(EB8&lt;=0,"nm",EG8/EB8-1)</f>
        <v>0.2148903393397783</v>
      </c>
      <c r="EH9" s="243">
        <f t="shared" ref="EH9" si="23">+IF(EC8&lt;=0,"nm",EH8/EC8-1)</f>
        <v>0.2148544086533577</v>
      </c>
      <c r="EI9" s="244">
        <f t="shared" ref="EI9" si="24">+IF(ED8&lt;=0,"nm",EI8/ED8-1)</f>
        <v>0.1893167439901331</v>
      </c>
      <c r="EJ9" s="244">
        <f t="shared" ref="EJ9" si="25">+IF(EE8&lt;=0,"nm",EJ8/EE8-1)</f>
        <v>0.18929210713163314</v>
      </c>
      <c r="EK9" s="244">
        <f t="shared" ref="EK9" si="26">+IF(EF8&lt;=0,"nm",EK8/EF8-1)</f>
        <v>0.18943966521805167</v>
      </c>
      <c r="EL9" s="244">
        <f t="shared" ref="EL9" si="27">+IF(EG8&lt;=0,"nm",EL8/EG8-1)</f>
        <v>0.18940142221704348</v>
      </c>
      <c r="EM9" s="243">
        <f t="shared" ref="EM9" si="28">+IF(EH8&lt;=0,"nm",EM8/EH8-1)</f>
        <v>0.18936709620788461</v>
      </c>
      <c r="EN9" s="244">
        <f t="shared" ref="EN9" si="29">+IF(EI8&lt;=0,"nm",EN8/EI8-1)</f>
        <v>0.17396383521250725</v>
      </c>
      <c r="EO9" s="244">
        <f t="shared" ref="EO9" si="30">+IF(EJ8&lt;=0,"nm",EO8/EJ8-1)</f>
        <v>0.17394009442531266</v>
      </c>
      <c r="EP9" s="244">
        <f t="shared" ref="EP9" si="31">+IF(EK8&lt;=0,"nm",EP8/EK8-1)</f>
        <v>0.17408227095728246</v>
      </c>
      <c r="EQ9" s="244">
        <f t="shared" ref="EQ9" si="32">+IF(EL8&lt;=0,"nm",EQ8/EL8-1)</f>
        <v>0.17404542609393481</v>
      </c>
      <c r="ER9" s="243">
        <f t="shared" ref="ER9" si="33">+IF(EM8&lt;=0,"nm",ER8/EM8-1)</f>
        <v>0.17401235300209872</v>
      </c>
      <c r="ES9" s="244"/>
    </row>
    <row r="10" spans="1:150" s="254" customFormat="1" ht="12" customHeight="1">
      <c r="A10" s="791" t="s">
        <v>393</v>
      </c>
      <c r="B10" s="791"/>
      <c r="C10" s="248" t="s">
        <v>98</v>
      </c>
      <c r="D10" s="249"/>
      <c r="E10" s="249"/>
      <c r="F10" s="249"/>
      <c r="G10" s="249"/>
      <c r="H10" s="249"/>
      <c r="I10" s="250"/>
      <c r="J10" s="250"/>
      <c r="K10" s="250"/>
      <c r="L10" s="250"/>
      <c r="M10" s="249"/>
      <c r="N10" s="250"/>
      <c r="O10" s="250"/>
      <c r="P10" s="250"/>
      <c r="Q10" s="250"/>
      <c r="R10" s="249"/>
      <c r="S10" s="250"/>
      <c r="T10" s="250"/>
      <c r="U10" s="250"/>
      <c r="V10" s="250"/>
      <c r="W10" s="249"/>
      <c r="X10" s="250"/>
      <c r="Y10" s="250"/>
      <c r="Z10" s="250"/>
      <c r="AA10" s="250"/>
      <c r="AB10" s="249"/>
      <c r="AC10" s="250"/>
      <c r="AD10" s="250"/>
      <c r="AE10" s="250"/>
      <c r="AF10" s="250"/>
      <c r="AG10" s="249"/>
      <c r="AH10" s="250"/>
      <c r="AI10" s="250"/>
      <c r="AJ10" s="250"/>
      <c r="AK10" s="250"/>
      <c r="AL10" s="249"/>
      <c r="AM10" s="250"/>
      <c r="AN10" s="250"/>
      <c r="AO10" s="250"/>
      <c r="AP10" s="250"/>
      <c r="AQ10" s="249"/>
      <c r="AR10" s="250"/>
      <c r="AS10" s="250"/>
      <c r="AT10" s="250"/>
      <c r="AU10" s="250"/>
      <c r="AV10" s="249"/>
      <c r="AW10" s="250"/>
      <c r="AX10" s="250"/>
      <c r="AY10" s="250"/>
      <c r="AZ10" s="250"/>
      <c r="BA10" s="249"/>
      <c r="BB10" s="250"/>
      <c r="BC10" s="250"/>
      <c r="BD10" s="250"/>
      <c r="BE10" s="250"/>
      <c r="BF10" s="249"/>
      <c r="BG10" s="250"/>
      <c r="BH10" s="250"/>
      <c r="BI10" s="250"/>
      <c r="BJ10" s="250"/>
      <c r="BK10" s="249"/>
      <c r="BL10" s="250"/>
      <c r="BM10" s="250"/>
      <c r="BN10" s="250"/>
      <c r="BO10" s="250"/>
      <c r="BP10" s="249"/>
      <c r="BQ10" s="251">
        <f>BQ6+BQ8</f>
        <v>37.347999999999999</v>
      </c>
      <c r="BR10" s="251">
        <f>BR6+BR8</f>
        <v>44.926000000000002</v>
      </c>
      <c r="BS10" s="251">
        <f>BS6+BS8</f>
        <v>52.786000000000001</v>
      </c>
      <c r="BT10" s="251">
        <f>BT6+BT8</f>
        <v>70.173000000000002</v>
      </c>
      <c r="BU10" s="252">
        <f>SUM(BQ10:BT10)</f>
        <v>205.233</v>
      </c>
      <c r="BV10" s="251">
        <f>BV6+BV8</f>
        <v>72.722000000000008</v>
      </c>
      <c r="BW10" s="251">
        <f>BW6+BW8</f>
        <v>86.646999999999991</v>
      </c>
      <c r="BX10" s="251">
        <f>BX6+BX8</f>
        <v>99.578000000000003</v>
      </c>
      <c r="BY10" s="251">
        <f>BY6+BY8</f>
        <v>130.38299999999998</v>
      </c>
      <c r="BZ10" s="252">
        <f>SUM(BV10:BY10)</f>
        <v>389.33</v>
      </c>
      <c r="CA10" s="251">
        <f>CA6+CA8</f>
        <v>127.379</v>
      </c>
      <c r="CB10" s="251">
        <f>CB6+CB8</f>
        <v>151.655</v>
      </c>
      <c r="CC10" s="251">
        <f>CC6+CC8</f>
        <v>171.45600000000002</v>
      </c>
      <c r="CD10" s="251">
        <f>CD6+CD8</f>
        <v>222.81399999999999</v>
      </c>
      <c r="CE10" s="252">
        <f>SUM(CA10:CD10)</f>
        <v>673.30399999999997</v>
      </c>
      <c r="CF10" s="251">
        <f>CF6+CF8</f>
        <v>214.33999999999997</v>
      </c>
      <c r="CG10" s="251">
        <f>CG6+CG8</f>
        <v>244.96299999999999</v>
      </c>
      <c r="CH10" s="251">
        <f>CH6+CH8</f>
        <v>270.06399999999996</v>
      </c>
      <c r="CI10" s="251">
        <f>CI6+CI8</f>
        <v>343.86199999999997</v>
      </c>
      <c r="CJ10" s="252">
        <f>SUM(CF10:CI10)</f>
        <v>1073.2289999999998</v>
      </c>
      <c r="CK10" s="251">
        <f>CK6+CK8</f>
        <v>320.48199999999997</v>
      </c>
      <c r="CL10" s="251">
        <f>CL6+CL8</f>
        <v>361.97899999999998</v>
      </c>
      <c r="CM10" s="251">
        <f>CM6+CM8</f>
        <v>390.55200000000002</v>
      </c>
      <c r="CN10" s="251">
        <f>CN6+CN8</f>
        <v>505.16</v>
      </c>
      <c r="CO10" s="252">
        <f>SUM(CK10:CN10)</f>
        <v>1578.173</v>
      </c>
      <c r="CP10" s="251">
        <f>CP6+CP8</f>
        <v>470.00099999999998</v>
      </c>
      <c r="CQ10" s="251">
        <f>CQ6+CQ8</f>
        <v>714.34100000000001</v>
      </c>
      <c r="CR10" s="251">
        <f>CR6+CR8</f>
        <v>767.40499999999997</v>
      </c>
      <c r="CS10" s="251">
        <f>CS6+CS8</f>
        <v>977.74399999999991</v>
      </c>
      <c r="CT10" s="252">
        <f>SUM(CP10:CS10)</f>
        <v>2929.491</v>
      </c>
      <c r="CU10" s="251">
        <f>CU6+CU8</f>
        <v>988.64699999999993</v>
      </c>
      <c r="CV10" s="251">
        <f>CV6+CV8</f>
        <v>1119.4449999999999</v>
      </c>
      <c r="CW10" s="251">
        <f>CW6+CW8</f>
        <v>1123.74</v>
      </c>
      <c r="CX10" s="251">
        <f>CX6+CX8</f>
        <v>1380.0240000000001</v>
      </c>
      <c r="CY10" s="252">
        <f>SUM(CU10:CX10)</f>
        <v>4611.8559999999998</v>
      </c>
      <c r="CZ10" s="251">
        <f>CZ6+CZ8</f>
        <v>1203.623</v>
      </c>
      <c r="DA10" s="251">
        <f>DA6+DA8</f>
        <v>1295.0630000000001</v>
      </c>
      <c r="DB10" s="251">
        <f>DB6+DB8</f>
        <v>1366.2</v>
      </c>
      <c r="DC10" s="251">
        <f>DC6+DC8</f>
        <v>1734.9780000000001</v>
      </c>
      <c r="DD10" s="252">
        <f>SUM(CZ10:DC10)</f>
        <v>5599.8640000000005</v>
      </c>
      <c r="DE10" s="251">
        <f>DE6+DE8</f>
        <v>1508</v>
      </c>
      <c r="DF10" s="251">
        <f>DF6+DF8</f>
        <v>1694</v>
      </c>
      <c r="DG10" s="251">
        <f>DG6+DG8</f>
        <v>1714</v>
      </c>
      <c r="DH10" s="251">
        <f>DH6+DH8</f>
        <v>2144</v>
      </c>
      <c r="DI10" s="252">
        <f>SUM(DE10:DH10)</f>
        <v>7060</v>
      </c>
      <c r="DJ10" s="251">
        <f>DJ6+DJ8</f>
        <v>1861</v>
      </c>
      <c r="DK10" s="251">
        <f>DK6+DK8</f>
        <v>2045</v>
      </c>
      <c r="DL10" s="251">
        <f>DL6+DL8</f>
        <v>2162</v>
      </c>
      <c r="DM10" s="251">
        <f>DM6+DM8</f>
        <v>2812</v>
      </c>
      <c r="DN10" s="252">
        <f>SUM(DJ10:DM10)</f>
        <v>8880</v>
      </c>
      <c r="DO10" s="251">
        <f>DO6+DO8</f>
        <v>2360</v>
      </c>
      <c r="DP10" s="251">
        <f>DP6+DP8</f>
        <v>2680</v>
      </c>
      <c r="DQ10" s="251">
        <f>DQ6+DQ8</f>
        <v>2844</v>
      </c>
      <c r="DR10" s="1429">
        <f>DR6+DR8</f>
        <v>3672</v>
      </c>
      <c r="DS10" s="252">
        <f>SUM(DO10:DR10)</f>
        <v>11556</v>
      </c>
      <c r="DT10" s="251">
        <f>DT6+DT8</f>
        <v>3170</v>
      </c>
      <c r="DU10" s="251">
        <f>DU6+DU8</f>
        <v>3583</v>
      </c>
      <c r="DV10" s="251">
        <f>DV6+DV8</f>
        <v>3708.9235770421878</v>
      </c>
      <c r="DW10" s="251">
        <f>DW6+DW8</f>
        <v>4749.7619467274999</v>
      </c>
      <c r="DX10" s="252">
        <f>SUM(DT10:DW10)</f>
        <v>15211.685523769687</v>
      </c>
      <c r="DY10" s="251">
        <f>DY6+DY8</f>
        <v>4035.1215649375008</v>
      </c>
      <c r="DZ10" s="251">
        <f>DZ6+DZ8</f>
        <v>4541.7451572134005</v>
      </c>
      <c r="EA10" s="251">
        <f>EA6+EA8</f>
        <v>4641.6759010306196</v>
      </c>
      <c r="EB10" s="251">
        <f>EB6+EB8</f>
        <v>5915.7369784106504</v>
      </c>
      <c r="EC10" s="252">
        <f>SUM(DY10:EB10)</f>
        <v>19134.27960159217</v>
      </c>
      <c r="ED10" s="251">
        <f>ED6+ED8</f>
        <v>4877.1061895107905</v>
      </c>
      <c r="EE10" s="251">
        <f>EE6+EE8</f>
        <v>5485.0483787334051</v>
      </c>
      <c r="EF10" s="251">
        <f>EF6+EF8</f>
        <v>5598.7043163702683</v>
      </c>
      <c r="EG10" s="251">
        <f>EG6+EG8</f>
        <v>7136.4533443181272</v>
      </c>
      <c r="EH10" s="252">
        <f>SUM(ED10:EG10)</f>
        <v>23097.312228932591</v>
      </c>
      <c r="EI10" s="251">
        <f>EI6+EI8</f>
        <v>5779.8548168393081</v>
      </c>
      <c r="EJ10" s="251">
        <f>EJ6+EJ8</f>
        <v>6501.3574876201383</v>
      </c>
      <c r="EK10" s="251">
        <f>EK6+EK8</f>
        <v>6635.6828467144514</v>
      </c>
      <c r="EL10" s="251">
        <f>EL6+EL8</f>
        <v>8462.5924451817737</v>
      </c>
      <c r="EM10" s="252">
        <f>SUM(EI10:EL10)</f>
        <v>27379.487596355673</v>
      </c>
      <c r="EN10" s="251">
        <f>EN6+EN8</f>
        <v>6780.4433050578218</v>
      </c>
      <c r="EO10" s="251">
        <f>EO6+EO8</f>
        <v>7626.9991574219666</v>
      </c>
      <c r="EP10" s="251">
        <f>EP6+EP8</f>
        <v>7785.0765012543943</v>
      </c>
      <c r="EQ10" s="251">
        <f>EQ6+EQ8</f>
        <v>9929.2938974884855</v>
      </c>
      <c r="ER10" s="252">
        <f>SUM(EN10:EQ10)</f>
        <v>32121.812861222668</v>
      </c>
      <c r="ES10" s="910">
        <f>+(EC10/DN10)^(0.333333333333333)-1</f>
        <v>0.29161491085620916</v>
      </c>
      <c r="ET10" s="133"/>
    </row>
    <row r="11" spans="1:150" ht="12" customHeight="1">
      <c r="A11" s="792" t="s">
        <v>394</v>
      </c>
      <c r="B11" s="792"/>
      <c r="C11" s="1388" t="s">
        <v>129</v>
      </c>
      <c r="D11" s="350"/>
      <c r="E11" s="350"/>
      <c r="F11" s="350"/>
      <c r="G11" s="350"/>
      <c r="H11" s="350"/>
      <c r="I11" s="351"/>
      <c r="J11" s="351"/>
      <c r="K11" s="351"/>
      <c r="L11" s="351"/>
      <c r="M11" s="350"/>
      <c r="N11" s="634"/>
      <c r="O11" s="634"/>
      <c r="P11" s="634"/>
      <c r="Q11" s="634"/>
      <c r="R11" s="350"/>
      <c r="S11" s="634"/>
      <c r="T11" s="634"/>
      <c r="U11" s="634"/>
      <c r="V11" s="634"/>
      <c r="W11" s="350"/>
      <c r="X11" s="634"/>
      <c r="Y11" s="634"/>
      <c r="Z11" s="634"/>
      <c r="AA11" s="634"/>
      <c r="AB11" s="350"/>
      <c r="AC11" s="634"/>
      <c r="AD11" s="634"/>
      <c r="AE11" s="634"/>
      <c r="AF11" s="634"/>
      <c r="AG11" s="350"/>
      <c r="AH11" s="634"/>
      <c r="AI11" s="634"/>
      <c r="AJ11" s="634"/>
      <c r="AK11" s="634"/>
      <c r="AL11" s="350"/>
      <c r="AM11" s="634"/>
      <c r="AN11" s="634"/>
      <c r="AO11" s="634"/>
      <c r="AP11" s="634"/>
      <c r="AQ11" s="350"/>
      <c r="AR11" s="634"/>
      <c r="AS11" s="634"/>
      <c r="AT11" s="634"/>
      <c r="AU11" s="634"/>
      <c r="AV11" s="350"/>
      <c r="AW11" s="634"/>
      <c r="AX11" s="634"/>
      <c r="AY11" s="634"/>
      <c r="AZ11" s="634"/>
      <c r="BA11" s="350"/>
      <c r="BB11" s="634"/>
      <c r="BC11" s="634"/>
      <c r="BD11" s="634"/>
      <c r="BE11" s="634"/>
      <c r="BF11" s="350"/>
      <c r="BG11" s="579"/>
      <c r="BH11" s="579"/>
      <c r="BI11" s="579"/>
      <c r="BJ11" s="579"/>
      <c r="BK11" s="350"/>
      <c r="BL11" s="634"/>
      <c r="BM11" s="634"/>
      <c r="BN11" s="634"/>
      <c r="BO11" s="634"/>
      <c r="BP11" s="350"/>
      <c r="BQ11" s="353"/>
      <c r="BR11" s="353"/>
      <c r="BS11" s="353"/>
      <c r="BT11" s="353"/>
      <c r="BU11" s="352"/>
      <c r="BV11" s="353">
        <f t="shared" ref="BV11:DA11" si="34">+IF(BQ10&lt;=0,"nm",BV10/BQ10-1)</f>
        <v>0.94714576416407859</v>
      </c>
      <c r="BW11" s="353">
        <f t="shared" si="34"/>
        <v>0.92866046387392576</v>
      </c>
      <c r="BX11" s="353">
        <f t="shared" si="34"/>
        <v>0.88644716402076318</v>
      </c>
      <c r="BY11" s="353">
        <f t="shared" si="34"/>
        <v>0.8580223162754903</v>
      </c>
      <c r="BZ11" s="352">
        <f t="shared" si="34"/>
        <v>0.89701461265975735</v>
      </c>
      <c r="CA11" s="353">
        <f t="shared" si="34"/>
        <v>0.75158824014741055</v>
      </c>
      <c r="CB11" s="353">
        <f t="shared" si="34"/>
        <v>0.7502625595808281</v>
      </c>
      <c r="CC11" s="353">
        <f t="shared" si="34"/>
        <v>0.72182610616802911</v>
      </c>
      <c r="CD11" s="353">
        <f t="shared" si="34"/>
        <v>0.70891910755236509</v>
      </c>
      <c r="CE11" s="352">
        <f t="shared" si="34"/>
        <v>0.72939151876300312</v>
      </c>
      <c r="CF11" s="353">
        <f t="shared" si="34"/>
        <v>0.68269494971698608</v>
      </c>
      <c r="CG11" s="353">
        <f t="shared" si="34"/>
        <v>0.61526491048761978</v>
      </c>
      <c r="CH11" s="353">
        <f t="shared" si="34"/>
        <v>0.57512131392310528</v>
      </c>
      <c r="CI11" s="353">
        <f t="shared" si="34"/>
        <v>0.54326927392354141</v>
      </c>
      <c r="CJ11" s="352">
        <f t="shared" si="34"/>
        <v>0.59397389589249405</v>
      </c>
      <c r="CK11" s="353">
        <f t="shared" si="34"/>
        <v>0.49520388168330687</v>
      </c>
      <c r="CL11" s="353">
        <f t="shared" si="34"/>
        <v>0.47768846723790936</v>
      </c>
      <c r="CM11" s="353">
        <f t="shared" si="34"/>
        <v>0.44614609870253008</v>
      </c>
      <c r="CN11" s="353">
        <f t="shared" si="34"/>
        <v>0.46907771140748356</v>
      </c>
      <c r="CO11" s="352">
        <f t="shared" si="34"/>
        <v>0.47049045450691351</v>
      </c>
      <c r="CP11" s="353">
        <f t="shared" si="34"/>
        <v>0.46654414288477986</v>
      </c>
      <c r="CQ11" s="353">
        <f t="shared" si="34"/>
        <v>0.97343216042919622</v>
      </c>
      <c r="CR11" s="353">
        <f t="shared" si="34"/>
        <v>0.96492400499805386</v>
      </c>
      <c r="CS11" s="353">
        <f t="shared" si="34"/>
        <v>0.93551350067305372</v>
      </c>
      <c r="CT11" s="352">
        <f t="shared" si="34"/>
        <v>0.856254669164914</v>
      </c>
      <c r="CU11" s="353">
        <f t="shared" si="34"/>
        <v>1.1034997797877026</v>
      </c>
      <c r="CV11" s="353">
        <f t="shared" si="34"/>
        <v>0.56710170632793022</v>
      </c>
      <c r="CW11" s="353">
        <f t="shared" si="34"/>
        <v>0.46433760530619428</v>
      </c>
      <c r="CX11" s="354">
        <f t="shared" si="34"/>
        <v>0.4114369405488556</v>
      </c>
      <c r="CY11" s="352">
        <f t="shared" si="34"/>
        <v>0.57428577182862139</v>
      </c>
      <c r="CZ11" s="353">
        <f t="shared" si="34"/>
        <v>0.2174446491012465</v>
      </c>
      <c r="DA11" s="353">
        <f t="shared" si="34"/>
        <v>0.15687952512182401</v>
      </c>
      <c r="DB11" s="353">
        <f t="shared" ref="DB11:EC11" si="35">+IF(CW10&lt;=0,"nm",DB10/CW10-1)</f>
        <v>0.2157616530514177</v>
      </c>
      <c r="DC11" s="353">
        <f t="shared" si="35"/>
        <v>0.25720857028573407</v>
      </c>
      <c r="DD11" s="352">
        <f t="shared" si="35"/>
        <v>0.21423218764853047</v>
      </c>
      <c r="DE11" s="353">
        <f t="shared" si="35"/>
        <v>0.25288400105348607</v>
      </c>
      <c r="DF11" s="353">
        <f t="shared" si="35"/>
        <v>0.30804447351209929</v>
      </c>
      <c r="DG11" s="353">
        <f t="shared" si="35"/>
        <v>0.25457473283560228</v>
      </c>
      <c r="DH11" s="353">
        <f t="shared" si="35"/>
        <v>0.2357505397762969</v>
      </c>
      <c r="DI11" s="352">
        <f t="shared" si="35"/>
        <v>0.26074490380480664</v>
      </c>
      <c r="DJ11" s="353">
        <f t="shared" si="35"/>
        <v>0.23408488063660471</v>
      </c>
      <c r="DK11" s="353">
        <f t="shared" si="35"/>
        <v>0.20720188902007086</v>
      </c>
      <c r="DL11" s="353">
        <f t="shared" si="35"/>
        <v>0.26137689614935833</v>
      </c>
      <c r="DM11" s="353">
        <f t="shared" si="35"/>
        <v>0.31156716417910446</v>
      </c>
      <c r="DN11" s="352">
        <f t="shared" si="35"/>
        <v>0.25779036827195467</v>
      </c>
      <c r="DO11" s="353">
        <f>+IF(DJ10&lt;=0,"nm",DO10/DJ10-1)</f>
        <v>0.26813541106931749</v>
      </c>
      <c r="DP11" s="353">
        <f t="shared" si="35"/>
        <v>0.31051344743276288</v>
      </c>
      <c r="DQ11" s="353">
        <f t="shared" si="35"/>
        <v>0.31544865864939875</v>
      </c>
      <c r="DR11" s="354">
        <f>+IF(DM10&lt;=0,"nm",DR10/DM10-1)</f>
        <v>0.30583214793741109</v>
      </c>
      <c r="DS11" s="352">
        <f>+IF(DN10&lt;=0,"nm",DS10/DN10-1)</f>
        <v>0.30135135135135127</v>
      </c>
      <c r="DT11" s="353">
        <f>+IF(DO10&lt;=0,"nm",DT10/DO10-1)</f>
        <v>0.34322033898305082</v>
      </c>
      <c r="DU11" s="353">
        <f t="shared" si="35"/>
        <v>0.33694029850746277</v>
      </c>
      <c r="DV11" s="353">
        <f t="shared" si="35"/>
        <v>0.30412221414985519</v>
      </c>
      <c r="DW11" s="353">
        <f t="shared" si="35"/>
        <v>0.29350815542687902</v>
      </c>
      <c r="DX11" s="352">
        <f t="shared" si="35"/>
        <v>0.31634523397107017</v>
      </c>
      <c r="DY11" s="353">
        <f t="shared" si="35"/>
        <v>0.27290901102129372</v>
      </c>
      <c r="DZ11" s="353">
        <f t="shared" si="35"/>
        <v>0.26758167937856547</v>
      </c>
      <c r="EA11" s="353">
        <f t="shared" si="35"/>
        <v>0.25148868792068457</v>
      </c>
      <c r="EB11" s="353">
        <f t="shared" si="35"/>
        <v>0.24548073035249396</v>
      </c>
      <c r="EC11" s="352">
        <f t="shared" si="35"/>
        <v>0.25786715559515483</v>
      </c>
      <c r="ED11" s="353">
        <f t="shared" ref="ED11" si="36">+IF(DY10&lt;=0,"nm",ED10/DY10-1)</f>
        <v>0.20866400454686951</v>
      </c>
      <c r="EE11" s="353">
        <f t="shared" ref="EE11" si="37">+IF(DZ10&lt;=0,"nm",EE10/DZ10-1)</f>
        <v>0.20769620242161957</v>
      </c>
      <c r="EF11" s="353">
        <f t="shared" ref="EF11" si="38">+IF(EA10&lt;=0,"nm",EF10/EA10-1)</f>
        <v>0.20618165415796352</v>
      </c>
      <c r="EG11" s="353">
        <f t="shared" ref="EG11" si="39">+IF(EB10&lt;=0,"nm",EG10/EB10-1)</f>
        <v>0.20635068299392856</v>
      </c>
      <c r="EH11" s="352">
        <f t="shared" ref="EH11" si="40">+IF(EC10&lt;=0,"nm",EH10/EC10-1)</f>
        <v>0.20711689751887263</v>
      </c>
      <c r="EI11" s="353">
        <f t="shared" ref="EI11" si="41">+IF(ED10&lt;=0,"nm",EI10/ED10-1)</f>
        <v>0.18509923554054697</v>
      </c>
      <c r="EJ11" s="353">
        <f t="shared" ref="EJ11" si="42">+IF(EE10&lt;=0,"nm",EJ10/EE10-1)</f>
        <v>0.18528717318650467</v>
      </c>
      <c r="EK11" s="353">
        <f t="shared" ref="EK11" si="43">+IF(EF10&lt;=0,"nm",EK10/EF10-1)</f>
        <v>0.18521759174031049</v>
      </c>
      <c r="EL11" s="353">
        <f t="shared" ref="EL11" si="44">+IF(EG10&lt;=0,"nm",EL10/EG10-1)</f>
        <v>0.18582607310387411</v>
      </c>
      <c r="EM11" s="352">
        <f t="shared" ref="EM11" si="45">+IF(EH10&lt;=0,"nm",EM10/EH10-1)</f>
        <v>0.18539712867798808</v>
      </c>
      <c r="EN11" s="353">
        <f t="shared" ref="EN11" si="46">+IF(EI10&lt;=0,"nm",EN10/EI10-1)</f>
        <v>0.17311654356842165</v>
      </c>
      <c r="EO11" s="353">
        <f t="shared" ref="EO11" si="47">+IF(EJ10&lt;=0,"nm",EO10/EJ10-1)</f>
        <v>0.1731394823227721</v>
      </c>
      <c r="EP11" s="353">
        <f t="shared" ref="EP11" si="48">+IF(EK10&lt;=0,"nm",EP10/EK10-1)</f>
        <v>0.17321407322971227</v>
      </c>
      <c r="EQ11" s="353">
        <f t="shared" ref="EQ11" si="49">+IF(EL10&lt;=0,"nm",EQ10/EL10-1)</f>
        <v>0.1733158558453074</v>
      </c>
      <c r="ER11" s="352">
        <f t="shared" ref="ER11" si="50">+IF(EM10&lt;=0,"nm",ER10/EM10-1)</f>
        <v>0.1732072321725342</v>
      </c>
      <c r="ES11" s="244"/>
    </row>
    <row r="12" spans="1:150" s="253" customFormat="1" ht="12" customHeight="1">
      <c r="A12" s="792"/>
      <c r="B12" s="792"/>
      <c r="C12" s="265" t="s">
        <v>208</v>
      </c>
      <c r="D12" s="255"/>
      <c r="E12" s="255"/>
      <c r="F12" s="255"/>
      <c r="G12" s="255"/>
      <c r="H12" s="255"/>
      <c r="I12" s="256"/>
      <c r="J12" s="256"/>
      <c r="K12" s="256"/>
      <c r="L12" s="256"/>
      <c r="M12" s="255"/>
      <c r="N12" s="256"/>
      <c r="O12" s="256"/>
      <c r="P12" s="256"/>
      <c r="Q12" s="256"/>
      <c r="R12" s="255"/>
      <c r="S12" s="256"/>
      <c r="T12" s="256"/>
      <c r="U12" s="256"/>
      <c r="V12" s="256"/>
      <c r="W12" s="255"/>
      <c r="X12" s="256"/>
      <c r="Y12" s="256"/>
      <c r="Z12" s="256"/>
      <c r="AA12" s="256"/>
      <c r="AB12" s="255"/>
      <c r="AC12" s="256"/>
      <c r="AD12" s="256"/>
      <c r="AE12" s="256"/>
      <c r="AF12" s="256"/>
      <c r="AG12" s="255"/>
      <c r="AH12" s="256"/>
      <c r="AI12" s="256"/>
      <c r="AJ12" s="256"/>
      <c r="AK12" s="256"/>
      <c r="AL12" s="255"/>
      <c r="AM12" s="256"/>
      <c r="AN12" s="256"/>
      <c r="AO12" s="256"/>
      <c r="AP12" s="256"/>
      <c r="AQ12" s="255"/>
      <c r="AR12" s="256"/>
      <c r="AS12" s="256"/>
      <c r="AT12" s="256"/>
      <c r="AU12" s="256"/>
      <c r="AV12" s="255"/>
      <c r="AW12" s="256"/>
      <c r="AX12" s="256"/>
      <c r="AY12" s="256"/>
      <c r="AZ12" s="256"/>
      <c r="BA12" s="255"/>
      <c r="BB12" s="256"/>
      <c r="BC12" s="256"/>
      <c r="BD12" s="256"/>
      <c r="BE12" s="256"/>
      <c r="BF12" s="255"/>
      <c r="BG12" s="256"/>
      <c r="BH12" s="256"/>
      <c r="BI12" s="256"/>
      <c r="BJ12" s="256"/>
      <c r="BK12" s="255"/>
      <c r="BL12" s="256"/>
      <c r="BM12" s="256"/>
      <c r="BN12" s="256"/>
      <c r="BO12" s="256"/>
      <c r="BP12" s="255"/>
      <c r="BQ12" s="239">
        <v>-5.0330000000000004</v>
      </c>
      <c r="BR12" s="239">
        <v>-5.4219999999999997</v>
      </c>
      <c r="BS12" s="239">
        <v>-6.4139999999999997</v>
      </c>
      <c r="BT12" s="239">
        <v>-7.6619999999999999</v>
      </c>
      <c r="BU12" s="257">
        <f>SUM(BQ12:BT12)</f>
        <v>-24.530999999999999</v>
      </c>
      <c r="BV12" s="239">
        <v>-8.2319999999999993</v>
      </c>
      <c r="BW12" s="239">
        <v>-9.0980000000000008</v>
      </c>
      <c r="BX12" s="239">
        <v>-10.555</v>
      </c>
      <c r="BY12" s="239">
        <v>-11.593</v>
      </c>
      <c r="BZ12" s="257">
        <f>SUM(BV12:BY12)</f>
        <v>-39.477999999999994</v>
      </c>
      <c r="CA12" s="239">
        <v>-12.254</v>
      </c>
      <c r="CB12" s="239">
        <v>-13.688000000000001</v>
      </c>
      <c r="CC12" s="239">
        <v>-15.458</v>
      </c>
      <c r="CD12" s="239">
        <v>-19.867000000000001</v>
      </c>
      <c r="CE12" s="257">
        <f>SUM(CA12:CD12)</f>
        <v>-61.266999999999996</v>
      </c>
      <c r="CF12" s="239">
        <v>-23.16</v>
      </c>
      <c r="CG12" s="239">
        <v>-24.524000000000001</v>
      </c>
      <c r="CH12" s="239">
        <v>-26.6</v>
      </c>
      <c r="CI12" s="239">
        <v>-26.706</v>
      </c>
      <c r="CJ12" s="257">
        <f>SUM(CF12:CI12)</f>
        <v>-100.99</v>
      </c>
      <c r="CK12" s="239">
        <v>-27.984999999999999</v>
      </c>
      <c r="CL12" s="239">
        <v>-29.538</v>
      </c>
      <c r="CM12" s="239">
        <v>-33.262999999999998</v>
      </c>
      <c r="CN12" s="239">
        <v>-37.369</v>
      </c>
      <c r="CO12" s="257">
        <f>SUM(CK12:CN12)</f>
        <v>-128.155</v>
      </c>
      <c r="CP12" s="239">
        <v>-37.712000000000003</v>
      </c>
      <c r="CQ12" s="239">
        <v>-44.4</v>
      </c>
      <c r="CR12" s="239">
        <v>-52.17</v>
      </c>
      <c r="CS12" s="239">
        <v>-59.25</v>
      </c>
      <c r="CT12" s="257">
        <f>SUM(CP12:CS12)</f>
        <v>-193.53199999999998</v>
      </c>
      <c r="CU12" s="239">
        <v>-58.381999999999998</v>
      </c>
      <c r="CV12" s="239">
        <v>-63.027000000000001</v>
      </c>
      <c r="CW12" s="239">
        <v>-67.355000000000004</v>
      </c>
      <c r="CX12" s="239">
        <v>-75.587000000000003</v>
      </c>
      <c r="CY12" s="257">
        <f>SUM(CU12:CX12)</f>
        <v>-264.351</v>
      </c>
      <c r="CZ12" s="239">
        <v>-77.545000000000002</v>
      </c>
      <c r="DA12" s="239">
        <v>-85.238</v>
      </c>
      <c r="DB12" s="239">
        <v>-82.313000000000002</v>
      </c>
      <c r="DC12" s="239">
        <v>-85.771000000000001</v>
      </c>
      <c r="DD12" s="257">
        <f>SUM(CZ12:DC12)</f>
        <v>-330.86700000000002</v>
      </c>
      <c r="DE12" s="239">
        <v>-84</v>
      </c>
      <c r="DF12" s="239">
        <v>-85</v>
      </c>
      <c r="DG12" s="239">
        <v>-88</v>
      </c>
      <c r="DH12" s="239">
        <v>-97</v>
      </c>
      <c r="DI12" s="257">
        <f>SUM(DE12:DH12)</f>
        <v>-354</v>
      </c>
      <c r="DJ12" s="239">
        <v>-95</v>
      </c>
      <c r="DK12" s="259">
        <v>-97</v>
      </c>
      <c r="DL12" s="259">
        <v>-108</v>
      </c>
      <c r="DM12" s="259">
        <v>-134</v>
      </c>
      <c r="DN12" s="257">
        <f>SUM(DJ12:DM12)</f>
        <v>-434</v>
      </c>
      <c r="DO12" s="239">
        <v>-123</v>
      </c>
      <c r="DP12" s="259">
        <v>-121</v>
      </c>
      <c r="DQ12" s="259">
        <v>-128</v>
      </c>
      <c r="DR12" s="239">
        <v>-148</v>
      </c>
      <c r="DS12" s="257">
        <f>SUM(DO12:DR12)</f>
        <v>-520</v>
      </c>
      <c r="DT12" s="239">
        <v>-148</v>
      </c>
      <c r="DU12" s="259">
        <v>-163</v>
      </c>
      <c r="DV12" s="120">
        <f>-DV6*DV13</f>
        <v>-158.88568129056324</v>
      </c>
      <c r="DW12" s="120">
        <f>-DW6*DW13</f>
        <v>-179.56195446259122</v>
      </c>
      <c r="DX12" s="257">
        <f>SUM(DT12:DW12)</f>
        <v>-649.44763575315449</v>
      </c>
      <c r="DY12" s="120">
        <f>-DY6*DY13</f>
        <v>-178.71860829240629</v>
      </c>
      <c r="DZ12" s="120">
        <f>-DZ6*DZ13</f>
        <v>-197.26583568231342</v>
      </c>
      <c r="EA12" s="120">
        <f>-EA6*EA13</f>
        <v>-192.38157446168844</v>
      </c>
      <c r="EB12" s="120">
        <f>-EB6*EB13</f>
        <v>-217.37187913418853</v>
      </c>
      <c r="EC12" s="257">
        <f>SUM(DY12:EB12)</f>
        <v>-785.73789757059672</v>
      </c>
      <c r="ED12" s="120">
        <f>-ED6*ED13</f>
        <v>-213.2504312353729</v>
      </c>
      <c r="EE12" s="120">
        <f>-EE6*EE13</f>
        <v>-234.20766627567852</v>
      </c>
      <c r="EF12" s="120">
        <f>-EF6*EF13</f>
        <v>-227.41106569347872</v>
      </c>
      <c r="EG12" s="120">
        <f>-EG6*EG13</f>
        <v>-255.65211132292461</v>
      </c>
      <c r="EH12" s="257">
        <f>SUM(ED12:EG12)</f>
        <v>-930.52127452745469</v>
      </c>
      <c r="EI12" s="120">
        <f>-EI6*EI13</f>
        <v>-250.76048937176068</v>
      </c>
      <c r="EJ12" s="120">
        <f>-EJ6*EJ13</f>
        <v>-275.36789712879954</v>
      </c>
      <c r="EK12" s="120">
        <f>-EK6*EK13</f>
        <v>-267.50621862618868</v>
      </c>
      <c r="EL12" s="120">
        <f>-EL6*EL13</f>
        <v>-300.66568534900142</v>
      </c>
      <c r="EM12" s="257">
        <f>SUM(EI12:EL12)</f>
        <v>-1094.3002904757504</v>
      </c>
      <c r="EN12" s="120">
        <f>-EN6*EN13</f>
        <v>-294.86113422549062</v>
      </c>
      <c r="EO12" s="120">
        <f>-EO6*EO13</f>
        <v>-323.75411658034909</v>
      </c>
      <c r="EP12" s="120">
        <f>-EP6*EP13</f>
        <v>-314.66166296122208</v>
      </c>
      <c r="EQ12" s="120">
        <f>-EQ6*EQ13</f>
        <v>-353.59565746776508</v>
      </c>
      <c r="ER12" s="257">
        <f>SUM(EN12:EQ12)</f>
        <v>-1286.8725712348269</v>
      </c>
      <c r="ES12" s="1408" t="s">
        <v>758</v>
      </c>
      <c r="ET12" s="133"/>
    </row>
    <row r="13" spans="1:150" s="253" customFormat="1" ht="12" customHeight="1">
      <c r="A13" s="792"/>
      <c r="B13" s="792"/>
      <c r="C13" s="343" t="s">
        <v>238</v>
      </c>
      <c r="D13" s="255"/>
      <c r="E13" s="255"/>
      <c r="F13" s="255"/>
      <c r="G13" s="255"/>
      <c r="H13" s="255"/>
      <c r="I13" s="256"/>
      <c r="J13" s="256"/>
      <c r="K13" s="256"/>
      <c r="L13" s="256"/>
      <c r="M13" s="255"/>
      <c r="N13" s="256"/>
      <c r="O13" s="256"/>
      <c r="P13" s="256"/>
      <c r="Q13" s="256"/>
      <c r="R13" s="255"/>
      <c r="S13" s="256"/>
      <c r="T13" s="256"/>
      <c r="U13" s="256"/>
      <c r="V13" s="256"/>
      <c r="W13" s="255"/>
      <c r="X13" s="256"/>
      <c r="Y13" s="256"/>
      <c r="Z13" s="256"/>
      <c r="AA13" s="256"/>
      <c r="AB13" s="255"/>
      <c r="AC13" s="256"/>
      <c r="AD13" s="256"/>
      <c r="AE13" s="256"/>
      <c r="AF13" s="256"/>
      <c r="AG13" s="255"/>
      <c r="AH13" s="256"/>
      <c r="AI13" s="256"/>
      <c r="AJ13" s="256"/>
      <c r="AK13" s="256"/>
      <c r="AL13" s="255"/>
      <c r="AM13" s="256"/>
      <c r="AN13" s="256"/>
      <c r="AO13" s="256"/>
      <c r="AP13" s="256"/>
      <c r="AQ13" s="255"/>
      <c r="AR13" s="256"/>
      <c r="AS13" s="256"/>
      <c r="AT13" s="256"/>
      <c r="AU13" s="256"/>
      <c r="AV13" s="255"/>
      <c r="AW13" s="256"/>
      <c r="AX13" s="256"/>
      <c r="AY13" s="256"/>
      <c r="AZ13" s="256"/>
      <c r="BA13" s="255"/>
      <c r="BB13" s="256"/>
      <c r="BC13" s="256"/>
      <c r="BD13" s="256"/>
      <c r="BE13" s="256"/>
      <c r="BF13" s="255"/>
      <c r="BG13" s="256"/>
      <c r="BH13" s="256"/>
      <c r="BI13" s="256"/>
      <c r="BJ13" s="256"/>
      <c r="BK13" s="255"/>
      <c r="BL13" s="256"/>
      <c r="BM13" s="256"/>
      <c r="BN13" s="256"/>
      <c r="BO13" s="256"/>
      <c r="BP13" s="255"/>
      <c r="BQ13" s="624">
        <f t="shared" ref="BQ13:CV13" si="51">-BQ12/BQ6</f>
        <v>0.22517000715819616</v>
      </c>
      <c r="BR13" s="624">
        <f t="shared" si="51"/>
        <v>0.21296987312934521</v>
      </c>
      <c r="BS13" s="624">
        <f t="shared" si="51"/>
        <v>0.21698240866035182</v>
      </c>
      <c r="BT13" s="624">
        <f t="shared" si="51"/>
        <v>0.22139389736477116</v>
      </c>
      <c r="BU13" s="501">
        <f t="shared" si="51"/>
        <v>0.21906786093821165</v>
      </c>
      <c r="BV13" s="624">
        <f t="shared" si="51"/>
        <v>0.21268020461943882</v>
      </c>
      <c r="BW13" s="624">
        <f t="shared" si="51"/>
        <v>0.20831616064477723</v>
      </c>
      <c r="BX13" s="624">
        <f t="shared" si="51"/>
        <v>0.21178193783984431</v>
      </c>
      <c r="BY13" s="624">
        <f t="shared" si="51"/>
        <v>0.20559703477751964</v>
      </c>
      <c r="BZ13" s="501">
        <f t="shared" si="51"/>
        <v>0.20931465594943954</v>
      </c>
      <c r="CA13" s="624">
        <f t="shared" si="51"/>
        <v>0.19739046391752577</v>
      </c>
      <c r="CB13" s="624">
        <f t="shared" si="51"/>
        <v>0.19117852453979162</v>
      </c>
      <c r="CC13" s="624">
        <f t="shared" si="51"/>
        <v>0.18751743798143991</v>
      </c>
      <c r="CD13" s="624">
        <f t="shared" si="51"/>
        <v>0.21153559488064055</v>
      </c>
      <c r="CE13" s="501">
        <f t="shared" si="51"/>
        <v>0.19761572229873786</v>
      </c>
      <c r="CF13" s="624">
        <f t="shared" si="51"/>
        <v>0.23114233817042257</v>
      </c>
      <c r="CG13" s="624">
        <f t="shared" si="51"/>
        <v>0.22149366425520001</v>
      </c>
      <c r="CH13" s="624">
        <f t="shared" si="51"/>
        <v>0.22071574964527829</v>
      </c>
      <c r="CI13" s="624">
        <f t="shared" si="51"/>
        <v>0.19995507637017071</v>
      </c>
      <c r="CJ13" s="501">
        <f t="shared" si="51"/>
        <v>0.21718466395409852</v>
      </c>
      <c r="CK13" s="624">
        <f t="shared" si="51"/>
        <v>0.19925098432905428</v>
      </c>
      <c r="CL13" s="624">
        <f t="shared" si="51"/>
        <v>0.19299953609022066</v>
      </c>
      <c r="CM13" s="624">
        <f t="shared" si="51"/>
        <v>0.20089142815729236</v>
      </c>
      <c r="CN13" s="624">
        <f t="shared" si="51"/>
        <v>0.20401712108142342</v>
      </c>
      <c r="CO13" s="501">
        <f t="shared" si="51"/>
        <v>0.19954347355587701</v>
      </c>
      <c r="CP13" s="624">
        <f t="shared" si="51"/>
        <v>0.20101381063808241</v>
      </c>
      <c r="CQ13" s="624">
        <f t="shared" si="51"/>
        <v>0.22603011698585784</v>
      </c>
      <c r="CR13" s="624">
        <f t="shared" si="51"/>
        <v>0.21270089777147191</v>
      </c>
      <c r="CS13" s="624">
        <f t="shared" si="51"/>
        <v>0.21203120526767821</v>
      </c>
      <c r="CT13" s="501">
        <f t="shared" si="51"/>
        <v>0.21296342146470396</v>
      </c>
      <c r="CU13" s="624">
        <f t="shared" si="51"/>
        <v>0.18205631141227577</v>
      </c>
      <c r="CV13" s="624">
        <f t="shared" si="51"/>
        <v>0.18856978730661175</v>
      </c>
      <c r="CW13" s="624">
        <f t="shared" ref="CW13:DP13" si="52">-CW12/CW6</f>
        <v>0.20033729120068527</v>
      </c>
      <c r="CX13" s="624">
        <f t="shared" si="52"/>
        <v>0.21522004054577343</v>
      </c>
      <c r="CY13" s="501">
        <f t="shared" si="52"/>
        <v>0.19693384805867986</v>
      </c>
      <c r="CZ13" s="624">
        <f t="shared" si="52"/>
        <v>0.22492393281142586</v>
      </c>
      <c r="DA13" s="624">
        <f t="shared" si="52"/>
        <v>0.23260916431750642</v>
      </c>
      <c r="DB13" s="624">
        <f t="shared" si="52"/>
        <v>0.21874244288481828</v>
      </c>
      <c r="DC13" s="624">
        <f t="shared" si="52"/>
        <v>0.21429142494515982</v>
      </c>
      <c r="DD13" s="501">
        <f t="shared" si="52"/>
        <v>0.22239287411469197</v>
      </c>
      <c r="DE13" s="624">
        <f t="shared" si="52"/>
        <v>0.21989528795811519</v>
      </c>
      <c r="DF13" s="624">
        <f t="shared" si="52"/>
        <v>0.19144144144144143</v>
      </c>
      <c r="DG13" s="624">
        <f t="shared" si="52"/>
        <v>0.18106995884773663</v>
      </c>
      <c r="DH13" s="624">
        <f t="shared" si="52"/>
        <v>0.18476190476190477</v>
      </c>
      <c r="DI13" s="501">
        <f t="shared" si="52"/>
        <v>0.19270549809471965</v>
      </c>
      <c r="DJ13" s="624">
        <f t="shared" si="52"/>
        <v>0.18590998043052837</v>
      </c>
      <c r="DK13" s="624">
        <f t="shared" si="52"/>
        <v>0.17229129662522202</v>
      </c>
      <c r="DL13" s="624">
        <f t="shared" si="52"/>
        <v>0.17704918032786884</v>
      </c>
      <c r="DM13" s="624">
        <f t="shared" si="52"/>
        <v>0.20120120120120119</v>
      </c>
      <c r="DN13" s="501">
        <f t="shared" si="52"/>
        <v>0.18468085106382978</v>
      </c>
      <c r="DO13" s="624">
        <f t="shared" si="52"/>
        <v>0.19838709677419356</v>
      </c>
      <c r="DP13" s="624">
        <f t="shared" si="52"/>
        <v>0.18445121951219512</v>
      </c>
      <c r="DQ13" s="624">
        <f t="shared" ref="DQ13" si="53">-DQ12/DQ6</f>
        <v>0.18311874105865522</v>
      </c>
      <c r="DR13" s="359">
        <f>-DR12/DR6</f>
        <v>0.19047619047619047</v>
      </c>
      <c r="DS13" s="501">
        <f>-DS12/DS6</f>
        <v>0.18895348837209303</v>
      </c>
      <c r="DT13" s="624">
        <f t="shared" ref="DT13:DU13" si="54">-DT12/DT6</f>
        <v>0.19733333333333333</v>
      </c>
      <c r="DU13" s="624">
        <f t="shared" si="54"/>
        <v>0.20324189526184538</v>
      </c>
      <c r="DV13" s="624">
        <f>+DQ13+(DV14/10000)</f>
        <v>0.18461874105865522</v>
      </c>
      <c r="DW13" s="624">
        <f>+DR13+(DW14/10000)</f>
        <v>0.19197619047619047</v>
      </c>
      <c r="DX13" s="501">
        <f>-DX12/DX6</f>
        <v>0.19398369383227998</v>
      </c>
      <c r="DY13" s="624">
        <f>+DT13+(DY14/10000)</f>
        <v>0.19883333333333333</v>
      </c>
      <c r="DZ13" s="624">
        <f>+DU13+(DZ14/10000)</f>
        <v>0.20424189526184539</v>
      </c>
      <c r="EA13" s="624">
        <f>+DV13+(EA14/10000)</f>
        <v>0.18561874105865522</v>
      </c>
      <c r="EB13" s="624">
        <f>+DW13+(EB14/10000)</f>
        <v>0.19297619047619047</v>
      </c>
      <c r="EC13" s="501">
        <f>-EC12/EC6</f>
        <v>0.19509163372006322</v>
      </c>
      <c r="ED13" s="624">
        <f>+DY13+(ED14/10000)</f>
        <v>0.19983333333333334</v>
      </c>
      <c r="EE13" s="624">
        <f>+DZ13+(EE14/10000)</f>
        <v>0.20524189526184539</v>
      </c>
      <c r="EF13" s="624">
        <f>+EA13+(EF14/10000)</f>
        <v>0.18661874105865522</v>
      </c>
      <c r="EG13" s="624">
        <f>+EB13+(EG14/10000)</f>
        <v>0.19397619047619047</v>
      </c>
      <c r="EH13" s="501">
        <f>-EH12/EH6</f>
        <v>0.1961133332023558</v>
      </c>
      <c r="EI13" s="624">
        <f>+ED13+(EI14/10000)</f>
        <v>0.20083333333333334</v>
      </c>
      <c r="EJ13" s="624">
        <f>+EE13+(EJ14/10000)</f>
        <v>0.20624189526184539</v>
      </c>
      <c r="EK13" s="624">
        <f>+EF13+(EK14/10000)</f>
        <v>0.18761874105865523</v>
      </c>
      <c r="EL13" s="624">
        <f>+EG13+(EL14/10000)</f>
        <v>0.19497619047619047</v>
      </c>
      <c r="EM13" s="501">
        <f>-EM12/EM6</f>
        <v>0.19711333320235583</v>
      </c>
      <c r="EN13" s="624">
        <f>+EI13+(EN14/10000)</f>
        <v>0.20183333333333334</v>
      </c>
      <c r="EO13" s="624">
        <f>+EJ13+(EO14/10000)</f>
        <v>0.20724189526184539</v>
      </c>
      <c r="EP13" s="624">
        <f>+EK13+(EP14/10000)</f>
        <v>0.18861874105865523</v>
      </c>
      <c r="EQ13" s="624">
        <f>+EL13+(EQ14/10000)</f>
        <v>0.19597619047619047</v>
      </c>
      <c r="ER13" s="501">
        <f>-ER12/ER6</f>
        <v>0.19811333320235583</v>
      </c>
      <c r="ES13" s="359"/>
      <c r="ET13" s="133"/>
    </row>
    <row r="14" spans="1:150" s="19" customFormat="1" ht="12" customHeight="1">
      <c r="A14" s="792"/>
      <c r="B14" s="792"/>
      <c r="C14" s="942" t="s">
        <v>580</v>
      </c>
      <c r="D14" s="628"/>
      <c r="E14" s="628"/>
      <c r="F14" s="628"/>
      <c r="G14" s="628"/>
      <c r="H14" s="628"/>
      <c r="I14" s="622"/>
      <c r="J14" s="622"/>
      <c r="K14" s="622"/>
      <c r="L14" s="622"/>
      <c r="M14" s="628"/>
      <c r="N14" s="622"/>
      <c r="O14" s="622"/>
      <c r="P14" s="622"/>
      <c r="Q14" s="622"/>
      <c r="R14" s="628"/>
      <c r="S14" s="622"/>
      <c r="T14" s="622"/>
      <c r="U14" s="622"/>
      <c r="V14" s="622"/>
      <c r="W14" s="628"/>
      <c r="X14" s="622"/>
      <c r="Y14" s="622"/>
      <c r="Z14" s="622"/>
      <c r="AA14" s="622"/>
      <c r="AB14" s="628"/>
      <c r="AC14" s="622"/>
      <c r="AD14" s="622"/>
      <c r="AE14" s="622"/>
      <c r="AF14" s="622"/>
      <c r="AG14" s="628"/>
      <c r="AH14" s="622"/>
      <c r="AI14" s="622"/>
      <c r="AJ14" s="622"/>
      <c r="AK14" s="622"/>
      <c r="AL14" s="628"/>
      <c r="AM14" s="622"/>
      <c r="AN14" s="622"/>
      <c r="AO14" s="622"/>
      <c r="AP14" s="622"/>
      <c r="AQ14" s="628"/>
      <c r="AR14" s="622"/>
      <c r="AS14" s="622"/>
      <c r="AT14" s="622"/>
      <c r="AU14" s="622"/>
      <c r="AV14" s="628"/>
      <c r="AW14" s="622"/>
      <c r="AX14" s="622"/>
      <c r="AY14" s="622"/>
      <c r="AZ14" s="622"/>
      <c r="BA14" s="628"/>
      <c r="BB14" s="622"/>
      <c r="BC14" s="622"/>
      <c r="BD14" s="622"/>
      <c r="BE14" s="622"/>
      <c r="BF14" s="628"/>
      <c r="BG14" s="622"/>
      <c r="BH14" s="622"/>
      <c r="BI14" s="622"/>
      <c r="BJ14" s="622"/>
      <c r="BK14" s="628"/>
      <c r="BL14" s="622"/>
      <c r="BM14" s="622"/>
      <c r="BN14" s="622"/>
      <c r="BO14" s="622"/>
      <c r="BP14" s="628"/>
      <c r="BQ14" s="244"/>
      <c r="BR14" s="244"/>
      <c r="BS14" s="244"/>
      <c r="BT14" s="244"/>
      <c r="BU14" s="243"/>
      <c r="BV14" s="943">
        <f t="shared" ref="BV14:DQ14" si="55">+(BV13-BQ13)*10000</f>
        <v>-124.89802538757338</v>
      </c>
      <c r="BW14" s="943">
        <f t="shared" si="55"/>
        <v>-46.537124845679735</v>
      </c>
      <c r="BX14" s="943">
        <f t="shared" si="55"/>
        <v>-52.004708205075076</v>
      </c>
      <c r="BY14" s="943">
        <f t="shared" si="55"/>
        <v>-157.96862587251519</v>
      </c>
      <c r="BZ14" s="944">
        <f t="shared" si="55"/>
        <v>-97.532049887721072</v>
      </c>
      <c r="CA14" s="943">
        <f t="shared" si="55"/>
        <v>-152.89740701913053</v>
      </c>
      <c r="CB14" s="943">
        <f t="shared" si="55"/>
        <v>-171.37636104985614</v>
      </c>
      <c r="CC14" s="943">
        <f t="shared" si="55"/>
        <v>-242.64499858404398</v>
      </c>
      <c r="CD14" s="943">
        <f t="shared" si="55"/>
        <v>59.385601031209099</v>
      </c>
      <c r="CE14" s="944">
        <f t="shared" si="55"/>
        <v>-116.98933650701682</v>
      </c>
      <c r="CF14" s="943">
        <f t="shared" si="55"/>
        <v>337.518742528968</v>
      </c>
      <c r="CG14" s="943">
        <f t="shared" si="55"/>
        <v>303.1513971540839</v>
      </c>
      <c r="CH14" s="943">
        <f t="shared" si="55"/>
        <v>331.98311663838382</v>
      </c>
      <c r="CI14" s="943">
        <f t="shared" si="55"/>
        <v>-115.80518510469845</v>
      </c>
      <c r="CJ14" s="944">
        <f t="shared" si="55"/>
        <v>195.68941655360661</v>
      </c>
      <c r="CK14" s="943">
        <f t="shared" si="55"/>
        <v>-318.91353841368294</v>
      </c>
      <c r="CL14" s="943">
        <f t="shared" si="55"/>
        <v>-284.94128164979344</v>
      </c>
      <c r="CM14" s="943">
        <f t="shared" si="55"/>
        <v>-198.24321487985935</v>
      </c>
      <c r="CN14" s="943">
        <f t="shared" si="55"/>
        <v>40.620447112527103</v>
      </c>
      <c r="CO14" s="944">
        <f t="shared" si="55"/>
        <v>-176.41190398221514</v>
      </c>
      <c r="CP14" s="943">
        <f t="shared" si="55"/>
        <v>17.628263090281315</v>
      </c>
      <c r="CQ14" s="943">
        <f t="shared" si="55"/>
        <v>330.30580895637178</v>
      </c>
      <c r="CR14" s="943">
        <f t="shared" si="55"/>
        <v>118.09469614179558</v>
      </c>
      <c r="CS14" s="943">
        <f t="shared" si="55"/>
        <v>80.140841862547944</v>
      </c>
      <c r="CT14" s="944">
        <f t="shared" si="55"/>
        <v>134.19947908826947</v>
      </c>
      <c r="CU14" s="943">
        <f t="shared" si="55"/>
        <v>-189.5749922580664</v>
      </c>
      <c r="CV14" s="943">
        <f t="shared" si="55"/>
        <v>-374.60329679246092</v>
      </c>
      <c r="CW14" s="943">
        <f t="shared" si="55"/>
        <v>-123.63606570786639</v>
      </c>
      <c r="CX14" s="943">
        <f t="shared" si="55"/>
        <v>31.888352780952147</v>
      </c>
      <c r="CY14" s="944">
        <f t="shared" si="55"/>
        <v>-160.29573406024096</v>
      </c>
      <c r="CZ14" s="943">
        <f t="shared" si="55"/>
        <v>428.67621399150096</v>
      </c>
      <c r="DA14" s="943">
        <f t="shared" si="55"/>
        <v>440.39377010894663</v>
      </c>
      <c r="DB14" s="943">
        <f t="shared" si="55"/>
        <v>184.05151684133008</v>
      </c>
      <c r="DC14" s="943">
        <f t="shared" si="55"/>
        <v>-9.2861560061360819</v>
      </c>
      <c r="DD14" s="944">
        <f t="shared" si="55"/>
        <v>254.59026056012107</v>
      </c>
      <c r="DE14" s="943">
        <f t="shared" si="55"/>
        <v>-50.286448533106707</v>
      </c>
      <c r="DF14" s="943">
        <f t="shared" si="55"/>
        <v>-411.67722876064988</v>
      </c>
      <c r="DG14" s="943">
        <f t="shared" si="55"/>
        <v>-376.72484037081648</v>
      </c>
      <c r="DH14" s="943">
        <f t="shared" si="55"/>
        <v>-295.29520183255056</v>
      </c>
      <c r="DI14" s="944">
        <f t="shared" si="55"/>
        <v>-296.87376019972316</v>
      </c>
      <c r="DJ14" s="943">
        <f t="shared" si="55"/>
        <v>-339.85307527586826</v>
      </c>
      <c r="DK14" s="943">
        <f t="shared" si="55"/>
        <v>-191.50144816219407</v>
      </c>
      <c r="DL14" s="943">
        <f t="shared" si="55"/>
        <v>-40.207785198677904</v>
      </c>
      <c r="DM14" s="943">
        <f t="shared" si="55"/>
        <v>164.39296439296425</v>
      </c>
      <c r="DN14" s="944">
        <f t="shared" si="55"/>
        <v>-80.246470308898694</v>
      </c>
      <c r="DO14" s="1274">
        <f>+(DO13-DJ13)*10000</f>
        <v>124.7711634366519</v>
      </c>
      <c r="DP14" s="943">
        <f t="shared" si="55"/>
        <v>121.59922886973095</v>
      </c>
      <c r="DQ14" s="943">
        <f t="shared" si="55"/>
        <v>60.695607307863774</v>
      </c>
      <c r="DR14" s="1524">
        <f>+(DR13-DM13)*10000</f>
        <v>-107.25010725010725</v>
      </c>
      <c r="DS14" s="944">
        <f>+(DS13-DN13)*10000</f>
        <v>42.726373082632442</v>
      </c>
      <c r="DT14" s="1274">
        <f>+(DT13-DO13)*10000</f>
        <v>-10.537634408602226</v>
      </c>
      <c r="DU14" s="943">
        <f t="shared" ref="DU14" si="56">+(DU13-DP13)*10000</f>
        <v>187.90675749650265</v>
      </c>
      <c r="DV14" s="945">
        <v>15</v>
      </c>
      <c r="DW14" s="945">
        <v>15</v>
      </c>
      <c r="DX14" s="944">
        <f>+(DX13-DS13)*10000</f>
        <v>50.302054601869543</v>
      </c>
      <c r="DY14" s="945">
        <v>15</v>
      </c>
      <c r="DZ14" s="945">
        <v>10</v>
      </c>
      <c r="EA14" s="945">
        <v>10</v>
      </c>
      <c r="EB14" s="945">
        <v>10</v>
      </c>
      <c r="EC14" s="944">
        <f>+(EC13-DX13)*10000</f>
        <v>11.07939887783238</v>
      </c>
      <c r="ED14" s="945">
        <v>10</v>
      </c>
      <c r="EE14" s="945">
        <v>10</v>
      </c>
      <c r="EF14" s="945">
        <v>10</v>
      </c>
      <c r="EG14" s="945">
        <v>10</v>
      </c>
      <c r="EH14" s="944">
        <f>+(EH13-EC13)*10000</f>
        <v>10.216994822925818</v>
      </c>
      <c r="EI14" s="945">
        <v>10</v>
      </c>
      <c r="EJ14" s="945">
        <v>10</v>
      </c>
      <c r="EK14" s="945">
        <v>10</v>
      </c>
      <c r="EL14" s="945">
        <v>10</v>
      </c>
      <c r="EM14" s="944">
        <f>+(EM13-EH13)*10000</f>
        <v>10.000000000000286</v>
      </c>
      <c r="EN14" s="945">
        <v>10</v>
      </c>
      <c r="EO14" s="945">
        <v>10</v>
      </c>
      <c r="EP14" s="945">
        <v>10</v>
      </c>
      <c r="EQ14" s="945">
        <v>10</v>
      </c>
      <c r="ER14" s="944">
        <f>+(ER13-EM13)*10000</f>
        <v>10.000000000000009</v>
      </c>
      <c r="ES14" s="244"/>
      <c r="ET14" s="267"/>
    </row>
    <row r="15" spans="1:150" s="253" customFormat="1" ht="12" customHeight="1">
      <c r="A15" s="792"/>
      <c r="B15" s="792"/>
      <c r="C15" s="265" t="s">
        <v>209</v>
      </c>
      <c r="D15" s="255"/>
      <c r="E15" s="255"/>
      <c r="F15" s="255"/>
      <c r="G15" s="255"/>
      <c r="H15" s="255"/>
      <c r="I15" s="256"/>
      <c r="J15" s="256"/>
      <c r="K15" s="256"/>
      <c r="L15" s="256"/>
      <c r="M15" s="255"/>
      <c r="N15" s="256"/>
      <c r="O15" s="256"/>
      <c r="P15" s="256"/>
      <c r="Q15" s="256"/>
      <c r="R15" s="255"/>
      <c r="S15" s="256"/>
      <c r="T15" s="256"/>
      <c r="U15" s="256"/>
      <c r="V15" s="256"/>
      <c r="W15" s="255"/>
      <c r="X15" s="256"/>
      <c r="Y15" s="256"/>
      <c r="Z15" s="256"/>
      <c r="AA15" s="256"/>
      <c r="AB15" s="255"/>
      <c r="AC15" s="256"/>
      <c r="AD15" s="256"/>
      <c r="AE15" s="256"/>
      <c r="AF15" s="256"/>
      <c r="AG15" s="255"/>
      <c r="AH15" s="256"/>
      <c r="AI15" s="256"/>
      <c r="AJ15" s="256"/>
      <c r="AK15" s="256"/>
      <c r="AL15" s="255"/>
      <c r="AM15" s="256"/>
      <c r="AN15" s="256"/>
      <c r="AO15" s="256"/>
      <c r="AP15" s="256"/>
      <c r="AQ15" s="255"/>
      <c r="AR15" s="256"/>
      <c r="AS15" s="256"/>
      <c r="AT15" s="256"/>
      <c r="AU15" s="256"/>
      <c r="AV15" s="255"/>
      <c r="AW15" s="256"/>
      <c r="AX15" s="256"/>
      <c r="AY15" s="256"/>
      <c r="AZ15" s="256"/>
      <c r="BA15" s="255"/>
      <c r="BB15" s="256"/>
      <c r="BC15" s="256"/>
      <c r="BD15" s="256"/>
      <c r="BE15" s="256"/>
      <c r="BF15" s="255"/>
      <c r="BG15" s="256"/>
      <c r="BH15" s="256"/>
      <c r="BI15" s="256"/>
      <c r="BJ15" s="256"/>
      <c r="BK15" s="255"/>
      <c r="BL15" s="256"/>
      <c r="BM15" s="256"/>
      <c r="BN15" s="256"/>
      <c r="BO15" s="256"/>
      <c r="BP15" s="255"/>
      <c r="BQ15" s="239">
        <v>-10.749000000000001</v>
      </c>
      <c r="BR15" s="239">
        <v>-14.252000000000001</v>
      </c>
      <c r="BS15" s="239">
        <v>-17.629000000000001</v>
      </c>
      <c r="BT15" s="239">
        <v>-26.044</v>
      </c>
      <c r="BU15" s="257">
        <f>SUM(BQ15:BT15)</f>
        <v>-68.674000000000007</v>
      </c>
      <c r="BV15" s="239">
        <v>-24.405000000000001</v>
      </c>
      <c r="BW15" s="239">
        <v>-30.026</v>
      </c>
      <c r="BX15" s="239">
        <v>-35.271000000000001</v>
      </c>
      <c r="BY15" s="239">
        <v>-50.655000000000001</v>
      </c>
      <c r="BZ15" s="257">
        <f>SUM(BV15:BY15)</f>
        <v>-140.357</v>
      </c>
      <c r="CA15" s="239">
        <v>-42.884</v>
      </c>
      <c r="CB15" s="239">
        <v>-51.127000000000002</v>
      </c>
      <c r="CC15" s="239">
        <v>-55.970999999999997</v>
      </c>
      <c r="CD15" s="239">
        <v>-81.802000000000007</v>
      </c>
      <c r="CE15" s="257">
        <f>SUM(CA15:CD15)</f>
        <v>-231.78399999999999</v>
      </c>
      <c r="CF15" s="239">
        <v>-67.337999999999994</v>
      </c>
      <c r="CG15" s="239">
        <v>-83.483999999999995</v>
      </c>
      <c r="CH15" s="239">
        <v>-93.736999999999995</v>
      </c>
      <c r="CI15" s="239">
        <v>-131.41300000000001</v>
      </c>
      <c r="CJ15" s="257">
        <f>SUM(CF15:CI15)</f>
        <v>-375.97199999999998</v>
      </c>
      <c r="CK15" s="239">
        <v>-112.206</v>
      </c>
      <c r="CL15" s="239">
        <v>-127.676</v>
      </c>
      <c r="CM15" s="239">
        <v>-140.59299999999999</v>
      </c>
      <c r="CN15" s="239">
        <v>-203.9</v>
      </c>
      <c r="CO15" s="257">
        <f>SUM(CK15:CN15)</f>
        <v>-584.375</v>
      </c>
      <c r="CP15" s="239">
        <v>-175.339</v>
      </c>
      <c r="CQ15" s="239">
        <v>-294.90699999999998</v>
      </c>
      <c r="CR15" s="239">
        <v>-310.08699999999999</v>
      </c>
      <c r="CS15" s="239">
        <v>-414.10599999999999</v>
      </c>
      <c r="CT15" s="257">
        <f>SUM(CP15:CS15)</f>
        <v>-1194.4389999999999</v>
      </c>
      <c r="CU15" s="239">
        <v>-371.54899999999998</v>
      </c>
      <c r="CV15" s="239">
        <v>-435.55799999999999</v>
      </c>
      <c r="CW15" s="239">
        <v>-447.476</v>
      </c>
      <c r="CX15" s="239">
        <v>-611.77800000000002</v>
      </c>
      <c r="CY15" s="257">
        <f>SUM(CU15:CX15)</f>
        <v>-1866.3610000000001</v>
      </c>
      <c r="CZ15" s="239">
        <v>-488.44099999999997</v>
      </c>
      <c r="DA15" s="239">
        <v>-554.18299999999999</v>
      </c>
      <c r="DB15" s="239">
        <v>-621.55499999999995</v>
      </c>
      <c r="DC15" s="239">
        <v>-850.69899999999996</v>
      </c>
      <c r="DD15" s="257">
        <f>SUM(CZ15:DC15)</f>
        <v>-2514.8780000000002</v>
      </c>
      <c r="DE15" s="239">
        <v>-707</v>
      </c>
      <c r="DF15" s="239">
        <v>-774</v>
      </c>
      <c r="DG15" s="239">
        <v>-725</v>
      </c>
      <c r="DH15" s="239">
        <v>-985</v>
      </c>
      <c r="DI15" s="257">
        <f>SUM(DE15:DH15)</f>
        <v>-3191</v>
      </c>
      <c r="DJ15" s="239">
        <v>-809</v>
      </c>
      <c r="DK15" s="259">
        <v>-903</v>
      </c>
      <c r="DL15" s="259">
        <v>-936</v>
      </c>
      <c r="DM15" s="259">
        <v>-1326</v>
      </c>
      <c r="DN15" s="257">
        <f>SUM(DJ15:DM15)</f>
        <v>-3974</v>
      </c>
      <c r="DO15" s="239">
        <v>-1068</v>
      </c>
      <c r="DP15" s="259">
        <v>-1257</v>
      </c>
      <c r="DQ15" s="259">
        <v>-1325</v>
      </c>
      <c r="DR15" s="239">
        <v>-1831</v>
      </c>
      <c r="DS15" s="257">
        <f>SUM(DO15:DR15)</f>
        <v>-5481</v>
      </c>
      <c r="DT15" s="239">
        <v>-1476</v>
      </c>
      <c r="DU15" s="259">
        <v>-1712</v>
      </c>
      <c r="DV15" s="120">
        <f>-DV8*DV16</f>
        <v>-1753.7479967363638</v>
      </c>
      <c r="DW15" s="120">
        <f>-DW8*DW16</f>
        <v>-2404.8812148146635</v>
      </c>
      <c r="DX15" s="257">
        <f>SUM(DT15:DW15)</f>
        <v>-7346.6292115510269</v>
      </c>
      <c r="DY15" s="120">
        <f>-DY8*DY16</f>
        <v>-1911.3067005307773</v>
      </c>
      <c r="DZ15" s="120">
        <f>-DZ8*DZ16</f>
        <v>-2199.5578093656809</v>
      </c>
      <c r="EA15" s="120">
        <f>-EA8*EA16</f>
        <v>-2218.0011225227277</v>
      </c>
      <c r="EB15" s="120">
        <f>-EB8*EB16</f>
        <v>-3017.1261211668525</v>
      </c>
      <c r="EC15" s="257">
        <f>SUM(DY15:EB15)</f>
        <v>-9345.9917535860368</v>
      </c>
      <c r="ED15" s="120">
        <f>-ED8*ED16</f>
        <v>-2319.9536588994652</v>
      </c>
      <c r="EE15" s="120">
        <f>-EE8*EE16</f>
        <v>-2669.7979052452329</v>
      </c>
      <c r="EF15" s="120">
        <f>-EF8*EF16</f>
        <v>-2692.5268713450005</v>
      </c>
      <c r="EG15" s="120">
        <f>-EG8*EG16</f>
        <v>-3662.5681285733308</v>
      </c>
      <c r="EH15" s="257">
        <f>SUM(ED15:EG15)</f>
        <v>-11344.846564063029</v>
      </c>
      <c r="EI15" s="120">
        <f>-EI8*EI16</f>
        <v>-2756.8941043754276</v>
      </c>
      <c r="EJ15" s="120">
        <f>-EJ8*EJ16</f>
        <v>-3172.5864823726188</v>
      </c>
      <c r="EK15" s="120">
        <f>-EK8*EK16</f>
        <v>-3199.9933174678308</v>
      </c>
      <c r="EL15" s="120">
        <f>-EL8*EL16</f>
        <v>-4352.8034766671626</v>
      </c>
      <c r="EM15" s="257">
        <f>SUM(EI15:EL15)</f>
        <v>-13482.277380883039</v>
      </c>
      <c r="EN15" s="120">
        <f>-EN8*EN16</f>
        <v>-3233.8342113747135</v>
      </c>
      <c r="EO15" s="120">
        <f>-EO8*EO16</f>
        <v>-3721.3940771074604</v>
      </c>
      <c r="EP15" s="120">
        <f>-EP8*EP16</f>
        <v>-3753.9970038565166</v>
      </c>
      <c r="EQ15" s="120">
        <f>-EQ8*EQ16</f>
        <v>-5106.3265048458798</v>
      </c>
      <c r="ER15" s="257">
        <f>SUM(EN15:EQ15)</f>
        <v>-15815.551797184571</v>
      </c>
      <c r="ES15" s="417"/>
      <c r="ET15" s="133"/>
    </row>
    <row r="16" spans="1:150" s="253" customFormat="1">
      <c r="A16" s="792"/>
      <c r="B16" s="792"/>
      <c r="C16" s="260" t="s">
        <v>239</v>
      </c>
      <c r="D16" s="255"/>
      <c r="E16" s="255"/>
      <c r="F16" s="255"/>
      <c r="G16" s="255"/>
      <c r="H16" s="255"/>
      <c r="I16" s="94"/>
      <c r="J16" s="94"/>
      <c r="K16" s="94"/>
      <c r="L16" s="94"/>
      <c r="M16" s="255"/>
      <c r="N16" s="94"/>
      <c r="O16" s="94"/>
      <c r="P16" s="94"/>
      <c r="Q16" s="94"/>
      <c r="R16" s="255"/>
      <c r="S16" s="94"/>
      <c r="T16" s="94"/>
      <c r="U16" s="94"/>
      <c r="V16" s="94"/>
      <c r="W16" s="255"/>
      <c r="X16" s="94"/>
      <c r="Y16" s="94"/>
      <c r="Z16" s="94"/>
      <c r="AA16" s="94"/>
      <c r="AB16" s="255"/>
      <c r="AC16" s="94"/>
      <c r="AD16" s="94"/>
      <c r="AE16" s="94"/>
      <c r="AF16" s="94"/>
      <c r="AG16" s="255"/>
      <c r="AH16" s="94"/>
      <c r="AI16" s="94"/>
      <c r="AJ16" s="94"/>
      <c r="AK16" s="94"/>
      <c r="AL16" s="255"/>
      <c r="AM16" s="94"/>
      <c r="AN16" s="94"/>
      <c r="AO16" s="94"/>
      <c r="AP16" s="94"/>
      <c r="AQ16" s="255"/>
      <c r="AR16" s="94"/>
      <c r="AS16" s="94"/>
      <c r="AT16" s="94"/>
      <c r="AU16" s="94"/>
      <c r="AV16" s="255"/>
      <c r="AW16" s="94"/>
      <c r="AX16" s="94"/>
      <c r="AY16" s="94"/>
      <c r="AZ16" s="94"/>
      <c r="BA16" s="255"/>
      <c r="BB16" s="94"/>
      <c r="BC16" s="94"/>
      <c r="BD16" s="94"/>
      <c r="BE16" s="94"/>
      <c r="BF16" s="255"/>
      <c r="BG16" s="625"/>
      <c r="BH16" s="625"/>
      <c r="BI16" s="625"/>
      <c r="BJ16" s="625"/>
      <c r="BK16" s="255"/>
      <c r="BL16" s="625"/>
      <c r="BM16" s="625"/>
      <c r="BN16" s="625"/>
      <c r="BO16" s="625"/>
      <c r="BP16" s="255"/>
      <c r="BQ16" s="624">
        <f t="shared" ref="BQ16:CV16" si="57">-BQ15/BQ8</f>
        <v>0.71679114430514801</v>
      </c>
      <c r="BR16" s="624">
        <f t="shared" si="57"/>
        <v>0.73211075152822735</v>
      </c>
      <c r="BS16" s="624">
        <f t="shared" si="57"/>
        <v>0.75902006372169128</v>
      </c>
      <c r="BT16" s="624">
        <f t="shared" si="57"/>
        <v>0.7322929846759455</v>
      </c>
      <c r="BU16" s="501">
        <f t="shared" si="57"/>
        <v>0.73641881313402124</v>
      </c>
      <c r="BV16" s="624">
        <f t="shared" si="57"/>
        <v>0.71745649106302922</v>
      </c>
      <c r="BW16" s="624">
        <f t="shared" si="57"/>
        <v>0.69871779954855373</v>
      </c>
      <c r="BX16" s="624">
        <f t="shared" si="57"/>
        <v>0.70912161482940961</v>
      </c>
      <c r="BY16" s="624">
        <f t="shared" si="57"/>
        <v>0.68456403048813452</v>
      </c>
      <c r="BZ16" s="501">
        <f t="shared" si="57"/>
        <v>0.69925370160020728</v>
      </c>
      <c r="CA16" s="624">
        <f t="shared" si="57"/>
        <v>0.65673287492917187</v>
      </c>
      <c r="CB16" s="624">
        <f t="shared" si="57"/>
        <v>0.63863247436201709</v>
      </c>
      <c r="CC16" s="624">
        <f t="shared" si="57"/>
        <v>0.62873928623583197</v>
      </c>
      <c r="CD16" s="624">
        <f t="shared" si="57"/>
        <v>0.63463567527308851</v>
      </c>
      <c r="CE16" s="501">
        <f t="shared" si="57"/>
        <v>0.63804356503235848</v>
      </c>
      <c r="CF16" s="624">
        <f t="shared" si="57"/>
        <v>0.58994936132186226</v>
      </c>
      <c r="CG16" s="624">
        <f t="shared" si="57"/>
        <v>0.6218918073330254</v>
      </c>
      <c r="CH16" s="624">
        <f t="shared" si="57"/>
        <v>0.62680628832407204</v>
      </c>
      <c r="CI16" s="624">
        <f t="shared" si="57"/>
        <v>0.62487755703702297</v>
      </c>
      <c r="CJ16" s="501">
        <f t="shared" si="57"/>
        <v>0.61813811483428227</v>
      </c>
      <c r="CK16" s="624">
        <f t="shared" si="57"/>
        <v>0.62325932756025348</v>
      </c>
      <c r="CL16" s="624">
        <f t="shared" si="57"/>
        <v>0.61108877529531147</v>
      </c>
      <c r="CM16" s="624">
        <f t="shared" si="57"/>
        <v>0.62492721413490382</v>
      </c>
      <c r="CN16" s="624">
        <f t="shared" si="57"/>
        <v>0.6332416131977614</v>
      </c>
      <c r="CO16" s="501">
        <f t="shared" si="57"/>
        <v>0.62437762572494582</v>
      </c>
      <c r="CP16" s="624">
        <f t="shared" si="57"/>
        <v>0.62090639961471994</v>
      </c>
      <c r="CQ16" s="624">
        <f t="shared" si="57"/>
        <v>0.56942076473189196</v>
      </c>
      <c r="CR16" s="624">
        <f t="shared" si="57"/>
        <v>0.59388735777036794</v>
      </c>
      <c r="CS16" s="624">
        <f t="shared" si="57"/>
        <v>0.59301679497754556</v>
      </c>
      <c r="CT16" s="501">
        <f t="shared" si="57"/>
        <v>0.59109165283505893</v>
      </c>
      <c r="CU16" s="624">
        <f t="shared" si="57"/>
        <v>0.55623938943000084</v>
      </c>
      <c r="CV16" s="624">
        <f t="shared" si="57"/>
        <v>0.55470397652596515</v>
      </c>
      <c r="CW16" s="624">
        <f t="shared" ref="CW16:DP16" si="58">-CW15/CW8</f>
        <v>0.56820040328519983</v>
      </c>
      <c r="CX16" s="624">
        <f t="shared" si="58"/>
        <v>0.59464277382933395</v>
      </c>
      <c r="CY16" s="501">
        <f t="shared" si="58"/>
        <v>0.5708360426998198</v>
      </c>
      <c r="CZ16" s="624">
        <f t="shared" si="58"/>
        <v>0.56870719626668775</v>
      </c>
      <c r="DA16" s="624">
        <f t="shared" si="58"/>
        <v>0.59678124528870802</v>
      </c>
      <c r="DB16" s="624">
        <f t="shared" si="58"/>
        <v>0.62789739155206736</v>
      </c>
      <c r="DC16" s="624">
        <f t="shared" si="58"/>
        <v>0.63735948405812737</v>
      </c>
      <c r="DD16" s="501">
        <f t="shared" si="58"/>
        <v>0.61157922767049977</v>
      </c>
      <c r="DE16" s="624">
        <f t="shared" si="58"/>
        <v>0.62788632326820604</v>
      </c>
      <c r="DF16" s="624">
        <f t="shared" si="58"/>
        <v>0.61919999999999997</v>
      </c>
      <c r="DG16" s="624">
        <f t="shared" si="58"/>
        <v>0.5903908794788274</v>
      </c>
      <c r="DH16" s="624">
        <f t="shared" si="58"/>
        <v>0.60840024706609019</v>
      </c>
      <c r="DI16" s="501">
        <f t="shared" si="58"/>
        <v>0.61095156040589704</v>
      </c>
      <c r="DJ16" s="624">
        <f t="shared" si="58"/>
        <v>0.59925925925925927</v>
      </c>
      <c r="DK16" s="624">
        <f t="shared" si="58"/>
        <v>0.60931174089068829</v>
      </c>
      <c r="DL16" s="624">
        <f t="shared" si="58"/>
        <v>0.60309278350515461</v>
      </c>
      <c r="DM16" s="624">
        <f t="shared" si="58"/>
        <v>0.61789375582479034</v>
      </c>
      <c r="DN16" s="501">
        <f t="shared" si="58"/>
        <v>0.60857580398162325</v>
      </c>
      <c r="DO16" s="624">
        <f t="shared" si="58"/>
        <v>0.61379310344827587</v>
      </c>
      <c r="DP16" s="624">
        <f t="shared" si="58"/>
        <v>0.62104743083003955</v>
      </c>
      <c r="DQ16" s="624">
        <f t="shared" ref="DQ16" si="59">-DQ15/DQ8</f>
        <v>0.61771561771561767</v>
      </c>
      <c r="DR16" s="359">
        <f>-DR15/DR8</f>
        <v>0.63246977547495686</v>
      </c>
      <c r="DS16" s="501">
        <f>-DS15/DS8</f>
        <v>0.622557928214448</v>
      </c>
      <c r="DT16" s="624">
        <f t="shared" ref="DT16:DU16" si="60">-DT15/DT8</f>
        <v>0.60991735537190084</v>
      </c>
      <c r="DU16" s="624">
        <f t="shared" si="60"/>
        <v>0.61560589715929526</v>
      </c>
      <c r="DV16" s="624">
        <f>+DQ16+(DV17/10000)</f>
        <v>0.61571561771561767</v>
      </c>
      <c r="DW16" s="624">
        <f>+DR16+(DW17/10000)</f>
        <v>0.63046977547495686</v>
      </c>
      <c r="DX16" s="501">
        <f>-DX15/DX8</f>
        <v>0.61925090684522743</v>
      </c>
      <c r="DY16" s="624">
        <f>+DT16+(DY17/10000)</f>
        <v>0.60941735537190089</v>
      </c>
      <c r="DZ16" s="624">
        <f>+DU16+(DZ17/10000)</f>
        <v>0.61510589715929531</v>
      </c>
      <c r="EA16" s="624">
        <f>+DV16+(EA17/10000)</f>
        <v>0.61521561771561772</v>
      </c>
      <c r="EB16" s="624">
        <f>+DW16+(EB17/10000)</f>
        <v>0.62996977547495692</v>
      </c>
      <c r="EC16" s="501">
        <f>-EC15/EC8</f>
        <v>0.61866341562353344</v>
      </c>
      <c r="ED16" s="624">
        <f>+DY16+(ED17/10000)</f>
        <v>0.60891735537190095</v>
      </c>
      <c r="EE16" s="624">
        <f>+DZ16+(EE17/10000)</f>
        <v>0.61460589715929537</v>
      </c>
      <c r="EF16" s="624">
        <f>+EA16+(EF17/10000)</f>
        <v>0.61471561771561778</v>
      </c>
      <c r="EG16" s="624">
        <f>+EB16+(EG17/10000)</f>
        <v>0.62946977547495697</v>
      </c>
      <c r="EH16" s="501">
        <f>-EH15/EH8</f>
        <v>0.61816360786615487</v>
      </c>
      <c r="EI16" s="624">
        <f>+ED16+(EI17/10000)</f>
        <v>0.608417355371901</v>
      </c>
      <c r="EJ16" s="624">
        <f>+EE16+(EJ17/10000)</f>
        <v>0.61410589715929542</v>
      </c>
      <c r="EK16" s="624">
        <f>+EF16+(EK17/10000)</f>
        <v>0.61421561771561783</v>
      </c>
      <c r="EL16" s="624">
        <f>+EG16+(EL17/10000)</f>
        <v>0.62896977547495703</v>
      </c>
      <c r="EM16" s="501">
        <f>-EM15/EM8</f>
        <v>0.61766379546434258</v>
      </c>
      <c r="EN16" s="624">
        <f>+EI16+(EN17/10000)</f>
        <v>0.60791735537190106</v>
      </c>
      <c r="EO16" s="624">
        <f>+EJ16+(EO17/10000)</f>
        <v>0.61360589715929548</v>
      </c>
      <c r="EP16" s="624">
        <f>+EK16+(EP17/10000)</f>
        <v>0.61371561771561789</v>
      </c>
      <c r="EQ16" s="624">
        <f>+EL16+(EQ17/10000)</f>
        <v>0.62846977547495708</v>
      </c>
      <c r="ER16" s="501">
        <f>-ER15/ER8</f>
        <v>0.61716397858439687</v>
      </c>
      <c r="ES16" s="359"/>
      <c r="ET16" s="133"/>
    </row>
    <row r="17" spans="1:150" s="19" customFormat="1" ht="12" customHeight="1">
      <c r="A17" s="792"/>
      <c r="B17" s="792"/>
      <c r="C17" s="942" t="s">
        <v>580</v>
      </c>
      <c r="D17" s="628"/>
      <c r="E17" s="628"/>
      <c r="F17" s="628"/>
      <c r="G17" s="628"/>
      <c r="H17" s="628"/>
      <c r="I17" s="622"/>
      <c r="J17" s="622"/>
      <c r="K17" s="622"/>
      <c r="L17" s="622"/>
      <c r="M17" s="628"/>
      <c r="N17" s="622"/>
      <c r="O17" s="622"/>
      <c r="P17" s="622"/>
      <c r="Q17" s="622"/>
      <c r="R17" s="628"/>
      <c r="S17" s="622"/>
      <c r="T17" s="622"/>
      <c r="U17" s="622"/>
      <c r="V17" s="622"/>
      <c r="W17" s="628"/>
      <c r="X17" s="622"/>
      <c r="Y17" s="622"/>
      <c r="Z17" s="622"/>
      <c r="AA17" s="622"/>
      <c r="AB17" s="628"/>
      <c r="AC17" s="622"/>
      <c r="AD17" s="622"/>
      <c r="AE17" s="622"/>
      <c r="AF17" s="622"/>
      <c r="AG17" s="628"/>
      <c r="AH17" s="622"/>
      <c r="AI17" s="622"/>
      <c r="AJ17" s="622"/>
      <c r="AK17" s="622"/>
      <c r="AL17" s="628"/>
      <c r="AM17" s="622"/>
      <c r="AN17" s="622"/>
      <c r="AO17" s="622"/>
      <c r="AP17" s="622"/>
      <c r="AQ17" s="628"/>
      <c r="AR17" s="622"/>
      <c r="AS17" s="622"/>
      <c r="AT17" s="622"/>
      <c r="AU17" s="622"/>
      <c r="AV17" s="628"/>
      <c r="AW17" s="622"/>
      <c r="AX17" s="622"/>
      <c r="AY17" s="622"/>
      <c r="AZ17" s="622"/>
      <c r="BA17" s="628"/>
      <c r="BB17" s="622"/>
      <c r="BC17" s="622"/>
      <c r="BD17" s="622"/>
      <c r="BE17" s="622"/>
      <c r="BF17" s="628"/>
      <c r="BG17" s="622"/>
      <c r="BH17" s="622"/>
      <c r="BI17" s="622"/>
      <c r="BJ17" s="622"/>
      <c r="BK17" s="628"/>
      <c r="BL17" s="622"/>
      <c r="BM17" s="622"/>
      <c r="BN17" s="622"/>
      <c r="BO17" s="622"/>
      <c r="BP17" s="628"/>
      <c r="BQ17" s="244"/>
      <c r="BR17" s="244"/>
      <c r="BS17" s="244"/>
      <c r="BT17" s="244"/>
      <c r="BU17" s="243"/>
      <c r="BV17" s="943">
        <f t="shared" ref="BV17:DN17" si="61">+(BV16-BQ16)*10000</f>
        <v>6.6534675788121334</v>
      </c>
      <c r="BW17" s="943">
        <f t="shared" si="61"/>
        <v>-333.92951979673626</v>
      </c>
      <c r="BX17" s="943">
        <f t="shared" si="61"/>
        <v>-498.98448892281675</v>
      </c>
      <c r="BY17" s="943">
        <f t="shared" si="61"/>
        <v>-477.28954187810979</v>
      </c>
      <c r="BZ17" s="944">
        <f t="shared" si="61"/>
        <v>-371.65111533813968</v>
      </c>
      <c r="CA17" s="943">
        <f t="shared" si="61"/>
        <v>-607.23616133857354</v>
      </c>
      <c r="CB17" s="943">
        <f t="shared" si="61"/>
        <v>-600.85325186536647</v>
      </c>
      <c r="CC17" s="943">
        <f t="shared" si="61"/>
        <v>-803.82328593577631</v>
      </c>
      <c r="CD17" s="943">
        <f t="shared" si="61"/>
        <v>-499.28355215046014</v>
      </c>
      <c r="CE17" s="944">
        <f t="shared" si="61"/>
        <v>-612.10136567848792</v>
      </c>
      <c r="CF17" s="943">
        <f t="shared" si="61"/>
        <v>-667.83513607309612</v>
      </c>
      <c r="CG17" s="943">
        <f t="shared" si="61"/>
        <v>-167.40667028991686</v>
      </c>
      <c r="CH17" s="943">
        <f t="shared" si="61"/>
        <v>-19.329979117599372</v>
      </c>
      <c r="CI17" s="943">
        <f t="shared" si="61"/>
        <v>-97.58118236065539</v>
      </c>
      <c r="CJ17" s="944">
        <f t="shared" si="61"/>
        <v>-199.05450198076213</v>
      </c>
      <c r="CK17" s="943">
        <f t="shared" si="61"/>
        <v>333.09966238391218</v>
      </c>
      <c r="CL17" s="943">
        <f t="shared" si="61"/>
        <v>-108.03032037713933</v>
      </c>
      <c r="CM17" s="943">
        <f t="shared" si="61"/>
        <v>-18.790741891682174</v>
      </c>
      <c r="CN17" s="943">
        <f t="shared" si="61"/>
        <v>83.640561607384313</v>
      </c>
      <c r="CO17" s="944">
        <f t="shared" si="61"/>
        <v>62.395108906635464</v>
      </c>
      <c r="CP17" s="943">
        <f t="shared" si="61"/>
        <v>-23.529279455335448</v>
      </c>
      <c r="CQ17" s="943">
        <f t="shared" si="61"/>
        <v>-416.68010563419512</v>
      </c>
      <c r="CR17" s="943">
        <f t="shared" si="61"/>
        <v>-310.39856364535876</v>
      </c>
      <c r="CS17" s="943">
        <f t="shared" si="61"/>
        <v>-402.24818220215843</v>
      </c>
      <c r="CT17" s="944">
        <f t="shared" si="61"/>
        <v>-332.85972889886881</v>
      </c>
      <c r="CU17" s="943">
        <f t="shared" si="61"/>
        <v>-646.67010184719095</v>
      </c>
      <c r="CV17" s="943">
        <f t="shared" si="61"/>
        <v>-147.16788205926812</v>
      </c>
      <c r="CW17" s="943">
        <f t="shared" si="61"/>
        <v>-256.8695448516811</v>
      </c>
      <c r="CX17" s="943">
        <f t="shared" si="61"/>
        <v>16.259788517883898</v>
      </c>
      <c r="CY17" s="944">
        <f t="shared" si="61"/>
        <v>-202.55610135239132</v>
      </c>
      <c r="CZ17" s="943">
        <f t="shared" si="61"/>
        <v>124.67806836686913</v>
      </c>
      <c r="DA17" s="943">
        <f t="shared" si="61"/>
        <v>420.7726876274287</v>
      </c>
      <c r="DB17" s="943">
        <f t="shared" si="61"/>
        <v>596.96988266867538</v>
      </c>
      <c r="DC17" s="943">
        <f t="shared" si="61"/>
        <v>427.1671022879342</v>
      </c>
      <c r="DD17" s="944">
        <f t="shared" si="61"/>
        <v>407.43184970679971</v>
      </c>
      <c r="DE17" s="943">
        <f t="shared" si="61"/>
        <v>591.79127001518282</v>
      </c>
      <c r="DF17" s="943">
        <f t="shared" si="61"/>
        <v>224.18754711291956</v>
      </c>
      <c r="DG17" s="943">
        <f t="shared" si="61"/>
        <v>-375.06512073239963</v>
      </c>
      <c r="DH17" s="943">
        <f t="shared" si="61"/>
        <v>-289.59236992037177</v>
      </c>
      <c r="DI17" s="944">
        <f t="shared" si="61"/>
        <v>-6.2766726460272704</v>
      </c>
      <c r="DJ17" s="943">
        <f t="shared" si="61"/>
        <v>-286.27064008946769</v>
      </c>
      <c r="DK17" s="943">
        <f t="shared" si="61"/>
        <v>-98.882591093116815</v>
      </c>
      <c r="DL17" s="943">
        <f t="shared" si="61"/>
        <v>127.01904026327205</v>
      </c>
      <c r="DM17" s="943">
        <f t="shared" si="61"/>
        <v>94.935087587001419</v>
      </c>
      <c r="DN17" s="944">
        <f t="shared" si="61"/>
        <v>-23.757564242737892</v>
      </c>
      <c r="DO17" s="1274">
        <f t="shared" ref="DO17:DU17" si="62">+(DO16-DJ16)*10000</f>
        <v>145.338441890166</v>
      </c>
      <c r="DP17" s="943">
        <f t="shared" si="62"/>
        <v>117.35689939351258</v>
      </c>
      <c r="DQ17" s="943">
        <f t="shared" si="62"/>
        <v>146.22834210463066</v>
      </c>
      <c r="DR17" s="1524">
        <f t="shared" si="62"/>
        <v>145.76019650166526</v>
      </c>
      <c r="DS17" s="944">
        <f t="shared" si="62"/>
        <v>139.82124232824745</v>
      </c>
      <c r="DT17" s="1274">
        <f t="shared" si="62"/>
        <v>-38.757480763750294</v>
      </c>
      <c r="DU17" s="943">
        <f t="shared" si="62"/>
        <v>-54.415336707442918</v>
      </c>
      <c r="DV17" s="945">
        <v>-20</v>
      </c>
      <c r="DW17" s="945">
        <v>-20</v>
      </c>
      <c r="DX17" s="944">
        <f>+(DX16-DS16)*10000</f>
        <v>-33.070213692205641</v>
      </c>
      <c r="DY17" s="945">
        <v>-5</v>
      </c>
      <c r="DZ17" s="945">
        <v>-5</v>
      </c>
      <c r="EA17" s="945">
        <v>-5</v>
      </c>
      <c r="EB17" s="945">
        <v>-5</v>
      </c>
      <c r="EC17" s="944">
        <f>+(EC16-DX16)*10000</f>
        <v>-5.8749122169399204</v>
      </c>
      <c r="ED17" s="945">
        <v>-5</v>
      </c>
      <c r="EE17" s="945">
        <v>-5</v>
      </c>
      <c r="EF17" s="945">
        <v>-5</v>
      </c>
      <c r="EG17" s="945">
        <v>-5</v>
      </c>
      <c r="EH17" s="944">
        <f>+(EH16-EC16)*10000</f>
        <v>-4.9980775737856753</v>
      </c>
      <c r="EI17" s="945">
        <v>-5</v>
      </c>
      <c r="EJ17" s="945">
        <v>-5</v>
      </c>
      <c r="EK17" s="945">
        <v>-5</v>
      </c>
      <c r="EL17" s="945">
        <v>-5</v>
      </c>
      <c r="EM17" s="944">
        <f>+(EM16-EH16)*10000</f>
        <v>-4.9981240181229403</v>
      </c>
      <c r="EN17" s="945">
        <v>-5</v>
      </c>
      <c r="EO17" s="945">
        <v>-5</v>
      </c>
      <c r="EP17" s="945">
        <v>-5</v>
      </c>
      <c r="EQ17" s="945">
        <v>-5</v>
      </c>
      <c r="ER17" s="944">
        <f>+(ER16-EM16)*10000</f>
        <v>-4.9981687994571367</v>
      </c>
      <c r="ES17" s="244"/>
      <c r="ET17" s="267"/>
    </row>
    <row r="18" spans="1:150" s="253" customFormat="1">
      <c r="A18" s="792"/>
      <c r="B18" s="792"/>
      <c r="C18" s="254" t="s">
        <v>251</v>
      </c>
      <c r="D18" s="261"/>
      <c r="E18" s="261"/>
      <c r="F18" s="261"/>
      <c r="G18" s="261"/>
      <c r="H18" s="261"/>
      <c r="I18" s="18"/>
      <c r="J18" s="18"/>
      <c r="K18" s="18"/>
      <c r="L18" s="18"/>
      <c r="M18" s="261"/>
      <c r="N18" s="18"/>
      <c r="O18" s="18"/>
      <c r="P18" s="18"/>
      <c r="Q18" s="18"/>
      <c r="R18" s="261"/>
      <c r="S18" s="18"/>
      <c r="T18" s="18"/>
      <c r="U18" s="18"/>
      <c r="V18" s="18"/>
      <c r="W18" s="261"/>
      <c r="X18" s="18"/>
      <c r="Y18" s="18"/>
      <c r="Z18" s="18"/>
      <c r="AA18" s="18"/>
      <c r="AB18" s="261"/>
      <c r="AC18" s="18"/>
      <c r="AD18" s="18"/>
      <c r="AE18" s="18"/>
      <c r="AF18" s="18"/>
      <c r="AG18" s="261"/>
      <c r="AH18" s="18"/>
      <c r="AI18" s="18"/>
      <c r="AJ18" s="18"/>
      <c r="AK18" s="18"/>
      <c r="AL18" s="261"/>
      <c r="AM18" s="18"/>
      <c r="AN18" s="18"/>
      <c r="AO18" s="18"/>
      <c r="AP18" s="18"/>
      <c r="AQ18" s="261"/>
      <c r="AR18" s="18"/>
      <c r="AS18" s="18"/>
      <c r="AT18" s="18"/>
      <c r="AU18" s="18"/>
      <c r="AV18" s="261"/>
      <c r="AW18" s="18"/>
      <c r="AX18" s="18"/>
      <c r="AY18" s="18"/>
      <c r="AZ18" s="18"/>
      <c r="BA18" s="261"/>
      <c r="BB18" s="18"/>
      <c r="BC18" s="18"/>
      <c r="BD18" s="18"/>
      <c r="BE18" s="18"/>
      <c r="BF18" s="261"/>
      <c r="BG18" s="626"/>
      <c r="BH18" s="626"/>
      <c r="BI18" s="626"/>
      <c r="BJ18" s="626"/>
      <c r="BK18" s="261"/>
      <c r="BL18" s="626"/>
      <c r="BM18" s="626"/>
      <c r="BN18" s="626"/>
      <c r="BO18" s="626"/>
      <c r="BP18" s="261"/>
      <c r="BQ18" s="262">
        <f t="shared" ref="BQ18:BV18" si="63">BQ12+BQ15</f>
        <v>-15.782</v>
      </c>
      <c r="BR18" s="263">
        <f t="shared" si="63"/>
        <v>-19.673999999999999</v>
      </c>
      <c r="BS18" s="263">
        <f t="shared" si="63"/>
        <v>-24.042999999999999</v>
      </c>
      <c r="BT18" s="263">
        <f t="shared" si="63"/>
        <v>-33.706000000000003</v>
      </c>
      <c r="BU18" s="264">
        <f t="shared" si="63"/>
        <v>-93.205000000000013</v>
      </c>
      <c r="BV18" s="263">
        <f t="shared" si="63"/>
        <v>-32.637</v>
      </c>
      <c r="BW18" s="263">
        <f t="shared" ref="BW18:CX18" si="64">BW12+BW15</f>
        <v>-39.124000000000002</v>
      </c>
      <c r="BX18" s="263">
        <f t="shared" si="64"/>
        <v>-45.826000000000001</v>
      </c>
      <c r="BY18" s="263">
        <f t="shared" si="64"/>
        <v>-62.248000000000005</v>
      </c>
      <c r="BZ18" s="264">
        <f t="shared" si="64"/>
        <v>-179.83499999999998</v>
      </c>
      <c r="CA18" s="263">
        <f>CA12+CA15</f>
        <v>-55.137999999999998</v>
      </c>
      <c r="CB18" s="263">
        <f t="shared" si="64"/>
        <v>-64.814999999999998</v>
      </c>
      <c r="CC18" s="263">
        <f t="shared" si="64"/>
        <v>-71.429000000000002</v>
      </c>
      <c r="CD18" s="263">
        <f t="shared" si="64"/>
        <v>-101.66900000000001</v>
      </c>
      <c r="CE18" s="264">
        <f t="shared" si="64"/>
        <v>-293.05099999999999</v>
      </c>
      <c r="CF18" s="263">
        <f>CF12+CF15</f>
        <v>-90.49799999999999</v>
      </c>
      <c r="CG18" s="263">
        <f t="shared" si="64"/>
        <v>-108.008</v>
      </c>
      <c r="CH18" s="263">
        <f t="shared" si="64"/>
        <v>-120.33699999999999</v>
      </c>
      <c r="CI18" s="263">
        <f t="shared" si="64"/>
        <v>-158.119</v>
      </c>
      <c r="CJ18" s="264">
        <f t="shared" si="64"/>
        <v>-476.96199999999999</v>
      </c>
      <c r="CK18" s="263">
        <f>CK12+CK15</f>
        <v>-140.191</v>
      </c>
      <c r="CL18" s="263">
        <f t="shared" si="64"/>
        <v>-157.214</v>
      </c>
      <c r="CM18" s="263">
        <f t="shared" si="64"/>
        <v>-173.85599999999999</v>
      </c>
      <c r="CN18" s="263">
        <f t="shared" si="64"/>
        <v>-241.26900000000001</v>
      </c>
      <c r="CO18" s="264">
        <f t="shared" si="64"/>
        <v>-712.53</v>
      </c>
      <c r="CP18" s="263">
        <f t="shared" si="64"/>
        <v>-213.05099999999999</v>
      </c>
      <c r="CQ18" s="263">
        <f t="shared" si="64"/>
        <v>-339.30699999999996</v>
      </c>
      <c r="CR18" s="263">
        <f t="shared" si="64"/>
        <v>-362.25700000000001</v>
      </c>
      <c r="CS18" s="263">
        <f t="shared" si="64"/>
        <v>-473.35599999999999</v>
      </c>
      <c r="CT18" s="264">
        <f t="shared" si="64"/>
        <v>-1387.9709999999998</v>
      </c>
      <c r="CU18" s="263">
        <f>CU12+CU15</f>
        <v>-429.93099999999998</v>
      </c>
      <c r="CV18" s="263">
        <f t="shared" si="64"/>
        <v>-498.58499999999998</v>
      </c>
      <c r="CW18" s="263">
        <f t="shared" si="64"/>
        <v>-514.83100000000002</v>
      </c>
      <c r="CX18" s="263">
        <f t="shared" si="64"/>
        <v>-687.36500000000001</v>
      </c>
      <c r="CY18" s="264">
        <f t="shared" ref="CY18:DS18" si="65">CY12+CY15</f>
        <v>-2130.712</v>
      </c>
      <c r="CZ18" s="263">
        <f t="shared" si="65"/>
        <v>-565.98599999999999</v>
      </c>
      <c r="DA18" s="263">
        <f t="shared" si="65"/>
        <v>-639.42100000000005</v>
      </c>
      <c r="DB18" s="263">
        <f t="shared" si="65"/>
        <v>-703.86799999999994</v>
      </c>
      <c r="DC18" s="263">
        <f t="shared" si="65"/>
        <v>-936.46999999999991</v>
      </c>
      <c r="DD18" s="264">
        <f t="shared" si="65"/>
        <v>-2845.7450000000003</v>
      </c>
      <c r="DE18" s="263">
        <f t="shared" si="65"/>
        <v>-791</v>
      </c>
      <c r="DF18" s="263">
        <f t="shared" si="65"/>
        <v>-859</v>
      </c>
      <c r="DG18" s="263">
        <f t="shared" si="65"/>
        <v>-813</v>
      </c>
      <c r="DH18" s="263">
        <f t="shared" si="65"/>
        <v>-1082</v>
      </c>
      <c r="DI18" s="264">
        <f t="shared" si="65"/>
        <v>-3545</v>
      </c>
      <c r="DJ18" s="263">
        <f t="shared" si="65"/>
        <v>-904</v>
      </c>
      <c r="DK18" s="263">
        <f t="shared" si="65"/>
        <v>-1000</v>
      </c>
      <c r="DL18" s="263">
        <f t="shared" si="65"/>
        <v>-1044</v>
      </c>
      <c r="DM18" s="263">
        <f t="shared" si="65"/>
        <v>-1460</v>
      </c>
      <c r="DN18" s="264">
        <f t="shared" si="65"/>
        <v>-4408</v>
      </c>
      <c r="DO18" s="263">
        <f>DO12+DO15</f>
        <v>-1191</v>
      </c>
      <c r="DP18" s="263">
        <f t="shared" ref="DP18:DQ18" si="66">DP12+DP15</f>
        <v>-1378</v>
      </c>
      <c r="DQ18" s="263">
        <f t="shared" si="66"/>
        <v>-1453</v>
      </c>
      <c r="DR18" s="1526">
        <f>DR12+DR15</f>
        <v>-1979</v>
      </c>
      <c r="DS18" s="264">
        <f t="shared" si="65"/>
        <v>-6001</v>
      </c>
      <c r="DT18" s="263">
        <f>DT12+DT15</f>
        <v>-1624</v>
      </c>
      <c r="DU18" s="263">
        <f t="shared" ref="DU18" si="67">DU12+DU15</f>
        <v>-1875</v>
      </c>
      <c r="DV18" s="263">
        <f t="shared" ref="DV18:EC18" si="68">DV12+DV15</f>
        <v>-1912.6336780269271</v>
      </c>
      <c r="DW18" s="263">
        <f t="shared" si="68"/>
        <v>-2584.4431692772546</v>
      </c>
      <c r="DX18" s="264">
        <f t="shared" si="68"/>
        <v>-7996.0768473041817</v>
      </c>
      <c r="DY18" s="263">
        <f t="shared" si="68"/>
        <v>-2090.0253088231834</v>
      </c>
      <c r="DZ18" s="263">
        <f t="shared" si="68"/>
        <v>-2396.8236450479944</v>
      </c>
      <c r="EA18" s="263">
        <f t="shared" si="68"/>
        <v>-2410.3826969844163</v>
      </c>
      <c r="EB18" s="263">
        <f t="shared" si="68"/>
        <v>-3234.498000301041</v>
      </c>
      <c r="EC18" s="264">
        <f t="shared" si="68"/>
        <v>-10131.729651156633</v>
      </c>
      <c r="ED18" s="263">
        <f t="shared" ref="ED18:EH18" si="69">ED12+ED15</f>
        <v>-2533.2040901348382</v>
      </c>
      <c r="EE18" s="263">
        <f t="shared" si="69"/>
        <v>-2904.0055715209114</v>
      </c>
      <c r="EF18" s="263">
        <f t="shared" si="69"/>
        <v>-2919.937937038479</v>
      </c>
      <c r="EG18" s="263">
        <f t="shared" si="69"/>
        <v>-3918.2202398962554</v>
      </c>
      <c r="EH18" s="264">
        <f t="shared" si="69"/>
        <v>-12275.367838590484</v>
      </c>
      <c r="EI18" s="263">
        <f t="shared" ref="EI18:ER18" si="70">EI12+EI15</f>
        <v>-3007.6545937471883</v>
      </c>
      <c r="EJ18" s="263">
        <f t="shared" si="70"/>
        <v>-3447.9543795014183</v>
      </c>
      <c r="EK18" s="263">
        <f t="shared" si="70"/>
        <v>-3467.4995360940193</v>
      </c>
      <c r="EL18" s="263">
        <f t="shared" si="70"/>
        <v>-4653.4691620161639</v>
      </c>
      <c r="EM18" s="264">
        <f t="shared" si="70"/>
        <v>-14576.577671358789</v>
      </c>
      <c r="EN18" s="263">
        <f t="shared" si="70"/>
        <v>-3528.6953456002043</v>
      </c>
      <c r="EO18" s="263">
        <f t="shared" si="70"/>
        <v>-4045.1481936878095</v>
      </c>
      <c r="EP18" s="263">
        <f t="shared" si="70"/>
        <v>-4068.6586668177388</v>
      </c>
      <c r="EQ18" s="263">
        <f t="shared" si="70"/>
        <v>-5459.9221623136445</v>
      </c>
      <c r="ER18" s="264">
        <f t="shared" si="70"/>
        <v>-17102.424368419397</v>
      </c>
      <c r="ES18" s="911"/>
      <c r="ET18" s="133"/>
    </row>
    <row r="19" spans="1:150" s="253" customFormat="1">
      <c r="A19" s="792"/>
      <c r="B19" s="792"/>
      <c r="C19" s="260" t="s">
        <v>310</v>
      </c>
      <c r="D19" s="255"/>
      <c r="E19" s="255"/>
      <c r="F19" s="255"/>
      <c r="G19" s="255"/>
      <c r="H19" s="255"/>
      <c r="I19" s="94"/>
      <c r="J19" s="94"/>
      <c r="K19" s="94"/>
      <c r="L19" s="94"/>
      <c r="M19" s="255"/>
      <c r="N19" s="94"/>
      <c r="O19" s="94"/>
      <c r="P19" s="94"/>
      <c r="Q19" s="94"/>
      <c r="R19" s="255"/>
      <c r="S19" s="94"/>
      <c r="T19" s="94"/>
      <c r="U19" s="94"/>
      <c r="V19" s="94"/>
      <c r="W19" s="255"/>
      <c r="X19" s="94"/>
      <c r="Y19" s="94"/>
      <c r="Z19" s="94"/>
      <c r="AA19" s="94"/>
      <c r="AB19" s="255"/>
      <c r="AC19" s="94"/>
      <c r="AD19" s="94"/>
      <c r="AE19" s="94"/>
      <c r="AF19" s="94"/>
      <c r="AG19" s="255"/>
      <c r="AH19" s="94"/>
      <c r="AI19" s="94"/>
      <c r="AJ19" s="94"/>
      <c r="AK19" s="94"/>
      <c r="AL19" s="255"/>
      <c r="AM19" s="94"/>
      <c r="AN19" s="94"/>
      <c r="AO19" s="94"/>
      <c r="AP19" s="94"/>
      <c r="AQ19" s="255"/>
      <c r="AR19" s="94"/>
      <c r="AS19" s="94"/>
      <c r="AT19" s="94"/>
      <c r="AU19" s="94"/>
      <c r="AV19" s="255"/>
      <c r="AW19" s="94"/>
      <c r="AX19" s="94"/>
      <c r="AY19" s="94"/>
      <c r="AZ19" s="94"/>
      <c r="BA19" s="255"/>
      <c r="BB19" s="94"/>
      <c r="BC19" s="94"/>
      <c r="BD19" s="94"/>
      <c r="BE19" s="94"/>
      <c r="BF19" s="255"/>
      <c r="BG19" s="625"/>
      <c r="BH19" s="625"/>
      <c r="BI19" s="625"/>
      <c r="BJ19" s="625"/>
      <c r="BK19" s="255"/>
      <c r="BL19" s="625"/>
      <c r="BM19" s="625"/>
      <c r="BN19" s="625"/>
      <c r="BO19" s="625"/>
      <c r="BP19" s="255"/>
      <c r="BQ19" s="624">
        <f t="shared" ref="BQ19:CV19" si="71">-BQ18/BQ10</f>
        <v>0.42256613473278354</v>
      </c>
      <c r="BR19" s="624">
        <f t="shared" si="71"/>
        <v>0.43792013533365975</v>
      </c>
      <c r="BS19" s="624">
        <f t="shared" si="71"/>
        <v>0.45548061986132682</v>
      </c>
      <c r="BT19" s="624">
        <f t="shared" si="71"/>
        <v>0.48032719136990015</v>
      </c>
      <c r="BU19" s="501">
        <f t="shared" si="71"/>
        <v>0.45414236501927085</v>
      </c>
      <c r="BV19" s="624">
        <f t="shared" si="71"/>
        <v>0.44879128736833418</v>
      </c>
      <c r="BW19" s="624">
        <f t="shared" si="71"/>
        <v>0.45153323254123057</v>
      </c>
      <c r="BX19" s="624">
        <f t="shared" si="71"/>
        <v>0.46020205266223463</v>
      </c>
      <c r="BY19" s="624">
        <f t="shared" si="71"/>
        <v>0.47742420407568481</v>
      </c>
      <c r="BZ19" s="501">
        <f t="shared" si="71"/>
        <v>0.46190892045308601</v>
      </c>
      <c r="CA19" s="624">
        <f t="shared" si="71"/>
        <v>0.43286569999764479</v>
      </c>
      <c r="CB19" s="624">
        <f t="shared" si="71"/>
        <v>0.42738452408427019</v>
      </c>
      <c r="CC19" s="624">
        <f t="shared" si="71"/>
        <v>0.41660251026502421</v>
      </c>
      <c r="CD19" s="624">
        <f t="shared" si="71"/>
        <v>0.45629538538870995</v>
      </c>
      <c r="CE19" s="501">
        <f t="shared" si="71"/>
        <v>0.4352432185164502</v>
      </c>
      <c r="CF19" s="624">
        <f t="shared" si="71"/>
        <v>0.42221703835028462</v>
      </c>
      <c r="CG19" s="624">
        <f t="shared" si="71"/>
        <v>0.44091556684070654</v>
      </c>
      <c r="CH19" s="624">
        <f t="shared" si="71"/>
        <v>0.44558697197701286</v>
      </c>
      <c r="CI19" s="624">
        <f t="shared" si="71"/>
        <v>0.45983272359260408</v>
      </c>
      <c r="CJ19" s="501">
        <f t="shared" si="71"/>
        <v>0.44441773377350041</v>
      </c>
      <c r="CK19" s="624">
        <f t="shared" si="71"/>
        <v>0.43743798403654499</v>
      </c>
      <c r="CL19" s="624">
        <f t="shared" si="71"/>
        <v>0.43431801292340166</v>
      </c>
      <c r="CM19" s="624">
        <f t="shared" si="71"/>
        <v>0.44515455048239411</v>
      </c>
      <c r="CN19" s="624">
        <f t="shared" si="71"/>
        <v>0.47760907435268035</v>
      </c>
      <c r="CO19" s="501">
        <f t="shared" si="71"/>
        <v>0.45149042595456895</v>
      </c>
      <c r="CP19" s="624">
        <f t="shared" si="71"/>
        <v>0.45329903553396694</v>
      </c>
      <c r="CQ19" s="624">
        <f t="shared" si="71"/>
        <v>0.4749930355390492</v>
      </c>
      <c r="CR19" s="624">
        <f t="shared" si="71"/>
        <v>0.47205452140655851</v>
      </c>
      <c r="CS19" s="624">
        <f t="shared" si="71"/>
        <v>0.48413081542816938</v>
      </c>
      <c r="CT19" s="501">
        <f t="shared" si="71"/>
        <v>0.47379254621365957</v>
      </c>
      <c r="CU19" s="624">
        <f t="shared" si="71"/>
        <v>0.43486805705170806</v>
      </c>
      <c r="CV19" s="624">
        <f t="shared" si="71"/>
        <v>0.44538588318318451</v>
      </c>
      <c r="CW19" s="624">
        <f t="shared" ref="CW19:EB19" si="72">-CW18/CW10</f>
        <v>0.45814067310943812</v>
      </c>
      <c r="CX19" s="624">
        <f t="shared" si="72"/>
        <v>0.49808191741592894</v>
      </c>
      <c r="CY19" s="501">
        <f t="shared" si="72"/>
        <v>0.46200748679056763</v>
      </c>
      <c r="CZ19" s="624">
        <f t="shared" si="72"/>
        <v>0.47023528131316861</v>
      </c>
      <c r="DA19" s="624">
        <f t="shared" si="72"/>
        <v>0.49373737030553727</v>
      </c>
      <c r="DB19" s="624">
        <f t="shared" si="72"/>
        <v>0.51520128824476641</v>
      </c>
      <c r="DC19" s="624">
        <f t="shared" si="72"/>
        <v>0.53975900558969614</v>
      </c>
      <c r="DD19" s="501">
        <f t="shared" si="72"/>
        <v>0.5081810915407946</v>
      </c>
      <c r="DE19" s="624">
        <f t="shared" si="72"/>
        <v>0.52453580901856767</v>
      </c>
      <c r="DF19" s="624">
        <f t="shared" si="72"/>
        <v>0.50708382526564344</v>
      </c>
      <c r="DG19" s="624">
        <f t="shared" si="72"/>
        <v>0.47432905484247373</v>
      </c>
      <c r="DH19" s="624">
        <f t="shared" si="72"/>
        <v>0.50466417910447758</v>
      </c>
      <c r="DI19" s="501">
        <f t="shared" si="72"/>
        <v>0.50212464589235128</v>
      </c>
      <c r="DJ19" s="624">
        <f t="shared" si="72"/>
        <v>0.48576034390112843</v>
      </c>
      <c r="DK19" s="624">
        <f t="shared" si="72"/>
        <v>0.48899755501222492</v>
      </c>
      <c r="DL19" s="624">
        <f t="shared" si="72"/>
        <v>0.48288621646623497</v>
      </c>
      <c r="DM19" s="624">
        <f t="shared" si="72"/>
        <v>0.51920341394025604</v>
      </c>
      <c r="DN19" s="501">
        <f t="shared" si="72"/>
        <v>0.49639639639639638</v>
      </c>
      <c r="DO19" s="624">
        <f t="shared" si="72"/>
        <v>0.50466101694915255</v>
      </c>
      <c r="DP19" s="624">
        <f t="shared" si="72"/>
        <v>0.51417910447761195</v>
      </c>
      <c r="DQ19" s="624">
        <f t="shared" ref="DQ19" si="73">-DQ18/DQ10</f>
        <v>0.51090014064697609</v>
      </c>
      <c r="DR19" s="1527">
        <f>-DR18/DR10</f>
        <v>0.53894335511982572</v>
      </c>
      <c r="DS19" s="501">
        <f t="shared" si="72"/>
        <v>0.51929733471789552</v>
      </c>
      <c r="DT19" s="624">
        <f t="shared" ref="DT19:DU19" si="74">-DT18/DT10</f>
        <v>0.51230283911671926</v>
      </c>
      <c r="DU19" s="624">
        <f t="shared" si="74"/>
        <v>0.5233044934412503</v>
      </c>
      <c r="DV19" s="624">
        <f t="shared" si="72"/>
        <v>0.51568430524314668</v>
      </c>
      <c r="DW19" s="624">
        <f t="shared" si="72"/>
        <v>0.54412056820192622</v>
      </c>
      <c r="DX19" s="501">
        <f t="shared" si="72"/>
        <v>0.52565357302512994</v>
      </c>
      <c r="DY19" s="624">
        <f t="shared" si="72"/>
        <v>0.51795844937711444</v>
      </c>
      <c r="DZ19" s="624">
        <f t="shared" si="72"/>
        <v>0.52773186563346763</v>
      </c>
      <c r="EA19" s="624">
        <f t="shared" si="72"/>
        <v>0.51929146893888567</v>
      </c>
      <c r="EB19" s="624">
        <f t="shared" si="72"/>
        <v>0.5467616312397372</v>
      </c>
      <c r="EC19" s="501">
        <f t="shared" ref="EC19:EG19" si="75">-EC18/EC10</f>
        <v>0.52950672103242225</v>
      </c>
      <c r="ED19" s="624">
        <f t="shared" si="75"/>
        <v>0.51940720412916352</v>
      </c>
      <c r="EE19" s="624">
        <f t="shared" si="75"/>
        <v>0.5294402840238025</v>
      </c>
      <c r="EF19" s="624">
        <f t="shared" si="75"/>
        <v>0.52153815812361437</v>
      </c>
      <c r="EG19" s="624">
        <f t="shared" si="75"/>
        <v>0.54904306815315318</v>
      </c>
      <c r="EH19" s="501">
        <f t="shared" ref="EH19:EL19" si="76">-EH18/EH10</f>
        <v>0.53146304283897938</v>
      </c>
      <c r="EI19" s="624">
        <f t="shared" si="76"/>
        <v>0.52036853676402772</v>
      </c>
      <c r="EJ19" s="624">
        <f t="shared" si="76"/>
        <v>0.53034376067875066</v>
      </c>
      <c r="EK19" s="624">
        <f t="shared" si="76"/>
        <v>0.52255353611586397</v>
      </c>
      <c r="EL19" s="624">
        <f t="shared" si="76"/>
        <v>0.5498869515647824</v>
      </c>
      <c r="EM19" s="501">
        <f t="shared" ref="EM19:ER19" si="77">-EM18/EM10</f>
        <v>0.53239044814333902</v>
      </c>
      <c r="EN19" s="624">
        <f t="shared" si="77"/>
        <v>0.52042251322535205</v>
      </c>
      <c r="EO19" s="624">
        <f t="shared" si="77"/>
        <v>0.53037218310839918</v>
      </c>
      <c r="EP19" s="624">
        <f t="shared" si="77"/>
        <v>0.52262282408684924</v>
      </c>
      <c r="EQ19" s="624">
        <f t="shared" si="77"/>
        <v>0.54988020484464428</v>
      </c>
      <c r="ER19" s="501">
        <f t="shared" si="77"/>
        <v>0.53242400864197115</v>
      </c>
      <c r="ES19" s="359"/>
      <c r="ET19" s="133"/>
    </row>
    <row r="20" spans="1:150" s="253" customFormat="1" ht="12" customHeight="1">
      <c r="A20" s="1299" t="s">
        <v>782</v>
      </c>
      <c r="B20" s="792"/>
      <c r="C20" s="265" t="s">
        <v>212</v>
      </c>
      <c r="D20" s="255"/>
      <c r="E20" s="255"/>
      <c r="F20" s="255"/>
      <c r="G20" s="255"/>
      <c r="H20" s="255"/>
      <c r="M20" s="255"/>
      <c r="R20" s="255"/>
      <c r="W20" s="255"/>
      <c r="AB20" s="255"/>
      <c r="AG20" s="255"/>
      <c r="AL20" s="255"/>
      <c r="AQ20" s="255"/>
      <c r="AV20" s="255"/>
      <c r="BA20" s="255"/>
      <c r="BF20" s="255"/>
      <c r="BK20" s="255"/>
      <c r="BP20" s="255"/>
      <c r="BQ20" s="120">
        <f>BQ6+BQ12</f>
        <v>17.318999999999999</v>
      </c>
      <c r="BR20" s="120">
        <f>BR6+BR12</f>
        <v>20.036999999999999</v>
      </c>
      <c r="BS20" s="120">
        <f>BS6+BS12</f>
        <v>23.146000000000001</v>
      </c>
      <c r="BT20" s="120">
        <f>BT6+BT12</f>
        <v>26.945999999999998</v>
      </c>
      <c r="BU20" s="257">
        <f>SUM(BQ20:BT20)</f>
        <v>87.447999999999993</v>
      </c>
      <c r="BV20" s="120">
        <f>BV6+BV12</f>
        <v>30.474000000000004</v>
      </c>
      <c r="BW20" s="120">
        <f>BW6+BW12</f>
        <v>34.576000000000001</v>
      </c>
      <c r="BX20" s="120">
        <f>BX6+BX12</f>
        <v>39.283999999999999</v>
      </c>
      <c r="BY20" s="120">
        <f>BY6+BY12</f>
        <v>44.793999999999997</v>
      </c>
      <c r="BZ20" s="257">
        <f>SUM(BV20:BY20)</f>
        <v>149.12799999999999</v>
      </c>
      <c r="CA20" s="120">
        <f>CA6+CA12</f>
        <v>49.826000000000001</v>
      </c>
      <c r="CB20" s="120">
        <f>CB6+CB12</f>
        <v>57.91</v>
      </c>
      <c r="CC20" s="120">
        <f>CC6+CC12</f>
        <v>66.977000000000004</v>
      </c>
      <c r="CD20" s="120">
        <f>CD6+CD12</f>
        <v>74.051000000000002</v>
      </c>
      <c r="CE20" s="257">
        <f>SUM(CA20:CD20)</f>
        <v>248.76400000000001</v>
      </c>
      <c r="CF20" s="120">
        <f>CF6+CF12</f>
        <v>77.037999999999997</v>
      </c>
      <c r="CG20" s="120">
        <f>CG6+CG12</f>
        <v>86.197000000000003</v>
      </c>
      <c r="CH20" s="120">
        <f>CH6+CH12</f>
        <v>93.917000000000002</v>
      </c>
      <c r="CI20" s="120">
        <f>CI6+CI12</f>
        <v>106.854</v>
      </c>
      <c r="CJ20" s="257">
        <f>SUM(CF20:CI20)</f>
        <v>364.00600000000003</v>
      </c>
      <c r="CK20" s="120">
        <f>CK6+CK12</f>
        <v>112.46599999999999</v>
      </c>
      <c r="CL20" s="120">
        <f>CL6+CL12</f>
        <v>123.509</v>
      </c>
      <c r="CM20" s="120">
        <f>CM6+CM12</f>
        <v>132.31399999999999</v>
      </c>
      <c r="CN20" s="120">
        <f>CN6+CN12</f>
        <v>145.797</v>
      </c>
      <c r="CO20" s="257">
        <f>SUM(CK20:CN20)</f>
        <v>514.08600000000001</v>
      </c>
      <c r="CP20" s="120">
        <f>CP6+CP12</f>
        <v>149.89699999999999</v>
      </c>
      <c r="CQ20" s="120">
        <f>CQ6+CQ12</f>
        <v>152.03399999999999</v>
      </c>
      <c r="CR20" s="120">
        <f>CR6+CR12</f>
        <v>193.10399999999998</v>
      </c>
      <c r="CS20" s="120">
        <f>CS6+CS12</f>
        <v>220.19</v>
      </c>
      <c r="CT20" s="257">
        <f>SUM(CP20:CS20)</f>
        <v>715.22499999999991</v>
      </c>
      <c r="CU20" s="120">
        <f>CU6+CU12</f>
        <v>262.29899999999998</v>
      </c>
      <c r="CV20" s="120">
        <f>CV6+CV12</f>
        <v>271.21000000000004</v>
      </c>
      <c r="CW20" s="120">
        <f>CW6+CW12</f>
        <v>268.85300000000001</v>
      </c>
      <c r="CX20" s="120">
        <f>CX6+CX12</f>
        <v>275.62100000000004</v>
      </c>
      <c r="CY20" s="257">
        <f>SUM(CU20:CX20)</f>
        <v>1077.9830000000002</v>
      </c>
      <c r="CZ20" s="120">
        <f>CZ6+CZ12</f>
        <v>267.21600000000001</v>
      </c>
      <c r="DA20" s="120">
        <f>DA6+DA12</f>
        <v>281.20499999999998</v>
      </c>
      <c r="DB20" s="120">
        <f>DB6+DB12</f>
        <v>293.988</v>
      </c>
      <c r="DC20" s="120">
        <f>DC6+DC12</f>
        <v>314.483</v>
      </c>
      <c r="DD20" s="257">
        <f>SUM(CZ20:DC20)</f>
        <v>1156.8920000000001</v>
      </c>
      <c r="DE20" s="120">
        <f>DE6+DE12</f>
        <v>298</v>
      </c>
      <c r="DF20" s="120">
        <f>DF6+DF12</f>
        <v>359</v>
      </c>
      <c r="DG20" s="120">
        <f>DG6+DG12</f>
        <v>398</v>
      </c>
      <c r="DH20" s="120">
        <f>DH6+DH12</f>
        <v>428</v>
      </c>
      <c r="DI20" s="257">
        <f>SUM(DE20:DH20)</f>
        <v>1483</v>
      </c>
      <c r="DJ20" s="120">
        <f>DJ6+DJ12</f>
        <v>416</v>
      </c>
      <c r="DK20" s="120">
        <f>DK6+DK12</f>
        <v>466</v>
      </c>
      <c r="DL20" s="120">
        <f>DL6+DL12</f>
        <v>502</v>
      </c>
      <c r="DM20" s="120">
        <f>DM6+DM12</f>
        <v>532</v>
      </c>
      <c r="DN20" s="257">
        <f>SUM(DJ20:DM20)</f>
        <v>1916</v>
      </c>
      <c r="DO20" s="120">
        <f>DO6+DO12</f>
        <v>497</v>
      </c>
      <c r="DP20" s="120">
        <f>DP6+DP12</f>
        <v>535</v>
      </c>
      <c r="DQ20" s="120">
        <f>DQ6+DQ12</f>
        <v>571</v>
      </c>
      <c r="DR20" s="120">
        <f>DR6+DR12</f>
        <v>629</v>
      </c>
      <c r="DS20" s="257">
        <f>SUM(DO20:DR20)</f>
        <v>2232</v>
      </c>
      <c r="DT20" s="120">
        <f>DT6+DT12</f>
        <v>602</v>
      </c>
      <c r="DU20" s="120">
        <f>DU6+DU12</f>
        <v>639</v>
      </c>
      <c r="DV20" s="120">
        <f>DV6+DV12</f>
        <v>701.7294457516241</v>
      </c>
      <c r="DW20" s="120">
        <f>DW6+DW12</f>
        <v>755.77254726490867</v>
      </c>
      <c r="DX20" s="257">
        <f>SUM(DT20:DW20)</f>
        <v>2698.5019930165327</v>
      </c>
      <c r="DY20" s="120">
        <f>DY6+DY12</f>
        <v>720.11764464509383</v>
      </c>
      <c r="DZ20" s="120">
        <f>DZ6+DZ12</f>
        <v>768.57829453108673</v>
      </c>
      <c r="EA20" s="120">
        <f>EA6+EA12</f>
        <v>844.05242656893051</v>
      </c>
      <c r="EB20" s="120">
        <f>EB6+EB12</f>
        <v>909.04624839646158</v>
      </c>
      <c r="EC20" s="257">
        <f>SUM(DY20:EB20)</f>
        <v>3241.7946141415728</v>
      </c>
      <c r="ED20" s="120">
        <f>ED6+ED12</f>
        <v>853.89100947541738</v>
      </c>
      <c r="EE20" s="120">
        <f>EE6+EE12</f>
        <v>906.9222476577263</v>
      </c>
      <c r="EF20" s="120">
        <f>EF6+EF12</f>
        <v>991.17536567678906</v>
      </c>
      <c r="EG20" s="120">
        <f>EG6+EG12</f>
        <v>1062.304029043202</v>
      </c>
      <c r="EH20" s="257">
        <f>SUM(ED20:EG20)</f>
        <v>3814.2926518531349</v>
      </c>
      <c r="EI20" s="120">
        <f>EI6+EI12</f>
        <v>997.83945770754553</v>
      </c>
      <c r="EJ20" s="120">
        <f>EJ6+EJ12</f>
        <v>1059.8016462813382</v>
      </c>
      <c r="EK20" s="120">
        <f>EK6+EK12</f>
        <v>1158.2906773382622</v>
      </c>
      <c r="EL20" s="120">
        <f>EL6+EL12</f>
        <v>1241.3979102863705</v>
      </c>
      <c r="EM20" s="257">
        <f>SUM(EI20:EL20)</f>
        <v>4457.3296916135159</v>
      </c>
      <c r="EN20" s="120">
        <f>EN6+EN12</f>
        <v>1166.0528256035298</v>
      </c>
      <c r="EO20" s="120">
        <f>EO6+EO12</f>
        <v>1238.4498777968167</v>
      </c>
      <c r="EP20" s="120">
        <f>EP6+EP12</f>
        <v>1353.5801098081711</v>
      </c>
      <c r="EQ20" s="120">
        <f>EQ6+EQ12</f>
        <v>1450.6829980596476</v>
      </c>
      <c r="ER20" s="257">
        <f>SUM(EN20:EQ20)</f>
        <v>5208.7658112681656</v>
      </c>
      <c r="ES20" s="417"/>
      <c r="ET20" s="133"/>
    </row>
    <row r="21" spans="1:150" s="253" customFormat="1" ht="13.2" customHeight="1">
      <c r="A21" s="792"/>
      <c r="B21" s="792"/>
      <c r="C21" s="240" t="s">
        <v>210</v>
      </c>
      <c r="D21" s="255"/>
      <c r="E21" s="255"/>
      <c r="F21" s="255"/>
      <c r="G21" s="255"/>
      <c r="H21" s="255"/>
      <c r="I21" s="94"/>
      <c r="J21" s="94"/>
      <c r="K21" s="94"/>
      <c r="L21" s="94"/>
      <c r="M21" s="255"/>
      <c r="N21" s="94"/>
      <c r="O21" s="94"/>
      <c r="P21" s="94"/>
      <c r="Q21" s="94"/>
      <c r="R21" s="255"/>
      <c r="S21" s="94"/>
      <c r="T21" s="94"/>
      <c r="U21" s="94"/>
      <c r="V21" s="94"/>
      <c r="W21" s="255"/>
      <c r="X21" s="94"/>
      <c r="Y21" s="94"/>
      <c r="Z21" s="94"/>
      <c r="AA21" s="94"/>
      <c r="AB21" s="255"/>
      <c r="AC21" s="94"/>
      <c r="AD21" s="94"/>
      <c r="AE21" s="94"/>
      <c r="AF21" s="94"/>
      <c r="AG21" s="255"/>
      <c r="AH21" s="94"/>
      <c r="AI21" s="94"/>
      <c r="AJ21" s="94"/>
      <c r="AK21" s="94"/>
      <c r="AL21" s="255"/>
      <c r="AM21" s="94"/>
      <c r="AN21" s="94"/>
      <c r="AO21" s="94"/>
      <c r="AP21" s="94"/>
      <c r="AQ21" s="255"/>
      <c r="AR21" s="94"/>
      <c r="AS21" s="94"/>
      <c r="AT21" s="94"/>
      <c r="AU21" s="94"/>
      <c r="AV21" s="255"/>
      <c r="AW21" s="94"/>
      <c r="AX21" s="94"/>
      <c r="AY21" s="94"/>
      <c r="AZ21" s="94"/>
      <c r="BA21" s="255"/>
      <c r="BB21" s="94"/>
      <c r="BC21" s="94"/>
      <c r="BD21" s="94"/>
      <c r="BE21" s="94"/>
      <c r="BF21" s="255"/>
      <c r="BG21" s="622"/>
      <c r="BH21" s="622"/>
      <c r="BI21" s="622"/>
      <c r="BJ21" s="622"/>
      <c r="BK21" s="255"/>
      <c r="BL21" s="622"/>
      <c r="BM21" s="622"/>
      <c r="BN21" s="622"/>
      <c r="BO21" s="622"/>
      <c r="BP21" s="255"/>
      <c r="BQ21" s="359">
        <f t="shared" ref="BQ21:CV21" si="78">BQ20/BQ6</f>
        <v>0.77482999284180376</v>
      </c>
      <c r="BR21" s="359">
        <f t="shared" si="78"/>
        <v>0.78703012687065477</v>
      </c>
      <c r="BS21" s="359">
        <f t="shared" si="78"/>
        <v>0.78301759133964821</v>
      </c>
      <c r="BT21" s="359">
        <f t="shared" si="78"/>
        <v>0.77860610263522889</v>
      </c>
      <c r="BU21" s="501">
        <f t="shared" si="78"/>
        <v>0.78093213906178838</v>
      </c>
      <c r="BV21" s="359">
        <f t="shared" si="78"/>
        <v>0.78731979538056118</v>
      </c>
      <c r="BW21" s="359">
        <f t="shared" si="78"/>
        <v>0.7916838393552228</v>
      </c>
      <c r="BX21" s="359">
        <f t="shared" si="78"/>
        <v>0.78821806216015566</v>
      </c>
      <c r="BY21" s="359">
        <f t="shared" si="78"/>
        <v>0.79440296522248033</v>
      </c>
      <c r="BZ21" s="501">
        <f t="shared" si="78"/>
        <v>0.79068534405056035</v>
      </c>
      <c r="CA21" s="359">
        <f t="shared" si="78"/>
        <v>0.80260953608247421</v>
      </c>
      <c r="CB21" s="359">
        <f t="shared" si="78"/>
        <v>0.80882147546020833</v>
      </c>
      <c r="CC21" s="359">
        <f t="shared" si="78"/>
        <v>0.81248256201856006</v>
      </c>
      <c r="CD21" s="359">
        <f t="shared" si="78"/>
        <v>0.78846440511935945</v>
      </c>
      <c r="CE21" s="501">
        <f t="shared" si="78"/>
        <v>0.80238427770126219</v>
      </c>
      <c r="CF21" s="359">
        <f t="shared" si="78"/>
        <v>0.76885766182957749</v>
      </c>
      <c r="CG21" s="359">
        <f t="shared" si="78"/>
        <v>0.77850633574479999</v>
      </c>
      <c r="CH21" s="359">
        <f t="shared" si="78"/>
        <v>0.77928425035472182</v>
      </c>
      <c r="CI21" s="359">
        <f t="shared" si="78"/>
        <v>0.80004492362982926</v>
      </c>
      <c r="CJ21" s="501">
        <f t="shared" si="78"/>
        <v>0.78281533604590159</v>
      </c>
      <c r="CK21" s="359">
        <f t="shared" si="78"/>
        <v>0.8007490156709457</v>
      </c>
      <c r="CL21" s="359">
        <f t="shared" si="78"/>
        <v>0.80700046390977942</v>
      </c>
      <c r="CM21" s="359">
        <f t="shared" si="78"/>
        <v>0.79910857184270756</v>
      </c>
      <c r="CN21" s="359">
        <f t="shared" si="78"/>
        <v>0.79598287891857655</v>
      </c>
      <c r="CO21" s="501">
        <f t="shared" si="78"/>
        <v>0.80045652644412302</v>
      </c>
      <c r="CP21" s="359">
        <f t="shared" si="78"/>
        <v>0.79898618936191756</v>
      </c>
      <c r="CQ21" s="359">
        <f t="shared" si="78"/>
        <v>0.77396988301414216</v>
      </c>
      <c r="CR21" s="359">
        <f t="shared" si="78"/>
        <v>0.78729910222852806</v>
      </c>
      <c r="CS21" s="359">
        <f t="shared" si="78"/>
        <v>0.78796879473232173</v>
      </c>
      <c r="CT21" s="501">
        <f t="shared" si="78"/>
        <v>0.78703657853529585</v>
      </c>
      <c r="CU21" s="359">
        <f t="shared" si="78"/>
        <v>0.81794368858772426</v>
      </c>
      <c r="CV21" s="359">
        <f t="shared" si="78"/>
        <v>0.81143021269338833</v>
      </c>
      <c r="CW21" s="359">
        <f t="shared" ref="CW21:EB21" si="79">CW20/CW6</f>
        <v>0.79966270879931467</v>
      </c>
      <c r="CX21" s="627">
        <f t="shared" si="79"/>
        <v>0.78477995945422663</v>
      </c>
      <c r="CY21" s="501">
        <f t="shared" si="79"/>
        <v>0.80306615194132025</v>
      </c>
      <c r="CZ21" s="359">
        <f t="shared" si="79"/>
        <v>0.77507606718857414</v>
      </c>
      <c r="DA21" s="359">
        <f t="shared" si="79"/>
        <v>0.76739083568249356</v>
      </c>
      <c r="DB21" s="359">
        <f t="shared" si="79"/>
        <v>0.78125755711518174</v>
      </c>
      <c r="DC21" s="359">
        <f t="shared" si="79"/>
        <v>0.78570857505484015</v>
      </c>
      <c r="DD21" s="501">
        <f t="shared" si="79"/>
        <v>0.77760712588530811</v>
      </c>
      <c r="DE21" s="359">
        <f t="shared" si="79"/>
        <v>0.78010471204188481</v>
      </c>
      <c r="DF21" s="359">
        <f t="shared" si="79"/>
        <v>0.80855855855855852</v>
      </c>
      <c r="DG21" s="359">
        <f t="shared" si="79"/>
        <v>0.81893004115226342</v>
      </c>
      <c r="DH21" s="627">
        <f t="shared" si="79"/>
        <v>0.81523809523809521</v>
      </c>
      <c r="DI21" s="501">
        <f t="shared" si="79"/>
        <v>0.8072945019052804</v>
      </c>
      <c r="DJ21" s="627">
        <f t="shared" si="79"/>
        <v>0.81409001956947158</v>
      </c>
      <c r="DK21" s="627">
        <f t="shared" si="79"/>
        <v>0.82770870337477798</v>
      </c>
      <c r="DL21" s="627">
        <f t="shared" si="79"/>
        <v>0.82295081967213113</v>
      </c>
      <c r="DM21" s="627">
        <f t="shared" si="79"/>
        <v>0.79879879879879878</v>
      </c>
      <c r="DN21" s="501">
        <f t="shared" si="79"/>
        <v>0.81531914893617019</v>
      </c>
      <c r="DO21" s="627">
        <f t="shared" si="79"/>
        <v>0.80161290322580647</v>
      </c>
      <c r="DP21" s="627">
        <f t="shared" si="79"/>
        <v>0.81554878048780488</v>
      </c>
      <c r="DQ21" s="627">
        <f t="shared" ref="DQ21" si="80">DQ20/DQ6</f>
        <v>0.81688125894134478</v>
      </c>
      <c r="DR21" s="963">
        <f>DR20/DR6</f>
        <v>0.80952380952380953</v>
      </c>
      <c r="DS21" s="501">
        <f t="shared" si="79"/>
        <v>0.81104651162790697</v>
      </c>
      <c r="DT21" s="627">
        <f t="shared" ref="DT21:DU21" si="81">DT20/DT6</f>
        <v>0.80266666666666664</v>
      </c>
      <c r="DU21" s="627">
        <f t="shared" si="81"/>
        <v>0.79675810473815456</v>
      </c>
      <c r="DV21" s="627">
        <f t="shared" si="79"/>
        <v>0.81538125894134483</v>
      </c>
      <c r="DW21" s="627">
        <f t="shared" si="79"/>
        <v>0.80802380952380959</v>
      </c>
      <c r="DX21" s="501">
        <f t="shared" si="79"/>
        <v>0.80601630616771991</v>
      </c>
      <c r="DY21" s="627">
        <f t="shared" si="79"/>
        <v>0.80116666666666658</v>
      </c>
      <c r="DZ21" s="627">
        <f t="shared" si="79"/>
        <v>0.79575810473815467</v>
      </c>
      <c r="EA21" s="627">
        <f t="shared" si="79"/>
        <v>0.81438125894134483</v>
      </c>
      <c r="EB21" s="627">
        <f t="shared" si="79"/>
        <v>0.80702380952380959</v>
      </c>
      <c r="EC21" s="501">
        <f t="shared" ref="EC21:EG21" si="82">EC20/EC6</f>
        <v>0.80490836627993689</v>
      </c>
      <c r="ED21" s="627">
        <f t="shared" si="82"/>
        <v>0.80016666666666669</v>
      </c>
      <c r="EE21" s="627">
        <f t="shared" si="82"/>
        <v>0.79475810473815456</v>
      </c>
      <c r="EF21" s="627">
        <f t="shared" si="82"/>
        <v>0.81338125894134483</v>
      </c>
      <c r="EG21" s="627">
        <f t="shared" si="82"/>
        <v>0.80602380952380948</v>
      </c>
      <c r="EH21" s="501">
        <f t="shared" ref="EH21:EL21" si="83">EH20/EH6</f>
        <v>0.8038866667976442</v>
      </c>
      <c r="EI21" s="627">
        <f t="shared" si="83"/>
        <v>0.79916666666666658</v>
      </c>
      <c r="EJ21" s="627">
        <f t="shared" si="83"/>
        <v>0.79375810473815467</v>
      </c>
      <c r="EK21" s="627">
        <f t="shared" si="83"/>
        <v>0.81238125894134483</v>
      </c>
      <c r="EL21" s="627">
        <f t="shared" si="83"/>
        <v>0.80502380952380947</v>
      </c>
      <c r="EM21" s="501">
        <f t="shared" ref="EM21:ER21" si="84">EM20/EM6</f>
        <v>0.80288666679764398</v>
      </c>
      <c r="EN21" s="627">
        <f t="shared" si="84"/>
        <v>0.79816666666666669</v>
      </c>
      <c r="EO21" s="627">
        <f t="shared" si="84"/>
        <v>0.79275810473815467</v>
      </c>
      <c r="EP21" s="627">
        <f t="shared" si="84"/>
        <v>0.81138125894134483</v>
      </c>
      <c r="EQ21" s="627">
        <f t="shared" si="84"/>
        <v>0.80402380952380959</v>
      </c>
      <c r="ER21" s="501">
        <f t="shared" si="84"/>
        <v>0.80188666679764431</v>
      </c>
      <c r="ES21" s="359"/>
      <c r="ET21" s="133"/>
    </row>
    <row r="22" spans="1:150" s="253" customFormat="1" ht="12" customHeight="1">
      <c r="A22" s="1299" t="s">
        <v>783</v>
      </c>
      <c r="B22" s="792"/>
      <c r="C22" s="265" t="s">
        <v>213</v>
      </c>
      <c r="D22" s="255"/>
      <c r="E22" s="255"/>
      <c r="F22" s="255"/>
      <c r="G22" s="255"/>
      <c r="H22" s="255"/>
      <c r="M22" s="255"/>
      <c r="R22" s="255"/>
      <c r="W22" s="255"/>
      <c r="AB22" s="255"/>
      <c r="AG22" s="255"/>
      <c r="AL22" s="255"/>
      <c r="AQ22" s="255"/>
      <c r="AV22" s="255"/>
      <c r="BA22" s="255"/>
      <c r="BF22" s="255"/>
      <c r="BK22" s="255"/>
      <c r="BP22" s="255"/>
      <c r="BQ22" s="120">
        <f>BQ8+BQ15</f>
        <v>4.2469999999999999</v>
      </c>
      <c r="BR22" s="120">
        <f>BR8+BR15</f>
        <v>5.2149999999999981</v>
      </c>
      <c r="BS22" s="120">
        <f>BS8+BS15</f>
        <v>5.5969999999999978</v>
      </c>
      <c r="BT22" s="120">
        <f>BT8+BT15</f>
        <v>9.5209999999999972</v>
      </c>
      <c r="BU22" s="257">
        <f>SUM(BQ22:BT22)</f>
        <v>24.579999999999991</v>
      </c>
      <c r="BV22" s="120">
        <f>BV8+BV15</f>
        <v>9.6109999999999971</v>
      </c>
      <c r="BW22" s="120">
        <f>BW8+BW15</f>
        <v>12.946999999999999</v>
      </c>
      <c r="BX22" s="120">
        <f>BX8+BX15</f>
        <v>14.467999999999996</v>
      </c>
      <c r="BY22" s="120">
        <f>BY8+BY15</f>
        <v>23.340999999999994</v>
      </c>
      <c r="BZ22" s="257">
        <f>SUM(BV22:BY22)</f>
        <v>60.36699999999999</v>
      </c>
      <c r="CA22" s="120">
        <f>CA8+CA15</f>
        <v>22.415000000000006</v>
      </c>
      <c r="CB22" s="120">
        <f>CB8+CB15</f>
        <v>28.93</v>
      </c>
      <c r="CC22" s="120">
        <f>CC8+CC15</f>
        <v>33.050000000000004</v>
      </c>
      <c r="CD22" s="120">
        <f>CD8+CD15</f>
        <v>47.09399999999998</v>
      </c>
      <c r="CE22" s="257">
        <f>SUM(CA22:CD22)</f>
        <v>131.48899999999998</v>
      </c>
      <c r="CF22" s="120">
        <f>CF8+CF15</f>
        <v>46.804000000000002</v>
      </c>
      <c r="CG22" s="120">
        <f>CG8+CG15</f>
        <v>50.757999999999996</v>
      </c>
      <c r="CH22" s="120">
        <f>CH8+CH15</f>
        <v>55.81</v>
      </c>
      <c r="CI22" s="120">
        <f>CI8+CI15</f>
        <v>78.888999999999982</v>
      </c>
      <c r="CJ22" s="257">
        <f>SUM(CF22:CI22)</f>
        <v>232.261</v>
      </c>
      <c r="CK22" s="120">
        <f>CK8+CK15</f>
        <v>67.825000000000003</v>
      </c>
      <c r="CL22" s="120">
        <f>CL8+CL15</f>
        <v>81.255999999999986</v>
      </c>
      <c r="CM22" s="120">
        <f>CM8+CM15</f>
        <v>84.382000000000005</v>
      </c>
      <c r="CN22" s="120">
        <f>CN8+CN15</f>
        <v>118.09400000000002</v>
      </c>
      <c r="CO22" s="257">
        <f>SUM(CK22:CN22)</f>
        <v>351.55700000000002</v>
      </c>
      <c r="CP22" s="120">
        <f>CP8+CP15</f>
        <v>107.053</v>
      </c>
      <c r="CQ22" s="120">
        <f>CQ8+CQ15</f>
        <v>223.00000000000006</v>
      </c>
      <c r="CR22" s="120">
        <f>CR8+CR15</f>
        <v>212.04399999999998</v>
      </c>
      <c r="CS22" s="120">
        <f>CS8+CS15</f>
        <v>284.19799999999998</v>
      </c>
      <c r="CT22" s="257">
        <f>SUM(CP22:CS22)</f>
        <v>826.29499999999996</v>
      </c>
      <c r="CU22" s="120">
        <f>CU8+CU15</f>
        <v>296.41700000000003</v>
      </c>
      <c r="CV22" s="120">
        <f>CV8+CV15</f>
        <v>349.65</v>
      </c>
      <c r="CW22" s="120">
        <f>CW8+CW15</f>
        <v>340.05600000000004</v>
      </c>
      <c r="CX22" s="120">
        <f>CX8+CX15</f>
        <v>417.03800000000001</v>
      </c>
      <c r="CY22" s="257">
        <f>SUM(CU22:CX22)</f>
        <v>1403.1610000000001</v>
      </c>
      <c r="CZ22" s="120">
        <f>CZ8+CZ15</f>
        <v>370.42099999999999</v>
      </c>
      <c r="DA22" s="120">
        <f>DA8+DA15</f>
        <v>374.43700000000001</v>
      </c>
      <c r="DB22" s="120">
        <f>DB8+DB15</f>
        <v>368.34400000000005</v>
      </c>
      <c r="DC22" s="120">
        <f>DC8+DC15</f>
        <v>484.02499999999998</v>
      </c>
      <c r="DD22" s="257">
        <f>SUM(CZ22:DC22)</f>
        <v>1597.2269999999999</v>
      </c>
      <c r="DE22" s="120">
        <f>DE8+DE15</f>
        <v>419</v>
      </c>
      <c r="DF22" s="120">
        <f>DF8+DF15</f>
        <v>476</v>
      </c>
      <c r="DG22" s="120">
        <f>DG8+DG15</f>
        <v>503</v>
      </c>
      <c r="DH22" s="120">
        <f>DH8+DH15</f>
        <v>634</v>
      </c>
      <c r="DI22" s="257">
        <f>SUM(DE22:DH22)</f>
        <v>2032</v>
      </c>
      <c r="DJ22" s="120">
        <f>DJ8+DJ15</f>
        <v>541</v>
      </c>
      <c r="DK22" s="120">
        <f>DK8+DK15</f>
        <v>579</v>
      </c>
      <c r="DL22" s="120">
        <f>DL8+DL15</f>
        <v>616</v>
      </c>
      <c r="DM22" s="120">
        <f>DM8+DM15</f>
        <v>820</v>
      </c>
      <c r="DN22" s="257">
        <f>SUM(DJ22:DM22)</f>
        <v>2556</v>
      </c>
      <c r="DO22" s="120">
        <f>DO8+DO15</f>
        <v>672</v>
      </c>
      <c r="DP22" s="120">
        <f>DP8+DP15</f>
        <v>767</v>
      </c>
      <c r="DQ22" s="120">
        <f>DQ8+DQ15</f>
        <v>820</v>
      </c>
      <c r="DR22" s="120">
        <f>DR8+DR15</f>
        <v>1064</v>
      </c>
      <c r="DS22" s="257">
        <f>SUM(DO22:DR22)</f>
        <v>3323</v>
      </c>
      <c r="DT22" s="120">
        <f>DT8+DT15</f>
        <v>944</v>
      </c>
      <c r="DU22" s="120">
        <f>DU8+DU15</f>
        <v>1069</v>
      </c>
      <c r="DV22" s="120">
        <f>DV8+DV15</f>
        <v>1094.5604532636366</v>
      </c>
      <c r="DW22" s="120">
        <f>DW8+DW15</f>
        <v>1409.5462301853368</v>
      </c>
      <c r="DX22" s="257">
        <f>SUM(DT22:DW22)</f>
        <v>4517.1066834489739</v>
      </c>
      <c r="DY22" s="120">
        <f>DY8+DY15</f>
        <v>1224.9786114692231</v>
      </c>
      <c r="DZ22" s="120">
        <f>DZ8+DZ15</f>
        <v>1376.3432176343194</v>
      </c>
      <c r="EA22" s="120">
        <f>EA8+EA15</f>
        <v>1387.2407774772728</v>
      </c>
      <c r="EB22" s="120">
        <f>EB8+EB15</f>
        <v>1772.1927297131479</v>
      </c>
      <c r="EC22" s="257">
        <f>SUM(DY22:EB22)</f>
        <v>5760.7553362939634</v>
      </c>
      <c r="ED22" s="120">
        <f>ED8+ED15</f>
        <v>1490.0110899005349</v>
      </c>
      <c r="EE22" s="120">
        <f>EE8+EE15</f>
        <v>1674.1205595547672</v>
      </c>
      <c r="EF22" s="120">
        <f>EF8+EF15</f>
        <v>1687.5910136550001</v>
      </c>
      <c r="EG22" s="120">
        <f>EG8+EG15</f>
        <v>2155.9290753786699</v>
      </c>
      <c r="EH22" s="257">
        <f>SUM(ED22:EG22)</f>
        <v>7007.6517384889721</v>
      </c>
      <c r="EI22" s="120">
        <f>EI8+EI15</f>
        <v>1774.3607653845738</v>
      </c>
      <c r="EJ22" s="120">
        <f>EJ8+EJ15</f>
        <v>1993.601461837382</v>
      </c>
      <c r="EK22" s="120">
        <f>EK8+EK15</f>
        <v>2009.8926332821702</v>
      </c>
      <c r="EL22" s="120">
        <f>EL8+EL15</f>
        <v>2567.7253728792384</v>
      </c>
      <c r="EM22" s="257">
        <f>SUM(EI22:EL22)</f>
        <v>8345.5802333833635</v>
      </c>
      <c r="EN22" s="120">
        <f>EN8+EN15</f>
        <v>2085.695133854088</v>
      </c>
      <c r="EO22" s="120">
        <f>EO8+EO15</f>
        <v>2343.4010859373402</v>
      </c>
      <c r="EP22" s="120">
        <f>EP8+EP15</f>
        <v>2362.8377246284849</v>
      </c>
      <c r="EQ22" s="120">
        <f>EQ8+EQ15</f>
        <v>3018.6887371151934</v>
      </c>
      <c r="ER22" s="257">
        <f>SUM(EN22:EQ22)</f>
        <v>9810.6226815351074</v>
      </c>
      <c r="ES22" s="417"/>
      <c r="ET22" s="133"/>
    </row>
    <row r="23" spans="1:150" s="254" customFormat="1" ht="12" customHeight="1">
      <c r="A23" s="792"/>
      <c r="B23" s="792"/>
      <c r="C23" s="240" t="s">
        <v>211</v>
      </c>
      <c r="D23" s="255"/>
      <c r="E23" s="255"/>
      <c r="F23" s="255"/>
      <c r="G23" s="255"/>
      <c r="H23" s="255"/>
      <c r="M23" s="255"/>
      <c r="R23" s="255"/>
      <c r="W23" s="255"/>
      <c r="AB23" s="255"/>
      <c r="AG23" s="255"/>
      <c r="AL23" s="255"/>
      <c r="AQ23" s="255"/>
      <c r="AV23" s="255"/>
      <c r="BA23" s="255"/>
      <c r="BF23" s="255"/>
      <c r="BK23" s="255"/>
      <c r="BP23" s="255"/>
      <c r="BQ23" s="359">
        <f t="shared" ref="BQ23:CV23" si="85">BQ22/BQ8</f>
        <v>0.28320885569485194</v>
      </c>
      <c r="BR23" s="359">
        <f t="shared" si="85"/>
        <v>0.26788924847177265</v>
      </c>
      <c r="BS23" s="359">
        <f t="shared" si="85"/>
        <v>0.24097993627830872</v>
      </c>
      <c r="BT23" s="359">
        <f t="shared" si="85"/>
        <v>0.2677070153240545</v>
      </c>
      <c r="BU23" s="501">
        <f t="shared" si="85"/>
        <v>0.26358118686597887</v>
      </c>
      <c r="BV23" s="359">
        <f t="shared" si="85"/>
        <v>0.28254350893697078</v>
      </c>
      <c r="BW23" s="359">
        <f t="shared" si="85"/>
        <v>0.30128220045144627</v>
      </c>
      <c r="BX23" s="359">
        <f t="shared" si="85"/>
        <v>0.29087838517059045</v>
      </c>
      <c r="BY23" s="359">
        <f t="shared" si="85"/>
        <v>0.31543596951186542</v>
      </c>
      <c r="BZ23" s="501">
        <f t="shared" si="85"/>
        <v>0.30074629839979272</v>
      </c>
      <c r="CA23" s="359">
        <f t="shared" si="85"/>
        <v>0.34326712507082807</v>
      </c>
      <c r="CB23" s="359">
        <f t="shared" si="85"/>
        <v>0.36136752563798291</v>
      </c>
      <c r="CC23" s="359">
        <f t="shared" si="85"/>
        <v>0.37126071376416803</v>
      </c>
      <c r="CD23" s="359">
        <f t="shared" si="85"/>
        <v>0.36536432472691149</v>
      </c>
      <c r="CE23" s="501">
        <f t="shared" si="85"/>
        <v>0.36195643496764135</v>
      </c>
      <c r="CF23" s="359">
        <f t="shared" si="85"/>
        <v>0.41005063867813779</v>
      </c>
      <c r="CG23" s="359">
        <f t="shared" si="85"/>
        <v>0.37810819266697454</v>
      </c>
      <c r="CH23" s="359">
        <f t="shared" si="85"/>
        <v>0.37319371167592802</v>
      </c>
      <c r="CI23" s="359">
        <f t="shared" si="85"/>
        <v>0.37512244296297698</v>
      </c>
      <c r="CJ23" s="501">
        <f t="shared" si="85"/>
        <v>0.38186188516571778</v>
      </c>
      <c r="CK23" s="359">
        <f t="shared" si="85"/>
        <v>0.37674067243974652</v>
      </c>
      <c r="CL23" s="359">
        <f t="shared" si="85"/>
        <v>0.38891122470468859</v>
      </c>
      <c r="CM23" s="359">
        <f t="shared" si="85"/>
        <v>0.37507278586509618</v>
      </c>
      <c r="CN23" s="359">
        <f t="shared" si="85"/>
        <v>0.3667583868022386</v>
      </c>
      <c r="CO23" s="501">
        <f t="shared" si="85"/>
        <v>0.37562237427505418</v>
      </c>
      <c r="CP23" s="359">
        <f t="shared" si="85"/>
        <v>0.37909360038528001</v>
      </c>
      <c r="CQ23" s="359">
        <f t="shared" si="85"/>
        <v>0.43057923526810804</v>
      </c>
      <c r="CR23" s="359">
        <f t="shared" si="85"/>
        <v>0.406112642229632</v>
      </c>
      <c r="CS23" s="359">
        <f t="shared" si="85"/>
        <v>0.40698320502245439</v>
      </c>
      <c r="CT23" s="501">
        <f t="shared" si="85"/>
        <v>0.40890834716494107</v>
      </c>
      <c r="CU23" s="359">
        <f t="shared" si="85"/>
        <v>0.4437606105699991</v>
      </c>
      <c r="CV23" s="359">
        <f t="shared" si="85"/>
        <v>0.44529602347403491</v>
      </c>
      <c r="CW23" s="359">
        <f t="shared" ref="CW23:EB23" si="86">CW22/CW8</f>
        <v>0.43179959671480017</v>
      </c>
      <c r="CX23" s="627">
        <f t="shared" si="86"/>
        <v>0.40535722617066611</v>
      </c>
      <c r="CY23" s="501">
        <f t="shared" si="86"/>
        <v>0.42916395730018031</v>
      </c>
      <c r="CZ23" s="359">
        <f t="shared" si="86"/>
        <v>0.43129280373331225</v>
      </c>
      <c r="DA23" s="359">
        <f t="shared" si="86"/>
        <v>0.40321875471129204</v>
      </c>
      <c r="DB23" s="359">
        <f t="shared" si="86"/>
        <v>0.37210260844793264</v>
      </c>
      <c r="DC23" s="359">
        <f t="shared" si="86"/>
        <v>0.36264051594187263</v>
      </c>
      <c r="DD23" s="501">
        <f t="shared" si="86"/>
        <v>0.38842077232950034</v>
      </c>
      <c r="DE23" s="359">
        <f t="shared" si="86"/>
        <v>0.37211367673179396</v>
      </c>
      <c r="DF23" s="359">
        <f t="shared" si="86"/>
        <v>0.38080000000000003</v>
      </c>
      <c r="DG23" s="359">
        <f t="shared" si="86"/>
        <v>0.40960912052117265</v>
      </c>
      <c r="DH23" s="627">
        <f t="shared" si="86"/>
        <v>0.39159975293390981</v>
      </c>
      <c r="DI23" s="501">
        <f t="shared" si="86"/>
        <v>0.38904843959410301</v>
      </c>
      <c r="DJ23" s="627">
        <f t="shared" si="86"/>
        <v>0.40074074074074073</v>
      </c>
      <c r="DK23" s="627">
        <f t="shared" si="86"/>
        <v>0.39068825910931176</v>
      </c>
      <c r="DL23" s="627">
        <f t="shared" si="86"/>
        <v>0.39690721649484534</v>
      </c>
      <c r="DM23" s="627">
        <f t="shared" si="86"/>
        <v>0.38210624417520972</v>
      </c>
      <c r="DN23" s="501">
        <f t="shared" si="86"/>
        <v>0.39142419601837675</v>
      </c>
      <c r="DO23" s="627">
        <f t="shared" si="86"/>
        <v>0.38620689655172413</v>
      </c>
      <c r="DP23" s="627">
        <f t="shared" si="86"/>
        <v>0.37895256916996045</v>
      </c>
      <c r="DQ23" s="627">
        <f t="shared" ref="DQ23" si="87">DQ22/DQ8</f>
        <v>0.38228438228438227</v>
      </c>
      <c r="DR23" s="963">
        <f>DR22/DR8</f>
        <v>0.36753022452504319</v>
      </c>
      <c r="DS23" s="501">
        <f t="shared" si="86"/>
        <v>0.377442071785552</v>
      </c>
      <c r="DT23" s="627">
        <f t="shared" ref="DT23:DU23" si="88">DT22/DT8</f>
        <v>0.39008264462809916</v>
      </c>
      <c r="DU23" s="627">
        <f t="shared" si="88"/>
        <v>0.3843941028407048</v>
      </c>
      <c r="DV23" s="627">
        <f t="shared" si="86"/>
        <v>0.38428438228438233</v>
      </c>
      <c r="DW23" s="627">
        <f t="shared" si="86"/>
        <v>0.36953022452504314</v>
      </c>
      <c r="DX23" s="501">
        <f t="shared" si="86"/>
        <v>0.38074909315477251</v>
      </c>
      <c r="DY23" s="627">
        <f t="shared" si="86"/>
        <v>0.39058264462809911</v>
      </c>
      <c r="DZ23" s="627">
        <f t="shared" si="86"/>
        <v>0.38489410284070463</v>
      </c>
      <c r="EA23" s="627">
        <f t="shared" si="86"/>
        <v>0.38478438228438228</v>
      </c>
      <c r="EB23" s="627">
        <f t="shared" si="86"/>
        <v>0.37003022452504308</v>
      </c>
      <c r="EC23" s="501">
        <f t="shared" ref="EC23:EG23" si="89">EC22/EC8</f>
        <v>0.38133658437646639</v>
      </c>
      <c r="ED23" s="627">
        <f t="shared" si="89"/>
        <v>0.391082644628099</v>
      </c>
      <c r="EE23" s="627">
        <f t="shared" si="89"/>
        <v>0.38539410284070469</v>
      </c>
      <c r="EF23" s="627">
        <f t="shared" si="89"/>
        <v>0.38528438228438228</v>
      </c>
      <c r="EG23" s="627">
        <f t="shared" si="89"/>
        <v>0.37053022452504303</v>
      </c>
      <c r="EH23" s="501">
        <f t="shared" ref="EH23:EL23" si="90">EH22/EH8</f>
        <v>0.38183639213384507</v>
      </c>
      <c r="EI23" s="627">
        <f t="shared" si="90"/>
        <v>0.39158264462809905</v>
      </c>
      <c r="EJ23" s="627">
        <f t="shared" si="90"/>
        <v>0.38589410284070452</v>
      </c>
      <c r="EK23" s="627">
        <f t="shared" si="90"/>
        <v>0.38578438228438217</v>
      </c>
      <c r="EL23" s="627">
        <f t="shared" si="90"/>
        <v>0.37103022452504297</v>
      </c>
      <c r="EM23" s="501">
        <f t="shared" ref="EM23:ER23" si="91">EM22/EM8</f>
        <v>0.3823362045356572</v>
      </c>
      <c r="EN23" s="627">
        <f t="shared" si="91"/>
        <v>0.39208264462809894</v>
      </c>
      <c r="EO23" s="627">
        <f t="shared" si="91"/>
        <v>0.38639410284070458</v>
      </c>
      <c r="EP23" s="627">
        <f t="shared" si="91"/>
        <v>0.38628438228438211</v>
      </c>
      <c r="EQ23" s="627">
        <f t="shared" si="91"/>
        <v>0.37153022452504292</v>
      </c>
      <c r="ER23" s="501">
        <f t="shared" si="91"/>
        <v>0.38283602141560302</v>
      </c>
      <c r="ES23" s="359"/>
      <c r="ET23" s="133"/>
    </row>
    <row r="24" spans="1:150" s="254" customFormat="1" ht="12" customHeight="1">
      <c r="A24" s="792" t="s">
        <v>396</v>
      </c>
      <c r="B24" s="792"/>
      <c r="C24" s="248" t="s">
        <v>207</v>
      </c>
      <c r="D24" s="266"/>
      <c r="E24" s="266"/>
      <c r="F24" s="266"/>
      <c r="G24" s="266"/>
      <c r="H24" s="266"/>
      <c r="I24" s="250"/>
      <c r="J24" s="250"/>
      <c r="K24" s="250"/>
      <c r="L24" s="250"/>
      <c r="M24" s="266"/>
      <c r="N24" s="250"/>
      <c r="O24" s="250"/>
      <c r="P24" s="250"/>
      <c r="Q24" s="250"/>
      <c r="R24" s="266"/>
      <c r="S24" s="250"/>
      <c r="T24" s="250"/>
      <c r="U24" s="250"/>
      <c r="V24" s="250"/>
      <c r="W24" s="266"/>
      <c r="X24" s="250"/>
      <c r="Y24" s="250"/>
      <c r="Z24" s="250"/>
      <c r="AA24" s="250"/>
      <c r="AB24" s="266"/>
      <c r="AC24" s="250"/>
      <c r="AD24" s="250"/>
      <c r="AE24" s="250"/>
      <c r="AF24" s="250"/>
      <c r="AG24" s="266"/>
      <c r="AH24" s="250"/>
      <c r="AI24" s="250"/>
      <c r="AJ24" s="250"/>
      <c r="AK24" s="250"/>
      <c r="AL24" s="266"/>
      <c r="AM24" s="250"/>
      <c r="AN24" s="250"/>
      <c r="AO24" s="250"/>
      <c r="AP24" s="250"/>
      <c r="AQ24" s="266"/>
      <c r="AR24" s="250"/>
      <c r="AS24" s="250"/>
      <c r="AT24" s="250"/>
      <c r="AU24" s="250"/>
      <c r="AV24" s="266"/>
      <c r="AW24" s="250"/>
      <c r="AX24" s="250"/>
      <c r="AY24" s="250"/>
      <c r="AZ24" s="250"/>
      <c r="BA24" s="266"/>
      <c r="BB24" s="250"/>
      <c r="BC24" s="250"/>
      <c r="BD24" s="250"/>
      <c r="BE24" s="250"/>
      <c r="BF24" s="266"/>
      <c r="BG24" s="250"/>
      <c r="BH24" s="250"/>
      <c r="BI24" s="250"/>
      <c r="BJ24" s="250"/>
      <c r="BK24" s="266"/>
      <c r="BL24" s="250"/>
      <c r="BM24" s="250"/>
      <c r="BN24" s="250"/>
      <c r="BO24" s="250"/>
      <c r="BP24" s="266"/>
      <c r="BQ24" s="251">
        <f t="shared" ref="BQ24:CV24" si="92">BQ10+BQ18</f>
        <v>21.565999999999999</v>
      </c>
      <c r="BR24" s="251">
        <f t="shared" si="92"/>
        <v>25.252000000000002</v>
      </c>
      <c r="BS24" s="251">
        <f t="shared" si="92"/>
        <v>28.743000000000002</v>
      </c>
      <c r="BT24" s="251">
        <f t="shared" si="92"/>
        <v>36.466999999999999</v>
      </c>
      <c r="BU24" s="252">
        <f t="shared" si="92"/>
        <v>112.02799999999999</v>
      </c>
      <c r="BV24" s="251">
        <f t="shared" si="92"/>
        <v>40.085000000000008</v>
      </c>
      <c r="BW24" s="251">
        <f t="shared" si="92"/>
        <v>47.522999999999989</v>
      </c>
      <c r="BX24" s="251">
        <f t="shared" si="92"/>
        <v>53.752000000000002</v>
      </c>
      <c r="BY24" s="251">
        <f t="shared" si="92"/>
        <v>68.134999999999977</v>
      </c>
      <c r="BZ24" s="252">
        <f t="shared" si="92"/>
        <v>209.495</v>
      </c>
      <c r="CA24" s="1429">
        <f t="shared" si="92"/>
        <v>72.241000000000014</v>
      </c>
      <c r="CB24" s="251">
        <f t="shared" si="92"/>
        <v>86.84</v>
      </c>
      <c r="CC24" s="251">
        <f t="shared" si="92"/>
        <v>100.02700000000002</v>
      </c>
      <c r="CD24" s="251">
        <f t="shared" si="92"/>
        <v>121.14499999999998</v>
      </c>
      <c r="CE24" s="252">
        <f t="shared" si="92"/>
        <v>380.25299999999999</v>
      </c>
      <c r="CF24" s="1429">
        <f t="shared" si="92"/>
        <v>123.84199999999998</v>
      </c>
      <c r="CG24" s="251">
        <f t="shared" si="92"/>
        <v>136.95499999999998</v>
      </c>
      <c r="CH24" s="251">
        <f t="shared" si="92"/>
        <v>149.72699999999998</v>
      </c>
      <c r="CI24" s="251">
        <f t="shared" si="92"/>
        <v>185.74299999999997</v>
      </c>
      <c r="CJ24" s="252">
        <f t="shared" si="92"/>
        <v>596.26699999999983</v>
      </c>
      <c r="CK24" s="251">
        <f t="shared" si="92"/>
        <v>180.29099999999997</v>
      </c>
      <c r="CL24" s="251">
        <f t="shared" si="92"/>
        <v>204.76499999999999</v>
      </c>
      <c r="CM24" s="251">
        <f t="shared" si="92"/>
        <v>216.69600000000003</v>
      </c>
      <c r="CN24" s="251">
        <f t="shared" si="92"/>
        <v>263.89100000000002</v>
      </c>
      <c r="CO24" s="348">
        <f t="shared" si="92"/>
        <v>865.64300000000003</v>
      </c>
      <c r="CP24" s="251">
        <f t="shared" si="92"/>
        <v>256.95</v>
      </c>
      <c r="CQ24" s="251">
        <f t="shared" si="92"/>
        <v>375.03400000000005</v>
      </c>
      <c r="CR24" s="251">
        <f t="shared" si="92"/>
        <v>405.14799999999997</v>
      </c>
      <c r="CS24" s="251">
        <f t="shared" si="92"/>
        <v>504.38799999999992</v>
      </c>
      <c r="CT24" s="348">
        <f t="shared" si="92"/>
        <v>1541.5200000000002</v>
      </c>
      <c r="CU24" s="251">
        <f t="shared" si="92"/>
        <v>558.71599999999989</v>
      </c>
      <c r="CV24" s="251">
        <f t="shared" si="92"/>
        <v>620.8599999999999</v>
      </c>
      <c r="CW24" s="251">
        <f t="shared" ref="CW24:EC24" si="93">CW10+CW18</f>
        <v>608.90899999999999</v>
      </c>
      <c r="CX24" s="251">
        <f t="shared" si="93"/>
        <v>692.65900000000011</v>
      </c>
      <c r="CY24" s="252">
        <f t="shared" si="93"/>
        <v>2481.1439999999998</v>
      </c>
      <c r="CZ24" s="251">
        <f t="shared" si="93"/>
        <v>637.63700000000006</v>
      </c>
      <c r="DA24" s="251">
        <f t="shared" si="93"/>
        <v>655.64200000000005</v>
      </c>
      <c r="DB24" s="251">
        <f t="shared" si="93"/>
        <v>662.33200000000011</v>
      </c>
      <c r="DC24" s="251">
        <f t="shared" si="93"/>
        <v>798.50800000000015</v>
      </c>
      <c r="DD24" s="252">
        <f t="shared" si="93"/>
        <v>2754.1190000000001</v>
      </c>
      <c r="DE24" s="1429">
        <f t="shared" si="93"/>
        <v>717</v>
      </c>
      <c r="DF24" s="251">
        <f t="shared" si="93"/>
        <v>835</v>
      </c>
      <c r="DG24" s="251">
        <f t="shared" si="93"/>
        <v>901</v>
      </c>
      <c r="DH24" s="1429">
        <f t="shared" si="93"/>
        <v>1062</v>
      </c>
      <c r="DI24" s="252">
        <f t="shared" si="93"/>
        <v>3515</v>
      </c>
      <c r="DJ24" s="251">
        <f t="shared" si="93"/>
        <v>957</v>
      </c>
      <c r="DK24" s="251">
        <f t="shared" si="93"/>
        <v>1045</v>
      </c>
      <c r="DL24" s="251">
        <f t="shared" si="93"/>
        <v>1118</v>
      </c>
      <c r="DM24" s="251">
        <f t="shared" si="93"/>
        <v>1352</v>
      </c>
      <c r="DN24" s="252">
        <f t="shared" si="93"/>
        <v>4472</v>
      </c>
      <c r="DO24" s="251">
        <f t="shared" si="93"/>
        <v>1169</v>
      </c>
      <c r="DP24" s="251">
        <f t="shared" si="93"/>
        <v>1302</v>
      </c>
      <c r="DQ24" s="251">
        <f t="shared" ref="DQ24" si="94">DQ10+DQ18</f>
        <v>1391</v>
      </c>
      <c r="DR24" s="1429">
        <f>DR10+DR18</f>
        <v>1693</v>
      </c>
      <c r="DS24" s="252">
        <f t="shared" si="93"/>
        <v>5555</v>
      </c>
      <c r="DT24" s="251">
        <f t="shared" ref="DT24:DU24" si="95">DT10+DT18</f>
        <v>1546</v>
      </c>
      <c r="DU24" s="251">
        <f t="shared" si="95"/>
        <v>1708</v>
      </c>
      <c r="DV24" s="251">
        <f t="shared" si="93"/>
        <v>1796.2898990152607</v>
      </c>
      <c r="DW24" s="251">
        <f t="shared" si="93"/>
        <v>2165.3187774502453</v>
      </c>
      <c r="DX24" s="252">
        <f t="shared" si="93"/>
        <v>7215.6086764655056</v>
      </c>
      <c r="DY24" s="251">
        <f t="shared" si="93"/>
        <v>1945.0962561143174</v>
      </c>
      <c r="DZ24" s="251">
        <f t="shared" si="93"/>
        <v>2144.9215121654061</v>
      </c>
      <c r="EA24" s="251">
        <f t="shared" si="93"/>
        <v>2231.2932040462033</v>
      </c>
      <c r="EB24" s="251">
        <f t="shared" si="93"/>
        <v>2681.2389781096094</v>
      </c>
      <c r="EC24" s="252">
        <f t="shared" si="93"/>
        <v>9002.5499504355375</v>
      </c>
      <c r="ED24" s="251">
        <f t="shared" ref="ED24:EH24" si="96">ED10+ED18</f>
        <v>2343.9020993759523</v>
      </c>
      <c r="EE24" s="251">
        <f t="shared" si="96"/>
        <v>2581.0428072124937</v>
      </c>
      <c r="EF24" s="251">
        <f t="shared" si="96"/>
        <v>2678.7663793317893</v>
      </c>
      <c r="EG24" s="251">
        <f t="shared" si="96"/>
        <v>3218.2331044218718</v>
      </c>
      <c r="EH24" s="252">
        <f t="shared" si="96"/>
        <v>10821.944390342107</v>
      </c>
      <c r="EI24" s="251">
        <f t="shared" ref="EI24:ER24" si="97">EI10+EI18</f>
        <v>2772.2002230921198</v>
      </c>
      <c r="EJ24" s="251">
        <f t="shared" si="97"/>
        <v>3053.40310811872</v>
      </c>
      <c r="EK24" s="251">
        <f t="shared" si="97"/>
        <v>3168.1833106204322</v>
      </c>
      <c r="EL24" s="251">
        <f t="shared" si="97"/>
        <v>3809.1232831656098</v>
      </c>
      <c r="EM24" s="252">
        <f t="shared" si="97"/>
        <v>12802.909924996884</v>
      </c>
      <c r="EN24" s="251">
        <f t="shared" si="97"/>
        <v>3251.7479594576175</v>
      </c>
      <c r="EO24" s="251">
        <f t="shared" si="97"/>
        <v>3581.8509637341572</v>
      </c>
      <c r="EP24" s="251">
        <f t="shared" si="97"/>
        <v>3716.4178344366555</v>
      </c>
      <c r="EQ24" s="251">
        <f t="shared" si="97"/>
        <v>4469.371735174841</v>
      </c>
      <c r="ER24" s="252">
        <f t="shared" si="97"/>
        <v>15019.388492803271</v>
      </c>
      <c r="ES24" s="910">
        <f>+(EC24/DN24)^(0.333333333333333)-1</f>
        <v>0.262664338821881</v>
      </c>
      <c r="ET24" s="133"/>
    </row>
    <row r="25" spans="1:150" s="19" customFormat="1" ht="12" customHeight="1">
      <c r="A25" s="792" t="s">
        <v>397</v>
      </c>
      <c r="B25" s="792"/>
      <c r="C25" s="1388" t="s">
        <v>226</v>
      </c>
      <c r="D25" s="635"/>
      <c r="E25" s="635"/>
      <c r="F25" s="635"/>
      <c r="G25" s="635"/>
      <c r="H25" s="635"/>
      <c r="I25" s="634"/>
      <c r="J25" s="634"/>
      <c r="K25" s="634"/>
      <c r="L25" s="634"/>
      <c r="M25" s="635"/>
      <c r="N25" s="634"/>
      <c r="O25" s="634"/>
      <c r="P25" s="634"/>
      <c r="Q25" s="634"/>
      <c r="R25" s="635"/>
      <c r="S25" s="634"/>
      <c r="T25" s="634"/>
      <c r="U25" s="634"/>
      <c r="V25" s="634"/>
      <c r="W25" s="635"/>
      <c r="X25" s="634"/>
      <c r="Y25" s="634"/>
      <c r="Z25" s="634"/>
      <c r="AA25" s="634"/>
      <c r="AB25" s="635"/>
      <c r="AC25" s="634"/>
      <c r="AD25" s="634"/>
      <c r="AE25" s="634"/>
      <c r="AF25" s="634"/>
      <c r="AG25" s="635"/>
      <c r="AH25" s="634"/>
      <c r="AI25" s="634"/>
      <c r="AJ25" s="634"/>
      <c r="AK25" s="634"/>
      <c r="AL25" s="635"/>
      <c r="AM25" s="634"/>
      <c r="AN25" s="634"/>
      <c r="AO25" s="634"/>
      <c r="AP25" s="634"/>
      <c r="AQ25" s="635"/>
      <c r="AR25" s="634"/>
      <c r="AS25" s="634"/>
      <c r="AT25" s="634"/>
      <c r="AU25" s="634"/>
      <c r="AV25" s="635"/>
      <c r="AW25" s="634"/>
      <c r="AX25" s="634"/>
      <c r="AY25" s="634"/>
      <c r="AZ25" s="634"/>
      <c r="BA25" s="635"/>
      <c r="BB25" s="634"/>
      <c r="BC25" s="634"/>
      <c r="BD25" s="634"/>
      <c r="BE25" s="634"/>
      <c r="BF25" s="635"/>
      <c r="BG25" s="634"/>
      <c r="BH25" s="634"/>
      <c r="BI25" s="634"/>
      <c r="BJ25" s="634"/>
      <c r="BK25" s="635"/>
      <c r="BL25" s="634"/>
      <c r="BM25" s="634"/>
      <c r="BN25" s="634"/>
      <c r="BO25" s="634"/>
      <c r="BP25" s="635"/>
      <c r="BQ25" s="353">
        <f t="shared" ref="BQ25:CV25" si="98">BQ24/BQ10</f>
        <v>0.57743386526721641</v>
      </c>
      <c r="BR25" s="353">
        <f t="shared" si="98"/>
        <v>0.56207986466634019</v>
      </c>
      <c r="BS25" s="353">
        <f t="shared" si="98"/>
        <v>0.54451938013867318</v>
      </c>
      <c r="BT25" s="353">
        <f t="shared" si="98"/>
        <v>0.5196728086300999</v>
      </c>
      <c r="BU25" s="352">
        <f t="shared" si="98"/>
        <v>0.54585763498072915</v>
      </c>
      <c r="BV25" s="353">
        <f t="shared" si="98"/>
        <v>0.55120871263166582</v>
      </c>
      <c r="BW25" s="353">
        <f t="shared" si="98"/>
        <v>0.54846676745876943</v>
      </c>
      <c r="BX25" s="353">
        <f t="shared" si="98"/>
        <v>0.53979794733776543</v>
      </c>
      <c r="BY25" s="353">
        <f t="shared" si="98"/>
        <v>0.52257579592431513</v>
      </c>
      <c r="BZ25" s="352">
        <f t="shared" si="98"/>
        <v>0.53809107954691393</v>
      </c>
      <c r="CA25" s="353">
        <f t="shared" si="98"/>
        <v>0.56713430000235532</v>
      </c>
      <c r="CB25" s="353">
        <f t="shared" si="98"/>
        <v>0.57261547591572981</v>
      </c>
      <c r="CC25" s="353">
        <f t="shared" si="98"/>
        <v>0.58339748973497574</v>
      </c>
      <c r="CD25" s="353">
        <f t="shared" si="98"/>
        <v>0.54370461461129005</v>
      </c>
      <c r="CE25" s="352">
        <f t="shared" si="98"/>
        <v>0.5647567814835498</v>
      </c>
      <c r="CF25" s="353">
        <f t="shared" si="98"/>
        <v>0.57778296164971543</v>
      </c>
      <c r="CG25" s="353">
        <f t="shared" si="98"/>
        <v>0.55908443315929335</v>
      </c>
      <c r="CH25" s="353">
        <f t="shared" si="98"/>
        <v>0.55441302802298709</v>
      </c>
      <c r="CI25" s="353">
        <f t="shared" si="98"/>
        <v>0.54016727640739592</v>
      </c>
      <c r="CJ25" s="352">
        <f t="shared" si="98"/>
        <v>0.55558226622649964</v>
      </c>
      <c r="CK25" s="353">
        <f t="shared" si="98"/>
        <v>0.56256201596345501</v>
      </c>
      <c r="CL25" s="353">
        <f t="shared" si="98"/>
        <v>0.56568198707659834</v>
      </c>
      <c r="CM25" s="353">
        <f t="shared" si="98"/>
        <v>0.55484544951760584</v>
      </c>
      <c r="CN25" s="353">
        <f t="shared" si="98"/>
        <v>0.5223909256473197</v>
      </c>
      <c r="CO25" s="352">
        <f t="shared" si="98"/>
        <v>0.54850957404543099</v>
      </c>
      <c r="CP25" s="353">
        <f t="shared" si="98"/>
        <v>0.546700964466033</v>
      </c>
      <c r="CQ25" s="353">
        <f t="shared" si="98"/>
        <v>0.52500696446095074</v>
      </c>
      <c r="CR25" s="353">
        <f t="shared" si="98"/>
        <v>0.52794547859344154</v>
      </c>
      <c r="CS25" s="353">
        <f t="shared" si="98"/>
        <v>0.51586918457183062</v>
      </c>
      <c r="CT25" s="352">
        <f t="shared" si="98"/>
        <v>0.52620745378634048</v>
      </c>
      <c r="CU25" s="353">
        <f t="shared" si="98"/>
        <v>0.56513194294829194</v>
      </c>
      <c r="CV25" s="353">
        <f t="shared" si="98"/>
        <v>0.55461411681681538</v>
      </c>
      <c r="CW25" s="353">
        <f t="shared" ref="CW25:EB25" si="99">CW24/CW10</f>
        <v>0.54185932689056182</v>
      </c>
      <c r="CX25" s="354">
        <f t="shared" si="99"/>
        <v>0.501918082584071</v>
      </c>
      <c r="CY25" s="352">
        <f t="shared" si="99"/>
        <v>0.53799251320943231</v>
      </c>
      <c r="CZ25" s="353">
        <f t="shared" si="99"/>
        <v>0.52976471868683139</v>
      </c>
      <c r="DA25" s="353">
        <f t="shared" si="99"/>
        <v>0.50626262969446278</v>
      </c>
      <c r="DB25" s="353">
        <f t="shared" si="99"/>
        <v>0.48479871175523354</v>
      </c>
      <c r="DC25" s="353">
        <f t="shared" si="99"/>
        <v>0.46024099441030381</v>
      </c>
      <c r="DD25" s="352">
        <f t="shared" si="99"/>
        <v>0.4918189084592054</v>
      </c>
      <c r="DE25" s="353">
        <f t="shared" si="99"/>
        <v>0.47546419098143233</v>
      </c>
      <c r="DF25" s="353">
        <f t="shared" si="99"/>
        <v>0.49291617473435656</v>
      </c>
      <c r="DG25" s="353">
        <f t="shared" si="99"/>
        <v>0.52567094515752621</v>
      </c>
      <c r="DH25" s="354">
        <f t="shared" si="99"/>
        <v>0.49533582089552236</v>
      </c>
      <c r="DI25" s="352">
        <f t="shared" si="99"/>
        <v>0.49787535410764872</v>
      </c>
      <c r="DJ25" s="354">
        <f t="shared" si="99"/>
        <v>0.51423965609887157</v>
      </c>
      <c r="DK25" s="354">
        <f t="shared" si="99"/>
        <v>0.51100244498777503</v>
      </c>
      <c r="DL25" s="354">
        <f t="shared" si="99"/>
        <v>0.51711378353376503</v>
      </c>
      <c r="DM25" s="354">
        <f t="shared" si="99"/>
        <v>0.48079658605974396</v>
      </c>
      <c r="DN25" s="352">
        <f t="shared" si="99"/>
        <v>0.50360360360360357</v>
      </c>
      <c r="DO25" s="354">
        <f t="shared" si="99"/>
        <v>0.49533898305084745</v>
      </c>
      <c r="DP25" s="354">
        <f t="shared" si="99"/>
        <v>0.48582089552238805</v>
      </c>
      <c r="DQ25" s="354">
        <f t="shared" ref="DQ25" si="100">DQ24/DQ10</f>
        <v>0.48909985935302391</v>
      </c>
      <c r="DR25" s="354">
        <f>DR24/DR10</f>
        <v>0.46105664488017428</v>
      </c>
      <c r="DS25" s="352">
        <f t="shared" si="99"/>
        <v>0.48070266528210454</v>
      </c>
      <c r="DT25" s="354">
        <f t="shared" ref="DT25:DU25" si="101">DT24/DT10</f>
        <v>0.48769716088328074</v>
      </c>
      <c r="DU25" s="354">
        <f t="shared" si="101"/>
        <v>0.47669550655874965</v>
      </c>
      <c r="DV25" s="354">
        <f t="shared" si="99"/>
        <v>0.48431569475685332</v>
      </c>
      <c r="DW25" s="354">
        <f t="shared" si="99"/>
        <v>0.45587943179807378</v>
      </c>
      <c r="DX25" s="352">
        <f t="shared" si="99"/>
        <v>0.47434642697487006</v>
      </c>
      <c r="DY25" s="354">
        <f t="shared" si="99"/>
        <v>0.48204155062288551</v>
      </c>
      <c r="DZ25" s="354">
        <f t="shared" si="99"/>
        <v>0.47226813436653242</v>
      </c>
      <c r="EA25" s="354">
        <f t="shared" si="99"/>
        <v>0.48070853106111427</v>
      </c>
      <c r="EB25" s="354">
        <f t="shared" si="99"/>
        <v>0.45323836876026286</v>
      </c>
      <c r="EC25" s="352">
        <f t="shared" ref="EC25:EG25" si="102">EC24/EC10</f>
        <v>0.47049327896757775</v>
      </c>
      <c r="ED25" s="354">
        <f t="shared" si="102"/>
        <v>0.48059279587083642</v>
      </c>
      <c r="EE25" s="354">
        <f t="shared" si="102"/>
        <v>0.4705597159761975</v>
      </c>
      <c r="EF25" s="354">
        <f t="shared" si="102"/>
        <v>0.47846184187638569</v>
      </c>
      <c r="EG25" s="354">
        <f t="shared" si="102"/>
        <v>0.45095693184684682</v>
      </c>
      <c r="EH25" s="352">
        <f t="shared" ref="EH25:EL25" si="103">EH24/EH10</f>
        <v>0.46853695716102062</v>
      </c>
      <c r="EI25" s="354">
        <f t="shared" si="103"/>
        <v>0.47963146323597228</v>
      </c>
      <c r="EJ25" s="354">
        <f t="shared" si="103"/>
        <v>0.46965623932124934</v>
      </c>
      <c r="EK25" s="354">
        <f t="shared" si="103"/>
        <v>0.47744646388413603</v>
      </c>
      <c r="EL25" s="354">
        <f t="shared" si="103"/>
        <v>0.45011304843521754</v>
      </c>
      <c r="EM25" s="352">
        <f t="shared" ref="EM25:ER25" si="104">EM24/EM10</f>
        <v>0.46760955185666098</v>
      </c>
      <c r="EN25" s="354">
        <f t="shared" si="104"/>
        <v>0.4795774867746479</v>
      </c>
      <c r="EO25" s="354">
        <f t="shared" si="104"/>
        <v>0.46962781689160082</v>
      </c>
      <c r="EP25" s="354">
        <f t="shared" si="104"/>
        <v>0.47737717591315082</v>
      </c>
      <c r="EQ25" s="354">
        <f t="shared" si="104"/>
        <v>0.45011979515535577</v>
      </c>
      <c r="ER25" s="352">
        <f t="shared" si="104"/>
        <v>0.46757599135802885</v>
      </c>
      <c r="ES25" s="244"/>
      <c r="ET25" s="267"/>
    </row>
    <row r="26" spans="1:150" s="19" customFormat="1" ht="12" customHeight="1">
      <c r="A26" s="792"/>
      <c r="B26" s="792"/>
      <c r="C26" s="1411" t="s">
        <v>580</v>
      </c>
      <c r="D26" s="635"/>
      <c r="E26" s="635"/>
      <c r="F26" s="635"/>
      <c r="G26" s="635"/>
      <c r="H26" s="635"/>
      <c r="I26" s="634"/>
      <c r="J26" s="634"/>
      <c r="K26" s="634"/>
      <c r="L26" s="634"/>
      <c r="M26" s="635"/>
      <c r="N26" s="634"/>
      <c r="O26" s="634"/>
      <c r="P26" s="634"/>
      <c r="Q26" s="634"/>
      <c r="R26" s="635"/>
      <c r="S26" s="634"/>
      <c r="T26" s="634"/>
      <c r="U26" s="634"/>
      <c r="V26" s="634"/>
      <c r="W26" s="635"/>
      <c r="X26" s="634"/>
      <c r="Y26" s="634"/>
      <c r="Z26" s="634"/>
      <c r="AA26" s="634"/>
      <c r="AB26" s="635"/>
      <c r="AC26" s="634"/>
      <c r="AD26" s="634"/>
      <c r="AE26" s="634"/>
      <c r="AF26" s="634"/>
      <c r="AG26" s="635"/>
      <c r="AH26" s="634"/>
      <c r="AI26" s="634"/>
      <c r="AJ26" s="634"/>
      <c r="AK26" s="634"/>
      <c r="AL26" s="635"/>
      <c r="AM26" s="634"/>
      <c r="AN26" s="634"/>
      <c r="AO26" s="634"/>
      <c r="AP26" s="634"/>
      <c r="AQ26" s="635"/>
      <c r="AR26" s="634"/>
      <c r="AS26" s="634"/>
      <c r="AT26" s="634"/>
      <c r="AU26" s="634"/>
      <c r="AV26" s="635"/>
      <c r="AW26" s="634"/>
      <c r="AX26" s="634"/>
      <c r="AY26" s="634"/>
      <c r="AZ26" s="634"/>
      <c r="BA26" s="635"/>
      <c r="BB26" s="634"/>
      <c r="BC26" s="634"/>
      <c r="BD26" s="634"/>
      <c r="BE26" s="634"/>
      <c r="BF26" s="635"/>
      <c r="BG26" s="634"/>
      <c r="BH26" s="634"/>
      <c r="BI26" s="634"/>
      <c r="BJ26" s="634"/>
      <c r="BK26" s="635"/>
      <c r="BL26" s="634"/>
      <c r="BM26" s="634"/>
      <c r="BN26" s="634"/>
      <c r="BO26" s="634"/>
      <c r="BP26" s="635"/>
      <c r="BQ26" s="353"/>
      <c r="BR26" s="353"/>
      <c r="BS26" s="353"/>
      <c r="BT26" s="353"/>
      <c r="BU26" s="352"/>
      <c r="BV26" s="1412">
        <f t="shared" ref="BV26:DA26" si="105">+(BV25-BQ25)*10000</f>
        <v>-262.25152635550586</v>
      </c>
      <c r="BW26" s="1412">
        <f t="shared" si="105"/>
        <v>-136.13097207570758</v>
      </c>
      <c r="BX26" s="1412">
        <f t="shared" si="105"/>
        <v>-47.214328009077548</v>
      </c>
      <c r="BY26" s="1412">
        <f t="shared" si="105"/>
        <v>29.029872942152313</v>
      </c>
      <c r="BZ26" s="1413">
        <f t="shared" si="105"/>
        <v>-77.665554338152148</v>
      </c>
      <c r="CA26" s="1412">
        <f t="shared" si="105"/>
        <v>159.25587370689499</v>
      </c>
      <c r="CB26" s="1412">
        <f t="shared" si="105"/>
        <v>241.48708456960378</v>
      </c>
      <c r="CC26" s="1412">
        <f t="shared" si="105"/>
        <v>435.99542397210314</v>
      </c>
      <c r="CD26" s="1412">
        <f t="shared" si="105"/>
        <v>211.28818686974915</v>
      </c>
      <c r="CE26" s="1413">
        <f t="shared" si="105"/>
        <v>266.65701936635867</v>
      </c>
      <c r="CF26" s="1412">
        <f t="shared" si="105"/>
        <v>106.48661647360113</v>
      </c>
      <c r="CG26" s="1412">
        <f t="shared" si="105"/>
        <v>-135.31042756436463</v>
      </c>
      <c r="CH26" s="1412">
        <f t="shared" si="105"/>
        <v>-289.84461711988649</v>
      </c>
      <c r="CI26" s="1412">
        <f t="shared" si="105"/>
        <v>-35.373382038941244</v>
      </c>
      <c r="CJ26" s="1413">
        <f t="shared" si="105"/>
        <v>-91.745152570501531</v>
      </c>
      <c r="CK26" s="1412">
        <f t="shared" si="105"/>
        <v>-152.20945686260424</v>
      </c>
      <c r="CL26" s="1412">
        <f t="shared" si="105"/>
        <v>65.975539173049881</v>
      </c>
      <c r="CM26" s="1412">
        <f t="shared" si="105"/>
        <v>4.3242149461875101</v>
      </c>
      <c r="CN26" s="1412">
        <f t="shared" si="105"/>
        <v>-177.76350760076221</v>
      </c>
      <c r="CO26" s="1413">
        <f t="shared" si="105"/>
        <v>-70.72692181068652</v>
      </c>
      <c r="CP26" s="1412">
        <f t="shared" si="105"/>
        <v>-158.61051497422008</v>
      </c>
      <c r="CQ26" s="1412">
        <f t="shared" si="105"/>
        <v>-406.75022615647595</v>
      </c>
      <c r="CR26" s="1412">
        <f t="shared" si="105"/>
        <v>-268.99970924164296</v>
      </c>
      <c r="CS26" s="1412">
        <f t="shared" si="105"/>
        <v>-65.217410754890849</v>
      </c>
      <c r="CT26" s="1413">
        <f t="shared" si="105"/>
        <v>-223.02120259090509</v>
      </c>
      <c r="CU26" s="1412">
        <f t="shared" si="105"/>
        <v>184.30978482258942</v>
      </c>
      <c r="CV26" s="1412">
        <f t="shared" si="105"/>
        <v>296.07152355864639</v>
      </c>
      <c r="CW26" s="1412">
        <f t="shared" si="105"/>
        <v>139.13848297120279</v>
      </c>
      <c r="CX26" s="1412">
        <f t="shared" si="105"/>
        <v>-139.51101987759617</v>
      </c>
      <c r="CY26" s="1413">
        <f t="shared" si="105"/>
        <v>117.85059423091826</v>
      </c>
      <c r="CZ26" s="1412">
        <f t="shared" si="105"/>
        <v>-353.67224261460552</v>
      </c>
      <c r="DA26" s="1412">
        <f t="shared" si="105"/>
        <v>-483.51487122352597</v>
      </c>
      <c r="DB26" s="1412">
        <f t="shared" ref="DB26:EC26" si="106">+(DB25-CW25)*10000</f>
        <v>-570.60615135328283</v>
      </c>
      <c r="DC26" s="1412">
        <f t="shared" si="106"/>
        <v>-416.77088173767197</v>
      </c>
      <c r="DD26" s="1413">
        <f t="shared" si="106"/>
        <v>-461.73604750226917</v>
      </c>
      <c r="DE26" s="1412">
        <f t="shared" si="106"/>
        <v>-543.00527705399065</v>
      </c>
      <c r="DF26" s="1412">
        <f t="shared" si="106"/>
        <v>-133.46454960106223</v>
      </c>
      <c r="DG26" s="1412">
        <f t="shared" si="106"/>
        <v>408.72233402292682</v>
      </c>
      <c r="DH26" s="1412">
        <f t="shared" si="106"/>
        <v>350.94826485218556</v>
      </c>
      <c r="DI26" s="1413">
        <f t="shared" si="106"/>
        <v>60.564456484433208</v>
      </c>
      <c r="DJ26" s="1412">
        <f t="shared" si="106"/>
        <v>387.75465117439234</v>
      </c>
      <c r="DK26" s="1412">
        <f t="shared" si="106"/>
        <v>180.86270253418468</v>
      </c>
      <c r="DL26" s="1412">
        <f t="shared" si="106"/>
        <v>-85.571616237611892</v>
      </c>
      <c r="DM26" s="1412">
        <f t="shared" si="106"/>
        <v>-145.39234835778402</v>
      </c>
      <c r="DN26" s="1413">
        <f t="shared" si="106"/>
        <v>57.282494959548515</v>
      </c>
      <c r="DO26" s="1412">
        <f>+(DO25-DJ25)*10000</f>
        <v>-189.0067304802412</v>
      </c>
      <c r="DP26" s="1412">
        <f>+(DP25-DK25)*10000</f>
        <v>-251.81549465386976</v>
      </c>
      <c r="DQ26" s="1412">
        <f>+(DQ25-DL25)*10000</f>
        <v>-280.13924180741111</v>
      </c>
      <c r="DR26" s="1528">
        <f>+(DR25-DM25)*10000</f>
        <v>-197.39941179569675</v>
      </c>
      <c r="DS26" s="1413">
        <f t="shared" si="106"/>
        <v>-229.00938321499032</v>
      </c>
      <c r="DT26" s="1412">
        <f>+(DT25-DO25)*10000</f>
        <v>-76.418221675667027</v>
      </c>
      <c r="DU26" s="1412">
        <f>+(DU25-DP25)*10000</f>
        <v>-91.253889636384031</v>
      </c>
      <c r="DV26" s="1412">
        <f t="shared" si="106"/>
        <v>-47.841645961705922</v>
      </c>
      <c r="DW26" s="1412">
        <f t="shared" si="106"/>
        <v>-51.772130821005071</v>
      </c>
      <c r="DX26" s="1413">
        <f t="shared" si="106"/>
        <v>-63.562383072344744</v>
      </c>
      <c r="DY26" s="1412">
        <f t="shared" si="106"/>
        <v>-56.556102603952382</v>
      </c>
      <c r="DZ26" s="1412">
        <f t="shared" si="106"/>
        <v>-44.273721922172271</v>
      </c>
      <c r="EA26" s="1412">
        <f t="shared" si="106"/>
        <v>-36.07163695739046</v>
      </c>
      <c r="EB26" s="1412">
        <f t="shared" si="106"/>
        <v>-26.4106303781092</v>
      </c>
      <c r="EC26" s="1413">
        <f t="shared" si="106"/>
        <v>-38.53148007292306</v>
      </c>
      <c r="ED26" s="1412">
        <f t="shared" ref="ED26" si="107">+(ED25-DY25)*10000</f>
        <v>-14.487547520490862</v>
      </c>
      <c r="EE26" s="1412">
        <f t="shared" ref="EE26" si="108">+(EE25-DZ25)*10000</f>
        <v>-17.084183903349203</v>
      </c>
      <c r="EF26" s="1412">
        <f t="shared" ref="EF26" si="109">+(EF25-EA25)*10000</f>
        <v>-22.466891847285897</v>
      </c>
      <c r="EG26" s="1412">
        <f t="shared" ref="EG26" si="110">+(EG25-EB25)*10000</f>
        <v>-22.814369134160351</v>
      </c>
      <c r="EH26" s="1413">
        <f t="shared" ref="EH26" si="111">+(EH25-EC25)*10000</f>
        <v>-19.563218065571377</v>
      </c>
      <c r="EI26" s="1412">
        <f t="shared" ref="EI26" si="112">+(EI25-ED25)*10000</f>
        <v>-9.6133263486414258</v>
      </c>
      <c r="EJ26" s="1412">
        <f t="shared" ref="EJ26" si="113">+(EJ25-EE25)*10000</f>
        <v>-9.0347665494816543</v>
      </c>
      <c r="EK26" s="1412">
        <f t="shared" ref="EK26" si="114">+(EK25-EF25)*10000</f>
        <v>-10.153779922496554</v>
      </c>
      <c r="EL26" s="1412">
        <f t="shared" ref="EL26" si="115">+(EL25-EG25)*10000</f>
        <v>-8.4388341162927603</v>
      </c>
      <c r="EM26" s="1413">
        <f t="shared" ref="EM26" si="116">+(EM25-EH25)*10000</f>
        <v>-9.2740530435964086</v>
      </c>
      <c r="EN26" s="1412">
        <f t="shared" ref="EN26" si="117">+(EN25-EI25)*10000</f>
        <v>-0.53976461324378722</v>
      </c>
      <c r="EO26" s="1412">
        <f t="shared" ref="EO26" si="118">+(EO25-EJ25)*10000</f>
        <v>-0.28422429648511383</v>
      </c>
      <c r="EP26" s="1412">
        <f t="shared" ref="EP26" si="119">+(EP25-EK25)*10000</f>
        <v>-0.69287970985210112</v>
      </c>
      <c r="EQ26" s="1412">
        <f t="shared" ref="EQ26" si="120">+(EQ25-EL25)*10000</f>
        <v>6.7467201382287456E-2</v>
      </c>
      <c r="ER26" s="1413">
        <f t="shared" ref="ER26" si="121">+(ER25-EM25)*10000</f>
        <v>-0.33560498632123625</v>
      </c>
      <c r="ES26" s="244"/>
      <c r="ET26" s="267"/>
    </row>
    <row r="27" spans="1:150" s="18" customFormat="1" ht="12" customHeight="1">
      <c r="A27" s="792" t="s">
        <v>451</v>
      </c>
      <c r="B27" s="792"/>
      <c r="C27" s="240" t="s">
        <v>129</v>
      </c>
      <c r="D27" s="241"/>
      <c r="E27" s="241"/>
      <c r="F27" s="241"/>
      <c r="G27" s="241"/>
      <c r="H27" s="241"/>
      <c r="I27" s="99"/>
      <c r="J27" s="99"/>
      <c r="K27" s="99"/>
      <c r="L27" s="99"/>
      <c r="M27" s="241"/>
      <c r="N27" s="622"/>
      <c r="O27" s="622"/>
      <c r="P27" s="622"/>
      <c r="Q27" s="622"/>
      <c r="R27" s="241"/>
      <c r="S27" s="622"/>
      <c r="T27" s="622"/>
      <c r="U27" s="622"/>
      <c r="V27" s="622"/>
      <c r="W27" s="241"/>
      <c r="X27" s="622"/>
      <c r="Y27" s="622"/>
      <c r="Z27" s="622"/>
      <c r="AA27" s="622"/>
      <c r="AB27" s="241"/>
      <c r="AC27" s="622"/>
      <c r="AD27" s="622"/>
      <c r="AE27" s="622"/>
      <c r="AF27" s="622"/>
      <c r="AG27" s="241"/>
      <c r="AH27" s="622"/>
      <c r="AI27" s="622"/>
      <c r="AJ27" s="622"/>
      <c r="AK27" s="622"/>
      <c r="AL27" s="241"/>
      <c r="AM27" s="622"/>
      <c r="AN27" s="622"/>
      <c r="AO27" s="622"/>
      <c r="AP27" s="622"/>
      <c r="AQ27" s="241"/>
      <c r="AR27" s="622"/>
      <c r="AS27" s="622"/>
      <c r="AT27" s="622"/>
      <c r="AU27" s="622"/>
      <c r="AV27" s="241"/>
      <c r="AW27" s="622"/>
      <c r="AX27" s="622"/>
      <c r="AY27" s="622"/>
      <c r="AZ27" s="622"/>
      <c r="BA27" s="241"/>
      <c r="BB27" s="622"/>
      <c r="BC27" s="622"/>
      <c r="BD27" s="622"/>
      <c r="BE27" s="622"/>
      <c r="BF27" s="241"/>
      <c r="BG27" s="242"/>
      <c r="BH27" s="242"/>
      <c r="BI27" s="242"/>
      <c r="BJ27" s="242"/>
      <c r="BK27" s="241"/>
      <c r="BL27" s="622"/>
      <c r="BM27" s="622"/>
      <c r="BN27" s="622"/>
      <c r="BO27" s="622"/>
      <c r="BP27" s="241"/>
      <c r="BQ27" s="244" t="str">
        <f t="shared" ref="BQ27:CV27" si="122">+IF(BL24&lt;=0,"nm",BQ24/BL24-1)</f>
        <v>nm</v>
      </c>
      <c r="BR27" s="244" t="str">
        <f t="shared" si="122"/>
        <v>nm</v>
      </c>
      <c r="BS27" s="244" t="str">
        <f t="shared" si="122"/>
        <v>nm</v>
      </c>
      <c r="BT27" s="244" t="str">
        <f t="shared" si="122"/>
        <v>nm</v>
      </c>
      <c r="BU27" s="243" t="str">
        <f t="shared" si="122"/>
        <v>nm</v>
      </c>
      <c r="BV27" s="244">
        <f t="shared" si="122"/>
        <v>0.85871278864879952</v>
      </c>
      <c r="BW27" s="244">
        <f t="shared" si="122"/>
        <v>0.88194994455884612</v>
      </c>
      <c r="BX27" s="244">
        <f t="shared" si="122"/>
        <v>0.87009010889607907</v>
      </c>
      <c r="BY27" s="244">
        <f t="shared" si="122"/>
        <v>0.86840156854142037</v>
      </c>
      <c r="BZ27" s="243">
        <f t="shared" si="122"/>
        <v>0.87002356553718729</v>
      </c>
      <c r="CA27" s="244">
        <f t="shared" si="122"/>
        <v>0.8021953349133093</v>
      </c>
      <c r="CB27" s="244">
        <f t="shared" si="122"/>
        <v>0.82732571596911009</v>
      </c>
      <c r="CC27" s="244">
        <f t="shared" si="122"/>
        <v>0.86089819913677657</v>
      </c>
      <c r="CD27" s="244">
        <f t="shared" si="122"/>
        <v>0.77801423644235745</v>
      </c>
      <c r="CE27" s="243">
        <f t="shared" si="122"/>
        <v>0.81509343898422393</v>
      </c>
      <c r="CF27" s="244">
        <f t="shared" si="122"/>
        <v>0.71428966930136562</v>
      </c>
      <c r="CG27" s="244">
        <f t="shared" si="122"/>
        <v>0.57709580838323338</v>
      </c>
      <c r="CH27" s="244">
        <f t="shared" si="122"/>
        <v>0.49686584622151964</v>
      </c>
      <c r="CI27" s="244">
        <f t="shared" si="122"/>
        <v>0.53322877543439673</v>
      </c>
      <c r="CJ27" s="243">
        <f t="shared" si="122"/>
        <v>0.56807967327016451</v>
      </c>
      <c r="CK27" s="244">
        <f t="shared" si="122"/>
        <v>0.4558146670757901</v>
      </c>
      <c r="CL27" s="244">
        <f t="shared" si="122"/>
        <v>0.49512613632214975</v>
      </c>
      <c r="CM27" s="244">
        <f t="shared" si="122"/>
        <v>0.44727403875052629</v>
      </c>
      <c r="CN27" s="244">
        <f t="shared" si="122"/>
        <v>0.42073187145679825</v>
      </c>
      <c r="CO27" s="243">
        <f t="shared" si="122"/>
        <v>0.45177076712278263</v>
      </c>
      <c r="CP27" s="244">
        <f t="shared" si="122"/>
        <v>0.42519593324126026</v>
      </c>
      <c r="CQ27" s="244">
        <f t="shared" si="122"/>
        <v>0.83153370937416105</v>
      </c>
      <c r="CR27" s="244">
        <f t="shared" si="122"/>
        <v>0.86966072285598228</v>
      </c>
      <c r="CS27" s="244">
        <f t="shared" si="122"/>
        <v>0.91134976183348382</v>
      </c>
      <c r="CT27" s="243">
        <f t="shared" si="122"/>
        <v>0.78078029857574105</v>
      </c>
      <c r="CU27" s="244">
        <f t="shared" si="122"/>
        <v>1.174415255886359</v>
      </c>
      <c r="CV27" s="244">
        <f t="shared" si="122"/>
        <v>0.65547657012430816</v>
      </c>
      <c r="CW27" s="244">
        <f t="shared" ref="CW27:EB27" si="123">+IF(CR24&lt;=0,"nm",CW24/CR24-1)</f>
        <v>0.50292979355692258</v>
      </c>
      <c r="CX27" s="245">
        <f t="shared" si="123"/>
        <v>0.3732662156910953</v>
      </c>
      <c r="CY27" s="243">
        <f t="shared" si="123"/>
        <v>0.60954382687217779</v>
      </c>
      <c r="CZ27" s="244">
        <f t="shared" si="123"/>
        <v>0.14125423291976635</v>
      </c>
      <c r="DA27" s="244">
        <f t="shared" si="123"/>
        <v>5.6022291659955759E-2</v>
      </c>
      <c r="DB27" s="244">
        <f t="shared" si="123"/>
        <v>8.7735605813019868E-2</v>
      </c>
      <c r="DC27" s="244">
        <f t="shared" si="123"/>
        <v>0.15281545464651436</v>
      </c>
      <c r="DD27" s="243">
        <f t="shared" si="123"/>
        <v>0.11001981344089673</v>
      </c>
      <c r="DE27" s="244">
        <f t="shared" si="123"/>
        <v>0.12446423278448382</v>
      </c>
      <c r="DF27" s="244">
        <f t="shared" si="123"/>
        <v>0.27356087620988268</v>
      </c>
      <c r="DG27" s="244">
        <f t="shared" si="123"/>
        <v>0.3603449629490949</v>
      </c>
      <c r="DH27" s="244">
        <f t="shared" si="123"/>
        <v>0.3299804134711235</v>
      </c>
      <c r="DI27" s="243">
        <f t="shared" si="123"/>
        <v>0.27627019747512715</v>
      </c>
      <c r="DJ27" s="244">
        <f t="shared" si="123"/>
        <v>0.33472803347280333</v>
      </c>
      <c r="DK27" s="244">
        <f t="shared" si="123"/>
        <v>0.25149700598802394</v>
      </c>
      <c r="DL27" s="244">
        <f t="shared" si="123"/>
        <v>0.24084350721420633</v>
      </c>
      <c r="DM27" s="244">
        <f t="shared" si="123"/>
        <v>0.27306967984934083</v>
      </c>
      <c r="DN27" s="243">
        <f t="shared" si="123"/>
        <v>0.27226173541963017</v>
      </c>
      <c r="DO27" s="244">
        <f>+IF(DJ24&lt;=0,"nm",DO24/DJ24-1)</f>
        <v>0.22152560083594564</v>
      </c>
      <c r="DP27" s="244">
        <f t="shared" si="123"/>
        <v>0.245933014354067</v>
      </c>
      <c r="DQ27" s="244">
        <f t="shared" si="123"/>
        <v>0.2441860465116279</v>
      </c>
      <c r="DR27" s="629">
        <f>+IF(DM24&lt;=0,"nm",DR24/DM24-1)</f>
        <v>0.2522189349112427</v>
      </c>
      <c r="DS27" s="243">
        <f t="shared" si="123"/>
        <v>0.24217352415026827</v>
      </c>
      <c r="DT27" s="244">
        <f>+IF(DO24&lt;=0,"nm",DT24/DO24-1)</f>
        <v>0.32249786142001713</v>
      </c>
      <c r="DU27" s="244">
        <f t="shared" si="123"/>
        <v>0.31182795698924726</v>
      </c>
      <c r="DV27" s="244">
        <f t="shared" si="123"/>
        <v>0.29136585119716796</v>
      </c>
      <c r="DW27" s="244">
        <f t="shared" si="123"/>
        <v>0.27898332985838481</v>
      </c>
      <c r="DX27" s="243">
        <f t="shared" si="123"/>
        <v>0.29893945570936187</v>
      </c>
      <c r="DY27" s="244">
        <f t="shared" si="123"/>
        <v>0.25814764302349125</v>
      </c>
      <c r="DZ27" s="244">
        <f t="shared" si="123"/>
        <v>0.25580884787201752</v>
      </c>
      <c r="EA27" s="244">
        <f t="shared" si="123"/>
        <v>0.2421676508170616</v>
      </c>
      <c r="EB27" s="244">
        <f t="shared" si="123"/>
        <v>0.23826524114240688</v>
      </c>
      <c r="EC27" s="243">
        <f>+IF(DX24&lt;=0,"nm",EC24/DX24-1)</f>
        <v>0.24764941588342171</v>
      </c>
      <c r="ED27" s="244">
        <f t="shared" ref="ED27" si="124">+IF(DY24&lt;=0,"nm",ED24/DY24-1)</f>
        <v>0.20503141785811763</v>
      </c>
      <c r="EE27" s="244">
        <f t="shared" ref="EE27" si="125">+IF(DZ24&lt;=0,"nm",EE24/DZ24-1)</f>
        <v>0.20332739103670106</v>
      </c>
      <c r="EF27" s="244">
        <f t="shared" ref="EF27" si="126">+IF(EA24&lt;=0,"nm",EF24/EA24-1)</f>
        <v>0.20054431863734568</v>
      </c>
      <c r="EG27" s="244">
        <f t="shared" ref="EG27" si="127">+IF(EB24&lt;=0,"nm",EG24/EB24-1)</f>
        <v>0.20027835291685436</v>
      </c>
      <c r="EH27" s="243">
        <f>+IF(EC24&lt;=0,"nm",EH24/EC24-1)</f>
        <v>0.202097677871651</v>
      </c>
      <c r="EI27" s="244">
        <f t="shared" ref="EI27" si="128">+IF(ED24&lt;=0,"nm",EI24/ED24-1)</f>
        <v>0.18272867447415964</v>
      </c>
      <c r="EJ27" s="244">
        <f t="shared" ref="EJ27" si="129">+IF(EE24&lt;=0,"nm",EJ24/EE24-1)</f>
        <v>0.18301141677552102</v>
      </c>
      <c r="EK27" s="244">
        <f t="shared" ref="EK27" si="130">+IF(EF24&lt;=0,"nm",EK24/EF24-1)</f>
        <v>0.18270235697475279</v>
      </c>
      <c r="EL27" s="244">
        <f t="shared" ref="EL27" si="131">+IF(EG24&lt;=0,"nm",EL24/EG24-1)</f>
        <v>0.18360701651221323</v>
      </c>
      <c r="EM27" s="243">
        <f>+IF(EH24&lt;=0,"nm",EM24/EH24-1)</f>
        <v>0.18305079597550522</v>
      </c>
      <c r="EN27" s="244">
        <f t="shared" ref="EN27" si="132">+IF(EI24&lt;=0,"nm",EN24/EI24-1)</f>
        <v>0.17298452412308407</v>
      </c>
      <c r="EO27" s="244">
        <f t="shared" ref="EO27" si="133">+IF(EJ24&lt;=0,"nm",EO24/EJ24-1)</f>
        <v>0.17306848683370446</v>
      </c>
      <c r="EP27" s="244">
        <f t="shared" ref="EP27" si="134">+IF(EK24&lt;=0,"nm",EP24/EK24-1)</f>
        <v>0.17304381409321334</v>
      </c>
      <c r="EQ27" s="244">
        <f t="shared" ref="EQ27" si="135">+IF(EL24&lt;=0,"nm",EQ24/EL24-1)</f>
        <v>0.17333344261321071</v>
      </c>
      <c r="ER27" s="243">
        <f>+IF(EM24&lt;=0,"nm",ER24/EM24-1)</f>
        <v>0.17312303068530155</v>
      </c>
      <c r="ES27" s="244"/>
      <c r="ET27" s="133"/>
    </row>
    <row r="28" spans="1:150" s="203" customFormat="1" ht="12" customHeight="1">
      <c r="A28" s="931"/>
      <c r="B28" s="484"/>
      <c r="C28" s="600" t="s">
        <v>774</v>
      </c>
      <c r="D28" s="566"/>
      <c r="E28" s="566"/>
      <c r="F28" s="566"/>
      <c r="G28" s="566"/>
      <c r="H28" s="566"/>
      <c r="I28" s="566"/>
      <c r="J28" s="566"/>
      <c r="K28" s="566"/>
      <c r="L28" s="566"/>
      <c r="M28" s="571"/>
      <c r="N28" s="568"/>
      <c r="O28" s="568"/>
      <c r="P28" s="568"/>
      <c r="Q28" s="568"/>
      <c r="R28" s="571"/>
      <c r="S28" s="566"/>
      <c r="T28" s="566"/>
      <c r="U28" s="566"/>
      <c r="V28" s="566"/>
      <c r="W28" s="571"/>
      <c r="X28" s="569"/>
      <c r="Y28" s="569"/>
      <c r="Z28" s="569"/>
      <c r="AA28" s="569"/>
      <c r="AB28" s="571"/>
      <c r="AC28" s="569"/>
      <c r="AD28" s="569"/>
      <c r="AE28" s="569"/>
      <c r="AF28" s="569"/>
      <c r="AG28" s="571"/>
      <c r="AH28" s="570"/>
      <c r="AI28" s="571"/>
      <c r="AJ28" s="571"/>
      <c r="AK28" s="571"/>
      <c r="AL28" s="571"/>
      <c r="AM28" s="571"/>
      <c r="AN28" s="571"/>
      <c r="AO28" s="571"/>
      <c r="AP28" s="571"/>
      <c r="AQ28" s="571"/>
      <c r="AR28" s="571"/>
      <c r="AS28" s="571"/>
      <c r="AT28" s="571"/>
      <c r="AU28" s="571"/>
      <c r="AV28" s="571"/>
      <c r="AW28" s="359"/>
      <c r="AX28" s="359"/>
      <c r="AY28" s="359"/>
      <c r="AZ28" s="359"/>
      <c r="BA28" s="359"/>
      <c r="BB28" s="359"/>
      <c r="BC28" s="359"/>
      <c r="BD28" s="359"/>
      <c r="BE28" s="359"/>
      <c r="BF28" s="359"/>
      <c r="BG28" s="359"/>
      <c r="BH28" s="359"/>
      <c r="BI28" s="359"/>
      <c r="BJ28" s="359"/>
      <c r="BK28" s="359"/>
      <c r="BL28" s="244"/>
      <c r="BM28" s="244"/>
      <c r="BN28" s="244"/>
      <c r="BO28" s="244"/>
      <c r="BP28" s="244"/>
      <c r="BQ28" s="244"/>
      <c r="BR28" s="244"/>
      <c r="BS28" s="244"/>
      <c r="BT28" s="1080"/>
      <c r="BU28" s="1066"/>
      <c r="BV28" s="1080"/>
      <c r="BW28" s="1080"/>
      <c r="BX28" s="1080"/>
      <c r="BY28" s="1080"/>
      <c r="BZ28" s="1066"/>
      <c r="CA28" s="1080"/>
      <c r="CB28" s="1080"/>
      <c r="CC28" s="1080"/>
      <c r="CD28" s="1080"/>
      <c r="CE28" s="1066"/>
      <c r="CF28" s="1080"/>
      <c r="CG28" s="1080"/>
      <c r="CH28" s="1080"/>
      <c r="CI28" s="1080"/>
      <c r="CJ28" s="1066"/>
      <c r="CK28" s="1080"/>
      <c r="CL28" s="1080"/>
      <c r="CM28" s="1080"/>
      <c r="CN28" s="1080"/>
      <c r="CO28" s="1066"/>
      <c r="CP28" s="1080"/>
      <c r="CQ28" s="1080"/>
      <c r="CR28" s="1080"/>
      <c r="CS28" s="1080"/>
      <c r="CT28" s="1066"/>
      <c r="CU28" s="1080"/>
      <c r="CV28" s="1080"/>
      <c r="CW28" s="1080"/>
      <c r="CX28" s="1080"/>
      <c r="CY28" s="1066"/>
      <c r="CZ28" s="1080"/>
      <c r="DA28" s="1080"/>
      <c r="DB28" s="1080"/>
      <c r="DC28" s="1080"/>
      <c r="DD28" s="1066"/>
      <c r="DE28" s="1426">
        <v>-8</v>
      </c>
      <c r="DF28" s="1426">
        <v>-2</v>
      </c>
      <c r="DG28" s="1426">
        <v>4</v>
      </c>
      <c r="DH28" s="1426">
        <v>6</v>
      </c>
      <c r="DI28" s="1066"/>
      <c r="DJ28" s="1426">
        <v>0</v>
      </c>
      <c r="DK28" s="1426">
        <v>0</v>
      </c>
      <c r="DL28" s="1426">
        <v>1</v>
      </c>
      <c r="DM28" s="1426">
        <v>0</v>
      </c>
      <c r="DN28" s="1066"/>
      <c r="DO28" s="1426">
        <v>-10</v>
      </c>
      <c r="DP28" s="1426">
        <v>9</v>
      </c>
      <c r="DQ28" s="1426">
        <v>11</v>
      </c>
      <c r="DR28" s="1525">
        <v>19</v>
      </c>
      <c r="DS28" s="1066"/>
      <c r="DT28" s="1426">
        <v>22</v>
      </c>
      <c r="DU28" s="1426">
        <v>12</v>
      </c>
      <c r="DV28" s="1080"/>
      <c r="DW28" s="1080"/>
      <c r="DX28" s="1066"/>
      <c r="DY28" s="1080"/>
      <c r="DZ28" s="1080"/>
      <c r="EA28" s="1080"/>
      <c r="EB28" s="1080"/>
      <c r="EC28" s="1066"/>
      <c r="ED28" s="1080"/>
      <c r="EE28" s="1080"/>
      <c r="EF28" s="1080"/>
      <c r="EG28" s="1080"/>
      <c r="EH28" s="1066"/>
      <c r="EI28" s="1080"/>
      <c r="EJ28" s="1080"/>
      <c r="EK28" s="1080"/>
      <c r="EL28" s="1080"/>
      <c r="EM28" s="1066"/>
      <c r="EN28" s="1080"/>
      <c r="EO28" s="1080"/>
      <c r="EP28" s="1080"/>
      <c r="EQ28" s="1080"/>
      <c r="ER28" s="1066"/>
      <c r="ES28" s="484"/>
    </row>
    <row r="29" spans="1:150" s="203" customFormat="1" ht="12" customHeight="1">
      <c r="A29" s="931"/>
      <c r="B29" s="484"/>
      <c r="C29" s="600" t="s">
        <v>775</v>
      </c>
      <c r="D29" s="566"/>
      <c r="E29" s="566"/>
      <c r="F29" s="566"/>
      <c r="G29" s="566"/>
      <c r="H29" s="566"/>
      <c r="I29" s="566"/>
      <c r="J29" s="566"/>
      <c r="K29" s="566"/>
      <c r="L29" s="566"/>
      <c r="M29" s="571"/>
      <c r="N29" s="568"/>
      <c r="O29" s="568"/>
      <c r="P29" s="568"/>
      <c r="Q29" s="568"/>
      <c r="R29" s="571"/>
      <c r="S29" s="566"/>
      <c r="T29" s="566"/>
      <c r="U29" s="566"/>
      <c r="V29" s="566"/>
      <c r="W29" s="571"/>
      <c r="X29" s="569"/>
      <c r="Y29" s="569"/>
      <c r="Z29" s="569"/>
      <c r="AA29" s="569"/>
      <c r="AB29" s="571"/>
      <c r="AC29" s="569"/>
      <c r="AD29" s="569"/>
      <c r="AE29" s="569"/>
      <c r="AF29" s="569"/>
      <c r="AG29" s="571"/>
      <c r="AH29" s="570"/>
      <c r="AI29" s="571"/>
      <c r="AJ29" s="571"/>
      <c r="AK29" s="571"/>
      <c r="AL29" s="571"/>
      <c r="AM29" s="571"/>
      <c r="AN29" s="571"/>
      <c r="AO29" s="571"/>
      <c r="AP29" s="571"/>
      <c r="AQ29" s="571"/>
      <c r="AR29" s="571"/>
      <c r="AS29" s="571"/>
      <c r="AT29" s="571"/>
      <c r="AU29" s="571"/>
      <c r="AV29" s="571"/>
      <c r="AW29" s="359"/>
      <c r="AX29" s="359"/>
      <c r="AY29" s="359"/>
      <c r="AZ29" s="359"/>
      <c r="BA29" s="359"/>
      <c r="BB29" s="359"/>
      <c r="BC29" s="359"/>
      <c r="BD29" s="359"/>
      <c r="BE29" s="359"/>
      <c r="BF29" s="359"/>
      <c r="BG29" s="359"/>
      <c r="BH29" s="359"/>
      <c r="BI29" s="359"/>
      <c r="BJ29" s="359"/>
      <c r="BK29" s="359"/>
      <c r="BL29" s="244"/>
      <c r="BM29" s="244"/>
      <c r="BN29" s="244"/>
      <c r="BO29" s="244"/>
      <c r="BP29" s="244"/>
      <c r="BQ29" s="244"/>
      <c r="BR29" s="244"/>
      <c r="BS29" s="244"/>
      <c r="BT29" s="1080"/>
      <c r="BU29" s="1066"/>
      <c r="BV29" s="1080"/>
      <c r="BW29" s="1080"/>
      <c r="BX29" s="1080"/>
      <c r="BY29" s="1080"/>
      <c r="BZ29" s="1066"/>
      <c r="CA29" s="1080"/>
      <c r="CB29" s="1080"/>
      <c r="CC29" s="1080"/>
      <c r="CD29" s="1080"/>
      <c r="CE29" s="1066"/>
      <c r="CF29" s="1080"/>
      <c r="CG29" s="1080"/>
      <c r="CH29" s="1080"/>
      <c r="CI29" s="1080"/>
      <c r="CJ29" s="1066"/>
      <c r="CK29" s="1080"/>
      <c r="CL29" s="1080"/>
      <c r="CM29" s="1080"/>
      <c r="CN29" s="1080"/>
      <c r="CO29" s="1066"/>
      <c r="CP29" s="1080"/>
      <c r="CQ29" s="1080"/>
      <c r="CR29" s="1080"/>
      <c r="CS29" s="1080"/>
      <c r="CT29" s="1066"/>
      <c r="CU29" s="1080"/>
      <c r="CV29" s="1080"/>
      <c r="CW29" s="1080"/>
      <c r="CX29" s="1080"/>
      <c r="CY29" s="1066"/>
      <c r="CZ29" s="1080"/>
      <c r="DA29" s="1080"/>
      <c r="DB29" s="1080"/>
      <c r="DC29" s="1080"/>
      <c r="DD29" s="1066"/>
      <c r="DE29" s="1080">
        <f>+DE24-DE28</f>
        <v>725</v>
      </c>
      <c r="DF29" s="1080">
        <f>+DF24-DF28</f>
        <v>837</v>
      </c>
      <c r="DG29" s="1080">
        <f>+DG24-DG28</f>
        <v>897</v>
      </c>
      <c r="DH29" s="1080">
        <f>+DH24-DH28</f>
        <v>1056</v>
      </c>
      <c r="DI29" s="1066"/>
      <c r="DJ29" s="1080">
        <f>+DJ24-DJ28</f>
        <v>957</v>
      </c>
      <c r="DK29" s="1080">
        <f>+DK24-DK28</f>
        <v>1045</v>
      </c>
      <c r="DL29" s="1080">
        <f>+DL24-DL28</f>
        <v>1117</v>
      </c>
      <c r="DM29" s="1080">
        <f>+DM24-DM28</f>
        <v>1352</v>
      </c>
      <c r="DN29" s="1066"/>
      <c r="DO29" s="1080">
        <f>+DO24-DO28</f>
        <v>1179</v>
      </c>
      <c r="DP29" s="1080">
        <f>+DP24-DP28</f>
        <v>1293</v>
      </c>
      <c r="DQ29" s="1080">
        <f>+DQ24-DQ28</f>
        <v>1380</v>
      </c>
      <c r="DR29" s="1080">
        <f>+DR24-DR28</f>
        <v>1674</v>
      </c>
      <c r="DS29" s="1066"/>
      <c r="DT29" s="1080">
        <f>+DT24-DT28</f>
        <v>1524</v>
      </c>
      <c r="DU29" s="1080">
        <f>+DU24-DU28</f>
        <v>1696</v>
      </c>
      <c r="DV29" s="1080"/>
      <c r="DW29" s="1080"/>
      <c r="DX29" s="1066"/>
      <c r="DY29" s="1080"/>
      <c r="DZ29" s="1080"/>
      <c r="EA29" s="1080"/>
      <c r="EB29" s="1080"/>
      <c r="EC29" s="1066"/>
      <c r="ED29" s="1080"/>
      <c r="EE29" s="1080"/>
      <c r="EF29" s="1080"/>
      <c r="EG29" s="1080"/>
      <c r="EH29" s="1066"/>
      <c r="EI29" s="1080"/>
      <c r="EJ29" s="1080"/>
      <c r="EK29" s="1080"/>
      <c r="EL29" s="1080"/>
      <c r="EM29" s="1066"/>
      <c r="EN29" s="1080"/>
      <c r="EO29" s="1080"/>
      <c r="EP29" s="1080"/>
      <c r="EQ29" s="1080"/>
      <c r="ER29" s="1066"/>
      <c r="ES29" s="484"/>
    </row>
    <row r="30" spans="1:150" s="203" customFormat="1" ht="12" customHeight="1">
      <c r="A30" s="931"/>
      <c r="B30" s="484"/>
      <c r="C30" s="600" t="s">
        <v>776</v>
      </c>
      <c r="D30" s="566"/>
      <c r="E30" s="566"/>
      <c r="F30" s="566"/>
      <c r="G30" s="566"/>
      <c r="H30" s="566"/>
      <c r="I30" s="566"/>
      <c r="J30" s="566"/>
      <c r="K30" s="566"/>
      <c r="L30" s="566"/>
      <c r="M30" s="571"/>
      <c r="N30" s="568"/>
      <c r="O30" s="568"/>
      <c r="P30" s="568"/>
      <c r="Q30" s="568"/>
      <c r="R30" s="571"/>
      <c r="S30" s="566"/>
      <c r="T30" s="566"/>
      <c r="U30" s="566"/>
      <c r="V30" s="566"/>
      <c r="W30" s="571"/>
      <c r="X30" s="569"/>
      <c r="Y30" s="569"/>
      <c r="Z30" s="569"/>
      <c r="AA30" s="569"/>
      <c r="AB30" s="571"/>
      <c r="AC30" s="569"/>
      <c r="AD30" s="569"/>
      <c r="AE30" s="569"/>
      <c r="AF30" s="569"/>
      <c r="AG30" s="571"/>
      <c r="AH30" s="570"/>
      <c r="AI30" s="571"/>
      <c r="AJ30" s="571"/>
      <c r="AK30" s="571"/>
      <c r="AL30" s="571"/>
      <c r="AM30" s="571"/>
      <c r="AN30" s="571"/>
      <c r="AO30" s="571"/>
      <c r="AP30" s="571"/>
      <c r="AQ30" s="571"/>
      <c r="AR30" s="571"/>
      <c r="AS30" s="571"/>
      <c r="AT30" s="571"/>
      <c r="AU30" s="571"/>
      <c r="AV30" s="571"/>
      <c r="AW30" s="359"/>
      <c r="AX30" s="359"/>
      <c r="AY30" s="359"/>
      <c r="AZ30" s="359"/>
      <c r="BA30" s="359"/>
      <c r="BB30" s="359"/>
      <c r="BC30" s="359"/>
      <c r="BD30" s="359"/>
      <c r="BE30" s="359"/>
      <c r="BF30" s="359"/>
      <c r="BG30" s="359"/>
      <c r="BH30" s="359"/>
      <c r="BI30" s="359"/>
      <c r="BJ30" s="359"/>
      <c r="BK30" s="359"/>
      <c r="BL30" s="244"/>
      <c r="BM30" s="244"/>
      <c r="BN30" s="244"/>
      <c r="BO30" s="244"/>
      <c r="BP30" s="244"/>
      <c r="BQ30" s="244"/>
      <c r="BR30" s="244"/>
      <c r="BS30" s="244"/>
      <c r="BT30" s="1080"/>
      <c r="BU30" s="1066"/>
      <c r="BV30" s="1080"/>
      <c r="BW30" s="1080"/>
      <c r="BX30" s="1080"/>
      <c r="BY30" s="1080"/>
      <c r="BZ30" s="1066"/>
      <c r="CA30" s="1080"/>
      <c r="CB30" s="1080"/>
      <c r="CC30" s="1080"/>
      <c r="CD30" s="1080"/>
      <c r="CE30" s="1066"/>
      <c r="CF30" s="1080"/>
      <c r="CG30" s="1080"/>
      <c r="CH30" s="1080"/>
      <c r="CI30" s="1080"/>
      <c r="CJ30" s="1066"/>
      <c r="CK30" s="1080"/>
      <c r="CL30" s="1080"/>
      <c r="CM30" s="1080"/>
      <c r="CN30" s="1080"/>
      <c r="CO30" s="1066"/>
      <c r="CP30" s="1080"/>
      <c r="CQ30" s="1080"/>
      <c r="CR30" s="1080"/>
      <c r="CS30" s="1080"/>
      <c r="CT30" s="1066"/>
      <c r="CU30" s="1080"/>
      <c r="CV30" s="1080"/>
      <c r="CW30" s="1080"/>
      <c r="CX30" s="1080"/>
      <c r="CY30" s="1066"/>
      <c r="CZ30" s="1080"/>
      <c r="DA30" s="1080"/>
      <c r="DB30" s="1080"/>
      <c r="DC30" s="1080"/>
      <c r="DD30" s="1066"/>
      <c r="DE30" s="244">
        <f>+DE29/CZ24-1</f>
        <v>0.13701055616283231</v>
      </c>
      <c r="DF30" s="244">
        <f>+DF29/DA24-1</f>
        <v>0.27661132142236156</v>
      </c>
      <c r="DG30" s="244">
        <f>+DG29/DB24-1</f>
        <v>0.35430569563300551</v>
      </c>
      <c r="DH30" s="244">
        <f>+DH29/DC24-1</f>
        <v>0.32246639983569336</v>
      </c>
      <c r="DI30" s="1066"/>
      <c r="DJ30" s="244">
        <f>+DJ29/DE24-1</f>
        <v>0.33472803347280333</v>
      </c>
      <c r="DK30" s="244">
        <f>+DK29/DF24-1</f>
        <v>0.25149700598802394</v>
      </c>
      <c r="DL30" s="244">
        <f>+DL29/DG24-1</f>
        <v>0.23973362930077702</v>
      </c>
      <c r="DM30" s="244">
        <f>+DM29/DH24-1</f>
        <v>0.27306967984934083</v>
      </c>
      <c r="DN30" s="1066"/>
      <c r="DO30" s="244">
        <f>+DO29/DJ24-1</f>
        <v>0.23197492163009414</v>
      </c>
      <c r="DP30" s="244">
        <f>+DP29/DK24-1</f>
        <v>0.23732057416267938</v>
      </c>
      <c r="DQ30" s="244">
        <f>+DQ29/DL24-1</f>
        <v>0.23434704830053676</v>
      </c>
      <c r="DR30" s="245">
        <f>+DR29/DM24-1</f>
        <v>0.23816568047337272</v>
      </c>
      <c r="DS30" s="1066"/>
      <c r="DT30" s="244">
        <f>+DT29/DO24-1</f>
        <v>0.30367835757057304</v>
      </c>
      <c r="DU30" s="244">
        <f>+DU29/DP24-1</f>
        <v>0.30261136712749614</v>
      </c>
      <c r="DV30" s="1080"/>
      <c r="DW30" s="1080"/>
      <c r="DX30" s="1066"/>
      <c r="DY30" s="1080"/>
      <c r="DZ30" s="1080"/>
      <c r="EA30" s="1080"/>
      <c r="EB30" s="1080"/>
      <c r="EC30" s="1066"/>
      <c r="ED30" s="1080"/>
      <c r="EE30" s="1080"/>
      <c r="EF30" s="1080"/>
      <c r="EG30" s="1080"/>
      <c r="EH30" s="1066"/>
      <c r="EI30" s="1080"/>
      <c r="EJ30" s="1080"/>
      <c r="EK30" s="1080"/>
      <c r="EL30" s="1080"/>
      <c r="EM30" s="1066"/>
      <c r="EN30" s="1080"/>
      <c r="EO30" s="1080"/>
      <c r="EP30" s="1080"/>
      <c r="EQ30" s="1080"/>
      <c r="ER30" s="1066"/>
      <c r="ES30" s="484"/>
    </row>
    <row r="31" spans="1:150" s="253" customFormat="1" ht="12" customHeight="1">
      <c r="A31" s="792"/>
      <c r="B31" s="792"/>
      <c r="C31" s="265" t="s">
        <v>172</v>
      </c>
      <c r="D31" s="255"/>
      <c r="E31" s="255"/>
      <c r="F31" s="255"/>
      <c r="G31" s="255"/>
      <c r="H31" s="255"/>
      <c r="I31" s="256"/>
      <c r="J31" s="256"/>
      <c r="K31" s="256"/>
      <c r="L31" s="256"/>
      <c r="M31" s="255"/>
      <c r="N31" s="256"/>
      <c r="O31" s="256"/>
      <c r="P31" s="256"/>
      <c r="Q31" s="256"/>
      <c r="R31" s="255"/>
      <c r="S31" s="256"/>
      <c r="T31" s="256"/>
      <c r="U31" s="256"/>
      <c r="V31" s="256"/>
      <c r="W31" s="255"/>
      <c r="X31" s="256"/>
      <c r="Y31" s="256"/>
      <c r="Z31" s="256"/>
      <c r="AA31" s="256"/>
      <c r="AB31" s="255"/>
      <c r="AC31" s="256"/>
      <c r="AD31" s="256"/>
      <c r="AE31" s="256"/>
      <c r="AF31" s="256"/>
      <c r="AG31" s="255"/>
      <c r="AH31" s="256"/>
      <c r="AI31" s="256"/>
      <c r="AJ31" s="256"/>
      <c r="AK31" s="256"/>
      <c r="AL31" s="255"/>
      <c r="AM31" s="256"/>
      <c r="AN31" s="256"/>
      <c r="AO31" s="256"/>
      <c r="AP31" s="256"/>
      <c r="AQ31" s="255"/>
      <c r="AR31" s="256"/>
      <c r="AS31" s="256"/>
      <c r="AT31" s="256"/>
      <c r="AU31" s="256"/>
      <c r="AV31" s="255"/>
      <c r="AW31" s="256"/>
      <c r="AX31" s="256"/>
      <c r="AY31" s="256"/>
      <c r="AZ31" s="256"/>
      <c r="BA31" s="255"/>
      <c r="BB31" s="256"/>
      <c r="BC31" s="256"/>
      <c r="BD31" s="256"/>
      <c r="BE31" s="256"/>
      <c r="BF31" s="255"/>
      <c r="BG31" s="256"/>
      <c r="BH31" s="256"/>
      <c r="BI31" s="256"/>
      <c r="BJ31" s="256"/>
      <c r="BK31" s="255"/>
      <c r="BL31" s="256"/>
      <c r="BM31" s="256"/>
      <c r="BN31" s="256"/>
      <c r="BO31" s="256"/>
      <c r="BP31" s="255"/>
      <c r="BQ31" s="239">
        <v>-13.54</v>
      </c>
      <c r="BR31" s="239">
        <v>-16.091000000000001</v>
      </c>
      <c r="BS31" s="239">
        <v>-18.216000000000001</v>
      </c>
      <c r="BT31" s="239">
        <v>-22.527000000000001</v>
      </c>
      <c r="BU31" s="257">
        <f>SUM(BQ31:BT31)</f>
        <v>-70.373999999999995</v>
      </c>
      <c r="BV31" s="239">
        <v>-28.007999999999999</v>
      </c>
      <c r="BW31" s="239">
        <v>-29.413</v>
      </c>
      <c r="BX31" s="239">
        <v>-32.777000000000001</v>
      </c>
      <c r="BY31" s="239">
        <v>-39.015999999999998</v>
      </c>
      <c r="BZ31" s="257">
        <f>SUM(BV31:BY31)</f>
        <v>-129.214</v>
      </c>
      <c r="CA31" s="239">
        <v>-45.334000000000003</v>
      </c>
      <c r="CB31" s="239">
        <v>-54.872</v>
      </c>
      <c r="CC31" s="239">
        <v>-58.314</v>
      </c>
      <c r="CD31" s="239">
        <v>-67.174000000000007</v>
      </c>
      <c r="CE31" s="257">
        <f>SUM(CA31:CD31)</f>
        <v>-225.69400000000002</v>
      </c>
      <c r="CF31" s="239">
        <v>-75.784000000000006</v>
      </c>
      <c r="CG31" s="239">
        <v>-87.486999999999995</v>
      </c>
      <c r="CH31" s="239">
        <v>-91.635000000000005</v>
      </c>
      <c r="CI31" s="239">
        <v>-95.162999999999997</v>
      </c>
      <c r="CJ31" s="257">
        <f>SUM(CF31:CI31)</f>
        <v>-350.06900000000002</v>
      </c>
      <c r="CK31" s="239">
        <v>-105.02200000000001</v>
      </c>
      <c r="CL31" s="239">
        <v>-119.21</v>
      </c>
      <c r="CM31" s="239">
        <v>-116.54600000000001</v>
      </c>
      <c r="CN31" s="239">
        <v>-132.06299999999999</v>
      </c>
      <c r="CO31" s="257">
        <f>SUM(CK31:CN31)</f>
        <v>-472.84100000000001</v>
      </c>
      <c r="CP31" s="239">
        <v>-154.86199999999999</v>
      </c>
      <c r="CQ31" s="239">
        <v>-144.85</v>
      </c>
      <c r="CR31" s="239">
        <v>-147.608</v>
      </c>
      <c r="CS31" s="239">
        <v>-154.72800000000001</v>
      </c>
      <c r="CT31" s="257">
        <f>SUM(CP31:CS31)</f>
        <v>-602.048</v>
      </c>
      <c r="CU31" s="239">
        <v>-186.22300000000001</v>
      </c>
      <c r="CV31" s="239">
        <v>-201.91</v>
      </c>
      <c r="CW31" s="239">
        <v>-237.94900000000001</v>
      </c>
      <c r="CX31" s="239">
        <v>-275.47500000000002</v>
      </c>
      <c r="CY31" s="257">
        <f>SUM(CU31:CX31)</f>
        <v>-901.55700000000013</v>
      </c>
      <c r="CZ31" s="239">
        <v>-303.37099999999998</v>
      </c>
      <c r="DA31" s="239">
        <v>-326.90199999999999</v>
      </c>
      <c r="DB31" s="239">
        <v>-302.476</v>
      </c>
      <c r="DC31" s="239">
        <v>-297.74099999999999</v>
      </c>
      <c r="DD31" s="257">
        <f>SUM(CZ31:DC31)</f>
        <v>-1230.4899999999998</v>
      </c>
      <c r="DE31" s="239">
        <v>-287</v>
      </c>
      <c r="DF31" s="239">
        <v>-321</v>
      </c>
      <c r="DG31" s="239">
        <v>-295</v>
      </c>
      <c r="DH31" s="239">
        <v>-317</v>
      </c>
      <c r="DI31" s="257">
        <f>SUM(DE31:DH31)</f>
        <v>-1220</v>
      </c>
      <c r="DJ31" s="239">
        <v>-361</v>
      </c>
      <c r="DK31" s="259">
        <v>-353</v>
      </c>
      <c r="DL31" s="259">
        <v>-331</v>
      </c>
      <c r="DM31" s="259">
        <v>-348</v>
      </c>
      <c r="DN31" s="257">
        <f>SUM(DJ31:DM31)</f>
        <v>-1393</v>
      </c>
      <c r="DO31" s="239">
        <v>-405</v>
      </c>
      <c r="DP31" s="259">
        <v>-415</v>
      </c>
      <c r="DQ31" s="259">
        <v>-410</v>
      </c>
      <c r="DR31" s="239">
        <v>-433</v>
      </c>
      <c r="DS31" s="257">
        <f>SUM(DO31:DR31)</f>
        <v>-1663</v>
      </c>
      <c r="DT31" s="239">
        <v>-496</v>
      </c>
      <c r="DU31" s="259">
        <v>-498</v>
      </c>
      <c r="DV31" s="120">
        <f>-DV32*DV$10</f>
        <v>-501.30979560806082</v>
      </c>
      <c r="DW31" s="120">
        <f>-DW32*DW$10</f>
        <v>-517.34117377929113</v>
      </c>
      <c r="DX31" s="257">
        <f>SUM(DT31:DW31)</f>
        <v>-2012.6509693873518</v>
      </c>
      <c r="DY31" s="120">
        <f>-DY32*DY$10</f>
        <v>-599.08189694706152</v>
      </c>
      <c r="DZ31" s="120">
        <f>-DZ32*DZ$10</f>
        <v>-594.92171507281842</v>
      </c>
      <c r="EA31" s="120">
        <f>-EA32*EA$10</f>
        <v>-590.25013113907357</v>
      </c>
      <c r="EB31" s="120">
        <f>-EB32*EB$10</f>
        <v>-597.01256713276291</v>
      </c>
      <c r="EC31" s="257">
        <f>SUM(DY31:EB31)</f>
        <v>-2381.2663102917163</v>
      </c>
      <c r="ED31" s="120">
        <f>-ED32*ED$10</f>
        <v>-714.33451223654879</v>
      </c>
      <c r="EE31" s="120">
        <f>-EE32*EE$10</f>
        <v>-707.51459927413271</v>
      </c>
      <c r="EF31" s="120">
        <f>-EF32*EF$10</f>
        <v>-700.75147091154213</v>
      </c>
      <c r="EG31" s="120">
        <f>-EG32*EG$10</f>
        <v>-705.93361142793083</v>
      </c>
      <c r="EH31" s="257">
        <f>SUM(ED31:EG31)</f>
        <v>-2828.5341938501547</v>
      </c>
      <c r="EI31" s="120">
        <f>-EI32*EI$10</f>
        <v>-834.99757473808495</v>
      </c>
      <c r="EJ31" s="120">
        <f>-EJ32*EJ$10</f>
        <v>-825.60526438657917</v>
      </c>
      <c r="EK31" s="120">
        <f>-EK32*EK$10</f>
        <v>-817.27160506882944</v>
      </c>
      <c r="EL31" s="120">
        <f>-EL32*EL$10</f>
        <v>-820.18929742125567</v>
      </c>
      <c r="EM31" s="257">
        <f>SUM(EI31:EL31)</f>
        <v>-3298.0637416147492</v>
      </c>
      <c r="EN31" s="120">
        <f>-EN32*EN$10</f>
        <v>-965.98858215464134</v>
      </c>
      <c r="EO31" s="120">
        <f>-EO32*EO$10</f>
        <v>-953.29613415058282</v>
      </c>
      <c r="EP31" s="120">
        <f>-EP32*EP$10</f>
        <v>-943.26439571527737</v>
      </c>
      <c r="EQ31" s="120">
        <f>-EQ32*EQ$10</f>
        <v>-942.48251966400505</v>
      </c>
      <c r="ER31" s="257">
        <f>SUM(EN31:EQ31)</f>
        <v>-3805.0316316845065</v>
      </c>
      <c r="ES31" s="417"/>
      <c r="ET31" s="133"/>
    </row>
    <row r="32" spans="1:150" s="253" customFormat="1" ht="12" customHeight="1">
      <c r="A32" s="792"/>
      <c r="B32" s="792"/>
      <c r="C32" s="260" t="s">
        <v>189</v>
      </c>
      <c r="D32" s="255"/>
      <c r="E32" s="255"/>
      <c r="F32" s="255"/>
      <c r="G32" s="255"/>
      <c r="H32" s="255"/>
      <c r="I32" s="94"/>
      <c r="J32" s="94"/>
      <c r="K32" s="94"/>
      <c r="L32" s="94"/>
      <c r="M32" s="255"/>
      <c r="N32" s="94"/>
      <c r="O32" s="94"/>
      <c r="P32" s="94"/>
      <c r="Q32" s="94"/>
      <c r="R32" s="255"/>
      <c r="S32" s="94"/>
      <c r="T32" s="94"/>
      <c r="U32" s="94"/>
      <c r="V32" s="94"/>
      <c r="W32" s="255"/>
      <c r="X32" s="94"/>
      <c r="Y32" s="94"/>
      <c r="Z32" s="94"/>
      <c r="AA32" s="94"/>
      <c r="AB32" s="255"/>
      <c r="AC32" s="94"/>
      <c r="AD32" s="94"/>
      <c r="AE32" s="94"/>
      <c r="AF32" s="94"/>
      <c r="AG32" s="255"/>
      <c r="AH32" s="94"/>
      <c r="AI32" s="94"/>
      <c r="AJ32" s="94"/>
      <c r="AK32" s="94"/>
      <c r="AL32" s="255"/>
      <c r="AM32" s="94"/>
      <c r="AN32" s="94"/>
      <c r="AO32" s="94"/>
      <c r="AP32" s="94"/>
      <c r="AQ32" s="255"/>
      <c r="AR32" s="94"/>
      <c r="AS32" s="94"/>
      <c r="AT32" s="94"/>
      <c r="AU32" s="94"/>
      <c r="AV32" s="255"/>
      <c r="AW32" s="94"/>
      <c r="AX32" s="94"/>
      <c r="AY32" s="94"/>
      <c r="AZ32" s="94"/>
      <c r="BA32" s="255"/>
      <c r="BB32" s="94"/>
      <c r="BC32" s="94"/>
      <c r="BD32" s="94"/>
      <c r="BE32" s="94"/>
      <c r="BF32" s="255"/>
      <c r="BG32" s="625"/>
      <c r="BH32" s="625"/>
      <c r="BI32" s="625"/>
      <c r="BJ32" s="625"/>
      <c r="BK32" s="255"/>
      <c r="BL32" s="625"/>
      <c r="BM32" s="625"/>
      <c r="BN32" s="625"/>
      <c r="BO32" s="625"/>
      <c r="BP32" s="255"/>
      <c r="BQ32" s="359">
        <f t="shared" ref="BQ32:BZ32" si="136">-BQ31/BQ$10</f>
        <v>0.36253614651386956</v>
      </c>
      <c r="BR32" s="359">
        <f t="shared" si="136"/>
        <v>0.35816676312157769</v>
      </c>
      <c r="BS32" s="359">
        <f t="shared" si="136"/>
        <v>0.3450915015344978</v>
      </c>
      <c r="BT32" s="359">
        <f t="shared" si="136"/>
        <v>0.32102090547646533</v>
      </c>
      <c r="BU32" s="501">
        <f t="shared" si="136"/>
        <v>0.34289807194749378</v>
      </c>
      <c r="BV32" s="359">
        <f t="shared" si="136"/>
        <v>0.38513792249938117</v>
      </c>
      <c r="BW32" s="359">
        <f t="shared" si="136"/>
        <v>0.3394578000392397</v>
      </c>
      <c r="BX32" s="359">
        <f t="shared" si="136"/>
        <v>0.32915905119604733</v>
      </c>
      <c r="BY32" s="359">
        <f t="shared" si="136"/>
        <v>0.29924146552848152</v>
      </c>
      <c r="BZ32" s="501">
        <f t="shared" si="136"/>
        <v>0.33188811548044078</v>
      </c>
      <c r="CA32" s="359">
        <f t="shared" ref="CA32:CX32" si="137">-CA31/CA$10</f>
        <v>0.35589853900564461</v>
      </c>
      <c r="CB32" s="359">
        <f t="shared" si="137"/>
        <v>0.36182123899640634</v>
      </c>
      <c r="CC32" s="359">
        <f t="shared" si="137"/>
        <v>0.34011058230683089</v>
      </c>
      <c r="CD32" s="359">
        <f t="shared" si="137"/>
        <v>0.30148015833834502</v>
      </c>
      <c r="CE32" s="501">
        <f t="shared" si="137"/>
        <v>0.33520371184487247</v>
      </c>
      <c r="CF32" s="359">
        <f t="shared" si="137"/>
        <v>0.35356909582905671</v>
      </c>
      <c r="CG32" s="359">
        <f t="shared" si="137"/>
        <v>0.35714373191053339</v>
      </c>
      <c r="CH32" s="359">
        <f t="shared" si="137"/>
        <v>0.33930846021683753</v>
      </c>
      <c r="CI32" s="359">
        <f t="shared" si="137"/>
        <v>0.27674764876607477</v>
      </c>
      <c r="CJ32" s="501">
        <f t="shared" si="137"/>
        <v>0.32618294883943694</v>
      </c>
      <c r="CK32" s="359">
        <f t="shared" si="137"/>
        <v>0.32770015164658239</v>
      </c>
      <c r="CL32" s="359">
        <f t="shared" si="137"/>
        <v>0.32932849695700578</v>
      </c>
      <c r="CM32" s="359">
        <f t="shared" si="137"/>
        <v>0.29841352752002293</v>
      </c>
      <c r="CN32" s="359">
        <f t="shared" si="137"/>
        <v>0.26142806239607247</v>
      </c>
      <c r="CO32" s="501">
        <f t="shared" si="137"/>
        <v>0.29961290682326969</v>
      </c>
      <c r="CP32" s="359">
        <f t="shared" si="137"/>
        <v>0.32949291597251923</v>
      </c>
      <c r="CQ32" s="359">
        <f t="shared" si="137"/>
        <v>0.20277430526877219</v>
      </c>
      <c r="CR32" s="359">
        <f t="shared" si="137"/>
        <v>0.19234693545129367</v>
      </c>
      <c r="CS32" s="359">
        <f t="shared" si="137"/>
        <v>0.15825001227315127</v>
      </c>
      <c r="CT32" s="501">
        <f t="shared" si="137"/>
        <v>0.20551283482352395</v>
      </c>
      <c r="CU32" s="359">
        <f t="shared" si="137"/>
        <v>0.1883614677432896</v>
      </c>
      <c r="CV32" s="359">
        <f t="shared" si="137"/>
        <v>0.18036616358999327</v>
      </c>
      <c r="CW32" s="359">
        <f t="shared" si="137"/>
        <v>0.2117473792870237</v>
      </c>
      <c r="CX32" s="359">
        <f t="shared" si="137"/>
        <v>0.19961609363315422</v>
      </c>
      <c r="CY32" s="501">
        <f t="shared" ref="CY32:DH32" si="138">-CY31/CY$10</f>
        <v>0.19548680617955116</v>
      </c>
      <c r="CZ32" s="359">
        <f t="shared" si="138"/>
        <v>0.25204819116949406</v>
      </c>
      <c r="DA32" s="359">
        <f t="shared" si="138"/>
        <v>0.25242169685953497</v>
      </c>
      <c r="DB32" s="359">
        <f t="shared" si="138"/>
        <v>0.22139950226906749</v>
      </c>
      <c r="DC32" s="359">
        <f t="shared" si="138"/>
        <v>0.17161082157814103</v>
      </c>
      <c r="DD32" s="501">
        <f t="shared" si="138"/>
        <v>0.21973569358112977</v>
      </c>
      <c r="DE32" s="359">
        <f t="shared" si="138"/>
        <v>0.19031830238726791</v>
      </c>
      <c r="DF32" s="359">
        <f t="shared" si="138"/>
        <v>0.18949232585596221</v>
      </c>
      <c r="DG32" s="359">
        <f t="shared" si="138"/>
        <v>0.17211201866977829</v>
      </c>
      <c r="DH32" s="359">
        <f t="shared" si="138"/>
        <v>0.14785447761194029</v>
      </c>
      <c r="DI32" s="501">
        <f t="shared" ref="DI32:DN32" si="139">-DI31/DI$10</f>
        <v>0.17280453257790368</v>
      </c>
      <c r="DJ32" s="359">
        <f t="shared" si="139"/>
        <v>0.19398173025255239</v>
      </c>
      <c r="DK32" s="359">
        <f t="shared" si="139"/>
        <v>0.1726161369193154</v>
      </c>
      <c r="DL32" s="359">
        <f t="shared" si="139"/>
        <v>0.15309898242368178</v>
      </c>
      <c r="DM32" s="359">
        <f t="shared" si="139"/>
        <v>0.12375533428165007</v>
      </c>
      <c r="DN32" s="501">
        <f t="shared" si="139"/>
        <v>0.15686936936936938</v>
      </c>
      <c r="DO32" s="963">
        <f>-DO31/DO$10</f>
        <v>0.17161016949152541</v>
      </c>
      <c r="DP32" s="359">
        <f t="shared" ref="DP32:DQ32" si="140">-DP31/DP$10</f>
        <v>0.15485074626865672</v>
      </c>
      <c r="DQ32" s="359">
        <f t="shared" si="140"/>
        <v>0.14416315049226441</v>
      </c>
      <c r="DR32" s="627">
        <f>-DR31/DR$10</f>
        <v>0.11791938997821351</v>
      </c>
      <c r="DS32" s="501">
        <f>-DS31/DS$10</f>
        <v>0.143907926618207</v>
      </c>
      <c r="DT32" s="963">
        <f>-DT31/DT$10</f>
        <v>0.15646687697160883</v>
      </c>
      <c r="DU32" s="359">
        <f t="shared" ref="DU32" si="141">-DU31/DU$10</f>
        <v>0.13898967345799609</v>
      </c>
      <c r="DV32" s="360">
        <f t="shared" ref="DV32:DW32" si="142">DQ32-0.9%</f>
        <v>0.13516315049226441</v>
      </c>
      <c r="DW32" s="360">
        <f t="shared" si="142"/>
        <v>0.10891938997821352</v>
      </c>
      <c r="DX32" s="501">
        <f>-DX31/DX$10</f>
        <v>0.13230953047526492</v>
      </c>
      <c r="DY32" s="360">
        <f>DT32-0.8%</f>
        <v>0.14846687697160882</v>
      </c>
      <c r="DZ32" s="360">
        <f>DU32-0.8%</f>
        <v>0.13098967345799609</v>
      </c>
      <c r="EA32" s="360">
        <f>DV32-0.8%</f>
        <v>0.1271631504922644</v>
      </c>
      <c r="EB32" s="360">
        <f>DW32-0.8%</f>
        <v>0.10091938997821351</v>
      </c>
      <c r="EC32" s="501">
        <f>-EC31/EC$10</f>
        <v>0.12445027248862665</v>
      </c>
      <c r="ED32" s="360">
        <f>DY32-0.2%</f>
        <v>0.14646687697160882</v>
      </c>
      <c r="EE32" s="360">
        <f t="shared" ref="EE32:EG32" si="143">DZ32-0.2%</f>
        <v>0.12898967345799608</v>
      </c>
      <c r="EF32" s="360">
        <f t="shared" si="143"/>
        <v>0.1251631504922644</v>
      </c>
      <c r="EG32" s="360">
        <f t="shared" si="143"/>
        <v>9.8919389978213507E-2</v>
      </c>
      <c r="EH32" s="501">
        <f>-EH31/EH$10</f>
        <v>0.12246161656450325</v>
      </c>
      <c r="EI32" s="360">
        <f t="shared" ref="EI32" si="144">ED32-0.2%</f>
        <v>0.14446687697160882</v>
      </c>
      <c r="EJ32" s="360">
        <f t="shared" ref="EJ32" si="145">EE32-0.2%</f>
        <v>0.12698967345799608</v>
      </c>
      <c r="EK32" s="360">
        <f t="shared" ref="EK32" si="146">EF32-0.2%</f>
        <v>0.12316315049226439</v>
      </c>
      <c r="EL32" s="360">
        <f t="shared" ref="EL32" si="147">EG32-0.2%</f>
        <v>9.6919389978213505E-2</v>
      </c>
      <c r="EM32" s="501">
        <f t="shared" ref="EM32" si="148">-EM31/EM$10</f>
        <v>0.12045746765742013</v>
      </c>
      <c r="EN32" s="360">
        <f t="shared" ref="EN32" si="149">EI32-0.2%</f>
        <v>0.14246687697160881</v>
      </c>
      <c r="EO32" s="360">
        <f t="shared" ref="EO32" si="150">EJ32-0.2%</f>
        <v>0.12498967345799608</v>
      </c>
      <c r="EP32" s="360">
        <f t="shared" ref="EP32" si="151">EK32-0.2%</f>
        <v>0.12116315049226439</v>
      </c>
      <c r="EQ32" s="360">
        <f t="shared" ref="EQ32" si="152">EL32-0.2%</f>
        <v>9.4919389978213503E-2</v>
      </c>
      <c r="ER32" s="501">
        <f t="shared" ref="ER32" si="153">-ER31/ER$10</f>
        <v>0.11845631652620474</v>
      </c>
      <c r="ES32" s="359"/>
      <c r="ET32" s="133"/>
    </row>
    <row r="33" spans="1:150" s="253" customFormat="1" ht="12" customHeight="1">
      <c r="A33" s="792"/>
      <c r="B33" s="792"/>
      <c r="C33" s="265" t="s">
        <v>214</v>
      </c>
      <c r="D33" s="255"/>
      <c r="E33" s="255"/>
      <c r="F33" s="255"/>
      <c r="G33" s="255"/>
      <c r="H33" s="255"/>
      <c r="I33" s="256"/>
      <c r="J33" s="256"/>
      <c r="K33" s="256"/>
      <c r="L33" s="256"/>
      <c r="M33" s="255"/>
      <c r="N33" s="256"/>
      <c r="O33" s="256"/>
      <c r="P33" s="256"/>
      <c r="Q33" s="256"/>
      <c r="R33" s="255"/>
      <c r="S33" s="256"/>
      <c r="T33" s="256"/>
      <c r="U33" s="256"/>
      <c r="V33" s="256"/>
      <c r="W33" s="255"/>
      <c r="X33" s="256"/>
      <c r="Y33" s="256"/>
      <c r="Z33" s="256"/>
      <c r="AA33" s="256"/>
      <c r="AB33" s="255"/>
      <c r="AC33" s="256"/>
      <c r="AD33" s="256"/>
      <c r="AE33" s="256"/>
      <c r="AF33" s="256"/>
      <c r="AG33" s="255"/>
      <c r="AH33" s="256"/>
      <c r="AI33" s="256"/>
      <c r="AJ33" s="256"/>
      <c r="AK33" s="256"/>
      <c r="AL33" s="255"/>
      <c r="AM33" s="256"/>
      <c r="AN33" s="256"/>
      <c r="AO33" s="256"/>
      <c r="AP33" s="256"/>
      <c r="AQ33" s="255"/>
      <c r="AR33" s="256"/>
      <c r="AS33" s="256"/>
      <c r="AT33" s="256"/>
      <c r="AU33" s="256"/>
      <c r="AV33" s="255"/>
      <c r="AW33" s="256"/>
      <c r="AX33" s="256"/>
      <c r="AY33" s="256"/>
      <c r="AZ33" s="256"/>
      <c r="BA33" s="255"/>
      <c r="BB33" s="256"/>
      <c r="BC33" s="256"/>
      <c r="BD33" s="256"/>
      <c r="BE33" s="256"/>
      <c r="BF33" s="255"/>
      <c r="BG33" s="256"/>
      <c r="BH33" s="256"/>
      <c r="BI33" s="256"/>
      <c r="BJ33" s="256"/>
      <c r="BK33" s="255"/>
      <c r="BL33" s="256"/>
      <c r="BM33" s="256"/>
      <c r="BN33" s="256"/>
      <c r="BO33" s="256"/>
      <c r="BP33" s="255"/>
      <c r="BQ33" s="239">
        <v>-7.3129999999999997</v>
      </c>
      <c r="BR33" s="239">
        <v>-8.8000000000000007</v>
      </c>
      <c r="BS33" s="239">
        <v>-10.068</v>
      </c>
      <c r="BT33" s="239">
        <v>-13.541</v>
      </c>
      <c r="BU33" s="257">
        <f>SUM(BQ33:BT33)</f>
        <v>-39.721999999999994</v>
      </c>
      <c r="BV33" s="239">
        <v>-13.67</v>
      </c>
      <c r="BW33" s="239">
        <v>-16.731999999999999</v>
      </c>
      <c r="BX33" s="239">
        <v>-19.462</v>
      </c>
      <c r="BY33" s="239">
        <v>-24.472000000000001</v>
      </c>
      <c r="BZ33" s="257">
        <f>SUM(BV33:BY33)</f>
        <v>-74.336000000000013</v>
      </c>
      <c r="CA33" s="239">
        <v>-26.594000000000001</v>
      </c>
      <c r="CB33" s="239">
        <v>-32.713999999999999</v>
      </c>
      <c r="CC33" s="239">
        <v>-36.35</v>
      </c>
      <c r="CD33" s="239">
        <v>-40.338999999999999</v>
      </c>
      <c r="CE33" s="257">
        <f>SUM(CA33:CD33)</f>
        <v>-135.99700000000001</v>
      </c>
      <c r="CF33" s="239">
        <v>-47.716000000000001</v>
      </c>
      <c r="CG33" s="239">
        <v>-54.305</v>
      </c>
      <c r="CH33" s="239">
        <v>-61.628999999999998</v>
      </c>
      <c r="CI33" s="239">
        <v>-67.024000000000001</v>
      </c>
      <c r="CJ33" s="257">
        <f>SUM(CF33:CI33)</f>
        <v>-230.67400000000001</v>
      </c>
      <c r="CK33" s="239">
        <v>-76.355000000000004</v>
      </c>
      <c r="CL33" s="239">
        <v>-85.52</v>
      </c>
      <c r="CM33" s="239">
        <v>-90.387</v>
      </c>
      <c r="CN33" s="239">
        <v>-102.753</v>
      </c>
      <c r="CO33" s="257">
        <f>SUM(CK33:CN33)</f>
        <v>-355.01499999999999</v>
      </c>
      <c r="CP33" s="239">
        <v>-116.396</v>
      </c>
      <c r="CQ33" s="239">
        <v>-133.227</v>
      </c>
      <c r="CR33" s="239">
        <v>-143.42699999999999</v>
      </c>
      <c r="CS33" s="239">
        <v>-159.077</v>
      </c>
      <c r="CT33" s="257">
        <f>SUM(CP33:CS33)</f>
        <v>-552.12699999999995</v>
      </c>
      <c r="CU33" s="239">
        <v>-175.886</v>
      </c>
      <c r="CV33" s="239">
        <v>-183.55699999999999</v>
      </c>
      <c r="CW33" s="239">
        <v>-221.02799999999999</v>
      </c>
      <c r="CX33" s="239">
        <v>-273.91199999999998</v>
      </c>
      <c r="CY33" s="257">
        <f>SUM(CU33:CX33)</f>
        <v>-854.38300000000004</v>
      </c>
      <c r="CZ33" s="239">
        <v>-303.661</v>
      </c>
      <c r="DA33" s="239">
        <v>-346.66699999999997</v>
      </c>
      <c r="DB33" s="239">
        <v>-412.35899999999998</v>
      </c>
      <c r="DC33" s="239">
        <v>-440.54700000000003</v>
      </c>
      <c r="DD33" s="257">
        <f>SUM(CZ33:DC33)</f>
        <v>-1503.2339999999999</v>
      </c>
      <c r="DE33" s="239">
        <v>-458</v>
      </c>
      <c r="DF33" s="239">
        <v>-648</v>
      </c>
      <c r="DG33" s="239">
        <v>-313</v>
      </c>
      <c r="DH33" s="239">
        <v>-311</v>
      </c>
      <c r="DI33" s="257">
        <f>SUM(DE33:DH33)</f>
        <v>-1730</v>
      </c>
      <c r="DJ33" s="239">
        <v>-335</v>
      </c>
      <c r="DK33" s="259">
        <v>-349</v>
      </c>
      <c r="DL33" s="259">
        <v>-332</v>
      </c>
      <c r="DM33" s="259">
        <v>-351</v>
      </c>
      <c r="DN33" s="257">
        <f>SUM(DJ33:DM33)</f>
        <v>-1367</v>
      </c>
      <c r="DO33" s="239">
        <v>-377</v>
      </c>
      <c r="DP33" s="259">
        <v>-394</v>
      </c>
      <c r="DQ33" s="259">
        <v>-375</v>
      </c>
      <c r="DR33" s="239">
        <v>-390</v>
      </c>
      <c r="DS33" s="257">
        <f>SUM(DO33:DR33)</f>
        <v>-1536</v>
      </c>
      <c r="DT33" s="239">
        <v>-437</v>
      </c>
      <c r="DU33" s="259">
        <v>-445</v>
      </c>
      <c r="DV33" s="120">
        <f>-DV34*DV$10</f>
        <v>-485.86898859252665</v>
      </c>
      <c r="DW33" s="120">
        <f>-DW34*DW$10</f>
        <v>-474.97619467275001</v>
      </c>
      <c r="DX33" s="257">
        <f>SUM(DT33:DW33)</f>
        <v>-1842.8451832652768</v>
      </c>
      <c r="DY33" s="120">
        <f>-DY34*DY$10</f>
        <v>-515.91002216693028</v>
      </c>
      <c r="DZ33" s="120">
        <f>-DZ34*DZ$10</f>
        <v>-518.65639575132764</v>
      </c>
      <c r="EA33" s="120">
        <f>-EA34*EA$10</f>
        <v>-561.64278402470507</v>
      </c>
      <c r="EB33" s="120">
        <f>-EB34*EB$10</f>
        <v>-532.4163280569586</v>
      </c>
      <c r="EC33" s="257">
        <f>SUM(DY33:EB33)</f>
        <v>-2128.6255299999216</v>
      </c>
      <c r="ED33" s="120">
        <f>-ED34*ED$10</f>
        <v>-608.93055480961368</v>
      </c>
      <c r="EE33" s="120">
        <f>-EE34*EE$10</f>
        <v>-609.9242143743628</v>
      </c>
      <c r="EF33" s="120">
        <f>-EF34*EF$10</f>
        <v>-660.64710933169169</v>
      </c>
      <c r="EG33" s="120">
        <f>-EG34*EG$10</f>
        <v>-620.87144095567714</v>
      </c>
      <c r="EH33" s="257">
        <f>SUM(ED33:EG33)</f>
        <v>-2500.373319471345</v>
      </c>
      <c r="EI33" s="120">
        <f>-EI34*EI$10</f>
        <v>-704.30357055163643</v>
      </c>
      <c r="EJ33" s="120">
        <f>-EJ34*EJ$10</f>
        <v>-703.43127545092773</v>
      </c>
      <c r="EK33" s="120">
        <f>-EK34*EK$10</f>
        <v>-763.10352737216192</v>
      </c>
      <c r="EL33" s="120">
        <f>-EL34*EL$10</f>
        <v>-710.85776539526898</v>
      </c>
      <c r="EM33" s="257">
        <f>SUM(EI33:EL33)</f>
        <v>-2881.6961387699948</v>
      </c>
      <c r="EN33" s="120">
        <f>-EN34*EN$10</f>
        <v>-805.88884039326024</v>
      </c>
      <c r="EO33" s="120">
        <f>-EO34*EO$10</f>
        <v>-802.34200485988276</v>
      </c>
      <c r="EP33" s="120">
        <f>-EP34*EP$10</f>
        <v>-871.92856814049219</v>
      </c>
      <c r="EQ33" s="120">
        <f>-EQ34*EQ$10</f>
        <v>-804.27280569656739</v>
      </c>
      <c r="ER33" s="257">
        <f>SUM(EN33:EQ33)</f>
        <v>-3284.4322190902026</v>
      </c>
      <c r="ES33" s="417"/>
      <c r="ET33" s="133"/>
    </row>
    <row r="34" spans="1:150" s="253" customFormat="1" ht="12" customHeight="1">
      <c r="A34" s="792"/>
      <c r="B34" s="792"/>
      <c r="C34" s="260" t="s">
        <v>189</v>
      </c>
      <c r="D34" s="255"/>
      <c r="E34" s="255"/>
      <c r="F34" s="255"/>
      <c r="G34" s="255"/>
      <c r="H34" s="255"/>
      <c r="I34" s="94"/>
      <c r="J34" s="94"/>
      <c r="K34" s="94"/>
      <c r="L34" s="94"/>
      <c r="M34" s="255"/>
      <c r="N34" s="94"/>
      <c r="O34" s="94"/>
      <c r="P34" s="94"/>
      <c r="Q34" s="94"/>
      <c r="R34" s="255"/>
      <c r="S34" s="94"/>
      <c r="T34" s="94"/>
      <c r="U34" s="94"/>
      <c r="V34" s="94"/>
      <c r="W34" s="255"/>
      <c r="X34" s="94"/>
      <c r="Y34" s="94"/>
      <c r="Z34" s="94"/>
      <c r="AA34" s="94"/>
      <c r="AB34" s="255"/>
      <c r="AC34" s="94"/>
      <c r="AD34" s="94"/>
      <c r="AE34" s="94"/>
      <c r="AF34" s="94"/>
      <c r="AG34" s="255"/>
      <c r="AH34" s="94"/>
      <c r="AI34" s="94"/>
      <c r="AJ34" s="94"/>
      <c r="AK34" s="94"/>
      <c r="AL34" s="255"/>
      <c r="AM34" s="94"/>
      <c r="AN34" s="94"/>
      <c r="AO34" s="94"/>
      <c r="AP34" s="94"/>
      <c r="AQ34" s="255"/>
      <c r="AR34" s="94"/>
      <c r="AS34" s="94"/>
      <c r="AT34" s="94"/>
      <c r="AU34" s="94"/>
      <c r="AV34" s="255"/>
      <c r="AW34" s="94"/>
      <c r="AX34" s="94"/>
      <c r="AY34" s="94"/>
      <c r="AZ34" s="94"/>
      <c r="BA34" s="255"/>
      <c r="BB34" s="94"/>
      <c r="BC34" s="94"/>
      <c r="BD34" s="94"/>
      <c r="BE34" s="94"/>
      <c r="BF34" s="255"/>
      <c r="BG34" s="625"/>
      <c r="BH34" s="625"/>
      <c r="BI34" s="625"/>
      <c r="BJ34" s="625"/>
      <c r="BK34" s="255"/>
      <c r="BL34" s="625"/>
      <c r="BM34" s="625"/>
      <c r="BN34" s="625"/>
      <c r="BO34" s="625"/>
      <c r="BP34" s="255"/>
      <c r="BQ34" s="359">
        <f t="shared" ref="BQ34:BZ34" si="154">-BQ33/BQ$10</f>
        <v>0.19580700439113205</v>
      </c>
      <c r="BR34" s="359">
        <f t="shared" si="154"/>
        <v>0.19587766549436852</v>
      </c>
      <c r="BS34" s="359">
        <f t="shared" si="154"/>
        <v>0.19073239116432386</v>
      </c>
      <c r="BT34" s="359">
        <f t="shared" si="154"/>
        <v>0.19296595556695595</v>
      </c>
      <c r="BU34" s="501">
        <f t="shared" si="154"/>
        <v>0.19354587225251296</v>
      </c>
      <c r="BV34" s="359">
        <f t="shared" si="154"/>
        <v>0.18797612826929949</v>
      </c>
      <c r="BW34" s="359">
        <f t="shared" si="154"/>
        <v>0.193105358523665</v>
      </c>
      <c r="BX34" s="359">
        <f t="shared" si="154"/>
        <v>0.195444776958766</v>
      </c>
      <c r="BY34" s="359">
        <f t="shared" si="154"/>
        <v>0.1876931808594679</v>
      </c>
      <c r="BZ34" s="501">
        <f t="shared" si="154"/>
        <v>0.19093314155086949</v>
      </c>
      <c r="CA34" s="359">
        <f t="shared" ref="CA34:CX34" si="155">-CA33/CA$10</f>
        <v>0.20877852707275141</v>
      </c>
      <c r="CB34" s="359">
        <f t="shared" si="155"/>
        <v>0.21571329662721306</v>
      </c>
      <c r="CC34" s="359">
        <f t="shared" si="155"/>
        <v>0.21200774542739828</v>
      </c>
      <c r="CD34" s="359">
        <f t="shared" si="155"/>
        <v>0.18104338147513171</v>
      </c>
      <c r="CE34" s="501">
        <f t="shared" si="155"/>
        <v>0.20198454190083531</v>
      </c>
      <c r="CF34" s="359">
        <f t="shared" si="155"/>
        <v>0.22261827003825702</v>
      </c>
      <c r="CG34" s="359">
        <f t="shared" si="155"/>
        <v>0.22168654041630778</v>
      </c>
      <c r="CH34" s="359">
        <f t="shared" si="155"/>
        <v>0.22820146335683394</v>
      </c>
      <c r="CI34" s="359">
        <f t="shared" si="155"/>
        <v>0.19491540210898561</v>
      </c>
      <c r="CJ34" s="501">
        <f t="shared" si="155"/>
        <v>0.21493455730324101</v>
      </c>
      <c r="CK34" s="359">
        <f t="shared" si="155"/>
        <v>0.23825051016905788</v>
      </c>
      <c r="CL34" s="359">
        <f t="shared" si="155"/>
        <v>0.23625679942759109</v>
      </c>
      <c r="CM34" s="359">
        <f t="shared" si="155"/>
        <v>0.23143397038038468</v>
      </c>
      <c r="CN34" s="359">
        <f t="shared" si="155"/>
        <v>0.20340684139678517</v>
      </c>
      <c r="CO34" s="501">
        <f t="shared" si="155"/>
        <v>0.22495315786038667</v>
      </c>
      <c r="CP34" s="359">
        <f t="shared" si="155"/>
        <v>0.24765053691375127</v>
      </c>
      <c r="CQ34" s="359">
        <f t="shared" si="155"/>
        <v>0.1865033646395769</v>
      </c>
      <c r="CR34" s="359">
        <f t="shared" si="155"/>
        <v>0.18689870407411993</v>
      </c>
      <c r="CS34" s="359">
        <f t="shared" si="155"/>
        <v>0.1626980068402363</v>
      </c>
      <c r="CT34" s="501">
        <f t="shared" si="155"/>
        <v>0.18847199052668193</v>
      </c>
      <c r="CU34" s="359">
        <f t="shared" si="155"/>
        <v>0.17790576414028467</v>
      </c>
      <c r="CV34" s="359">
        <f t="shared" si="155"/>
        <v>0.16397143227224203</v>
      </c>
      <c r="CW34" s="359">
        <f t="shared" si="155"/>
        <v>0.19668962571413315</v>
      </c>
      <c r="CX34" s="359">
        <f t="shared" si="155"/>
        <v>0.19848350463470196</v>
      </c>
      <c r="CY34" s="501">
        <f t="shared" ref="CY34:DH34" si="156">-CY33/CY$10</f>
        <v>0.1852579525466537</v>
      </c>
      <c r="CZ34" s="359">
        <f t="shared" si="156"/>
        <v>0.25228913040046591</v>
      </c>
      <c r="DA34" s="359">
        <f t="shared" si="156"/>
        <v>0.26768350265585533</v>
      </c>
      <c r="DB34" s="359">
        <f t="shared" si="156"/>
        <v>0.30182916117698722</v>
      </c>
      <c r="DC34" s="359">
        <f t="shared" si="156"/>
        <v>0.25392079899572212</v>
      </c>
      <c r="DD34" s="501">
        <f t="shared" si="156"/>
        <v>0.26844116214250913</v>
      </c>
      <c r="DE34" s="359">
        <f t="shared" si="156"/>
        <v>0.30371352785145889</v>
      </c>
      <c r="DF34" s="359">
        <f t="shared" si="156"/>
        <v>0.38252656434474619</v>
      </c>
      <c r="DG34" s="359">
        <f t="shared" si="156"/>
        <v>0.18261376896149359</v>
      </c>
      <c r="DH34" s="359">
        <f t="shared" si="156"/>
        <v>0.14505597014925373</v>
      </c>
      <c r="DI34" s="501">
        <f t="shared" ref="DI34:DN34" si="157">-DI33/DI$10</f>
        <v>0.24504249291784702</v>
      </c>
      <c r="DJ34" s="359">
        <f t="shared" si="157"/>
        <v>0.18001074691026331</v>
      </c>
      <c r="DK34" s="359">
        <f t="shared" si="157"/>
        <v>0.17066014669926649</v>
      </c>
      <c r="DL34" s="359">
        <f t="shared" si="157"/>
        <v>0.15356151711378355</v>
      </c>
      <c r="DM34" s="359">
        <f t="shared" si="157"/>
        <v>0.1248221906116643</v>
      </c>
      <c r="DN34" s="501">
        <f t="shared" si="157"/>
        <v>0.15394144144144145</v>
      </c>
      <c r="DO34" s="963">
        <f>-DO33/DO$10</f>
        <v>0.15974576271186441</v>
      </c>
      <c r="DP34" s="359">
        <f t="shared" ref="DP34:DQ34" si="158">-DP33/DP$10</f>
        <v>0.14701492537313432</v>
      </c>
      <c r="DQ34" s="359">
        <f t="shared" si="158"/>
        <v>0.13185654008438819</v>
      </c>
      <c r="DR34" s="627">
        <f>-DR33/DR$10</f>
        <v>0.10620915032679738</v>
      </c>
      <c r="DS34" s="501">
        <f>-DS33/DS$10</f>
        <v>0.13291796469366562</v>
      </c>
      <c r="DT34" s="963">
        <f>-DT33/DT$10</f>
        <v>0.13785488958990536</v>
      </c>
      <c r="DU34" s="359">
        <f t="shared" ref="DU34" si="159">-DU33/DU$10</f>
        <v>0.12419759977672341</v>
      </c>
      <c r="DV34" s="360">
        <v>0.13100000000000001</v>
      </c>
      <c r="DW34" s="360">
        <v>0.1</v>
      </c>
      <c r="DX34" s="501">
        <f>-DX33/DX$10</f>
        <v>0.12114667900448363</v>
      </c>
      <c r="DY34" s="360">
        <f>DT34-1%</f>
        <v>0.12785488958990535</v>
      </c>
      <c r="DZ34" s="360">
        <f>DU34-1%</f>
        <v>0.11419759977672342</v>
      </c>
      <c r="EA34" s="360">
        <f>DV34-1%</f>
        <v>0.12100000000000001</v>
      </c>
      <c r="EB34" s="360">
        <f>DW34-1%</f>
        <v>9.0000000000000011E-2</v>
      </c>
      <c r="EC34" s="501">
        <f>-EC33/EC$10</f>
        <v>0.11124670352485065</v>
      </c>
      <c r="ED34" s="360">
        <f>DY34-0.3%</f>
        <v>0.12485488958990534</v>
      </c>
      <c r="EE34" s="360">
        <f t="shared" ref="EE34:EG34" si="160">DZ34-0.3%</f>
        <v>0.11119759977672342</v>
      </c>
      <c r="EF34" s="360">
        <f t="shared" si="160"/>
        <v>0.11800000000000001</v>
      </c>
      <c r="EG34" s="360">
        <f t="shared" si="160"/>
        <v>8.7000000000000008E-2</v>
      </c>
      <c r="EH34" s="501">
        <f>-EH33/EH$10</f>
        <v>0.10825386498171334</v>
      </c>
      <c r="EI34" s="360">
        <f t="shared" ref="EI34" si="161">ED34-0.3%</f>
        <v>0.12185488958990534</v>
      </c>
      <c r="EJ34" s="360">
        <f t="shared" ref="EJ34" si="162">EE34-0.3%</f>
        <v>0.10819759977672341</v>
      </c>
      <c r="EK34" s="360">
        <f t="shared" ref="EK34" si="163">EF34-0.3%</f>
        <v>0.115</v>
      </c>
      <c r="EL34" s="360">
        <f t="shared" ref="EL34" si="164">EG34-0.3%</f>
        <v>8.4000000000000005E-2</v>
      </c>
      <c r="EM34" s="501">
        <f t="shared" ref="EM34" si="165">-EM33/EM$10</f>
        <v>0.10525018514786087</v>
      </c>
      <c r="EN34" s="360">
        <f t="shared" ref="EN34" si="166">EI34-0.3%</f>
        <v>0.11885488958990534</v>
      </c>
      <c r="EO34" s="360">
        <f t="shared" ref="EO34" si="167">EJ34-0.3%</f>
        <v>0.10519759977672341</v>
      </c>
      <c r="EP34" s="360">
        <f t="shared" ref="EP34" si="168">EK34-0.3%</f>
        <v>0.112</v>
      </c>
      <c r="EQ34" s="360">
        <f t="shared" ref="EQ34" si="169">EL34-0.3%</f>
        <v>8.1000000000000003E-2</v>
      </c>
      <c r="ER34" s="501">
        <f t="shared" ref="ER34" si="170">-ER33/ER$10</f>
        <v>0.10224927943139712</v>
      </c>
      <c r="ES34" s="359"/>
      <c r="ET34" s="133"/>
    </row>
    <row r="35" spans="1:150" s="253" customFormat="1" ht="12" customHeight="1">
      <c r="A35" s="792"/>
      <c r="B35" s="792"/>
      <c r="C35" s="265" t="s">
        <v>215</v>
      </c>
      <c r="D35" s="255"/>
      <c r="E35" s="255"/>
      <c r="F35" s="255"/>
      <c r="G35" s="255"/>
      <c r="H35" s="255"/>
      <c r="I35" s="256"/>
      <c r="J35" s="256"/>
      <c r="K35" s="256"/>
      <c r="L35" s="256"/>
      <c r="M35" s="255"/>
      <c r="N35" s="256"/>
      <c r="O35" s="256"/>
      <c r="P35" s="256"/>
      <c r="Q35" s="256"/>
      <c r="R35" s="255"/>
      <c r="S35" s="256"/>
      <c r="T35" s="256"/>
      <c r="U35" s="256"/>
      <c r="V35" s="256"/>
      <c r="W35" s="255"/>
      <c r="X35" s="256"/>
      <c r="Y35" s="256"/>
      <c r="Z35" s="256"/>
      <c r="AA35" s="256"/>
      <c r="AB35" s="255"/>
      <c r="AC35" s="256"/>
      <c r="AD35" s="256"/>
      <c r="AE35" s="256"/>
      <c r="AF35" s="256"/>
      <c r="AG35" s="255"/>
      <c r="AH35" s="256"/>
      <c r="AI35" s="256"/>
      <c r="AJ35" s="256"/>
      <c r="AK35" s="256"/>
      <c r="AL35" s="255"/>
      <c r="AM35" s="256"/>
      <c r="AN35" s="256"/>
      <c r="AO35" s="256"/>
      <c r="AP35" s="256"/>
      <c r="AQ35" s="255"/>
      <c r="AR35" s="256"/>
      <c r="AS35" s="256"/>
      <c r="AT35" s="256"/>
      <c r="AU35" s="256"/>
      <c r="AV35" s="255"/>
      <c r="AW35" s="256"/>
      <c r="AX35" s="256"/>
      <c r="AY35" s="256"/>
      <c r="AZ35" s="256"/>
      <c r="BA35" s="255"/>
      <c r="BB35" s="256"/>
      <c r="BC35" s="256"/>
      <c r="BD35" s="256"/>
      <c r="BE35" s="256"/>
      <c r="BF35" s="255"/>
      <c r="BG35" s="256"/>
      <c r="BH35" s="256"/>
      <c r="BI35" s="256"/>
      <c r="BJ35" s="256"/>
      <c r="BK35" s="255"/>
      <c r="BL35" s="256"/>
      <c r="BM35" s="256"/>
      <c r="BN35" s="256"/>
      <c r="BO35" s="256"/>
      <c r="BP35" s="255"/>
      <c r="BQ35" s="239">
        <v>-4.1890000000000001</v>
      </c>
      <c r="BR35" s="239">
        <v>-3.8220000000000001</v>
      </c>
      <c r="BS35" s="239">
        <v>-4.7590000000000003</v>
      </c>
      <c r="BT35" s="239">
        <v>-6.9180000000000001</v>
      </c>
      <c r="BU35" s="257">
        <f>SUM(BQ35:BT35)</f>
        <v>-19.687999999999999</v>
      </c>
      <c r="BV35" s="239">
        <v>-8.1189999999999998</v>
      </c>
      <c r="BW35" s="239">
        <v>-10.037000000000001</v>
      </c>
      <c r="BX35" s="239">
        <v>-11.002000000000001</v>
      </c>
      <c r="BY35" s="239">
        <v>-13.952</v>
      </c>
      <c r="BZ35" s="257">
        <f>SUM(BV35:BY35)</f>
        <v>-43.11</v>
      </c>
      <c r="CA35" s="239">
        <v>-14.773999999999999</v>
      </c>
      <c r="CB35" s="239">
        <v>-15.161</v>
      </c>
      <c r="CC35" s="239">
        <v>-18.039000000000001</v>
      </c>
      <c r="CD35" s="239">
        <v>-19.745000000000001</v>
      </c>
      <c r="CE35" s="257">
        <f>SUM(CA35:CD35)</f>
        <v>-67.719000000000008</v>
      </c>
      <c r="CF35" s="239">
        <v>-20.675000000000001</v>
      </c>
      <c r="CG35" s="239">
        <v>-25.923999999999999</v>
      </c>
      <c r="CH35" s="239">
        <v>-27.831</v>
      </c>
      <c r="CI35" s="239">
        <v>-33.014000000000003</v>
      </c>
      <c r="CJ35" s="257">
        <f>SUM(CF35:CI35)</f>
        <v>-107.44400000000002</v>
      </c>
      <c r="CK35" s="239">
        <v>-30.303000000000001</v>
      </c>
      <c r="CL35" s="239">
        <v>-34.921999999999997</v>
      </c>
      <c r="CM35" s="239">
        <v>-38.021999999999998</v>
      </c>
      <c r="CN35" s="239">
        <v>-50.518000000000001</v>
      </c>
      <c r="CO35" s="257">
        <f>SUM(CK35:CN35)</f>
        <v>-153.76499999999999</v>
      </c>
      <c r="CP35" s="239">
        <v>-44.841999999999999</v>
      </c>
      <c r="CQ35" s="239">
        <v>-83.307000000000002</v>
      </c>
      <c r="CR35" s="239">
        <v>-51.798999999999999</v>
      </c>
      <c r="CS35" s="239">
        <v>-65.394999999999996</v>
      </c>
      <c r="CT35" s="257">
        <f>SUM(CP35:CS35)</f>
        <v>-245.34300000000002</v>
      </c>
      <c r="CU35" s="239">
        <v>-67.102000000000004</v>
      </c>
      <c r="CV35" s="239">
        <v>-77.965999999999994</v>
      </c>
      <c r="CW35" s="239">
        <v>-128.72200000000001</v>
      </c>
      <c r="CX35" s="239">
        <v>-101.054</v>
      </c>
      <c r="CY35" s="257">
        <f>SUM(CU35:CX35)</f>
        <v>-374.84399999999994</v>
      </c>
      <c r="CZ35" s="239">
        <v>-108.08799999999999</v>
      </c>
      <c r="DA35" s="239">
        <v>-129.90100000000001</v>
      </c>
      <c r="DB35" s="239">
        <v>-255.125</v>
      </c>
      <c r="DC35" s="239">
        <v>-214.65100000000001</v>
      </c>
      <c r="DD35" s="257">
        <f>SUM(CZ35:DC35)</f>
        <v>-707.7650000000001</v>
      </c>
      <c r="DE35" s="239">
        <v>-123</v>
      </c>
      <c r="DF35" s="239">
        <v>-131</v>
      </c>
      <c r="DG35" s="239">
        <v>-137</v>
      </c>
      <c r="DH35" s="239">
        <v>-100</v>
      </c>
      <c r="DI35" s="257">
        <f>SUM(DE35:DH35)</f>
        <v>-491</v>
      </c>
      <c r="DJ35" s="239">
        <v>-124</v>
      </c>
      <c r="DK35" s="259">
        <v>-60</v>
      </c>
      <c r="DL35" s="259">
        <v>-114</v>
      </c>
      <c r="DM35" s="259">
        <v>-112</v>
      </c>
      <c r="DN35" s="257">
        <f>SUM(DJ35:DM35)</f>
        <v>-410</v>
      </c>
      <c r="DO35" s="239">
        <v>-109</v>
      </c>
      <c r="DP35" s="259">
        <v>-122</v>
      </c>
      <c r="DQ35" s="259">
        <v>-115</v>
      </c>
      <c r="DR35" s="239">
        <v>-125</v>
      </c>
      <c r="DS35" s="257">
        <f>SUM(DO35:DR35)</f>
        <v>-471</v>
      </c>
      <c r="DT35" s="239">
        <v>-115</v>
      </c>
      <c r="DU35" s="259">
        <v>-136</v>
      </c>
      <c r="DV35" s="120">
        <f>-DV36*DV$10</f>
        <v>-112.88481885681146</v>
      </c>
      <c r="DW35" s="120">
        <f>-DW36*DW$10</f>
        <v>-147.43923358817739</v>
      </c>
      <c r="DX35" s="257">
        <f>SUM(DT35:DW35)</f>
        <v>-511.32405244498887</v>
      </c>
      <c r="DY35" s="120">
        <f>-DY36*DY$10</f>
        <v>-138.31429313757377</v>
      </c>
      <c r="DZ35" s="120">
        <f>-DZ36*DZ$10</f>
        <v>-163.30761808105811</v>
      </c>
      <c r="EA35" s="120">
        <f>-EA36*EA$10</f>
        <v>-131.99072203521388</v>
      </c>
      <c r="EB35" s="120">
        <f>-EB36*EB$10</f>
        <v>-171.80125037519383</v>
      </c>
      <c r="EC35" s="257">
        <f>SUM(DY35:EB35)</f>
        <v>-605.41388362903967</v>
      </c>
      <c r="ED35" s="120">
        <f>-ED36*ED$10</f>
        <v>-162.29840124021871</v>
      </c>
      <c r="EE35" s="120">
        <f>-EE36*EE$10</f>
        <v>-191.74094180428065</v>
      </c>
      <c r="EF35" s="120">
        <f>-EF36*EF$10</f>
        <v>-153.60608312156796</v>
      </c>
      <c r="EG35" s="120">
        <f>-EG36*EG$10</f>
        <v>-200.11610238500788</v>
      </c>
      <c r="EH35" s="257">
        <f>SUM(ED35:EG35)</f>
        <v>-707.76152855107512</v>
      </c>
      <c r="EI35" s="120">
        <f>-EI36*EI$10</f>
        <v>-186.55985642239685</v>
      </c>
      <c r="EJ35" s="120">
        <f>-EJ36*EJ$10</f>
        <v>-220.76672140769378</v>
      </c>
      <c r="EK35" s="120">
        <f>-EK36*EK$10</f>
        <v>-175.4209490672923</v>
      </c>
      <c r="EL35" s="120">
        <f>-EL36*EL$10</f>
        <v>-228.84029941088491</v>
      </c>
      <c r="EM35" s="257">
        <f>SUM(EI35:EL35)</f>
        <v>-811.58782630826784</v>
      </c>
      <c r="EN35" s="120">
        <f>-EN36*EN$10</f>
        <v>-212.07601062980535</v>
      </c>
      <c r="EO35" s="120">
        <f>-EO36*EO$10</f>
        <v>-251.36315810889553</v>
      </c>
      <c r="EP35" s="120">
        <f>-EP36*EP$10</f>
        <v>-198.02124968380548</v>
      </c>
      <c r="EQ35" s="120">
        <f>-EQ36*EQ$10</f>
        <v>-258.57265785769033</v>
      </c>
      <c r="ER35" s="257">
        <f>SUM(EN35:EQ35)</f>
        <v>-920.03307628019661</v>
      </c>
      <c r="ES35" s="417"/>
      <c r="ET35" s="133"/>
    </row>
    <row r="36" spans="1:150" s="253" customFormat="1" ht="12" customHeight="1">
      <c r="A36" s="792"/>
      <c r="B36" s="792"/>
      <c r="C36" s="260" t="s">
        <v>189</v>
      </c>
      <c r="D36" s="255"/>
      <c r="E36" s="255"/>
      <c r="F36" s="255"/>
      <c r="G36" s="255"/>
      <c r="H36" s="255"/>
      <c r="I36" s="94"/>
      <c r="J36" s="94"/>
      <c r="K36" s="94"/>
      <c r="L36" s="94"/>
      <c r="M36" s="255"/>
      <c r="N36" s="94"/>
      <c r="O36" s="94"/>
      <c r="P36" s="94"/>
      <c r="Q36" s="94"/>
      <c r="R36" s="255"/>
      <c r="S36" s="94"/>
      <c r="T36" s="94"/>
      <c r="U36" s="94"/>
      <c r="V36" s="94"/>
      <c r="W36" s="255"/>
      <c r="X36" s="94"/>
      <c r="Y36" s="94"/>
      <c r="Z36" s="94"/>
      <c r="AA36" s="94"/>
      <c r="AB36" s="255"/>
      <c r="AC36" s="94"/>
      <c r="AD36" s="94"/>
      <c r="AE36" s="94"/>
      <c r="AF36" s="94"/>
      <c r="AG36" s="255"/>
      <c r="AH36" s="94"/>
      <c r="AI36" s="94"/>
      <c r="AJ36" s="94"/>
      <c r="AK36" s="94"/>
      <c r="AL36" s="255"/>
      <c r="AM36" s="94"/>
      <c r="AN36" s="94"/>
      <c r="AO36" s="94"/>
      <c r="AP36" s="94"/>
      <c r="AQ36" s="255"/>
      <c r="AR36" s="94"/>
      <c r="AS36" s="94"/>
      <c r="AT36" s="94"/>
      <c r="AU36" s="94"/>
      <c r="AV36" s="255"/>
      <c r="AW36" s="94"/>
      <c r="AX36" s="94"/>
      <c r="AY36" s="94"/>
      <c r="AZ36" s="94"/>
      <c r="BA36" s="255"/>
      <c r="BB36" s="94"/>
      <c r="BC36" s="94"/>
      <c r="BD36" s="94"/>
      <c r="BE36" s="94"/>
      <c r="BF36" s="255"/>
      <c r="BG36" s="625"/>
      <c r="BH36" s="625"/>
      <c r="BI36" s="625"/>
      <c r="BJ36" s="625"/>
      <c r="BK36" s="255"/>
      <c r="BL36" s="625"/>
      <c r="BM36" s="625"/>
      <c r="BN36" s="625"/>
      <c r="BO36" s="625"/>
      <c r="BP36" s="255"/>
      <c r="BQ36" s="359">
        <f t="shared" ref="BQ36:BZ36" si="171">-BQ35/BQ$10</f>
        <v>0.11216129377744458</v>
      </c>
      <c r="BR36" s="359">
        <f t="shared" si="171"/>
        <v>8.5073231536304139E-2</v>
      </c>
      <c r="BS36" s="359">
        <f t="shared" si="171"/>
        <v>9.0156480885083171E-2</v>
      </c>
      <c r="BT36" s="359">
        <f t="shared" si="171"/>
        <v>9.8584925826172454E-2</v>
      </c>
      <c r="BU36" s="501">
        <f t="shared" si="171"/>
        <v>9.5929991765456815E-2</v>
      </c>
      <c r="BV36" s="359">
        <f t="shared" si="171"/>
        <v>0.11164434421495557</v>
      </c>
      <c r="BW36" s="359">
        <f t="shared" si="171"/>
        <v>0.11583782473715191</v>
      </c>
      <c r="BX36" s="359">
        <f t="shared" si="171"/>
        <v>0.11048625198336982</v>
      </c>
      <c r="BY36" s="359">
        <f t="shared" si="171"/>
        <v>0.10700781543606147</v>
      </c>
      <c r="BZ36" s="501">
        <f t="shared" si="171"/>
        <v>0.11072868774561426</v>
      </c>
      <c r="CA36" s="359">
        <f t="shared" ref="CA36:CX36" si="172">-CA35/CA$10</f>
        <v>0.11598458144592122</v>
      </c>
      <c r="CB36" s="359">
        <f t="shared" si="172"/>
        <v>9.9970327387821037E-2</v>
      </c>
      <c r="CC36" s="359">
        <f t="shared" si="172"/>
        <v>0.10521066629339305</v>
      </c>
      <c r="CD36" s="359">
        <f t="shared" si="172"/>
        <v>8.8616514222625162E-2</v>
      </c>
      <c r="CE36" s="501">
        <f t="shared" si="172"/>
        <v>0.10057715385620761</v>
      </c>
      <c r="CF36" s="359">
        <f t="shared" si="172"/>
        <v>9.6458897079406566E-2</v>
      </c>
      <c r="CG36" s="359">
        <f t="shared" si="172"/>
        <v>0.10582822712001404</v>
      </c>
      <c r="CH36" s="359">
        <f t="shared" si="172"/>
        <v>0.10305335031696192</v>
      </c>
      <c r="CI36" s="359">
        <f t="shared" si="172"/>
        <v>9.6009445649708328E-2</v>
      </c>
      <c r="CJ36" s="501">
        <f t="shared" si="172"/>
        <v>0.10011283705527901</v>
      </c>
      <c r="CK36" s="359">
        <f t="shared" si="172"/>
        <v>9.4554452356138574E-2</v>
      </c>
      <c r="CL36" s="359">
        <f t="shared" si="172"/>
        <v>9.6475209887866425E-2</v>
      </c>
      <c r="CM36" s="359">
        <f t="shared" si="172"/>
        <v>9.7354513611503712E-2</v>
      </c>
      <c r="CN36" s="359">
        <f t="shared" si="172"/>
        <v>0.10000395914165809</v>
      </c>
      <c r="CO36" s="501">
        <f t="shared" si="172"/>
        <v>9.7432284039835934E-2</v>
      </c>
      <c r="CP36" s="359">
        <f t="shared" si="172"/>
        <v>9.5408307641898643E-2</v>
      </c>
      <c r="CQ36" s="359">
        <f t="shared" si="172"/>
        <v>0.11662077355212706</v>
      </c>
      <c r="CR36" s="359">
        <f t="shared" si="172"/>
        <v>6.7498908659703802E-2</v>
      </c>
      <c r="CS36" s="359">
        <f t="shared" si="172"/>
        <v>6.6883560522999888E-2</v>
      </c>
      <c r="CT36" s="501">
        <f t="shared" si="172"/>
        <v>8.37493612371569E-2</v>
      </c>
      <c r="CU36" s="359">
        <f t="shared" si="172"/>
        <v>6.7872557141224324E-2</v>
      </c>
      <c r="CV36" s="359">
        <f t="shared" si="172"/>
        <v>6.9647012582127743E-2</v>
      </c>
      <c r="CW36" s="359">
        <f t="shared" si="172"/>
        <v>0.11454784914659975</v>
      </c>
      <c r="CX36" s="359">
        <f t="shared" si="172"/>
        <v>7.3226262731662634E-2</v>
      </c>
      <c r="CY36" s="501">
        <f t="shared" ref="CY36:DH36" si="173">-CY35/CY$10</f>
        <v>8.1278340000208144E-2</v>
      </c>
      <c r="CZ36" s="359">
        <f t="shared" si="173"/>
        <v>8.9802205507870811E-2</v>
      </c>
      <c r="DA36" s="359">
        <f t="shared" si="173"/>
        <v>0.1003047728180019</v>
      </c>
      <c r="DB36" s="359">
        <f t="shared" si="173"/>
        <v>0.18674059434929</v>
      </c>
      <c r="DC36" s="359">
        <f t="shared" si="173"/>
        <v>0.12371972439996358</v>
      </c>
      <c r="DD36" s="501">
        <f t="shared" si="173"/>
        <v>0.12638967660643188</v>
      </c>
      <c r="DE36" s="359">
        <f t="shared" si="173"/>
        <v>8.1564986737400536E-2</v>
      </c>
      <c r="DF36" s="359">
        <f t="shared" si="173"/>
        <v>7.7331759149940962E-2</v>
      </c>
      <c r="DG36" s="359">
        <f t="shared" si="173"/>
        <v>7.9929988331388563E-2</v>
      </c>
      <c r="DH36" s="359">
        <f t="shared" si="173"/>
        <v>4.6641791044776122E-2</v>
      </c>
      <c r="DI36" s="501">
        <f t="shared" ref="DI36:DN36" si="174">-DI35/DI$10</f>
        <v>6.9546742209631723E-2</v>
      </c>
      <c r="DJ36" s="359">
        <f t="shared" si="174"/>
        <v>6.6630843632455666E-2</v>
      </c>
      <c r="DK36" s="359">
        <f t="shared" si="174"/>
        <v>2.9339853300733496E-2</v>
      </c>
      <c r="DL36" s="359">
        <f t="shared" si="174"/>
        <v>5.2728954671600367E-2</v>
      </c>
      <c r="DM36" s="359">
        <f t="shared" si="174"/>
        <v>3.9829302987197723E-2</v>
      </c>
      <c r="DN36" s="501">
        <f t="shared" si="174"/>
        <v>4.6171171171171171E-2</v>
      </c>
      <c r="DO36" s="963">
        <f>-DO35/DO$10</f>
        <v>4.6186440677966102E-2</v>
      </c>
      <c r="DP36" s="359">
        <f t="shared" ref="DP36:DQ36" si="175">-DP35/DP$10</f>
        <v>4.5522388059701491E-2</v>
      </c>
      <c r="DQ36" s="359">
        <f t="shared" si="175"/>
        <v>4.0436005625879047E-2</v>
      </c>
      <c r="DR36" s="627">
        <f>-DR35/DR$10</f>
        <v>3.4041394335511982E-2</v>
      </c>
      <c r="DS36" s="501">
        <f>-DS35/DS$10</f>
        <v>4.0758047767393564E-2</v>
      </c>
      <c r="DT36" s="963">
        <f>-DT35/DT$10</f>
        <v>3.6277602523659309E-2</v>
      </c>
      <c r="DU36" s="359">
        <f t="shared" ref="DU36" si="176">-DU35/DU$10</f>
        <v>3.7957019257605355E-2</v>
      </c>
      <c r="DV36" s="360">
        <f t="shared" ref="DV36" si="177">DQ36-1%</f>
        <v>3.0436005625879045E-2</v>
      </c>
      <c r="DW36" s="360">
        <f>DR36-0.3%</f>
        <v>3.1041394335511983E-2</v>
      </c>
      <c r="DX36" s="501">
        <f>-DX35/DX$10</f>
        <v>3.3613898449714665E-2</v>
      </c>
      <c r="DY36" s="360">
        <f>DT36-0.2%</f>
        <v>3.4277602523659308E-2</v>
      </c>
      <c r="DZ36" s="360">
        <f>DU36-0.2%</f>
        <v>3.5957019257605354E-2</v>
      </c>
      <c r="EA36" s="360">
        <f>DV36-0.2%</f>
        <v>2.8436005625879043E-2</v>
      </c>
      <c r="EB36" s="360">
        <f>DW36-0.2%</f>
        <v>2.9041394335511984E-2</v>
      </c>
      <c r="EC36" s="501">
        <f>-EC35/EC$10</f>
        <v>3.1640275789565811E-2</v>
      </c>
      <c r="ED36" s="360">
        <f>DY36-0.1%</f>
        <v>3.3277602523659307E-2</v>
      </c>
      <c r="EE36" s="360">
        <f t="shared" ref="EE36:EG36" si="178">DZ36-0.1%</f>
        <v>3.4957019257605353E-2</v>
      </c>
      <c r="EF36" s="360">
        <f t="shared" si="178"/>
        <v>2.7436005625879042E-2</v>
      </c>
      <c r="EG36" s="360">
        <f t="shared" si="178"/>
        <v>2.8041394335511984E-2</v>
      </c>
      <c r="EH36" s="501">
        <f>-EH35/EH$10</f>
        <v>3.0642592589821143E-2</v>
      </c>
      <c r="EI36" s="360">
        <f t="shared" ref="EI36" si="179">ED36-0.1%</f>
        <v>3.2277602523659306E-2</v>
      </c>
      <c r="EJ36" s="360">
        <f t="shared" ref="EJ36" si="180">EE36-0.1%</f>
        <v>3.3957019257605352E-2</v>
      </c>
      <c r="EK36" s="360">
        <f t="shared" ref="EK36" si="181">EF36-0.1%</f>
        <v>2.6436005625879042E-2</v>
      </c>
      <c r="EL36" s="360">
        <f t="shared" ref="EL36" si="182">EG36-0.1%</f>
        <v>2.7041394335511983E-2</v>
      </c>
      <c r="EM36" s="501">
        <f t="shared" ref="EM36" si="183">-EM35/EM$10</f>
        <v>2.9642184626431565E-2</v>
      </c>
      <c r="EN36" s="360">
        <f t="shared" ref="EN36" si="184">EI36-0.1%</f>
        <v>3.1277602523659305E-2</v>
      </c>
      <c r="EO36" s="360">
        <f t="shared" ref="EO36" si="185">EJ36-0.1%</f>
        <v>3.2957019257605351E-2</v>
      </c>
      <c r="EP36" s="360">
        <f t="shared" ref="EP36" si="186">EK36-0.1%</f>
        <v>2.5436005625879041E-2</v>
      </c>
      <c r="EQ36" s="360">
        <f t="shared" ref="EQ36" si="187">EL36-0.1%</f>
        <v>2.6041394335511982E-2</v>
      </c>
      <c r="ER36" s="501">
        <f t="shared" ref="ER36" si="188">-ER35/ER$10</f>
        <v>2.8642003496348649E-2</v>
      </c>
      <c r="ES36" s="359"/>
      <c r="ET36" s="133"/>
    </row>
    <row r="37" spans="1:150" s="253" customFormat="1" ht="12" customHeight="1">
      <c r="A37" s="792"/>
      <c r="B37" s="792"/>
      <c r="C37" s="265" t="s">
        <v>216</v>
      </c>
      <c r="D37" s="255"/>
      <c r="E37" s="255"/>
      <c r="F37" s="255"/>
      <c r="G37" s="255"/>
      <c r="H37" s="255"/>
      <c r="I37" s="256"/>
      <c r="J37" s="256"/>
      <c r="K37" s="256"/>
      <c r="L37" s="256"/>
      <c r="M37" s="255"/>
      <c r="N37" s="256"/>
      <c r="O37" s="256"/>
      <c r="P37" s="256"/>
      <c r="Q37" s="256"/>
      <c r="R37" s="255"/>
      <c r="S37" s="256"/>
      <c r="T37" s="256"/>
      <c r="U37" s="256"/>
      <c r="V37" s="256"/>
      <c r="W37" s="255"/>
      <c r="X37" s="256"/>
      <c r="Y37" s="256"/>
      <c r="Z37" s="256"/>
      <c r="AA37" s="256"/>
      <c r="AB37" s="255"/>
      <c r="AC37" s="256"/>
      <c r="AD37" s="256"/>
      <c r="AE37" s="256"/>
      <c r="AF37" s="256"/>
      <c r="AG37" s="255"/>
      <c r="AH37" s="256"/>
      <c r="AI37" s="256"/>
      <c r="AJ37" s="256"/>
      <c r="AK37" s="256"/>
      <c r="AL37" s="255"/>
      <c r="AM37" s="256"/>
      <c r="AN37" s="256"/>
      <c r="AO37" s="256"/>
      <c r="AP37" s="256"/>
      <c r="AQ37" s="255"/>
      <c r="AR37" s="256"/>
      <c r="AS37" s="256"/>
      <c r="AT37" s="256"/>
      <c r="AU37" s="256"/>
      <c r="AV37" s="255"/>
      <c r="AW37" s="256"/>
      <c r="AX37" s="256"/>
      <c r="AY37" s="256"/>
      <c r="AZ37" s="256"/>
      <c r="BA37" s="255"/>
      <c r="BB37" s="256"/>
      <c r="BC37" s="256"/>
      <c r="BD37" s="256"/>
      <c r="BE37" s="256"/>
      <c r="BF37" s="255"/>
      <c r="BG37" s="256"/>
      <c r="BH37" s="256"/>
      <c r="BI37" s="256"/>
      <c r="BJ37" s="256"/>
      <c r="BK37" s="255"/>
      <c r="BL37" s="256"/>
      <c r="BM37" s="256"/>
      <c r="BN37" s="256"/>
      <c r="BO37" s="256"/>
      <c r="BP37" s="255"/>
      <c r="BQ37" s="239">
        <v>0</v>
      </c>
      <c r="BR37" s="239">
        <v>0</v>
      </c>
      <c r="BS37" s="239">
        <v>0</v>
      </c>
      <c r="BT37" s="239">
        <v>0</v>
      </c>
      <c r="BU37" s="257">
        <f>SUM(BQ37:BT37)</f>
        <v>0</v>
      </c>
      <c r="BV37" s="239">
        <v>0</v>
      </c>
      <c r="BW37" s="239">
        <v>0</v>
      </c>
      <c r="BX37" s="239">
        <v>0</v>
      </c>
      <c r="BY37" s="239">
        <v>0</v>
      </c>
      <c r="BZ37" s="257">
        <f>SUM(BV37:BY37)</f>
        <v>0</v>
      </c>
      <c r="CA37" s="239">
        <v>0</v>
      </c>
      <c r="CB37" s="239">
        <v>0</v>
      </c>
      <c r="CC37" s="239">
        <v>0</v>
      </c>
      <c r="CD37" s="239">
        <v>0</v>
      </c>
      <c r="CE37" s="257">
        <f>SUM(CA37:CD37)</f>
        <v>0</v>
      </c>
      <c r="CF37" s="239">
        <v>0</v>
      </c>
      <c r="CG37" s="239">
        <v>0</v>
      </c>
      <c r="CH37" s="239">
        <v>0</v>
      </c>
      <c r="CI37" s="239">
        <v>0</v>
      </c>
      <c r="CJ37" s="257">
        <f>SUM(CF37:CI37)</f>
        <v>0</v>
      </c>
      <c r="CK37" s="239">
        <v>-4.4009999999999998</v>
      </c>
      <c r="CL37" s="239">
        <v>-4.7329999999999997</v>
      </c>
      <c r="CM37" s="239">
        <v>-7.399</v>
      </c>
      <c r="CN37" s="239">
        <v>-8.6359999999999992</v>
      </c>
      <c r="CO37" s="257">
        <f>SUM(CK37:CN37)</f>
        <v>-25.169</v>
      </c>
      <c r="CP37" s="239">
        <v>-14.083</v>
      </c>
      <c r="CQ37" s="239">
        <v>-13.366</v>
      </c>
      <c r="CR37" s="239">
        <v>-11.753</v>
      </c>
      <c r="CS37" s="239">
        <v>-12.647</v>
      </c>
      <c r="CT37" s="257">
        <f>SUM(CP37:CS37)</f>
        <v>-51.848999999999997</v>
      </c>
      <c r="CU37" s="239">
        <v>-10.606</v>
      </c>
      <c r="CV37" s="239">
        <v>-17.986000000000001</v>
      </c>
      <c r="CW37" s="239">
        <v>-25.311</v>
      </c>
      <c r="CX37" s="239">
        <v>-27.814</v>
      </c>
      <c r="CY37" s="257">
        <f>SUM(CU37:CX37)</f>
        <v>-81.716999999999999</v>
      </c>
      <c r="CZ37" s="239">
        <v>-20.492999999999999</v>
      </c>
      <c r="DA37" s="239">
        <v>-42.38</v>
      </c>
      <c r="DB37" s="239">
        <v>-37.738</v>
      </c>
      <c r="DC37" s="239">
        <v>-34.317999999999998</v>
      </c>
      <c r="DD37" s="257">
        <f>SUM(CZ37:DC37)</f>
        <v>-134.929</v>
      </c>
      <c r="DE37" s="239">
        <v>-42</v>
      </c>
      <c r="DF37" s="239">
        <v>-31</v>
      </c>
      <c r="DG37" s="239">
        <v>-34</v>
      </c>
      <c r="DH37" s="239">
        <v>-45</v>
      </c>
      <c r="DI37" s="257">
        <f>SUM(DE37:DH37)</f>
        <v>-152</v>
      </c>
      <c r="DJ37" s="239">
        <v>-51</v>
      </c>
      <c r="DK37" s="259">
        <v>-42</v>
      </c>
      <c r="DL37" s="259">
        <v>-58</v>
      </c>
      <c r="DM37" s="259">
        <v>-76</v>
      </c>
      <c r="DN37" s="257">
        <f>SUM(DJ37:DM37)</f>
        <v>-227</v>
      </c>
      <c r="DO37" s="239">
        <v>-75</v>
      </c>
      <c r="DP37" s="259">
        <v>-80</v>
      </c>
      <c r="DQ37" s="259">
        <v>-148</v>
      </c>
      <c r="DR37" s="239">
        <v>-114</v>
      </c>
      <c r="DS37" s="257">
        <f>SUM(DO37:DR37)</f>
        <v>-417</v>
      </c>
      <c r="DT37" s="239">
        <v>-116</v>
      </c>
      <c r="DU37" s="259">
        <v>-141</v>
      </c>
      <c r="DV37" s="120">
        <f>-DV38*DV$10</f>
        <v>-145.9554073019672</v>
      </c>
      <c r="DW37" s="120">
        <f>-DW38*DW$10</f>
        <v>-186.91499706630685</v>
      </c>
      <c r="DX37" s="257">
        <f>SUM(DT37:DW37)</f>
        <v>-589.87040436827397</v>
      </c>
      <c r="DY37" s="120">
        <f>-DY38*DY$10</f>
        <v>-158.79211293781401</v>
      </c>
      <c r="DZ37" s="120">
        <f>-DZ38*DZ$10</f>
        <v>-178.72901679237773</v>
      </c>
      <c r="EA37" s="120">
        <f>-EA38*EA$10</f>
        <v>-182.66154117926803</v>
      </c>
      <c r="EB37" s="120">
        <f>-EB38*EB$10</f>
        <v>-232.79902705997813</v>
      </c>
      <c r="EC37" s="257">
        <f>SUM(DY37:EB37)</f>
        <v>-752.98169796943796</v>
      </c>
      <c r="ED37" s="120">
        <f>-ED38*ED$10</f>
        <v>-191.92631111387703</v>
      </c>
      <c r="EE37" s="120">
        <f>-EE38*EE$10</f>
        <v>-215.85035484270446</v>
      </c>
      <c r="EF37" s="120">
        <f>-EF38*EF$10</f>
        <v>-220.32299989065248</v>
      </c>
      <c r="EG37" s="120">
        <f>-EG38*EG$10</f>
        <v>-280.83726529412667</v>
      </c>
      <c r="EH37" s="257">
        <f>SUM(ED37:EG37)</f>
        <v>-908.93693114136067</v>
      </c>
      <c r="EI37" s="120">
        <f>-EI38*EI$10</f>
        <v>-227.45172458117287</v>
      </c>
      <c r="EJ37" s="120">
        <f>-EJ38*EJ$10</f>
        <v>-255.84465692281313</v>
      </c>
      <c r="EK37" s="120">
        <f>-EK38*EK$10</f>
        <v>-261.13069533539982</v>
      </c>
      <c r="EL37" s="120">
        <f>-EL38*EL$10</f>
        <v>-333.0241514849651</v>
      </c>
      <c r="EM37" s="257">
        <f>SUM(EI37:EL37)</f>
        <v>-1077.451228324351</v>
      </c>
      <c r="EN37" s="120">
        <f>-EN38*EN$10</f>
        <v>-266.82738096934213</v>
      </c>
      <c r="EO37" s="120">
        <f>-EO38*EO$10</f>
        <v>-300.1414683774762</v>
      </c>
      <c r="EP37" s="120">
        <f>-EP38*EP$10</f>
        <v>-306.3622067197515</v>
      </c>
      <c r="EQ37" s="120">
        <f>-EQ38*EQ$10</f>
        <v>-390.74251731673917</v>
      </c>
      <c r="ER37" s="257">
        <f>SUM(EN37:EQ37)</f>
        <v>-1264.0735733833089</v>
      </c>
      <c r="ES37" s="417"/>
      <c r="ET37" s="133"/>
    </row>
    <row r="38" spans="1:150" s="253" customFormat="1" ht="12" customHeight="1">
      <c r="A38" s="792"/>
      <c r="B38" s="792"/>
      <c r="C38" s="260" t="s">
        <v>189</v>
      </c>
      <c r="D38" s="255"/>
      <c r="E38" s="255"/>
      <c r="F38" s="255"/>
      <c r="G38" s="255"/>
      <c r="H38" s="255"/>
      <c r="I38" s="94"/>
      <c r="J38" s="94"/>
      <c r="K38" s="94"/>
      <c r="L38" s="94"/>
      <c r="M38" s="255"/>
      <c r="N38" s="94"/>
      <c r="O38" s="94"/>
      <c r="P38" s="94"/>
      <c r="Q38" s="94"/>
      <c r="R38" s="255"/>
      <c r="S38" s="94"/>
      <c r="T38" s="94"/>
      <c r="U38" s="94"/>
      <c r="V38" s="94"/>
      <c r="W38" s="255"/>
      <c r="X38" s="94"/>
      <c r="Y38" s="94"/>
      <c r="Z38" s="94"/>
      <c r="AA38" s="94"/>
      <c r="AB38" s="255"/>
      <c r="AC38" s="94"/>
      <c r="AD38" s="94"/>
      <c r="AE38" s="94"/>
      <c r="AF38" s="94"/>
      <c r="AG38" s="255"/>
      <c r="AH38" s="94"/>
      <c r="AI38" s="94"/>
      <c r="AJ38" s="94"/>
      <c r="AK38" s="94"/>
      <c r="AL38" s="255"/>
      <c r="AM38" s="94"/>
      <c r="AN38" s="94"/>
      <c r="AO38" s="94"/>
      <c r="AP38" s="94"/>
      <c r="AQ38" s="255"/>
      <c r="AR38" s="94"/>
      <c r="AS38" s="94"/>
      <c r="AT38" s="94"/>
      <c r="AU38" s="94"/>
      <c r="AV38" s="255"/>
      <c r="AW38" s="94"/>
      <c r="AX38" s="94"/>
      <c r="AY38" s="94"/>
      <c r="AZ38" s="94"/>
      <c r="BA38" s="255"/>
      <c r="BB38" s="94"/>
      <c r="BC38" s="94"/>
      <c r="BD38" s="94"/>
      <c r="BE38" s="94"/>
      <c r="BF38" s="255"/>
      <c r="BG38" s="625"/>
      <c r="BH38" s="625"/>
      <c r="BI38" s="625"/>
      <c r="BJ38" s="625"/>
      <c r="BK38" s="255"/>
      <c r="BL38" s="625"/>
      <c r="BM38" s="625"/>
      <c r="BN38" s="625"/>
      <c r="BO38" s="625"/>
      <c r="BP38" s="255"/>
      <c r="BQ38" s="359">
        <f t="shared" ref="BQ38:BZ42" si="189">-BQ37/BQ$10</f>
        <v>0</v>
      </c>
      <c r="BR38" s="359">
        <f t="shared" si="189"/>
        <v>0</v>
      </c>
      <c r="BS38" s="359">
        <f t="shared" si="189"/>
        <v>0</v>
      </c>
      <c r="BT38" s="359">
        <f t="shared" si="189"/>
        <v>0</v>
      </c>
      <c r="BU38" s="501">
        <f t="shared" si="189"/>
        <v>0</v>
      </c>
      <c r="BV38" s="359">
        <f t="shared" si="189"/>
        <v>0</v>
      </c>
      <c r="BW38" s="359">
        <f t="shared" si="189"/>
        <v>0</v>
      </c>
      <c r="BX38" s="359">
        <f t="shared" si="189"/>
        <v>0</v>
      </c>
      <c r="BY38" s="359">
        <f t="shared" si="189"/>
        <v>0</v>
      </c>
      <c r="BZ38" s="501">
        <f t="shared" si="189"/>
        <v>0</v>
      </c>
      <c r="CA38" s="359">
        <f t="shared" ref="CA38:CX42" si="190">-CA37/CA$10</f>
        <v>0</v>
      </c>
      <c r="CB38" s="359">
        <f t="shared" si="190"/>
        <v>0</v>
      </c>
      <c r="CC38" s="359">
        <f t="shared" si="190"/>
        <v>0</v>
      </c>
      <c r="CD38" s="359">
        <f t="shared" si="190"/>
        <v>0</v>
      </c>
      <c r="CE38" s="501">
        <f t="shared" si="190"/>
        <v>0</v>
      </c>
      <c r="CF38" s="359">
        <f t="shared" si="190"/>
        <v>0</v>
      </c>
      <c r="CG38" s="359">
        <f t="shared" si="190"/>
        <v>0</v>
      </c>
      <c r="CH38" s="359">
        <f t="shared" si="190"/>
        <v>0</v>
      </c>
      <c r="CI38" s="359">
        <f t="shared" si="190"/>
        <v>0</v>
      </c>
      <c r="CJ38" s="501">
        <f>-CJ37/CJ$10</f>
        <v>0</v>
      </c>
      <c r="CK38" s="359">
        <f t="shared" si="190"/>
        <v>1.3732440511479585E-2</v>
      </c>
      <c r="CL38" s="359">
        <f t="shared" si="190"/>
        <v>1.3075344149798745E-2</v>
      </c>
      <c r="CM38" s="359">
        <f t="shared" si="190"/>
        <v>1.8944980437944244E-2</v>
      </c>
      <c r="CN38" s="359">
        <f t="shared" si="190"/>
        <v>1.7095573679626254E-2</v>
      </c>
      <c r="CO38" s="501">
        <f t="shared" si="190"/>
        <v>1.5948188189761198E-2</v>
      </c>
      <c r="CP38" s="359">
        <f t="shared" si="190"/>
        <v>2.9963766034540353E-2</v>
      </c>
      <c r="CQ38" s="359">
        <f t="shared" si="190"/>
        <v>1.8710951772332819E-2</v>
      </c>
      <c r="CR38" s="359">
        <f t="shared" si="190"/>
        <v>1.5315250747649547E-2</v>
      </c>
      <c r="CS38" s="359">
        <f t="shared" si="190"/>
        <v>1.29348786594446E-2</v>
      </c>
      <c r="CT38" s="501">
        <f t="shared" si="190"/>
        <v>1.7698979105926591E-2</v>
      </c>
      <c r="CU38" s="359">
        <f t="shared" si="190"/>
        <v>1.0727792629725272E-2</v>
      </c>
      <c r="CV38" s="359">
        <f t="shared" si="190"/>
        <v>1.6066890289384472E-2</v>
      </c>
      <c r="CW38" s="359">
        <f t="shared" si="190"/>
        <v>2.252389342730525E-2</v>
      </c>
      <c r="CX38" s="359">
        <f t="shared" si="190"/>
        <v>2.0154721946864691E-2</v>
      </c>
      <c r="CY38" s="501">
        <f t="shared" ref="CY38:DH38" si="191">-CY37/CY$10</f>
        <v>1.7718896687147215E-2</v>
      </c>
      <c r="CZ38" s="359">
        <f t="shared" si="191"/>
        <v>1.7026095380364117E-2</v>
      </c>
      <c r="DA38" s="359">
        <f t="shared" si="191"/>
        <v>3.2724276734027613E-2</v>
      </c>
      <c r="DB38" s="359">
        <f t="shared" si="191"/>
        <v>2.7622602839994143E-2</v>
      </c>
      <c r="DC38" s="359">
        <f t="shared" si="191"/>
        <v>1.9780077903005108E-2</v>
      </c>
      <c r="DD38" s="501">
        <f t="shared" si="191"/>
        <v>2.4095049451200955E-2</v>
      </c>
      <c r="DE38" s="359">
        <f t="shared" si="191"/>
        <v>2.7851458885941646E-2</v>
      </c>
      <c r="DF38" s="359">
        <f t="shared" si="191"/>
        <v>1.8299881936245571E-2</v>
      </c>
      <c r="DG38" s="359">
        <f t="shared" si="191"/>
        <v>1.9836639439906652E-2</v>
      </c>
      <c r="DH38" s="359">
        <f t="shared" si="191"/>
        <v>2.0988805970149255E-2</v>
      </c>
      <c r="DI38" s="501">
        <f t="shared" ref="DI38:DN38" si="192">-DI37/DI$10</f>
        <v>2.1529745042492918E-2</v>
      </c>
      <c r="DJ38" s="359">
        <f t="shared" si="192"/>
        <v>2.7404621171413217E-2</v>
      </c>
      <c r="DK38" s="359">
        <f t="shared" si="192"/>
        <v>2.0537897310513448E-2</v>
      </c>
      <c r="DL38" s="359">
        <f t="shared" si="192"/>
        <v>2.6827012025901941E-2</v>
      </c>
      <c r="DM38" s="359">
        <f t="shared" si="192"/>
        <v>2.7027027027027029E-2</v>
      </c>
      <c r="DN38" s="501">
        <f t="shared" si="192"/>
        <v>2.5563063063063062E-2</v>
      </c>
      <c r="DO38" s="963">
        <f>-DO37/DO$10</f>
        <v>3.1779661016949151E-2</v>
      </c>
      <c r="DP38" s="359">
        <f t="shared" ref="DP38:DQ38" si="193">-DP37/DP$10</f>
        <v>2.9850746268656716E-2</v>
      </c>
      <c r="DQ38" s="359">
        <f t="shared" si="193"/>
        <v>5.2039381153305204E-2</v>
      </c>
      <c r="DR38" s="627">
        <f>-DR37/DR$10</f>
        <v>3.1045751633986929E-2</v>
      </c>
      <c r="DS38" s="501">
        <f>-DS37/DS$10</f>
        <v>3.6085150571131881E-2</v>
      </c>
      <c r="DT38" s="963">
        <f>-DT37/DT$10</f>
        <v>3.659305993690852E-2</v>
      </c>
      <c r="DU38" s="359">
        <f t="shared" ref="DU38" si="194">-DU37/DU$10</f>
        <v>3.9352497906782025E-2</v>
      </c>
      <c r="DV38" s="311">
        <f t="shared" ref="DV38:EB38" si="195">DU38</f>
        <v>3.9352497906782025E-2</v>
      </c>
      <c r="DW38" s="311">
        <f t="shared" si="195"/>
        <v>3.9352497906782025E-2</v>
      </c>
      <c r="DX38" s="501">
        <f>-DX37/DX$10</f>
        <v>3.8777451942886017E-2</v>
      </c>
      <c r="DY38" s="311">
        <f>DW38</f>
        <v>3.9352497906782025E-2</v>
      </c>
      <c r="DZ38" s="311">
        <f>DY38</f>
        <v>3.9352497906782025E-2</v>
      </c>
      <c r="EA38" s="311">
        <f t="shared" si="195"/>
        <v>3.9352497906782025E-2</v>
      </c>
      <c r="EB38" s="311">
        <f t="shared" si="195"/>
        <v>3.9352497906782025E-2</v>
      </c>
      <c r="EC38" s="501">
        <f>-EC37/EC$10</f>
        <v>3.9352497906782032E-2</v>
      </c>
      <c r="ED38" s="311">
        <f>EB38</f>
        <v>3.9352497906782025E-2</v>
      </c>
      <c r="EE38" s="311">
        <f>ED38</f>
        <v>3.9352497906782025E-2</v>
      </c>
      <c r="EF38" s="311">
        <f t="shared" ref="EF38" si="196">EE38</f>
        <v>3.9352497906782025E-2</v>
      </c>
      <c r="EG38" s="311">
        <f t="shared" ref="EG38" si="197">EF38</f>
        <v>3.9352497906782025E-2</v>
      </c>
      <c r="EH38" s="501">
        <f>-EH37/EH$10</f>
        <v>3.9352497906782025E-2</v>
      </c>
      <c r="EI38" s="311">
        <f>EG38</f>
        <v>3.9352497906782025E-2</v>
      </c>
      <c r="EJ38" s="311">
        <f>EI38</f>
        <v>3.9352497906782025E-2</v>
      </c>
      <c r="EK38" s="311">
        <f t="shared" ref="EK38" si="198">EJ38</f>
        <v>3.9352497906782025E-2</v>
      </c>
      <c r="EL38" s="311">
        <f t="shared" ref="EL38" si="199">EK38</f>
        <v>3.9352497906782025E-2</v>
      </c>
      <c r="EM38" s="501">
        <f>-EM37/EM$10</f>
        <v>3.9352497906782025E-2</v>
      </c>
      <c r="EN38" s="311">
        <f>EL38</f>
        <v>3.9352497906782025E-2</v>
      </c>
      <c r="EO38" s="311">
        <f>EN38</f>
        <v>3.9352497906782025E-2</v>
      </c>
      <c r="EP38" s="311">
        <f t="shared" ref="EP38" si="200">EO38</f>
        <v>3.9352497906782025E-2</v>
      </c>
      <c r="EQ38" s="311">
        <f t="shared" ref="EQ38" si="201">EP38</f>
        <v>3.9352497906782025E-2</v>
      </c>
      <c r="ER38" s="501">
        <f>-ER37/ER$10</f>
        <v>3.9352497906782025E-2</v>
      </c>
      <c r="ES38" s="359"/>
      <c r="ET38" s="133"/>
    </row>
    <row r="39" spans="1:150" s="253" customFormat="1" ht="12" customHeight="1">
      <c r="A39" s="792"/>
      <c r="B39" s="792"/>
      <c r="C39" s="265" t="s">
        <v>382</v>
      </c>
      <c r="D39" s="255"/>
      <c r="E39" s="255"/>
      <c r="F39" s="255"/>
      <c r="G39" s="255"/>
      <c r="H39" s="255"/>
      <c r="I39" s="256"/>
      <c r="J39" s="256"/>
      <c r="K39" s="256"/>
      <c r="L39" s="256"/>
      <c r="M39" s="255"/>
      <c r="N39" s="256"/>
      <c r="O39" s="256"/>
      <c r="P39" s="256"/>
      <c r="Q39" s="256"/>
      <c r="R39" s="255"/>
      <c r="S39" s="256"/>
      <c r="T39" s="256"/>
      <c r="U39" s="256"/>
      <c r="V39" s="256"/>
      <c r="W39" s="255"/>
      <c r="X39" s="256"/>
      <c r="Y39" s="256"/>
      <c r="Z39" s="256"/>
      <c r="AA39" s="256"/>
      <c r="AB39" s="255"/>
      <c r="AC39" s="256"/>
      <c r="AD39" s="256"/>
      <c r="AE39" s="256"/>
      <c r="AF39" s="256"/>
      <c r="AG39" s="255"/>
      <c r="AH39" s="256"/>
      <c r="AI39" s="256"/>
      <c r="AJ39" s="256"/>
      <c r="AK39" s="256"/>
      <c r="AL39" s="255"/>
      <c r="AM39" s="256"/>
      <c r="AN39" s="256"/>
      <c r="AO39" s="256"/>
      <c r="AP39" s="256"/>
      <c r="AQ39" s="255"/>
      <c r="AR39" s="256"/>
      <c r="AS39" s="256"/>
      <c r="AT39" s="256"/>
      <c r="AU39" s="256"/>
      <c r="AV39" s="255"/>
      <c r="AW39" s="256"/>
      <c r="AX39" s="256"/>
      <c r="AY39" s="256"/>
      <c r="AZ39" s="256"/>
      <c r="BA39" s="255"/>
      <c r="BB39" s="256"/>
      <c r="BC39" s="256"/>
      <c r="BD39" s="256"/>
      <c r="BE39" s="256"/>
      <c r="BF39" s="255"/>
      <c r="BG39" s="256"/>
      <c r="BH39" s="256"/>
      <c r="BI39" s="256"/>
      <c r="BJ39" s="256"/>
      <c r="BK39" s="255"/>
      <c r="BL39" s="256"/>
      <c r="BM39" s="256"/>
      <c r="BN39" s="256"/>
      <c r="BO39" s="256"/>
      <c r="BP39" s="255"/>
      <c r="BQ39" s="239">
        <v>0</v>
      </c>
      <c r="BR39" s="239">
        <v>0</v>
      </c>
      <c r="BS39" s="239">
        <v>0</v>
      </c>
      <c r="BT39" s="239">
        <v>0</v>
      </c>
      <c r="BU39" s="257">
        <f>SUM(BQ39:BT39)</f>
        <v>0</v>
      </c>
      <c r="BV39" s="239">
        <v>0</v>
      </c>
      <c r="BW39" s="239">
        <v>0</v>
      </c>
      <c r="BX39" s="239">
        <v>0</v>
      </c>
      <c r="BY39" s="239">
        <v>0</v>
      </c>
      <c r="BZ39" s="257">
        <f>SUM(BV39:BY39)</f>
        <v>0</v>
      </c>
      <c r="CA39" s="239">
        <v>0</v>
      </c>
      <c r="CB39" s="239">
        <v>0</v>
      </c>
      <c r="CC39" s="239">
        <v>0</v>
      </c>
      <c r="CD39" s="239">
        <v>0</v>
      </c>
      <c r="CE39" s="257">
        <f>SUM(CA39:CD39)</f>
        <v>0</v>
      </c>
      <c r="CF39" s="239">
        <v>0</v>
      </c>
      <c r="CG39" s="239">
        <v>0</v>
      </c>
      <c r="CH39" s="239">
        <v>0</v>
      </c>
      <c r="CI39" s="239">
        <v>0</v>
      </c>
      <c r="CJ39" s="257">
        <f>SUM(CF39:CI39)</f>
        <v>0</v>
      </c>
      <c r="CK39" s="239">
        <v>0</v>
      </c>
      <c r="CL39" s="239">
        <v>0</v>
      </c>
      <c r="CM39" s="239">
        <v>0</v>
      </c>
      <c r="CN39" s="239">
        <v>0</v>
      </c>
      <c r="CO39" s="257">
        <f>SUM(CK39:CN39)</f>
        <v>0</v>
      </c>
      <c r="CP39" s="239">
        <v>0</v>
      </c>
      <c r="CQ39" s="239">
        <v>0</v>
      </c>
      <c r="CR39" s="239">
        <v>0</v>
      </c>
      <c r="CS39" s="239">
        <v>0</v>
      </c>
      <c r="CT39" s="257">
        <f>SUM(CP39:CS39)</f>
        <v>0</v>
      </c>
      <c r="CU39" s="239">
        <v>0</v>
      </c>
      <c r="CV39" s="239">
        <v>0</v>
      </c>
      <c r="CW39" s="239">
        <v>0</v>
      </c>
      <c r="CX39" s="239">
        <v>0</v>
      </c>
      <c r="CY39" s="257">
        <f>SUM(CU39:CX39)</f>
        <v>0</v>
      </c>
      <c r="CZ39" s="239">
        <v>0</v>
      </c>
      <c r="DA39" s="239">
        <v>0</v>
      </c>
      <c r="DB39" s="239">
        <v>0</v>
      </c>
      <c r="DC39" s="239">
        <v>0</v>
      </c>
      <c r="DD39" s="257">
        <f>SUM(CZ39:DC39)</f>
        <v>0</v>
      </c>
      <c r="DE39" s="239">
        <v>0</v>
      </c>
      <c r="DF39" s="239">
        <v>-1340</v>
      </c>
      <c r="DG39" s="239">
        <v>0</v>
      </c>
      <c r="DH39" s="239">
        <v>0</v>
      </c>
      <c r="DI39" s="257">
        <f>SUM(DE39:DH39)</f>
        <v>-1340</v>
      </c>
      <c r="DJ39" s="239">
        <v>0</v>
      </c>
      <c r="DK39" s="239">
        <v>0</v>
      </c>
      <c r="DL39" s="239">
        <v>0</v>
      </c>
      <c r="DM39" s="239">
        <v>0</v>
      </c>
      <c r="DN39" s="257">
        <f>SUM(DJ39:DM39)</f>
        <v>0</v>
      </c>
      <c r="DO39" s="239">
        <v>0</v>
      </c>
      <c r="DP39" s="239">
        <v>0</v>
      </c>
      <c r="DQ39" s="239">
        <v>0</v>
      </c>
      <c r="DR39" s="239">
        <v>0</v>
      </c>
      <c r="DS39" s="257">
        <f>SUM(DO39:DR39)</f>
        <v>0</v>
      </c>
      <c r="DT39" s="239">
        <v>0</v>
      </c>
      <c r="DU39" s="239">
        <v>0</v>
      </c>
      <c r="DV39" s="120">
        <f>-DV40*DV$10</f>
        <v>0</v>
      </c>
      <c r="DW39" s="120">
        <f>-DW40*DW$10</f>
        <v>0</v>
      </c>
      <c r="DX39" s="257">
        <f>SUM(DT39:DW39)</f>
        <v>0</v>
      </c>
      <c r="DY39" s="120">
        <f>-DY40*DY$10</f>
        <v>0</v>
      </c>
      <c r="DZ39" s="120">
        <f>-DZ40*DZ$10</f>
        <v>0</v>
      </c>
      <c r="EA39" s="120">
        <f>-EA40*EA$10</f>
        <v>0</v>
      </c>
      <c r="EB39" s="120">
        <f>-EB40*EB$10</f>
        <v>0</v>
      </c>
      <c r="EC39" s="257">
        <f>SUM(DY39:EB39)</f>
        <v>0</v>
      </c>
      <c r="ED39" s="120">
        <f>-ED40*ED$10</f>
        <v>0</v>
      </c>
      <c r="EE39" s="120">
        <f>-EE40*EE$10</f>
        <v>0</v>
      </c>
      <c r="EF39" s="120">
        <f>-EF40*EF$10</f>
        <v>0</v>
      </c>
      <c r="EG39" s="120">
        <f>-EG40*EG$10</f>
        <v>0</v>
      </c>
      <c r="EH39" s="257">
        <f>SUM(ED39:EG39)</f>
        <v>0</v>
      </c>
      <c r="EI39" s="120">
        <f>-EI40*EI$10</f>
        <v>0</v>
      </c>
      <c r="EJ39" s="120">
        <f>-EJ40*EJ$10</f>
        <v>0</v>
      </c>
      <c r="EK39" s="120">
        <f>-EK40*EK$10</f>
        <v>0</v>
      </c>
      <c r="EL39" s="120">
        <f>-EL40*EL$10</f>
        <v>0</v>
      </c>
      <c r="EM39" s="257">
        <f>SUM(EI39:EL39)</f>
        <v>0</v>
      </c>
      <c r="EN39" s="120">
        <f>-EN40*EN$10</f>
        <v>0</v>
      </c>
      <c r="EO39" s="120">
        <f>-EO40*EO$10</f>
        <v>0</v>
      </c>
      <c r="EP39" s="120">
        <f>-EP40*EP$10</f>
        <v>0</v>
      </c>
      <c r="EQ39" s="120">
        <f>-EQ40*EQ$10</f>
        <v>0</v>
      </c>
      <c r="ER39" s="257">
        <f>SUM(EN39:EQ39)</f>
        <v>0</v>
      </c>
      <c r="ES39" s="417"/>
      <c r="ET39" s="133"/>
    </row>
    <row r="40" spans="1:150" s="253" customFormat="1" ht="12" customHeight="1">
      <c r="A40" s="792"/>
      <c r="B40" s="792"/>
      <c r="C40" s="260" t="s">
        <v>189</v>
      </c>
      <c r="D40" s="255"/>
      <c r="E40" s="255"/>
      <c r="F40" s="255"/>
      <c r="G40" s="255"/>
      <c r="H40" s="255"/>
      <c r="I40" s="94"/>
      <c r="J40" s="94"/>
      <c r="K40" s="94"/>
      <c r="L40" s="94"/>
      <c r="M40" s="255"/>
      <c r="N40" s="94"/>
      <c r="O40" s="94"/>
      <c r="P40" s="94"/>
      <c r="Q40" s="94"/>
      <c r="R40" s="255"/>
      <c r="S40" s="94"/>
      <c r="T40" s="94"/>
      <c r="U40" s="94"/>
      <c r="V40" s="94"/>
      <c r="W40" s="255"/>
      <c r="X40" s="94"/>
      <c r="Y40" s="94"/>
      <c r="Z40" s="94"/>
      <c r="AA40" s="94"/>
      <c r="AB40" s="255"/>
      <c r="AC40" s="94"/>
      <c r="AD40" s="94"/>
      <c r="AE40" s="94"/>
      <c r="AF40" s="94"/>
      <c r="AG40" s="255"/>
      <c r="AH40" s="94"/>
      <c r="AI40" s="94"/>
      <c r="AJ40" s="94"/>
      <c r="AK40" s="94"/>
      <c r="AL40" s="255"/>
      <c r="AM40" s="94"/>
      <c r="AN40" s="94"/>
      <c r="AO40" s="94"/>
      <c r="AP40" s="94"/>
      <c r="AQ40" s="255"/>
      <c r="AR40" s="94"/>
      <c r="AS40" s="94"/>
      <c r="AT40" s="94"/>
      <c r="AU40" s="94"/>
      <c r="AV40" s="255"/>
      <c r="AW40" s="94"/>
      <c r="AX40" s="94"/>
      <c r="AY40" s="94"/>
      <c r="AZ40" s="94"/>
      <c r="BA40" s="255"/>
      <c r="BB40" s="94"/>
      <c r="BC40" s="94"/>
      <c r="BD40" s="94"/>
      <c r="BE40" s="94"/>
      <c r="BF40" s="255"/>
      <c r="BG40" s="625"/>
      <c r="BH40" s="625"/>
      <c r="BI40" s="625"/>
      <c r="BJ40" s="625"/>
      <c r="BK40" s="255"/>
      <c r="BL40" s="625"/>
      <c r="BM40" s="625"/>
      <c r="BN40" s="625"/>
      <c r="BO40" s="625"/>
      <c r="BP40" s="255"/>
      <c r="BQ40" s="359">
        <f t="shared" si="189"/>
        <v>0</v>
      </c>
      <c r="BR40" s="359">
        <f t="shared" si="189"/>
        <v>0</v>
      </c>
      <c r="BS40" s="359">
        <f t="shared" si="189"/>
        <v>0</v>
      </c>
      <c r="BT40" s="359">
        <f t="shared" si="189"/>
        <v>0</v>
      </c>
      <c r="BU40" s="501">
        <f t="shared" si="189"/>
        <v>0</v>
      </c>
      <c r="BV40" s="359">
        <f t="shared" si="189"/>
        <v>0</v>
      </c>
      <c r="BW40" s="359">
        <f t="shared" si="189"/>
        <v>0</v>
      </c>
      <c r="BX40" s="359">
        <f t="shared" si="189"/>
        <v>0</v>
      </c>
      <c r="BY40" s="359">
        <f t="shared" si="189"/>
        <v>0</v>
      </c>
      <c r="BZ40" s="501">
        <f t="shared" si="189"/>
        <v>0</v>
      </c>
      <c r="CA40" s="359">
        <f t="shared" si="190"/>
        <v>0</v>
      </c>
      <c r="CB40" s="359">
        <f t="shared" si="190"/>
        <v>0</v>
      </c>
      <c r="CC40" s="359">
        <f t="shared" si="190"/>
        <v>0</v>
      </c>
      <c r="CD40" s="359">
        <f t="shared" si="190"/>
        <v>0</v>
      </c>
      <c r="CE40" s="501">
        <f t="shared" si="190"/>
        <v>0</v>
      </c>
      <c r="CF40" s="359">
        <f t="shared" si="190"/>
        <v>0</v>
      </c>
      <c r="CG40" s="359">
        <f t="shared" si="190"/>
        <v>0</v>
      </c>
      <c r="CH40" s="359">
        <f t="shared" si="190"/>
        <v>0</v>
      </c>
      <c r="CI40" s="359">
        <f t="shared" si="190"/>
        <v>0</v>
      </c>
      <c r="CJ40" s="501">
        <f>-CJ39/CJ$10</f>
        <v>0</v>
      </c>
      <c r="CK40" s="359">
        <f t="shared" si="190"/>
        <v>0</v>
      </c>
      <c r="CL40" s="359">
        <f t="shared" si="190"/>
        <v>0</v>
      </c>
      <c r="CM40" s="359">
        <f t="shared" si="190"/>
        <v>0</v>
      </c>
      <c r="CN40" s="359">
        <f t="shared" si="190"/>
        <v>0</v>
      </c>
      <c r="CO40" s="501">
        <f t="shared" si="190"/>
        <v>0</v>
      </c>
      <c r="CP40" s="359">
        <f t="shared" si="190"/>
        <v>0</v>
      </c>
      <c r="CQ40" s="359">
        <f t="shared" si="190"/>
        <v>0</v>
      </c>
      <c r="CR40" s="359">
        <f t="shared" si="190"/>
        <v>0</v>
      </c>
      <c r="CS40" s="359">
        <f t="shared" si="190"/>
        <v>0</v>
      </c>
      <c r="CT40" s="501">
        <f t="shared" si="190"/>
        <v>0</v>
      </c>
      <c r="CU40" s="359">
        <f t="shared" si="190"/>
        <v>0</v>
      </c>
      <c r="CV40" s="359">
        <f t="shared" si="190"/>
        <v>0</v>
      </c>
      <c r="CW40" s="359">
        <f t="shared" si="190"/>
        <v>0</v>
      </c>
      <c r="CX40" s="359">
        <f t="shared" si="190"/>
        <v>0</v>
      </c>
      <c r="CY40" s="501">
        <f t="shared" ref="CY40:DF40" si="202">-CY39/CY$10</f>
        <v>0</v>
      </c>
      <c r="CZ40" s="359">
        <f t="shared" si="202"/>
        <v>0</v>
      </c>
      <c r="DA40" s="359">
        <f t="shared" si="202"/>
        <v>0</v>
      </c>
      <c r="DB40" s="359">
        <f t="shared" si="202"/>
        <v>0</v>
      </c>
      <c r="DC40" s="359">
        <f t="shared" si="202"/>
        <v>0</v>
      </c>
      <c r="DD40" s="501">
        <f t="shared" si="202"/>
        <v>0</v>
      </c>
      <c r="DE40" s="359">
        <f t="shared" si="202"/>
        <v>0</v>
      </c>
      <c r="DF40" s="359">
        <f t="shared" si="202"/>
        <v>0.79102715466351825</v>
      </c>
      <c r="DG40" s="359">
        <f t="shared" ref="DG40:DH42" si="203">-DG39/DG$10</f>
        <v>0</v>
      </c>
      <c r="DH40" s="359">
        <f t="shared" si="203"/>
        <v>0</v>
      </c>
      <c r="DI40" s="501">
        <f>-DI39/DI$10</f>
        <v>0.18980169971671387</v>
      </c>
      <c r="DJ40" s="359">
        <f t="shared" ref="DJ40:DK42" si="204">-DJ39/DJ$10</f>
        <v>0</v>
      </c>
      <c r="DK40" s="359">
        <f t="shared" si="204"/>
        <v>0</v>
      </c>
      <c r="DL40" s="359">
        <f>-DL39/DL$10</f>
        <v>0</v>
      </c>
      <c r="DM40" s="359">
        <f>-DM39/DM$10</f>
        <v>0</v>
      </c>
      <c r="DN40" s="501">
        <f>-DN39/DN$10</f>
        <v>0</v>
      </c>
      <c r="DO40" s="963">
        <f>-DO39/DO$10</f>
        <v>0</v>
      </c>
      <c r="DP40" s="359">
        <f t="shared" ref="DP40:DQ40" si="205">-DP39/DP$10</f>
        <v>0</v>
      </c>
      <c r="DQ40" s="359">
        <f t="shared" si="205"/>
        <v>0</v>
      </c>
      <c r="DR40" s="627">
        <f>-DR39/DR$10</f>
        <v>0</v>
      </c>
      <c r="DS40" s="501">
        <f>-DS39/DS$10</f>
        <v>0</v>
      </c>
      <c r="DT40" s="963">
        <f>-DT39/DT$10</f>
        <v>0</v>
      </c>
      <c r="DU40" s="359">
        <f t="shared" ref="DU40" si="206">-DU39/DU$10</f>
        <v>0</v>
      </c>
      <c r="DV40" s="311">
        <v>0</v>
      </c>
      <c r="DW40" s="311">
        <v>0</v>
      </c>
      <c r="DX40" s="501">
        <f>-DX39/DX$10</f>
        <v>0</v>
      </c>
      <c r="DY40" s="311">
        <v>0</v>
      </c>
      <c r="DZ40" s="311">
        <v>0</v>
      </c>
      <c r="EA40" s="311">
        <v>0</v>
      </c>
      <c r="EB40" s="311">
        <v>0</v>
      </c>
      <c r="EC40" s="501">
        <f>-EC39/EC$10</f>
        <v>0</v>
      </c>
      <c r="ED40" s="311">
        <v>0</v>
      </c>
      <c r="EE40" s="311">
        <v>0</v>
      </c>
      <c r="EF40" s="311">
        <v>0</v>
      </c>
      <c r="EG40" s="311">
        <v>0</v>
      </c>
      <c r="EH40" s="501">
        <f>-EH39/EH$10</f>
        <v>0</v>
      </c>
      <c r="EI40" s="311">
        <v>0</v>
      </c>
      <c r="EJ40" s="311">
        <v>0</v>
      </c>
      <c r="EK40" s="311">
        <v>0</v>
      </c>
      <c r="EL40" s="311">
        <v>0</v>
      </c>
      <c r="EM40" s="501">
        <f>-EM39/EM$10</f>
        <v>0</v>
      </c>
      <c r="EN40" s="311">
        <v>0</v>
      </c>
      <c r="EO40" s="311">
        <v>0</v>
      </c>
      <c r="EP40" s="311">
        <v>0</v>
      </c>
      <c r="EQ40" s="311">
        <v>0</v>
      </c>
      <c r="ER40" s="501">
        <f>-ER39/ER$10</f>
        <v>0</v>
      </c>
      <c r="ES40" s="359"/>
      <c r="ET40" s="133"/>
    </row>
    <row r="41" spans="1:150" s="253" customFormat="1" ht="12" customHeight="1">
      <c r="A41" s="792" t="s">
        <v>582</v>
      </c>
      <c r="B41" s="792"/>
      <c r="C41" s="265" t="s">
        <v>157</v>
      </c>
      <c r="D41" s="268"/>
      <c r="E41" s="269"/>
      <c r="F41" s="269"/>
      <c r="G41" s="269"/>
      <c r="H41" s="269"/>
      <c r="I41" s="270"/>
      <c r="J41" s="270"/>
      <c r="K41" s="270"/>
      <c r="L41" s="270"/>
      <c r="M41" s="269"/>
      <c r="N41" s="270"/>
      <c r="O41" s="270"/>
      <c r="P41" s="270"/>
      <c r="Q41" s="270"/>
      <c r="R41" s="269"/>
      <c r="S41" s="270"/>
      <c r="T41" s="270"/>
      <c r="U41" s="270"/>
      <c r="V41" s="270"/>
      <c r="W41" s="269"/>
      <c r="X41" s="270"/>
      <c r="Y41" s="270"/>
      <c r="Z41" s="270"/>
      <c r="AA41" s="270"/>
      <c r="AB41" s="269"/>
      <c r="AC41" s="270"/>
      <c r="AD41" s="270"/>
      <c r="AE41" s="270"/>
      <c r="AF41" s="270"/>
      <c r="AG41" s="269"/>
      <c r="AH41" s="270"/>
      <c r="AI41" s="270"/>
      <c r="AJ41" s="270"/>
      <c r="AK41" s="270"/>
      <c r="AL41" s="269"/>
      <c r="AM41" s="270"/>
      <c r="AN41" s="270"/>
      <c r="AO41" s="270"/>
      <c r="AP41" s="270"/>
      <c r="AQ41" s="269"/>
      <c r="AR41" s="270"/>
      <c r="AS41" s="270"/>
      <c r="AT41" s="270"/>
      <c r="AU41" s="270"/>
      <c r="AV41" s="269"/>
      <c r="AW41" s="270"/>
      <c r="AX41" s="270"/>
      <c r="AY41" s="270"/>
      <c r="AZ41" s="270"/>
      <c r="BA41" s="269"/>
      <c r="BB41" s="270"/>
      <c r="BC41" s="270"/>
      <c r="BD41" s="270"/>
      <c r="BE41" s="270"/>
      <c r="BF41" s="269"/>
      <c r="BG41" s="270"/>
      <c r="BH41" s="270"/>
      <c r="BI41" s="270"/>
      <c r="BJ41" s="270"/>
      <c r="BK41" s="269"/>
      <c r="BL41" s="270"/>
      <c r="BM41" s="270"/>
      <c r="BN41" s="270"/>
      <c r="BO41" s="270"/>
      <c r="BP41" s="269"/>
      <c r="BQ41" s="271">
        <f>BQ31+BQ33+BQ35+BQ37+BQ39</f>
        <v>-25.041999999999998</v>
      </c>
      <c r="BR41" s="271">
        <f>BR31+BR33+BR35+BR37+BR39</f>
        <v>-28.713000000000001</v>
      </c>
      <c r="BS41" s="271">
        <f>BS31+BS33+BS35+BS37+BS39</f>
        <v>-33.042999999999999</v>
      </c>
      <c r="BT41" s="271">
        <f>BT31+BT33+BT35+BT37+BT39</f>
        <v>-42.985999999999997</v>
      </c>
      <c r="BU41" s="272">
        <f>SUM(BQ41:BT41)</f>
        <v>-129.78399999999999</v>
      </c>
      <c r="BV41" s="271">
        <f>BV31+BV33+BV35+BV37+BV39</f>
        <v>-49.796999999999997</v>
      </c>
      <c r="BW41" s="271">
        <f>BW31+BW33+BW35+BW37+BW39</f>
        <v>-56.181999999999995</v>
      </c>
      <c r="BX41" s="271">
        <f>BX31+BX33+BX35+BX37+BX39</f>
        <v>-63.241000000000007</v>
      </c>
      <c r="BY41" s="271">
        <f>BY31+BY33+BY35+BY37+BY39</f>
        <v>-77.44</v>
      </c>
      <c r="BZ41" s="272">
        <f>SUM(BV41:BY41)</f>
        <v>-246.66</v>
      </c>
      <c r="CA41" s="1430">
        <f>CA31+CA33+CA35+CA37+CA39</f>
        <v>-86.701999999999998</v>
      </c>
      <c r="CB41" s="271">
        <f>CB31+CB33+CB35+CB37+CB39</f>
        <v>-102.747</v>
      </c>
      <c r="CC41" s="271">
        <f>CC31+CC33+CC35+CC37+CC39</f>
        <v>-112.703</v>
      </c>
      <c r="CD41" s="271">
        <f>CD31+CD33+CD35+CD37+CD39</f>
        <v>-127.25800000000001</v>
      </c>
      <c r="CE41" s="272">
        <f>SUM(CA41:CD41)</f>
        <v>-429.41000000000008</v>
      </c>
      <c r="CF41" s="1430">
        <f>CF31+CF33+CF35+CF37+CF39</f>
        <v>-144.17500000000001</v>
      </c>
      <c r="CG41" s="271">
        <f>CG31+CG33+CG35+CG37+CG39</f>
        <v>-167.71600000000001</v>
      </c>
      <c r="CH41" s="271">
        <f>CH31+CH33+CH35+CH37+CH39</f>
        <v>-181.095</v>
      </c>
      <c r="CI41" s="271">
        <f>CI31+CI33+CI35+CI37+CI39</f>
        <v>-195.20100000000002</v>
      </c>
      <c r="CJ41" s="272">
        <f>SUM(CF41:CI41)</f>
        <v>-688.18700000000001</v>
      </c>
      <c r="CK41" s="271">
        <f>CK31+CK33+CK35+CK37+CK39</f>
        <v>-216.08100000000002</v>
      </c>
      <c r="CL41" s="271">
        <f>CL31+CL33+CL35+CL37+CL39</f>
        <v>-244.38499999999999</v>
      </c>
      <c r="CM41" s="271">
        <f>CM31+CM33+CM35+CM37+CM39</f>
        <v>-252.35399999999998</v>
      </c>
      <c r="CN41" s="271">
        <f>CN31+CN33+CN35+CN37+CN39</f>
        <v>-293.96999999999997</v>
      </c>
      <c r="CO41" s="272">
        <f>SUM(CK41:CN41)</f>
        <v>-1006.79</v>
      </c>
      <c r="CP41" s="271">
        <f>CP31+CP33+CP35+CP37+CP39</f>
        <v>-330.18299999999999</v>
      </c>
      <c r="CQ41" s="271">
        <f>CQ31+CQ33+CQ35+CQ37+CQ39</f>
        <v>-374.75</v>
      </c>
      <c r="CR41" s="271">
        <f>CR31+CR33+CR35+CR37+CR39</f>
        <v>-354.58699999999993</v>
      </c>
      <c r="CS41" s="271">
        <f>CS31+CS33+CS35+CS37+CS39</f>
        <v>-391.84699999999998</v>
      </c>
      <c r="CT41" s="272">
        <f>SUM(CP41:CS41)</f>
        <v>-1451.367</v>
      </c>
      <c r="CU41" s="271">
        <f>CU31+CU33+CU35+CU37+CU39</f>
        <v>-439.81700000000001</v>
      </c>
      <c r="CV41" s="271">
        <f>CV31+CV33+CV35+CV37+CV39</f>
        <v>-481.41899999999998</v>
      </c>
      <c r="CW41" s="271">
        <f>CW31+CW33+CW35+CW37+CW39</f>
        <v>-613.01</v>
      </c>
      <c r="CX41" s="271">
        <f>CX31+CX33+CX35+CX37+CX39</f>
        <v>-678.25499999999988</v>
      </c>
      <c r="CY41" s="272">
        <f>SUM(CU41:CX41)</f>
        <v>-2212.5010000000002</v>
      </c>
      <c r="CZ41" s="1430">
        <f>CZ31+CZ33+CZ35+CZ37+CZ39</f>
        <v>-735.61299999999994</v>
      </c>
      <c r="DA41" s="271">
        <f>DA31+DA33+DA35+DA37+DA39</f>
        <v>-845.85</v>
      </c>
      <c r="DB41" s="271">
        <f>DB31+DB33+DB35+DB37+DB39</f>
        <v>-1007.6980000000001</v>
      </c>
      <c r="DC41" s="271">
        <f>DC31+DC33+DC35+DC37+DC39</f>
        <v>-987.25700000000006</v>
      </c>
      <c r="DD41" s="272">
        <f>SUM(CZ41:DC41)</f>
        <v>-3576.4180000000001</v>
      </c>
      <c r="DE41" s="1430">
        <f>DE31+DE33+DE35+DE37+DE39</f>
        <v>-910</v>
      </c>
      <c r="DF41" s="271">
        <f>DF31+DF33+DF35+DF37+DF39</f>
        <v>-2471</v>
      </c>
      <c r="DG41" s="271">
        <f>DG31+DG33+DG35+DG37+DG39</f>
        <v>-779</v>
      </c>
      <c r="DH41" s="1430">
        <f>DH31+DH33+DH35+DH37+DH39</f>
        <v>-773</v>
      </c>
      <c r="DI41" s="272">
        <f>SUM(DE41:DH41)</f>
        <v>-4933</v>
      </c>
      <c r="DJ41" s="271">
        <f>DJ31+DJ33+DJ35+DJ37+DJ39</f>
        <v>-871</v>
      </c>
      <c r="DK41" s="271">
        <f>DK31+DK33+DK35+DK37+DK39</f>
        <v>-804</v>
      </c>
      <c r="DL41" s="271">
        <f>DL31+DL33+DL35+DL37+DL39</f>
        <v>-835</v>
      </c>
      <c r="DM41" s="271">
        <f>DM31+DM33+DM35+DM37+DM39</f>
        <v>-887</v>
      </c>
      <c r="DN41" s="272">
        <f>SUM(DJ41:DM41)</f>
        <v>-3397</v>
      </c>
      <c r="DO41" s="271">
        <f>DO31+DO33+DO35+DO37+DO39</f>
        <v>-966</v>
      </c>
      <c r="DP41" s="271">
        <f>DP31+DP33+DP35+DP37+DP39</f>
        <v>-1011</v>
      </c>
      <c r="DQ41" s="271">
        <f>DQ31+DQ33+DQ35+DQ37+DQ39</f>
        <v>-1048</v>
      </c>
      <c r="DR41" s="1430">
        <f>DR31+DR33+DR35+DR37+DR39</f>
        <v>-1062</v>
      </c>
      <c r="DS41" s="272">
        <f>SUM(DO41:DR41)</f>
        <v>-4087</v>
      </c>
      <c r="DT41" s="271">
        <f>DT31+DT33+DT35+DT37+DT39</f>
        <v>-1164</v>
      </c>
      <c r="DU41" s="271">
        <f>DU31+DU33+DU35+DU37+DU39</f>
        <v>-1220</v>
      </c>
      <c r="DV41" s="271">
        <f>DV31+DV33+DV35+DV37+DV39</f>
        <v>-1246.0190103593661</v>
      </c>
      <c r="DW41" s="271">
        <f>DW31+DW33+DW35+DW37+DW39</f>
        <v>-1326.6715991065253</v>
      </c>
      <c r="DX41" s="272">
        <f>SUM(DT41:DW41)</f>
        <v>-4956.6906094658916</v>
      </c>
      <c r="DY41" s="271">
        <f>DY31+DY33+DY35+DY37+DY39</f>
        <v>-1412.0983251893795</v>
      </c>
      <c r="DZ41" s="271">
        <f>DZ31+DZ33+DZ35+DZ37+DZ39</f>
        <v>-1455.6147456975818</v>
      </c>
      <c r="EA41" s="271">
        <f>EA31+EA33+EA35+EA37+EA39</f>
        <v>-1466.5451783782603</v>
      </c>
      <c r="EB41" s="271">
        <f>EB31+EB33+EB35+EB37+EB39</f>
        <v>-1534.0291726248934</v>
      </c>
      <c r="EC41" s="272">
        <f>SUM(DY41:EB41)</f>
        <v>-5868.2874218901152</v>
      </c>
      <c r="ED41" s="271">
        <f>ED31+ED33+ED35+ED37+ED39</f>
        <v>-1677.4897794002584</v>
      </c>
      <c r="EE41" s="271">
        <f>EE31+EE33+EE35+EE37+EE39</f>
        <v>-1725.0301102954807</v>
      </c>
      <c r="EF41" s="271">
        <f>EF31+EF33+EF35+EF37+EF39</f>
        <v>-1735.3276632554544</v>
      </c>
      <c r="EG41" s="271">
        <f>EG31+EG33+EG35+EG37+EG39</f>
        <v>-1807.7584200627425</v>
      </c>
      <c r="EH41" s="272">
        <f>SUM(ED41:EG41)</f>
        <v>-6945.6059730139359</v>
      </c>
      <c r="EI41" s="271">
        <f>EI31+EI33+EI35+EI37+EI39</f>
        <v>-1953.312726293291</v>
      </c>
      <c r="EJ41" s="271">
        <f>EJ31+EJ33+EJ35+EJ37+EJ39</f>
        <v>-2005.6479181680138</v>
      </c>
      <c r="EK41" s="271">
        <f>EK31+EK33+EK35+EK37+EK39</f>
        <v>-2016.9267768436835</v>
      </c>
      <c r="EL41" s="271">
        <f>EL31+EL33+EL35+EL37+EL39</f>
        <v>-2092.9115137123745</v>
      </c>
      <c r="EM41" s="272">
        <f>SUM(EI41:EL41)</f>
        <v>-8068.7989350173621</v>
      </c>
      <c r="EN41" s="271">
        <f>EN31+EN33+EN35+EN37+EN39</f>
        <v>-2250.7808141470487</v>
      </c>
      <c r="EO41" s="271">
        <f>EO31+EO33+EO35+EO37+EO39</f>
        <v>-2307.1427654968375</v>
      </c>
      <c r="EP41" s="271">
        <f>EP31+EP33+EP35+EP37+EP39</f>
        <v>-2319.5764202593264</v>
      </c>
      <c r="EQ41" s="271">
        <f>EQ31+EQ33+EQ35+EQ37+EQ39</f>
        <v>-2396.0705005350019</v>
      </c>
      <c r="ER41" s="272">
        <f>SUM(EN41:EQ41)</f>
        <v>-9273.5705004382144</v>
      </c>
      <c r="ES41" s="417"/>
      <c r="ET41" s="133"/>
    </row>
    <row r="42" spans="1:150" s="253" customFormat="1" ht="12" customHeight="1">
      <c r="A42" s="792" t="s">
        <v>583</v>
      </c>
      <c r="B42" s="792"/>
      <c r="C42" s="260" t="s">
        <v>189</v>
      </c>
      <c r="D42" s="255"/>
      <c r="E42" s="255"/>
      <c r="F42" s="255"/>
      <c r="G42" s="255"/>
      <c r="H42" s="255"/>
      <c r="I42" s="94"/>
      <c r="J42" s="94"/>
      <c r="K42" s="94"/>
      <c r="L42" s="94"/>
      <c r="M42" s="255"/>
      <c r="N42" s="94"/>
      <c r="O42" s="94"/>
      <c r="P42" s="94"/>
      <c r="Q42" s="94"/>
      <c r="R42" s="255"/>
      <c r="S42" s="94"/>
      <c r="T42" s="94"/>
      <c r="U42" s="94"/>
      <c r="V42" s="94"/>
      <c r="W42" s="255"/>
      <c r="X42" s="94"/>
      <c r="Y42" s="94"/>
      <c r="Z42" s="94"/>
      <c r="AA42" s="94"/>
      <c r="AB42" s="255"/>
      <c r="AC42" s="94"/>
      <c r="AD42" s="94"/>
      <c r="AE42" s="94"/>
      <c r="AF42" s="94"/>
      <c r="AG42" s="255"/>
      <c r="AH42" s="94"/>
      <c r="AI42" s="94"/>
      <c r="AJ42" s="94"/>
      <c r="AK42" s="94"/>
      <c r="AL42" s="255"/>
      <c r="AM42" s="94"/>
      <c r="AN42" s="94"/>
      <c r="AO42" s="94"/>
      <c r="AP42" s="94"/>
      <c r="AQ42" s="255"/>
      <c r="AR42" s="94"/>
      <c r="AS42" s="94"/>
      <c r="AT42" s="94"/>
      <c r="AU42" s="94"/>
      <c r="AV42" s="255"/>
      <c r="AW42" s="94"/>
      <c r="AX42" s="94"/>
      <c r="AY42" s="94"/>
      <c r="AZ42" s="94"/>
      <c r="BA42" s="255"/>
      <c r="BB42" s="94"/>
      <c r="BC42" s="94"/>
      <c r="BD42" s="94"/>
      <c r="BE42" s="94"/>
      <c r="BF42" s="255"/>
      <c r="BG42" s="625"/>
      <c r="BH42" s="625"/>
      <c r="BI42" s="625"/>
      <c r="BJ42" s="625"/>
      <c r="BK42" s="255"/>
      <c r="BL42" s="625"/>
      <c r="BM42" s="625"/>
      <c r="BN42" s="625"/>
      <c r="BO42" s="625"/>
      <c r="BP42" s="255"/>
      <c r="BQ42" s="359">
        <f t="shared" si="189"/>
        <v>0.67050444468244619</v>
      </c>
      <c r="BR42" s="359">
        <f t="shared" si="189"/>
        <v>0.63911766015225036</v>
      </c>
      <c r="BS42" s="359">
        <f t="shared" si="189"/>
        <v>0.62598037358390479</v>
      </c>
      <c r="BT42" s="359">
        <f t="shared" si="189"/>
        <v>0.61257178686959368</v>
      </c>
      <c r="BU42" s="501">
        <f t="shared" si="189"/>
        <v>0.63237393596546354</v>
      </c>
      <c r="BV42" s="359">
        <f t="shared" si="189"/>
        <v>0.68475839498363622</v>
      </c>
      <c r="BW42" s="359">
        <f t="shared" si="189"/>
        <v>0.64840098330005658</v>
      </c>
      <c r="BX42" s="359">
        <f t="shared" si="189"/>
        <v>0.63509008013818313</v>
      </c>
      <c r="BY42" s="359">
        <f t="shared" si="189"/>
        <v>0.59394246182401089</v>
      </c>
      <c r="BZ42" s="501">
        <f t="shared" si="189"/>
        <v>0.6335499447769245</v>
      </c>
      <c r="CA42" s="359">
        <f t="shared" si="190"/>
        <v>0.68066164752431713</v>
      </c>
      <c r="CB42" s="359">
        <f t="shared" si="190"/>
        <v>0.67750486301144042</v>
      </c>
      <c r="CC42" s="359">
        <f t="shared" si="190"/>
        <v>0.65732899402762224</v>
      </c>
      <c r="CD42" s="359">
        <f t="shared" si="190"/>
        <v>0.57114005403610191</v>
      </c>
      <c r="CE42" s="501">
        <f t="shared" si="190"/>
        <v>0.63776540760191547</v>
      </c>
      <c r="CF42" s="359">
        <f t="shared" si="190"/>
        <v>0.67264626294672025</v>
      </c>
      <c r="CG42" s="359">
        <f t="shared" si="190"/>
        <v>0.68465849944685531</v>
      </c>
      <c r="CH42" s="359">
        <f t="shared" si="190"/>
        <v>0.67056327389063342</v>
      </c>
      <c r="CI42" s="359">
        <f t="shared" si="190"/>
        <v>0.56767249652476881</v>
      </c>
      <c r="CJ42" s="501">
        <f>-CJ41/CJ$10</f>
        <v>0.64123034319795691</v>
      </c>
      <c r="CK42" s="359">
        <f t="shared" si="190"/>
        <v>0.67423755468325841</v>
      </c>
      <c r="CL42" s="359">
        <f t="shared" si="190"/>
        <v>0.6751358504222621</v>
      </c>
      <c r="CM42" s="359">
        <f t="shared" si="190"/>
        <v>0.64614699194985548</v>
      </c>
      <c r="CN42" s="359">
        <f t="shared" si="190"/>
        <v>0.58193443661414201</v>
      </c>
      <c r="CO42" s="501">
        <f t="shared" si="190"/>
        <v>0.63794653691325343</v>
      </c>
      <c r="CP42" s="359">
        <f t="shared" si="190"/>
        <v>0.70251552656270944</v>
      </c>
      <c r="CQ42" s="359">
        <f t="shared" si="190"/>
        <v>0.52460939523280903</v>
      </c>
      <c r="CR42" s="359">
        <f t="shared" si="190"/>
        <v>0.46205979893276683</v>
      </c>
      <c r="CS42" s="359">
        <f t="shared" si="190"/>
        <v>0.40076645829583207</v>
      </c>
      <c r="CT42" s="501">
        <f t="shared" si="190"/>
        <v>0.49543316569328938</v>
      </c>
      <c r="CU42" s="359">
        <f t="shared" si="190"/>
        <v>0.44486758165452384</v>
      </c>
      <c r="CV42" s="359">
        <f t="shared" si="190"/>
        <v>0.43005149873374754</v>
      </c>
      <c r="CW42" s="359">
        <f t="shared" si="190"/>
        <v>0.54550874757506185</v>
      </c>
      <c r="CX42" s="359">
        <f t="shared" si="190"/>
        <v>0.49148058294638342</v>
      </c>
      <c r="CY42" s="501">
        <f t="shared" ref="CY42:DF42" si="207">-CY41/CY$10</f>
        <v>0.47974199541356027</v>
      </c>
      <c r="CZ42" s="359">
        <f t="shared" si="207"/>
        <v>0.61116562245819495</v>
      </c>
      <c r="DA42" s="359">
        <f t="shared" si="207"/>
        <v>0.6531342490674199</v>
      </c>
      <c r="DB42" s="359">
        <f t="shared" si="207"/>
        <v>0.73759186063533899</v>
      </c>
      <c r="DC42" s="359">
        <f t="shared" si="207"/>
        <v>0.56903142287683184</v>
      </c>
      <c r="DD42" s="501">
        <f t="shared" si="207"/>
        <v>0.63866158178127175</v>
      </c>
      <c r="DE42" s="359">
        <f t="shared" si="207"/>
        <v>0.60344827586206895</v>
      </c>
      <c r="DF42" s="359">
        <f t="shared" si="207"/>
        <v>1.4586776859504131</v>
      </c>
      <c r="DG42" s="359">
        <f t="shared" si="203"/>
        <v>0.45449241540256707</v>
      </c>
      <c r="DH42" s="359">
        <f t="shared" si="203"/>
        <v>0.36054104477611942</v>
      </c>
      <c r="DI42" s="501">
        <f>-DI41/DI$10</f>
        <v>0.69872521246458918</v>
      </c>
      <c r="DJ42" s="359">
        <f t="shared" si="204"/>
        <v>0.46802794196668457</v>
      </c>
      <c r="DK42" s="359">
        <f t="shared" si="204"/>
        <v>0.39315403422982886</v>
      </c>
      <c r="DL42" s="359">
        <f t="shared" ref="DL42:EC42" si="208">-DL41/DL$10</f>
        <v>0.38621646623496764</v>
      </c>
      <c r="DM42" s="359">
        <f t="shared" si="208"/>
        <v>0.31543385490753911</v>
      </c>
      <c r="DN42" s="501">
        <f t="shared" si="208"/>
        <v>0.38254504504504505</v>
      </c>
      <c r="DO42" s="359">
        <f>-DO41/DO$10</f>
        <v>0.40932203389830507</v>
      </c>
      <c r="DP42" s="359">
        <f t="shared" ref="DP42:DQ42" si="209">-DP41/DP$10</f>
        <v>0.37723880597014925</v>
      </c>
      <c r="DQ42" s="359">
        <f t="shared" si="209"/>
        <v>0.36849507735583686</v>
      </c>
      <c r="DR42" s="963">
        <f>-DR41/DR$10</f>
        <v>0.28921568627450983</v>
      </c>
      <c r="DS42" s="501">
        <f t="shared" si="208"/>
        <v>0.35366908965039806</v>
      </c>
      <c r="DT42" s="359">
        <f>-DT41/DT$10</f>
        <v>0.36719242902208205</v>
      </c>
      <c r="DU42" s="359">
        <f t="shared" ref="DU42" si="210">-DU41/DU$10</f>
        <v>0.34049679039910691</v>
      </c>
      <c r="DV42" s="359">
        <f t="shared" si="208"/>
        <v>0.33595165402492549</v>
      </c>
      <c r="DW42" s="359">
        <f t="shared" si="208"/>
        <v>0.2793132822205075</v>
      </c>
      <c r="DX42" s="501">
        <f t="shared" si="208"/>
        <v>0.32584755987234926</v>
      </c>
      <c r="DY42" s="359">
        <f t="shared" si="208"/>
        <v>0.34995186699195546</v>
      </c>
      <c r="DZ42" s="359">
        <f t="shared" si="208"/>
        <v>0.32049679039910683</v>
      </c>
      <c r="EA42" s="359">
        <f t="shared" si="208"/>
        <v>0.31595165402492542</v>
      </c>
      <c r="EB42" s="359">
        <f t="shared" si="208"/>
        <v>0.25931328222050753</v>
      </c>
      <c r="EC42" s="501">
        <f t="shared" si="208"/>
        <v>0.30668974970982515</v>
      </c>
      <c r="ED42" s="359">
        <f t="shared" ref="ED42:EH42" si="211">-ED41/ED$10</f>
        <v>0.34395186699195551</v>
      </c>
      <c r="EE42" s="359">
        <f t="shared" si="211"/>
        <v>0.31449679039910688</v>
      </c>
      <c r="EF42" s="359">
        <f t="shared" si="211"/>
        <v>0.30995165402492547</v>
      </c>
      <c r="EG42" s="359">
        <f t="shared" si="211"/>
        <v>0.25331328222050753</v>
      </c>
      <c r="EH42" s="501">
        <f t="shared" si="211"/>
        <v>0.30071057204281976</v>
      </c>
      <c r="EI42" s="359">
        <f t="shared" ref="EI42:ER42" si="212">-EI41/EI$10</f>
        <v>0.33795186699195545</v>
      </c>
      <c r="EJ42" s="359">
        <f t="shared" si="212"/>
        <v>0.30849679039910688</v>
      </c>
      <c r="EK42" s="359">
        <f t="shared" si="212"/>
        <v>0.30395165402492547</v>
      </c>
      <c r="EL42" s="359">
        <f t="shared" si="212"/>
        <v>0.24731328222050747</v>
      </c>
      <c r="EM42" s="501">
        <f t="shared" si="212"/>
        <v>0.29470233533849455</v>
      </c>
      <c r="EN42" s="359">
        <f t="shared" si="212"/>
        <v>0.33195186699195539</v>
      </c>
      <c r="EO42" s="359">
        <f t="shared" si="212"/>
        <v>0.30249679039910687</v>
      </c>
      <c r="EP42" s="359">
        <f t="shared" si="212"/>
        <v>0.29795165402492546</v>
      </c>
      <c r="EQ42" s="359">
        <f t="shared" si="212"/>
        <v>0.24131328222050752</v>
      </c>
      <c r="ER42" s="501">
        <f t="shared" si="212"/>
        <v>0.28870009736073254</v>
      </c>
      <c r="ES42" s="359"/>
      <c r="ET42" s="133"/>
    </row>
    <row r="43" spans="1:150" s="275" customFormat="1" ht="12" customHeight="1">
      <c r="A43" s="792" t="s">
        <v>584</v>
      </c>
      <c r="B43" s="792"/>
      <c r="C43" s="273" t="s">
        <v>129</v>
      </c>
      <c r="D43" s="274"/>
      <c r="E43" s="274"/>
      <c r="F43" s="274"/>
      <c r="G43" s="274"/>
      <c r="H43" s="274"/>
      <c r="M43" s="274"/>
      <c r="R43" s="274"/>
      <c r="W43" s="274"/>
      <c r="AB43" s="274"/>
      <c r="AG43" s="274"/>
      <c r="AL43" s="274"/>
      <c r="AQ43" s="274"/>
      <c r="AV43" s="274"/>
      <c r="BA43" s="274"/>
      <c r="BF43" s="274"/>
      <c r="BK43" s="274"/>
      <c r="BP43" s="274"/>
      <c r="BQ43" s="629" t="e">
        <f t="shared" ref="BQ43:CV43" si="213">BQ41/BL41-1</f>
        <v>#DIV/0!</v>
      </c>
      <c r="BR43" s="629" t="e">
        <f t="shared" si="213"/>
        <v>#DIV/0!</v>
      </c>
      <c r="BS43" s="629" t="e">
        <f t="shared" si="213"/>
        <v>#DIV/0!</v>
      </c>
      <c r="BT43" s="629" t="e">
        <f t="shared" si="213"/>
        <v>#DIV/0!</v>
      </c>
      <c r="BU43" s="501" t="e">
        <f t="shared" si="213"/>
        <v>#DIV/0!</v>
      </c>
      <c r="BV43" s="629">
        <f t="shared" si="213"/>
        <v>0.98853925405319076</v>
      </c>
      <c r="BW43" s="629">
        <f t="shared" si="213"/>
        <v>0.95667467697558584</v>
      </c>
      <c r="BX43" s="629">
        <f t="shared" si="213"/>
        <v>0.9139000696062709</v>
      </c>
      <c r="BY43" s="629">
        <f t="shared" si="213"/>
        <v>0.80151677290280565</v>
      </c>
      <c r="BZ43" s="501">
        <f t="shared" si="213"/>
        <v>0.90054243974603976</v>
      </c>
      <c r="CA43" s="629">
        <f t="shared" si="213"/>
        <v>0.74110890214269953</v>
      </c>
      <c r="CB43" s="629">
        <f t="shared" si="213"/>
        <v>0.82882417856252899</v>
      </c>
      <c r="CC43" s="629">
        <f t="shared" si="213"/>
        <v>0.78211919482614123</v>
      </c>
      <c r="CD43" s="629">
        <f t="shared" si="213"/>
        <v>0.64331095041322328</v>
      </c>
      <c r="CE43" s="501">
        <f t="shared" si="213"/>
        <v>0.74089840265953177</v>
      </c>
      <c r="CF43" s="629">
        <f t="shared" si="213"/>
        <v>0.66287974902539748</v>
      </c>
      <c r="CG43" s="629">
        <f t="shared" si="213"/>
        <v>0.6323201650656467</v>
      </c>
      <c r="CH43" s="629">
        <f t="shared" si="213"/>
        <v>0.60683389084585149</v>
      </c>
      <c r="CI43" s="629">
        <f t="shared" si="213"/>
        <v>0.53389963695799092</v>
      </c>
      <c r="CJ43" s="501">
        <f t="shared" si="213"/>
        <v>0.60263384644046458</v>
      </c>
      <c r="CK43" s="629">
        <f t="shared" si="213"/>
        <v>0.49874111323044912</v>
      </c>
      <c r="CL43" s="629">
        <f t="shared" si="213"/>
        <v>0.45713587254644739</v>
      </c>
      <c r="CM43" s="629">
        <f t="shared" si="213"/>
        <v>0.39348960490350371</v>
      </c>
      <c r="CN43" s="629">
        <f t="shared" si="213"/>
        <v>0.50598613736609921</v>
      </c>
      <c r="CO43" s="501">
        <f t="shared" si="213"/>
        <v>0.46295992223044014</v>
      </c>
      <c r="CP43" s="629">
        <f t="shared" si="213"/>
        <v>0.52805198050730962</v>
      </c>
      <c r="CQ43" s="629">
        <f t="shared" si="213"/>
        <v>0.533441086809747</v>
      </c>
      <c r="CR43" s="629">
        <f t="shared" si="213"/>
        <v>0.40511741442576676</v>
      </c>
      <c r="CS43" s="629">
        <f t="shared" si="213"/>
        <v>0.33294894036806477</v>
      </c>
      <c r="CT43" s="501">
        <f t="shared" si="213"/>
        <v>0.44157868075765561</v>
      </c>
      <c r="CU43" s="629">
        <f t="shared" si="213"/>
        <v>0.33204011108991072</v>
      </c>
      <c r="CV43" s="629">
        <f t="shared" si="213"/>
        <v>0.28464042695130076</v>
      </c>
      <c r="CW43" s="629">
        <f t="shared" ref="CW43:DQ43" si="214">CW41/CR41-1</f>
        <v>0.72879998420697922</v>
      </c>
      <c r="CX43" s="629">
        <f t="shared" si="214"/>
        <v>0.73091793480618694</v>
      </c>
      <c r="CY43" s="501">
        <f t="shared" si="214"/>
        <v>0.52442559325105242</v>
      </c>
      <c r="CZ43" s="629">
        <f t="shared" si="214"/>
        <v>0.67254335325828674</v>
      </c>
      <c r="DA43" s="629">
        <f t="shared" si="214"/>
        <v>0.75699338829585061</v>
      </c>
      <c r="DB43" s="629">
        <f t="shared" si="214"/>
        <v>0.64385246570202792</v>
      </c>
      <c r="DC43" s="629">
        <f t="shared" si="214"/>
        <v>0.45558381434711159</v>
      </c>
      <c r="DD43" s="501">
        <f t="shared" si="214"/>
        <v>0.61645938239123943</v>
      </c>
      <c r="DE43" s="629">
        <f t="shared" si="214"/>
        <v>0.23706351029685457</v>
      </c>
      <c r="DF43" s="629">
        <f t="shared" si="214"/>
        <v>1.9213217473547317</v>
      </c>
      <c r="DG43" s="629">
        <f t="shared" si="214"/>
        <v>-0.22695093172756131</v>
      </c>
      <c r="DH43" s="629">
        <f t="shared" si="214"/>
        <v>-0.21702251794618832</v>
      </c>
      <c r="DI43" s="501">
        <f t="shared" si="214"/>
        <v>0.37931304450430559</v>
      </c>
      <c r="DJ43" s="629">
        <f t="shared" si="214"/>
        <v>-4.2857142857142816E-2</v>
      </c>
      <c r="DK43" s="629">
        <f t="shared" si="214"/>
        <v>-0.67462565762849047</v>
      </c>
      <c r="DL43" s="629">
        <f t="shared" si="214"/>
        <v>7.1887034659820381E-2</v>
      </c>
      <c r="DM43" s="629">
        <f t="shared" si="214"/>
        <v>0.14747736093143593</v>
      </c>
      <c r="DN43" s="501">
        <f t="shared" si="214"/>
        <v>-0.31137239002635309</v>
      </c>
      <c r="DO43" s="629">
        <f>DO41/DJ41-1</f>
        <v>0.10907003444316876</v>
      </c>
      <c r="DP43" s="629">
        <f t="shared" si="214"/>
        <v>0.25746268656716409</v>
      </c>
      <c r="DQ43" s="629">
        <f t="shared" si="214"/>
        <v>0.25508982035928152</v>
      </c>
      <c r="DR43" s="629">
        <f>DR41/DM41-1</f>
        <v>0.19729425028184888</v>
      </c>
      <c r="DS43" s="501">
        <f t="shared" ref="DS43:EC43" si="215">DS41/DN41-1</f>
        <v>0.20312040035325296</v>
      </c>
      <c r="DT43" s="629">
        <f>DT41/DO41-1</f>
        <v>0.20496894409937894</v>
      </c>
      <c r="DU43" s="629">
        <f t="shared" ref="DU43" si="216">DU41/DP41-1</f>
        <v>0.20672601384767564</v>
      </c>
      <c r="DV43" s="629">
        <f t="shared" si="215"/>
        <v>0.18894943736580738</v>
      </c>
      <c r="DW43" s="629">
        <f t="shared" si="215"/>
        <v>0.24921996149390324</v>
      </c>
      <c r="DX43" s="501">
        <f t="shared" si="215"/>
        <v>0.2127943747163914</v>
      </c>
      <c r="DY43" s="629">
        <f t="shared" si="215"/>
        <v>0.2131428910561679</v>
      </c>
      <c r="DZ43" s="629">
        <f t="shared" si="215"/>
        <v>0.19312684073572273</v>
      </c>
      <c r="EA43" s="629">
        <f t="shared" si="215"/>
        <v>0.17698459348167717</v>
      </c>
      <c r="EB43" s="629">
        <f t="shared" si="215"/>
        <v>0.15629909742397241</v>
      </c>
      <c r="EC43" s="501">
        <f t="shared" si="215"/>
        <v>0.18391238918227604</v>
      </c>
      <c r="ED43" s="629">
        <f t="shared" ref="ED43" si="217">ED41/DY41-1</f>
        <v>0.18794120032348793</v>
      </c>
      <c r="EE43" s="629">
        <f t="shared" ref="EE43" si="218">EE41/DZ41-1</f>
        <v>0.18508699873659595</v>
      </c>
      <c r="EF43" s="629">
        <f t="shared" ref="EF43" si="219">EF41/EA41-1</f>
        <v>0.1832759664277237</v>
      </c>
      <c r="EG43" s="629">
        <f t="shared" ref="EG43" si="220">EG41/EB41-1</f>
        <v>0.17843809773804242</v>
      </c>
      <c r="EH43" s="501">
        <f t="shared" ref="EH43" si="221">EH41/EC41-1</f>
        <v>0.18358312633174112</v>
      </c>
      <c r="EI43" s="629">
        <f t="shared" ref="EI43" si="222">EI41/ED41-1</f>
        <v>0.16442600740711866</v>
      </c>
      <c r="EJ43" s="629">
        <f t="shared" ref="EJ43" si="223">EJ41/EE41-1</f>
        <v>0.16267415055408274</v>
      </c>
      <c r="EK43" s="629">
        <f t="shared" ref="EK43" si="224">EK41/EF41-1</f>
        <v>0.16227431830364103</v>
      </c>
      <c r="EL43" s="629">
        <f t="shared" ref="EL43" si="225">EL41/EG41-1</f>
        <v>0.15773849563357856</v>
      </c>
      <c r="EM43" s="501">
        <f t="shared" ref="EM43" si="226">EM41/EH41-1</f>
        <v>0.16171273843742595</v>
      </c>
      <c r="EN43" s="629">
        <f t="shared" ref="EN43" si="227">EN41/EI41-1</f>
        <v>0.15228902359032337</v>
      </c>
      <c r="EO43" s="629">
        <f t="shared" ref="EO43" si="228">EO41/EJ41-1</f>
        <v>0.15032291789488816</v>
      </c>
      <c r="EP43" s="629">
        <f t="shared" ref="EP43" si="229">EP41/EK41-1</f>
        <v>0.15005484923417178</v>
      </c>
      <c r="EQ43" s="629">
        <f t="shared" ref="EQ43" si="230">EQ41/EL41-1</f>
        <v>0.14485036029301046</v>
      </c>
      <c r="ER43" s="501">
        <f t="shared" ref="ER43" si="231">ER41/EM41-1</f>
        <v>0.14931237909428208</v>
      </c>
      <c r="ES43" s="359"/>
      <c r="ET43" s="276"/>
    </row>
    <row r="44" spans="1:150" s="275" customFormat="1" ht="12" customHeight="1">
      <c r="A44" s="792" t="s">
        <v>126</v>
      </c>
      <c r="B44" s="792"/>
      <c r="C44" s="248" t="s">
        <v>221</v>
      </c>
      <c r="D44" s="249"/>
      <c r="E44" s="249"/>
      <c r="F44" s="249"/>
      <c r="G44" s="249"/>
      <c r="H44" s="249"/>
      <c r="I44" s="250"/>
      <c r="J44" s="250"/>
      <c r="K44" s="250"/>
      <c r="L44" s="250"/>
      <c r="M44" s="249"/>
      <c r="N44" s="250"/>
      <c r="O44" s="250"/>
      <c r="P44" s="250"/>
      <c r="Q44" s="250"/>
      <c r="R44" s="249"/>
      <c r="S44" s="250"/>
      <c r="T44" s="250"/>
      <c r="U44" s="250"/>
      <c r="V44" s="250"/>
      <c r="W44" s="249"/>
      <c r="X44" s="250"/>
      <c r="Y44" s="250"/>
      <c r="Z44" s="250"/>
      <c r="AA44" s="250"/>
      <c r="AB44" s="249"/>
      <c r="AC44" s="250"/>
      <c r="AD44" s="250"/>
      <c r="AE44" s="250"/>
      <c r="AF44" s="250"/>
      <c r="AG44" s="249"/>
      <c r="AH44" s="250"/>
      <c r="AI44" s="250"/>
      <c r="AJ44" s="250"/>
      <c r="AK44" s="250"/>
      <c r="AL44" s="249"/>
      <c r="AM44" s="250"/>
      <c r="AN44" s="250"/>
      <c r="AO44" s="250"/>
      <c r="AP44" s="250"/>
      <c r="AQ44" s="249"/>
      <c r="AR44" s="250"/>
      <c r="AS44" s="250"/>
      <c r="AT44" s="250"/>
      <c r="AU44" s="250"/>
      <c r="AV44" s="249"/>
      <c r="AW44" s="250"/>
      <c r="AX44" s="250"/>
      <c r="AY44" s="250"/>
      <c r="AZ44" s="250"/>
      <c r="BA44" s="249"/>
      <c r="BB44" s="250"/>
      <c r="BC44" s="250"/>
      <c r="BD44" s="250"/>
      <c r="BE44" s="250"/>
      <c r="BF44" s="249"/>
      <c r="BG44" s="250"/>
      <c r="BH44" s="250"/>
      <c r="BI44" s="250"/>
      <c r="BJ44" s="250"/>
      <c r="BK44" s="249"/>
      <c r="BL44" s="250"/>
      <c r="BM44" s="250"/>
      <c r="BN44" s="250"/>
      <c r="BO44" s="250"/>
      <c r="BP44" s="249"/>
      <c r="BQ44" s="251">
        <f>BQ24+BQ41</f>
        <v>-3.4759999999999991</v>
      </c>
      <c r="BR44" s="251">
        <f>BR24+BR41</f>
        <v>-3.4609999999999985</v>
      </c>
      <c r="BS44" s="251">
        <f>BS24+BS41</f>
        <v>-4.2999999999999972</v>
      </c>
      <c r="BT44" s="251">
        <f>BT24+BT41</f>
        <v>-6.5189999999999984</v>
      </c>
      <c r="BU44" s="252">
        <f>SUM(BQ44:BT44)</f>
        <v>-17.755999999999993</v>
      </c>
      <c r="BV44" s="251">
        <f>BV24+BV41</f>
        <v>-9.7119999999999891</v>
      </c>
      <c r="BW44" s="251">
        <f>BW24+BW41</f>
        <v>-8.659000000000006</v>
      </c>
      <c r="BX44" s="251">
        <f>BX24+BX41</f>
        <v>-9.4890000000000043</v>
      </c>
      <c r="BY44" s="251">
        <f>BY24+BY41</f>
        <v>-9.305000000000021</v>
      </c>
      <c r="BZ44" s="252">
        <f>SUM(BV44:BY44)</f>
        <v>-37.16500000000002</v>
      </c>
      <c r="CA44" s="1429">
        <f>CA24+CA41</f>
        <v>-14.460999999999984</v>
      </c>
      <c r="CB44" s="251">
        <f>CB24+CB41</f>
        <v>-15.906999999999996</v>
      </c>
      <c r="CC44" s="251">
        <f>CC24+CC41</f>
        <v>-12.675999999999988</v>
      </c>
      <c r="CD44" s="251">
        <f>CD24+CD41</f>
        <v>-6.113000000000028</v>
      </c>
      <c r="CE44" s="252">
        <f>SUM(CA44:CD44)</f>
        <v>-49.156999999999996</v>
      </c>
      <c r="CF44" s="1429">
        <f>CF24+CF41</f>
        <v>-20.333000000000027</v>
      </c>
      <c r="CG44" s="251">
        <f>CG24+CG41</f>
        <v>-30.761000000000024</v>
      </c>
      <c r="CH44" s="251">
        <f>CH24+CH41</f>
        <v>-31.368000000000023</v>
      </c>
      <c r="CI44" s="251">
        <f>CI24+CI41</f>
        <v>-9.4580000000000553</v>
      </c>
      <c r="CJ44" s="252">
        <f>SUM(CF44:CI44)</f>
        <v>-91.92000000000013</v>
      </c>
      <c r="CK44" s="251">
        <f>CK24+CK41</f>
        <v>-35.790000000000049</v>
      </c>
      <c r="CL44" s="251">
        <f>CL24+CL41</f>
        <v>-39.620000000000005</v>
      </c>
      <c r="CM44" s="251">
        <f>CM24+CM41</f>
        <v>-35.657999999999959</v>
      </c>
      <c r="CN44" s="251">
        <f>CN24+CN41</f>
        <v>-30.078999999999951</v>
      </c>
      <c r="CO44" s="252">
        <f>SUM(CK44:CN44)</f>
        <v>-141.14699999999996</v>
      </c>
      <c r="CP44" s="251">
        <f>CP24+CP41</f>
        <v>-73.233000000000004</v>
      </c>
      <c r="CQ44" s="251">
        <f>CQ24+CQ41</f>
        <v>0.28400000000004866</v>
      </c>
      <c r="CR44" s="251">
        <f>CR24+CR41</f>
        <v>50.561000000000035</v>
      </c>
      <c r="CS44" s="251">
        <f>CS24+CS41</f>
        <v>112.54099999999994</v>
      </c>
      <c r="CT44" s="252">
        <f>SUM(CP44:CS44)</f>
        <v>90.15300000000002</v>
      </c>
      <c r="CU44" s="251">
        <f>CU24+CU41</f>
        <v>118.89899999999989</v>
      </c>
      <c r="CV44" s="251">
        <f>CV24+CV41</f>
        <v>139.44099999999992</v>
      </c>
      <c r="CW44" s="251">
        <f>CW24+CW41</f>
        <v>-4.1009999999999991</v>
      </c>
      <c r="CX44" s="251">
        <f>CX24+CX41</f>
        <v>14.404000000000224</v>
      </c>
      <c r="CY44" s="252">
        <f>SUM(CU44:CX44)</f>
        <v>268.64300000000003</v>
      </c>
      <c r="CZ44" s="1429">
        <f>CZ24+CZ41</f>
        <v>-97.975999999999885</v>
      </c>
      <c r="DA44" s="251">
        <f>DA24+DA41</f>
        <v>-190.20799999999997</v>
      </c>
      <c r="DB44" s="251">
        <f>DB24+DB41</f>
        <v>-345.36599999999999</v>
      </c>
      <c r="DC44" s="251">
        <f>DC24+DC41</f>
        <v>-188.74899999999991</v>
      </c>
      <c r="DD44" s="252">
        <f>SUM(CZ44:DC44)</f>
        <v>-822.29899999999975</v>
      </c>
      <c r="DE44" s="1429">
        <f>DE24+DE41</f>
        <v>-193</v>
      </c>
      <c r="DF44" s="251">
        <f>DF24+DF41</f>
        <v>-1636</v>
      </c>
      <c r="DG44" s="251">
        <f>DG24+DG41</f>
        <v>122</v>
      </c>
      <c r="DH44" s="1429">
        <f>DH24+DH41</f>
        <v>289</v>
      </c>
      <c r="DI44" s="252">
        <f>SUM(DE44:DH44)</f>
        <v>-1418</v>
      </c>
      <c r="DJ44" s="251">
        <f>DJ24+DJ41</f>
        <v>86</v>
      </c>
      <c r="DK44" s="251">
        <f>DK24+DK41</f>
        <v>241</v>
      </c>
      <c r="DL44" s="251">
        <f>DL24+DL41</f>
        <v>283</v>
      </c>
      <c r="DM44" s="251">
        <f>DM24+DM41</f>
        <v>465</v>
      </c>
      <c r="DN44" s="252">
        <f>SUM(DJ44:DM44)</f>
        <v>1075</v>
      </c>
      <c r="DO44" s="251">
        <f>DO24+DO41</f>
        <v>203</v>
      </c>
      <c r="DP44" s="251">
        <f>DP24+DP41</f>
        <v>291</v>
      </c>
      <c r="DQ44" s="251">
        <f>DQ24+DQ41</f>
        <v>343</v>
      </c>
      <c r="DR44" s="1429">
        <f>DR24+DR41</f>
        <v>631</v>
      </c>
      <c r="DS44" s="252">
        <f>SUM(DO44:DR44)</f>
        <v>1468</v>
      </c>
      <c r="DT44" s="251">
        <f>DT24+DT41</f>
        <v>382</v>
      </c>
      <c r="DU44" s="251">
        <f>DU24+DU41</f>
        <v>488</v>
      </c>
      <c r="DV44" s="251">
        <f>DV24+DV41</f>
        <v>550.27088865589462</v>
      </c>
      <c r="DW44" s="251">
        <f>DW24+DW41</f>
        <v>838.64717834372004</v>
      </c>
      <c r="DX44" s="252">
        <f>SUM(DT44:DW44)</f>
        <v>2258.9180669996149</v>
      </c>
      <c r="DY44" s="251">
        <f>DY24+DY41</f>
        <v>532.99793092493792</v>
      </c>
      <c r="DZ44" s="251">
        <f>DZ24+DZ41</f>
        <v>689.30676646782422</v>
      </c>
      <c r="EA44" s="251">
        <f>EA24+EA41</f>
        <v>764.74802566794301</v>
      </c>
      <c r="EB44" s="251">
        <f>EB24+EB41</f>
        <v>1147.2098054847161</v>
      </c>
      <c r="EC44" s="252">
        <f>SUM(DY44:EB44)</f>
        <v>3134.2625285454214</v>
      </c>
      <c r="ED44" s="251">
        <f>ED24+ED41</f>
        <v>666.41231997569389</v>
      </c>
      <c r="EE44" s="251">
        <f>EE24+EE41</f>
        <v>856.01269691701305</v>
      </c>
      <c r="EF44" s="251">
        <f>EF24+EF41</f>
        <v>943.43871607633491</v>
      </c>
      <c r="EG44" s="251">
        <f>EG24+EG41</f>
        <v>1410.4746843591292</v>
      </c>
      <c r="EH44" s="252">
        <f>SUM(ED44:EG44)</f>
        <v>3876.3384173281711</v>
      </c>
      <c r="EI44" s="251">
        <f>EI24+EI41</f>
        <v>818.88749679882881</v>
      </c>
      <c r="EJ44" s="251">
        <f>EJ24+EJ41</f>
        <v>1047.7551899507062</v>
      </c>
      <c r="EK44" s="251">
        <f>EK24+EK41</f>
        <v>1151.2565337767487</v>
      </c>
      <c r="EL44" s="251">
        <f>EL24+EL41</f>
        <v>1716.2117694532353</v>
      </c>
      <c r="EM44" s="252">
        <f>SUM(EI44:EL44)</f>
        <v>4734.1109899795192</v>
      </c>
      <c r="EN44" s="251">
        <f>EN24+EN41</f>
        <v>1000.9671453105689</v>
      </c>
      <c r="EO44" s="251">
        <f>EO24+EO41</f>
        <v>1274.7081982373197</v>
      </c>
      <c r="EP44" s="251">
        <f>EP24+EP41</f>
        <v>1396.8414141773292</v>
      </c>
      <c r="EQ44" s="251">
        <f>EQ24+EQ41</f>
        <v>2073.3012346398391</v>
      </c>
      <c r="ER44" s="252">
        <f>SUM(EN44:EQ44)</f>
        <v>5745.8179923650569</v>
      </c>
      <c r="ES44" s="910">
        <f>+(EC44/DN44)^(0.333333333333333)-1</f>
        <v>0.42859448347779661</v>
      </c>
      <c r="ET44" s="133"/>
    </row>
    <row r="45" spans="1:150" s="19" customFormat="1" ht="12" customHeight="1">
      <c r="A45" s="792"/>
      <c r="B45" s="792"/>
      <c r="C45" s="1388" t="s">
        <v>129</v>
      </c>
      <c r="D45" s="350"/>
      <c r="E45" s="350"/>
      <c r="F45" s="350"/>
      <c r="G45" s="350"/>
      <c r="H45" s="350"/>
      <c r="I45" s="351"/>
      <c r="J45" s="351"/>
      <c r="K45" s="351"/>
      <c r="L45" s="351"/>
      <c r="M45" s="350"/>
      <c r="N45" s="634"/>
      <c r="O45" s="634"/>
      <c r="P45" s="634"/>
      <c r="Q45" s="634"/>
      <c r="R45" s="350"/>
      <c r="S45" s="634"/>
      <c r="T45" s="634"/>
      <c r="U45" s="634"/>
      <c r="V45" s="634"/>
      <c r="W45" s="350"/>
      <c r="X45" s="634"/>
      <c r="Y45" s="634"/>
      <c r="Z45" s="634"/>
      <c r="AA45" s="634"/>
      <c r="AB45" s="350"/>
      <c r="AC45" s="634"/>
      <c r="AD45" s="634"/>
      <c r="AE45" s="634"/>
      <c r="AF45" s="634"/>
      <c r="AG45" s="350"/>
      <c r="AH45" s="634"/>
      <c r="AI45" s="634"/>
      <c r="AJ45" s="634"/>
      <c r="AK45" s="634"/>
      <c r="AL45" s="350"/>
      <c r="AM45" s="634"/>
      <c r="AN45" s="634"/>
      <c r="AO45" s="634"/>
      <c r="AP45" s="634"/>
      <c r="AQ45" s="350"/>
      <c r="AR45" s="634"/>
      <c r="AS45" s="634"/>
      <c r="AT45" s="634"/>
      <c r="AU45" s="634"/>
      <c r="AV45" s="350"/>
      <c r="AW45" s="634"/>
      <c r="AX45" s="634"/>
      <c r="AY45" s="634"/>
      <c r="AZ45" s="634"/>
      <c r="BA45" s="350"/>
      <c r="BB45" s="634"/>
      <c r="BC45" s="634"/>
      <c r="BD45" s="634"/>
      <c r="BE45" s="634"/>
      <c r="BF45" s="350"/>
      <c r="BG45" s="579"/>
      <c r="BH45" s="579"/>
      <c r="BI45" s="579"/>
      <c r="BJ45" s="579"/>
      <c r="BK45" s="350"/>
      <c r="BL45" s="634"/>
      <c r="BM45" s="634"/>
      <c r="BN45" s="634"/>
      <c r="BO45" s="634"/>
      <c r="BP45" s="350"/>
      <c r="BQ45" s="353"/>
      <c r="BR45" s="353"/>
      <c r="BS45" s="353"/>
      <c r="BT45" s="353"/>
      <c r="BU45" s="352"/>
      <c r="BV45" s="353" t="str">
        <f t="shared" ref="BV45:DA45" si="232">+IF(BQ44&lt;=0,"nm",BV44/BQ44-1)</f>
        <v>nm</v>
      </c>
      <c r="BW45" s="353" t="str">
        <f t="shared" si="232"/>
        <v>nm</v>
      </c>
      <c r="BX45" s="353" t="str">
        <f t="shared" si="232"/>
        <v>nm</v>
      </c>
      <c r="BY45" s="353" t="str">
        <f t="shared" si="232"/>
        <v>nm</v>
      </c>
      <c r="BZ45" s="352" t="str">
        <f t="shared" si="232"/>
        <v>nm</v>
      </c>
      <c r="CA45" s="353" t="str">
        <f t="shared" si="232"/>
        <v>nm</v>
      </c>
      <c r="CB45" s="353" t="str">
        <f t="shared" si="232"/>
        <v>nm</v>
      </c>
      <c r="CC45" s="353" t="str">
        <f t="shared" si="232"/>
        <v>nm</v>
      </c>
      <c r="CD45" s="353" t="str">
        <f t="shared" si="232"/>
        <v>nm</v>
      </c>
      <c r="CE45" s="352" t="str">
        <f t="shared" si="232"/>
        <v>nm</v>
      </c>
      <c r="CF45" s="353" t="str">
        <f t="shared" si="232"/>
        <v>nm</v>
      </c>
      <c r="CG45" s="353" t="str">
        <f t="shared" si="232"/>
        <v>nm</v>
      </c>
      <c r="CH45" s="353" t="str">
        <f t="shared" si="232"/>
        <v>nm</v>
      </c>
      <c r="CI45" s="353" t="str">
        <f t="shared" si="232"/>
        <v>nm</v>
      </c>
      <c r="CJ45" s="352" t="str">
        <f t="shared" si="232"/>
        <v>nm</v>
      </c>
      <c r="CK45" s="353" t="str">
        <f t="shared" si="232"/>
        <v>nm</v>
      </c>
      <c r="CL45" s="353" t="str">
        <f t="shared" si="232"/>
        <v>nm</v>
      </c>
      <c r="CM45" s="353" t="str">
        <f t="shared" si="232"/>
        <v>nm</v>
      </c>
      <c r="CN45" s="353" t="str">
        <f t="shared" si="232"/>
        <v>nm</v>
      </c>
      <c r="CO45" s="352" t="str">
        <f t="shared" si="232"/>
        <v>nm</v>
      </c>
      <c r="CP45" s="353" t="str">
        <f t="shared" si="232"/>
        <v>nm</v>
      </c>
      <c r="CQ45" s="353" t="str">
        <f t="shared" si="232"/>
        <v>nm</v>
      </c>
      <c r="CR45" s="353" t="str">
        <f t="shared" si="232"/>
        <v>nm</v>
      </c>
      <c r="CS45" s="353" t="str">
        <f t="shared" si="232"/>
        <v>nm</v>
      </c>
      <c r="CT45" s="352" t="str">
        <f t="shared" si="232"/>
        <v>nm</v>
      </c>
      <c r="CU45" s="353" t="str">
        <f t="shared" si="232"/>
        <v>nm</v>
      </c>
      <c r="CV45" s="353" t="s">
        <v>572</v>
      </c>
      <c r="CW45" s="353">
        <f t="shared" si="232"/>
        <v>-1.0811099464013765</v>
      </c>
      <c r="CX45" s="354">
        <f t="shared" si="232"/>
        <v>-0.87201108929190041</v>
      </c>
      <c r="CY45" s="352">
        <f t="shared" si="232"/>
        <v>1.9798564662296316</v>
      </c>
      <c r="CZ45" s="353">
        <f t="shared" si="232"/>
        <v>-1.8240271154509289</v>
      </c>
      <c r="DA45" s="353">
        <f t="shared" si="232"/>
        <v>-2.3640751285489925</v>
      </c>
      <c r="DB45" s="353" t="str">
        <f t="shared" ref="DB45:EC45" si="233">+IF(CW44&lt;=0,"nm",DB44/CW44-1)</f>
        <v>nm</v>
      </c>
      <c r="DC45" s="353">
        <f t="shared" si="233"/>
        <v>-14.103929464037558</v>
      </c>
      <c r="DD45" s="352">
        <f t="shared" si="233"/>
        <v>-4.0609358888934377</v>
      </c>
      <c r="DE45" s="353" t="str">
        <f t="shared" si="233"/>
        <v>nm</v>
      </c>
      <c r="DF45" s="353" t="str">
        <f t="shared" si="233"/>
        <v>nm</v>
      </c>
      <c r="DG45" s="353" t="str">
        <f t="shared" si="233"/>
        <v>nm</v>
      </c>
      <c r="DH45" s="353" t="str">
        <f t="shared" si="233"/>
        <v>nm</v>
      </c>
      <c r="DI45" s="352" t="str">
        <f t="shared" si="233"/>
        <v>nm</v>
      </c>
      <c r="DJ45" s="353" t="str">
        <f t="shared" si="233"/>
        <v>nm</v>
      </c>
      <c r="DK45" s="353" t="str">
        <f t="shared" si="233"/>
        <v>nm</v>
      </c>
      <c r="DL45" s="353">
        <f t="shared" si="233"/>
        <v>1.319672131147541</v>
      </c>
      <c r="DM45" s="353">
        <f t="shared" si="233"/>
        <v>0.60899653979238755</v>
      </c>
      <c r="DN45" s="352" t="str">
        <f t="shared" si="233"/>
        <v>nm</v>
      </c>
      <c r="DO45" s="353">
        <f>+IF(DJ44&lt;=0,"nm",DO44/DJ44-1)</f>
        <v>1.36046511627907</v>
      </c>
      <c r="DP45" s="353">
        <f t="shared" si="233"/>
        <v>0.20746887966804972</v>
      </c>
      <c r="DQ45" s="353">
        <f t="shared" si="233"/>
        <v>0.21201413427561833</v>
      </c>
      <c r="DR45" s="354">
        <f>+IF(DM44&lt;=0,"nm",DR44/DM44-1)</f>
        <v>0.35698924731182791</v>
      </c>
      <c r="DS45" s="352">
        <f t="shared" si="233"/>
        <v>0.36558139534883716</v>
      </c>
      <c r="DT45" s="353">
        <f>+IF(DO44&lt;=0,"nm",DT44/DO44-1)</f>
        <v>0.88177339901477825</v>
      </c>
      <c r="DU45" s="353">
        <f t="shared" si="233"/>
        <v>0.67697594501718217</v>
      </c>
      <c r="DV45" s="353">
        <f t="shared" si="233"/>
        <v>0.60428830511922627</v>
      </c>
      <c r="DW45" s="353">
        <f t="shared" si="233"/>
        <v>0.32907635236722665</v>
      </c>
      <c r="DX45" s="352">
        <f t="shared" si="233"/>
        <v>0.53877252520409735</v>
      </c>
      <c r="DY45" s="353">
        <f t="shared" si="233"/>
        <v>0.39528254168831922</v>
      </c>
      <c r="DZ45" s="353">
        <f t="shared" si="233"/>
        <v>0.4125138657127545</v>
      </c>
      <c r="EA45" s="353">
        <f t="shared" si="233"/>
        <v>0.38976646127134873</v>
      </c>
      <c r="EB45" s="353">
        <f t="shared" si="233"/>
        <v>0.36792901128027333</v>
      </c>
      <c r="EC45" s="352">
        <f t="shared" si="233"/>
        <v>0.38750606953552502</v>
      </c>
      <c r="ED45" s="353">
        <f t="shared" ref="ED45" si="234">+IF(DY44&lt;=0,"nm",ED44/DY44-1)</f>
        <v>0.25030939392060181</v>
      </c>
      <c r="EE45" s="353">
        <f t="shared" ref="EE45" si="235">+IF(DZ44&lt;=0,"nm",EE44/DZ44-1)</f>
        <v>0.24184577688600184</v>
      </c>
      <c r="EF45" s="353">
        <f t="shared" ref="EF45" si="236">+IF(EA44&lt;=0,"nm",EF44/EA44-1)</f>
        <v>0.23365956421047396</v>
      </c>
      <c r="EG45" s="353">
        <f t="shared" ref="EG45" si="237">+IF(EB44&lt;=0,"nm",EG44/EB44-1)</f>
        <v>0.22948276558983838</v>
      </c>
      <c r="EH45" s="352">
        <f t="shared" ref="EH45" si="238">+IF(EC44&lt;=0,"nm",EH44/EC44-1)</f>
        <v>0.23676251814398563</v>
      </c>
      <c r="EI45" s="353">
        <f t="shared" ref="EI45" si="239">+IF(ED44&lt;=0,"nm",EI44/ED44-1)</f>
        <v>0.22880005704080641</v>
      </c>
      <c r="EJ45" s="353">
        <f t="shared" ref="EJ45" si="240">+IF(EE44&lt;=0,"nm",EJ44/EE44-1)</f>
        <v>0.223994917043014</v>
      </c>
      <c r="EK45" s="353">
        <f t="shared" ref="EK45" si="241">+IF(EF44&lt;=0,"nm",EK44/EF44-1)</f>
        <v>0.22027696569916788</v>
      </c>
      <c r="EL45" s="353">
        <f t="shared" ref="EL45" si="242">+IF(EG44&lt;=0,"nm",EL44/EG44-1)</f>
        <v>0.21676183804250448</v>
      </c>
      <c r="EM45" s="352">
        <f t="shared" ref="EM45" si="243">+IF(EH44&lt;=0,"nm",EM44/EH44-1)</f>
        <v>0.22128423277412956</v>
      </c>
      <c r="EN45" s="353">
        <f t="shared" ref="EN45" si="244">+IF(EI44&lt;=0,"nm",EN44/EI44-1)</f>
        <v>0.22235001660609122</v>
      </c>
      <c r="EO45" s="353">
        <f t="shared" ref="EO45" si="245">+IF(EJ44&lt;=0,"nm",EO44/EJ44-1)</f>
        <v>0.21660881326418546</v>
      </c>
      <c r="EP45" s="353">
        <f t="shared" ref="EP45" si="246">+IF(EK44&lt;=0,"nm",EP44/EK44-1)</f>
        <v>0.21331898946530026</v>
      </c>
      <c r="EQ45" s="353">
        <f t="shared" ref="EQ45" si="247">+IF(EL44&lt;=0,"nm",EQ44/EL44-1)</f>
        <v>0.20806841646376095</v>
      </c>
      <c r="ER45" s="352">
        <f t="shared" ref="ER45" si="248">+IF(EM44&lt;=0,"nm",ER44/EM44-1)</f>
        <v>0.21370580548850082</v>
      </c>
      <c r="ES45" s="244"/>
      <c r="ET45" s="133"/>
    </row>
    <row r="46" spans="1:150" s="99" customFormat="1" ht="12" customHeight="1">
      <c r="A46" s="792" t="s">
        <v>400</v>
      </c>
      <c r="B46" s="792"/>
      <c r="C46" s="1388" t="s">
        <v>58</v>
      </c>
      <c r="D46" s="635"/>
      <c r="E46" s="635"/>
      <c r="F46" s="635"/>
      <c r="G46" s="635"/>
      <c r="H46" s="635"/>
      <c r="I46" s="634"/>
      <c r="J46" s="634"/>
      <c r="K46" s="634"/>
      <c r="L46" s="634"/>
      <c r="M46" s="635"/>
      <c r="N46" s="634"/>
      <c r="O46" s="634"/>
      <c r="P46" s="634"/>
      <c r="Q46" s="634"/>
      <c r="R46" s="635"/>
      <c r="S46" s="634"/>
      <c r="T46" s="634"/>
      <c r="U46" s="634"/>
      <c r="V46" s="634"/>
      <c r="W46" s="635"/>
      <c r="X46" s="634"/>
      <c r="Y46" s="634"/>
      <c r="Z46" s="634"/>
      <c r="AA46" s="634"/>
      <c r="AB46" s="635"/>
      <c r="AC46" s="634"/>
      <c r="AD46" s="634"/>
      <c r="AE46" s="634"/>
      <c r="AF46" s="634"/>
      <c r="AG46" s="635"/>
      <c r="AH46" s="634"/>
      <c r="AI46" s="634"/>
      <c r="AJ46" s="634"/>
      <c r="AK46" s="634"/>
      <c r="AL46" s="635"/>
      <c r="AM46" s="634"/>
      <c r="AN46" s="634"/>
      <c r="AO46" s="634"/>
      <c r="AP46" s="634"/>
      <c r="AQ46" s="635"/>
      <c r="AR46" s="634"/>
      <c r="AS46" s="634"/>
      <c r="AT46" s="634"/>
      <c r="AU46" s="634"/>
      <c r="AV46" s="635"/>
      <c r="AW46" s="634"/>
      <c r="AX46" s="634"/>
      <c r="AY46" s="634"/>
      <c r="AZ46" s="634"/>
      <c r="BA46" s="635"/>
      <c r="BB46" s="634"/>
      <c r="BC46" s="634"/>
      <c r="BD46" s="634"/>
      <c r="BE46" s="634"/>
      <c r="BF46" s="635"/>
      <c r="BG46" s="634"/>
      <c r="BH46" s="634"/>
      <c r="BI46" s="634"/>
      <c r="BJ46" s="634"/>
      <c r="BK46" s="635"/>
      <c r="BL46" s="634"/>
      <c r="BM46" s="634"/>
      <c r="BN46" s="634"/>
      <c r="BO46" s="634"/>
      <c r="BP46" s="635"/>
      <c r="BQ46" s="353">
        <f t="shared" ref="BQ46:CV46" si="249">BQ44/BQ10</f>
        <v>-9.3070579415229712E-2</v>
      </c>
      <c r="BR46" s="353">
        <f t="shared" si="249"/>
        <v>-7.7037795485910124E-2</v>
      </c>
      <c r="BS46" s="353">
        <f t="shared" si="249"/>
        <v>-8.1460993445231639E-2</v>
      </c>
      <c r="BT46" s="353">
        <f t="shared" si="249"/>
        <v>-9.2898978239493793E-2</v>
      </c>
      <c r="BU46" s="352">
        <f t="shared" si="249"/>
        <v>-8.6516300984734382E-2</v>
      </c>
      <c r="BV46" s="353">
        <f t="shared" si="249"/>
        <v>-0.13354968235197034</v>
      </c>
      <c r="BW46" s="353">
        <f t="shared" si="249"/>
        <v>-9.9934215841287144E-2</v>
      </c>
      <c r="BX46" s="353">
        <f t="shared" si="249"/>
        <v>-9.5292132800417803E-2</v>
      </c>
      <c r="BY46" s="353">
        <f t="shared" si="249"/>
        <v>-7.1366665899695689E-2</v>
      </c>
      <c r="BZ46" s="352">
        <f t="shared" si="249"/>
        <v>-9.5458865230010584E-2</v>
      </c>
      <c r="CA46" s="353">
        <f t="shared" si="249"/>
        <v>-0.11352734752196189</v>
      </c>
      <c r="CB46" s="353">
        <f t="shared" si="249"/>
        <v>-0.10488938709571063</v>
      </c>
      <c r="CC46" s="353">
        <f t="shared" si="249"/>
        <v>-7.393150429264643E-2</v>
      </c>
      <c r="CD46" s="353">
        <f t="shared" si="249"/>
        <v>-2.7435439424811851E-2</v>
      </c>
      <c r="CE46" s="352">
        <f t="shared" si="249"/>
        <v>-7.3008626118365547E-2</v>
      </c>
      <c r="CF46" s="353">
        <f t="shared" si="249"/>
        <v>-9.486330129700489E-2</v>
      </c>
      <c r="CG46" s="353">
        <f t="shared" si="249"/>
        <v>-0.1255740662875619</v>
      </c>
      <c r="CH46" s="353">
        <f t="shared" si="249"/>
        <v>-0.11615024586764629</v>
      </c>
      <c r="CI46" s="353">
        <f t="shared" si="249"/>
        <v>-2.7505220117372831E-2</v>
      </c>
      <c r="CJ46" s="352">
        <f t="shared" si="249"/>
        <v>-8.5648076971457293E-2</v>
      </c>
      <c r="CK46" s="353">
        <f t="shared" si="249"/>
        <v>-0.11167553871980346</v>
      </c>
      <c r="CL46" s="353">
        <f t="shared" si="249"/>
        <v>-0.10945386334566372</v>
      </c>
      <c r="CM46" s="353">
        <f t="shared" si="249"/>
        <v>-9.1301542432249624E-2</v>
      </c>
      <c r="CN46" s="353">
        <f t="shared" si="249"/>
        <v>-5.954351096682229E-2</v>
      </c>
      <c r="CO46" s="352">
        <f t="shared" si="249"/>
        <v>-8.9436962867822448E-2</v>
      </c>
      <c r="CP46" s="353">
        <f t="shared" si="249"/>
        <v>-0.15581456209667641</v>
      </c>
      <c r="CQ46" s="353">
        <f t="shared" si="249"/>
        <v>3.9756922814180993E-4</v>
      </c>
      <c r="CR46" s="353">
        <f t="shared" si="249"/>
        <v>6.5885679660674656E-2</v>
      </c>
      <c r="CS46" s="353">
        <f t="shared" si="249"/>
        <v>0.11510272627599857</v>
      </c>
      <c r="CT46" s="352">
        <f t="shared" si="249"/>
        <v>3.0774288093050984E-2</v>
      </c>
      <c r="CU46" s="353">
        <f t="shared" si="249"/>
        <v>0.12026436129376804</v>
      </c>
      <c r="CV46" s="353">
        <f t="shared" si="249"/>
        <v>0.12456261808306789</v>
      </c>
      <c r="CW46" s="353">
        <f t="shared" ref="CW46:EC46" si="250">CW44/CW10</f>
        <v>-3.6494206844999723E-3</v>
      </c>
      <c r="CX46" s="354">
        <f t="shared" si="250"/>
        <v>1.0437499637687623E-2</v>
      </c>
      <c r="CY46" s="352">
        <f t="shared" si="250"/>
        <v>5.825051779587221E-2</v>
      </c>
      <c r="CZ46" s="353">
        <f t="shared" si="250"/>
        <v>-8.1400903771363525E-2</v>
      </c>
      <c r="DA46" s="353">
        <f t="shared" si="250"/>
        <v>-0.14687161937295712</v>
      </c>
      <c r="DB46" s="353">
        <f t="shared" si="250"/>
        <v>-0.2527931488801054</v>
      </c>
      <c r="DC46" s="353">
        <f t="shared" si="250"/>
        <v>-0.10879042846652805</v>
      </c>
      <c r="DD46" s="352">
        <f t="shared" si="250"/>
        <v>-0.14684267332206632</v>
      </c>
      <c r="DE46" s="353">
        <f t="shared" si="250"/>
        <v>-0.12798408488063662</v>
      </c>
      <c r="DF46" s="353">
        <f t="shared" si="250"/>
        <v>-0.96576151121605669</v>
      </c>
      <c r="DG46" s="353">
        <f t="shared" si="250"/>
        <v>7.1178529754959155E-2</v>
      </c>
      <c r="DH46" s="353">
        <f t="shared" si="250"/>
        <v>0.13479477611940299</v>
      </c>
      <c r="DI46" s="352">
        <f t="shared" si="250"/>
        <v>-0.2008498583569405</v>
      </c>
      <c r="DJ46" s="353">
        <f t="shared" si="250"/>
        <v>4.6211714132186998E-2</v>
      </c>
      <c r="DK46" s="353">
        <f t="shared" si="250"/>
        <v>0.11784841075794621</v>
      </c>
      <c r="DL46" s="353">
        <f t="shared" si="250"/>
        <v>0.13089731729879742</v>
      </c>
      <c r="DM46" s="353">
        <f t="shared" si="250"/>
        <v>0.16536273115220484</v>
      </c>
      <c r="DN46" s="352">
        <f t="shared" si="250"/>
        <v>0.12105855855855856</v>
      </c>
      <c r="DO46" s="353">
        <f t="shared" si="250"/>
        <v>8.6016949152542377E-2</v>
      </c>
      <c r="DP46" s="353">
        <f t="shared" si="250"/>
        <v>0.1085820895522388</v>
      </c>
      <c r="DQ46" s="353">
        <f t="shared" ref="DQ46" si="251">DQ44/DQ10</f>
        <v>0.12060478199718706</v>
      </c>
      <c r="DR46" s="354">
        <f>DR44/DR10</f>
        <v>0.17184095860566448</v>
      </c>
      <c r="DS46" s="352">
        <f t="shared" si="250"/>
        <v>0.12703357563170647</v>
      </c>
      <c r="DT46" s="353">
        <f t="shared" ref="DT46:DU46" si="252">DT44/DT10</f>
        <v>0.12050473186119874</v>
      </c>
      <c r="DU46" s="353">
        <f t="shared" si="252"/>
        <v>0.13619871615964277</v>
      </c>
      <c r="DV46" s="353">
        <f t="shared" si="250"/>
        <v>0.14836404073192783</v>
      </c>
      <c r="DW46" s="353">
        <f t="shared" si="250"/>
        <v>0.17656614957756625</v>
      </c>
      <c r="DX46" s="352">
        <f t="shared" si="250"/>
        <v>0.14849886710252083</v>
      </c>
      <c r="DY46" s="353">
        <f t="shared" si="250"/>
        <v>0.13208968363093007</v>
      </c>
      <c r="DZ46" s="353">
        <f t="shared" si="250"/>
        <v>0.15177134396742556</v>
      </c>
      <c r="EA46" s="353">
        <f t="shared" si="250"/>
        <v>0.16475687703618888</v>
      </c>
      <c r="EB46" s="353">
        <f t="shared" si="250"/>
        <v>0.19392508653975532</v>
      </c>
      <c r="EC46" s="352">
        <f t="shared" si="250"/>
        <v>0.16380352925775257</v>
      </c>
      <c r="ED46" s="353">
        <f t="shared" ref="ED46:EH46" si="253">ED44/ED10</f>
        <v>0.13664092887888094</v>
      </c>
      <c r="EE46" s="353">
        <f t="shared" si="253"/>
        <v>0.15606292557709064</v>
      </c>
      <c r="EF46" s="353">
        <f t="shared" si="253"/>
        <v>0.16851018785146019</v>
      </c>
      <c r="EG46" s="353">
        <f t="shared" si="253"/>
        <v>0.19764364962633929</v>
      </c>
      <c r="EH46" s="352">
        <f t="shared" si="253"/>
        <v>0.16782638511820086</v>
      </c>
      <c r="EI46" s="353">
        <f t="shared" ref="EI46:ER46" si="254">EI44/EI10</f>
        <v>0.1416795962440168</v>
      </c>
      <c r="EJ46" s="353">
        <f t="shared" si="254"/>
        <v>0.16115944892214246</v>
      </c>
      <c r="EK46" s="353">
        <f t="shared" si="254"/>
        <v>0.17349480985921054</v>
      </c>
      <c r="EL46" s="353">
        <f t="shared" si="254"/>
        <v>0.20279976621471008</v>
      </c>
      <c r="EM46" s="352">
        <f t="shared" si="254"/>
        <v>0.17290721651816632</v>
      </c>
      <c r="EN46" s="353">
        <f t="shared" si="254"/>
        <v>0.14762561978269251</v>
      </c>
      <c r="EO46" s="353">
        <f t="shared" si="254"/>
        <v>0.16713102649249395</v>
      </c>
      <c r="EP46" s="353">
        <f t="shared" si="254"/>
        <v>0.17942552188822536</v>
      </c>
      <c r="EQ46" s="353">
        <f t="shared" si="254"/>
        <v>0.20880651293484823</v>
      </c>
      <c r="ER46" s="352">
        <f t="shared" si="254"/>
        <v>0.17887589399729636</v>
      </c>
      <c r="ES46" s="1485"/>
      <c r="ET46" s="133"/>
    </row>
    <row r="47" spans="1:150" s="203" customFormat="1" ht="12" customHeight="1">
      <c r="A47" s="931"/>
      <c r="B47" s="484"/>
      <c r="C47" s="600" t="s">
        <v>777</v>
      </c>
      <c r="D47" s="566"/>
      <c r="E47" s="566"/>
      <c r="F47" s="566"/>
      <c r="G47" s="566"/>
      <c r="H47" s="566"/>
      <c r="I47" s="566"/>
      <c r="J47" s="566"/>
      <c r="K47" s="566"/>
      <c r="L47" s="566"/>
      <c r="M47" s="571"/>
      <c r="N47" s="568"/>
      <c r="O47" s="568"/>
      <c r="P47" s="568"/>
      <c r="Q47" s="568"/>
      <c r="R47" s="571"/>
      <c r="S47" s="566"/>
      <c r="T47" s="566"/>
      <c r="U47" s="566"/>
      <c r="V47" s="566"/>
      <c r="W47" s="571"/>
      <c r="X47" s="569"/>
      <c r="Y47" s="569"/>
      <c r="Z47" s="569"/>
      <c r="AA47" s="569"/>
      <c r="AB47" s="571"/>
      <c r="AC47" s="569"/>
      <c r="AD47" s="569"/>
      <c r="AE47" s="569"/>
      <c r="AF47" s="569"/>
      <c r="AG47" s="571"/>
      <c r="AH47" s="570"/>
      <c r="AI47" s="571"/>
      <c r="AJ47" s="571"/>
      <c r="AK47" s="571"/>
      <c r="AL47" s="571"/>
      <c r="AM47" s="571"/>
      <c r="AN47" s="571"/>
      <c r="AO47" s="571"/>
      <c r="AP47" s="571"/>
      <c r="AQ47" s="571"/>
      <c r="AR47" s="571"/>
      <c r="AS47" s="571"/>
      <c r="AT47" s="571"/>
      <c r="AU47" s="571"/>
      <c r="AV47" s="571"/>
      <c r="AW47" s="359"/>
      <c r="AX47" s="359"/>
      <c r="AY47" s="359"/>
      <c r="AZ47" s="359"/>
      <c r="BA47" s="359"/>
      <c r="BB47" s="359"/>
      <c r="BC47" s="359"/>
      <c r="BD47" s="359"/>
      <c r="BE47" s="359"/>
      <c r="BF47" s="359"/>
      <c r="BG47" s="359"/>
      <c r="BH47" s="359"/>
      <c r="BI47" s="359"/>
      <c r="BJ47" s="359"/>
      <c r="BK47" s="359"/>
      <c r="BL47" s="244"/>
      <c r="BM47" s="244"/>
      <c r="BN47" s="244"/>
      <c r="BO47" s="244"/>
      <c r="BP47" s="244"/>
      <c r="BQ47" s="244"/>
      <c r="BR47" s="244"/>
      <c r="BS47" s="244"/>
      <c r="BT47" s="1080"/>
      <c r="BU47" s="1066"/>
      <c r="BV47" s="1080"/>
      <c r="BW47" s="1080"/>
      <c r="BX47" s="1080"/>
      <c r="BY47" s="1080"/>
      <c r="BZ47" s="1066"/>
      <c r="CA47" s="1080"/>
      <c r="CB47" s="1080"/>
      <c r="CC47" s="1080"/>
      <c r="CD47" s="1080"/>
      <c r="CE47" s="1066"/>
      <c r="CF47" s="1080"/>
      <c r="CG47" s="1080"/>
      <c r="CH47" s="1080"/>
      <c r="CI47" s="1080"/>
      <c r="CJ47" s="1066"/>
      <c r="CK47" s="1080"/>
      <c r="CL47" s="1080"/>
      <c r="CM47" s="1080"/>
      <c r="CN47" s="1080"/>
      <c r="CO47" s="1066"/>
      <c r="CP47" s="1080"/>
      <c r="CQ47" s="1080"/>
      <c r="CR47" s="1080"/>
      <c r="CS47" s="1080"/>
      <c r="CT47" s="1066"/>
      <c r="CU47" s="1080"/>
      <c r="CV47" s="1080"/>
      <c r="CW47" s="1080"/>
      <c r="CX47" s="1080"/>
      <c r="CY47" s="1066"/>
      <c r="CZ47" s="1080"/>
      <c r="DA47" s="1080"/>
      <c r="DB47" s="1080"/>
      <c r="DC47" s="1080"/>
      <c r="DD47" s="1066"/>
      <c r="DE47" s="1426">
        <v>16</v>
      </c>
      <c r="DF47" s="1426">
        <v>17</v>
      </c>
      <c r="DG47" s="1426">
        <v>7</v>
      </c>
      <c r="DH47" s="1426">
        <v>13</v>
      </c>
      <c r="DI47" s="1066"/>
      <c r="DJ47" s="1426">
        <v>7</v>
      </c>
      <c r="DK47" s="1426">
        <v>6</v>
      </c>
      <c r="DL47" s="1426">
        <v>2</v>
      </c>
      <c r="DM47" s="1426">
        <v>-22</v>
      </c>
      <c r="DN47" s="1066"/>
      <c r="DO47" s="1426">
        <v>4</v>
      </c>
      <c r="DP47" s="1426">
        <v>8</v>
      </c>
      <c r="DQ47" s="1426">
        <v>11</v>
      </c>
      <c r="DR47" s="1525">
        <v>13</v>
      </c>
      <c r="DS47" s="1066"/>
      <c r="DT47" s="1426">
        <v>11</v>
      </c>
      <c r="DU47" s="1426">
        <v>11</v>
      </c>
      <c r="DV47" s="1080"/>
      <c r="DW47" s="1080"/>
      <c r="DX47" s="1066"/>
      <c r="DY47" s="1080"/>
      <c r="DZ47" s="1080"/>
      <c r="EA47" s="1080"/>
      <c r="EB47" s="1080"/>
      <c r="EC47" s="1066"/>
      <c r="ED47" s="1080"/>
      <c r="EE47" s="1080"/>
      <c r="EF47" s="1080"/>
      <c r="EG47" s="1080"/>
      <c r="EH47" s="1066"/>
      <c r="EI47" s="1080"/>
      <c r="EJ47" s="1080"/>
      <c r="EK47" s="1080"/>
      <c r="EL47" s="1080"/>
      <c r="EM47" s="1066"/>
      <c r="EN47" s="1080"/>
      <c r="EO47" s="1080"/>
      <c r="EP47" s="1080"/>
      <c r="EQ47" s="1080"/>
      <c r="ER47" s="1066"/>
      <c r="ES47" s="484"/>
    </row>
    <row r="48" spans="1:150" s="203" customFormat="1" ht="12" customHeight="1">
      <c r="A48" s="931"/>
      <c r="B48" s="484"/>
      <c r="C48" s="600" t="s">
        <v>778</v>
      </c>
      <c r="D48" s="566"/>
      <c r="E48" s="566"/>
      <c r="F48" s="566"/>
      <c r="G48" s="566"/>
      <c r="H48" s="566"/>
      <c r="I48" s="566"/>
      <c r="J48" s="566"/>
      <c r="K48" s="566"/>
      <c r="L48" s="566"/>
      <c r="M48" s="571"/>
      <c r="N48" s="568"/>
      <c r="O48" s="568"/>
      <c r="P48" s="568"/>
      <c r="Q48" s="568"/>
      <c r="R48" s="571"/>
      <c r="S48" s="566"/>
      <c r="T48" s="566"/>
      <c r="U48" s="566"/>
      <c r="V48" s="566"/>
      <c r="W48" s="571"/>
      <c r="X48" s="569"/>
      <c r="Y48" s="569"/>
      <c r="Z48" s="569"/>
      <c r="AA48" s="569"/>
      <c r="AB48" s="571"/>
      <c r="AC48" s="569"/>
      <c r="AD48" s="569"/>
      <c r="AE48" s="569"/>
      <c r="AF48" s="569"/>
      <c r="AG48" s="571"/>
      <c r="AH48" s="570"/>
      <c r="AI48" s="571"/>
      <c r="AJ48" s="571"/>
      <c r="AK48" s="571"/>
      <c r="AL48" s="571"/>
      <c r="AM48" s="571"/>
      <c r="AN48" s="571"/>
      <c r="AO48" s="571"/>
      <c r="AP48" s="571"/>
      <c r="AQ48" s="571"/>
      <c r="AR48" s="571"/>
      <c r="AS48" s="571"/>
      <c r="AT48" s="571"/>
      <c r="AU48" s="571"/>
      <c r="AV48" s="571"/>
      <c r="AW48" s="359"/>
      <c r="AX48" s="359"/>
      <c r="AY48" s="359"/>
      <c r="AZ48" s="359"/>
      <c r="BA48" s="359"/>
      <c r="BB48" s="359"/>
      <c r="BC48" s="359"/>
      <c r="BD48" s="359"/>
      <c r="BE48" s="359"/>
      <c r="BF48" s="359"/>
      <c r="BG48" s="359"/>
      <c r="BH48" s="359"/>
      <c r="BI48" s="359"/>
      <c r="BJ48" s="359"/>
      <c r="BK48" s="359"/>
      <c r="BL48" s="244"/>
      <c r="BM48" s="244"/>
      <c r="BN48" s="244"/>
      <c r="BO48" s="244"/>
      <c r="BP48" s="244"/>
      <c r="BQ48" s="244"/>
      <c r="BR48" s="244"/>
      <c r="BS48" s="244"/>
      <c r="BT48" s="1080"/>
      <c r="BU48" s="1066"/>
      <c r="BV48" s="1080"/>
      <c r="BW48" s="1080"/>
      <c r="BX48" s="1080"/>
      <c r="BY48" s="1080"/>
      <c r="BZ48" s="1066"/>
      <c r="CA48" s="1080"/>
      <c r="CB48" s="1080"/>
      <c r="CC48" s="1080"/>
      <c r="CD48" s="1080"/>
      <c r="CE48" s="1066"/>
      <c r="CF48" s="1080"/>
      <c r="CG48" s="1080"/>
      <c r="CH48" s="1080"/>
      <c r="CI48" s="1080"/>
      <c r="CJ48" s="1066"/>
      <c r="CK48" s="1080"/>
      <c r="CL48" s="1080"/>
      <c r="CM48" s="1080"/>
      <c r="CN48" s="1080"/>
      <c r="CO48" s="1066"/>
      <c r="CP48" s="1080"/>
      <c r="CQ48" s="1080"/>
      <c r="CR48" s="1080"/>
      <c r="CS48" s="1080"/>
      <c r="CT48" s="1066"/>
      <c r="CU48" s="1080"/>
      <c r="CV48" s="1080"/>
      <c r="CW48" s="1080"/>
      <c r="CX48" s="1080"/>
      <c r="CY48" s="1066"/>
      <c r="CZ48" s="1080"/>
      <c r="DA48" s="1080"/>
      <c r="DB48" s="1080"/>
      <c r="DC48" s="1080"/>
      <c r="DD48" s="1066"/>
      <c r="DE48" s="1080">
        <f>+DE44-DE47</f>
        <v>-209</v>
      </c>
      <c r="DF48" s="1080">
        <f>+DF44-DF47</f>
        <v>-1653</v>
      </c>
      <c r="DG48" s="1080">
        <f>+DG44-DG47</f>
        <v>115</v>
      </c>
      <c r="DH48" s="1080">
        <f>+DH44-DH47</f>
        <v>276</v>
      </c>
      <c r="DI48" s="1066"/>
      <c r="DJ48" s="1080">
        <f>+DJ44-DJ47</f>
        <v>79</v>
      </c>
      <c r="DK48" s="1080">
        <f>+DK44-DK47</f>
        <v>235</v>
      </c>
      <c r="DL48" s="1080">
        <f>+DL44-DL47</f>
        <v>281</v>
      </c>
      <c r="DM48" s="1080">
        <f>+DM44-DM47</f>
        <v>487</v>
      </c>
      <c r="DN48" s="1066"/>
      <c r="DO48" s="1080">
        <f>+DO44-DO47</f>
        <v>199</v>
      </c>
      <c r="DP48" s="1080">
        <f>+DP44-DP47</f>
        <v>283</v>
      </c>
      <c r="DQ48" s="1080">
        <f>+DQ44-DQ47</f>
        <v>332</v>
      </c>
      <c r="DR48" s="1080">
        <f>+DR44-DR47</f>
        <v>618</v>
      </c>
      <c r="DS48" s="1066"/>
      <c r="DT48" s="1080">
        <f>+DT44-DT47</f>
        <v>371</v>
      </c>
      <c r="DU48" s="1080">
        <f>+DU44-DU47</f>
        <v>477</v>
      </c>
      <c r="DV48" s="1080"/>
      <c r="DW48" s="1080"/>
      <c r="DX48" s="1066"/>
      <c r="DY48" s="1080"/>
      <c r="DZ48" s="1080"/>
      <c r="EA48" s="1080"/>
      <c r="EB48" s="1080"/>
      <c r="EC48" s="1066"/>
      <c r="ED48" s="1080"/>
      <c r="EE48" s="1080"/>
      <c r="EF48" s="1080"/>
      <c r="EG48" s="1080"/>
      <c r="EH48" s="1066"/>
      <c r="EI48" s="1080"/>
      <c r="EJ48" s="1080"/>
      <c r="EK48" s="1080"/>
      <c r="EL48" s="1080"/>
      <c r="EM48" s="1066"/>
      <c r="EN48" s="1080"/>
      <c r="EO48" s="1080"/>
      <c r="EP48" s="1080"/>
      <c r="EQ48" s="1080"/>
      <c r="ER48" s="1066"/>
      <c r="ES48" s="484"/>
    </row>
    <row r="49" spans="1:157" s="203" customFormat="1" ht="12" customHeight="1">
      <c r="A49" s="931"/>
      <c r="B49" s="484"/>
      <c r="C49" s="600" t="s">
        <v>779</v>
      </c>
      <c r="D49" s="566"/>
      <c r="E49" s="566"/>
      <c r="F49" s="566"/>
      <c r="G49" s="566"/>
      <c r="H49" s="566"/>
      <c r="I49" s="566"/>
      <c r="J49" s="566"/>
      <c r="K49" s="566"/>
      <c r="L49" s="566"/>
      <c r="M49" s="571"/>
      <c r="N49" s="568"/>
      <c r="O49" s="568"/>
      <c r="P49" s="568"/>
      <c r="Q49" s="568"/>
      <c r="R49" s="571"/>
      <c r="S49" s="566"/>
      <c r="T49" s="566"/>
      <c r="U49" s="566"/>
      <c r="V49" s="566"/>
      <c r="W49" s="571"/>
      <c r="X49" s="569"/>
      <c r="Y49" s="569"/>
      <c r="Z49" s="569"/>
      <c r="AA49" s="569"/>
      <c r="AB49" s="571"/>
      <c r="AC49" s="569"/>
      <c r="AD49" s="569"/>
      <c r="AE49" s="569"/>
      <c r="AF49" s="569"/>
      <c r="AG49" s="571"/>
      <c r="AH49" s="570"/>
      <c r="AI49" s="571"/>
      <c r="AJ49" s="571"/>
      <c r="AK49" s="571"/>
      <c r="AL49" s="571"/>
      <c r="AM49" s="571"/>
      <c r="AN49" s="571"/>
      <c r="AO49" s="571"/>
      <c r="AP49" s="571"/>
      <c r="AQ49" s="571"/>
      <c r="AR49" s="571"/>
      <c r="AS49" s="571"/>
      <c r="AT49" s="571"/>
      <c r="AU49" s="571"/>
      <c r="AV49" s="571"/>
      <c r="AW49" s="359"/>
      <c r="AX49" s="359"/>
      <c r="AY49" s="359"/>
      <c r="AZ49" s="359"/>
      <c r="BA49" s="359"/>
      <c r="BB49" s="359"/>
      <c r="BC49" s="359"/>
      <c r="BD49" s="359"/>
      <c r="BE49" s="359"/>
      <c r="BF49" s="359"/>
      <c r="BG49" s="359"/>
      <c r="BH49" s="359"/>
      <c r="BI49" s="359"/>
      <c r="BJ49" s="359"/>
      <c r="BK49" s="359"/>
      <c r="BL49" s="244"/>
      <c r="BM49" s="244"/>
      <c r="BN49" s="244"/>
      <c r="BO49" s="244"/>
      <c r="BP49" s="244"/>
      <c r="BQ49" s="244"/>
      <c r="BR49" s="244"/>
      <c r="BS49" s="244"/>
      <c r="BT49" s="1080"/>
      <c r="BU49" s="1066"/>
      <c r="BV49" s="1080"/>
      <c r="BW49" s="1080"/>
      <c r="BX49" s="1080"/>
      <c r="BY49" s="1080"/>
      <c r="BZ49" s="1066"/>
      <c r="CA49" s="1080"/>
      <c r="CB49" s="1080"/>
      <c r="CC49" s="1080"/>
      <c r="CD49" s="1080"/>
      <c r="CE49" s="1066"/>
      <c r="CF49" s="1080"/>
      <c r="CG49" s="1080"/>
      <c r="CH49" s="1080"/>
      <c r="CI49" s="1080"/>
      <c r="CJ49" s="1066"/>
      <c r="CK49" s="1080"/>
      <c r="CL49" s="1080"/>
      <c r="CM49" s="1080"/>
      <c r="CN49" s="1080"/>
      <c r="CO49" s="1066"/>
      <c r="CP49" s="1080"/>
      <c r="CQ49" s="1080"/>
      <c r="CR49" s="1080"/>
      <c r="CS49" s="1080"/>
      <c r="CT49" s="1066"/>
      <c r="CU49" s="1080"/>
      <c r="CV49" s="1080"/>
      <c r="CW49" s="1080"/>
      <c r="CX49" s="1080"/>
      <c r="CY49" s="1066"/>
      <c r="CZ49" s="1080"/>
      <c r="DA49" s="1080"/>
      <c r="DB49" s="1080"/>
      <c r="DC49" s="1080"/>
      <c r="DD49" s="1066"/>
      <c r="DE49" s="244">
        <f>+DE48/CZ44-1</f>
        <v>1.1331754715440541</v>
      </c>
      <c r="DF49" s="244">
        <f>+DF48/DA44-1</f>
        <v>7.6904862045760449</v>
      </c>
      <c r="DG49" s="244">
        <f>+DG48/DB44-1</f>
        <v>-1.3329800848954443</v>
      </c>
      <c r="DH49" s="244">
        <f>+DH48/DC44-1</f>
        <v>-2.4622594026988232</v>
      </c>
      <c r="DI49" s="1066"/>
      <c r="DJ49" s="244">
        <f>+DJ48/DE44-1</f>
        <v>-1.4093264248704664</v>
      </c>
      <c r="DK49" s="244">
        <f>+DK48/DF44-1</f>
        <v>-1.1436430317848412</v>
      </c>
      <c r="DL49" s="244">
        <f>+DL48/DG44-1</f>
        <v>1.3032786885245899</v>
      </c>
      <c r="DM49" s="244">
        <f>+DM48/DH44-1</f>
        <v>0.68512110726643605</v>
      </c>
      <c r="DN49" s="1066"/>
      <c r="DO49" s="244">
        <f>+DO48/DJ44-1</f>
        <v>1.3139534883720931</v>
      </c>
      <c r="DP49" s="244">
        <f>+DP48/DK44-1</f>
        <v>0.17427385892116187</v>
      </c>
      <c r="DQ49" s="244">
        <f>+DQ48/DL44-1</f>
        <v>0.17314487632508824</v>
      </c>
      <c r="DR49" s="245">
        <f>+DR48/DM44-1</f>
        <v>0.32903225806451619</v>
      </c>
      <c r="DS49" s="1066"/>
      <c r="DT49" s="244">
        <f>+DT48/DO44-1</f>
        <v>0.82758620689655182</v>
      </c>
      <c r="DU49" s="244">
        <f>+DU48/DP44-1</f>
        <v>0.63917525773195871</v>
      </c>
      <c r="DV49" s="1080"/>
      <c r="DW49" s="1080"/>
      <c r="DX49" s="1066"/>
      <c r="DY49" s="1080"/>
      <c r="DZ49" s="1080"/>
      <c r="EA49" s="1080"/>
      <c r="EB49" s="1080"/>
      <c r="EC49" s="1066"/>
      <c r="ED49" s="1080"/>
      <c r="EE49" s="1080"/>
      <c r="EF49" s="1080"/>
      <c r="EG49" s="1080"/>
      <c r="EH49" s="1066"/>
      <c r="EI49" s="1080"/>
      <c r="EJ49" s="1080"/>
      <c r="EK49" s="1080"/>
      <c r="EL49" s="1080"/>
      <c r="EM49" s="1066"/>
      <c r="EN49" s="1080"/>
      <c r="EO49" s="1080"/>
      <c r="EP49" s="1080"/>
      <c r="EQ49" s="1080"/>
      <c r="ER49" s="1066"/>
      <c r="ES49" s="484"/>
    </row>
    <row r="50" spans="1:157" ht="12" customHeight="1">
      <c r="A50" s="792"/>
      <c r="B50" s="792"/>
      <c r="C50" s="279" t="s">
        <v>257</v>
      </c>
      <c r="D50" s="277"/>
      <c r="E50" s="277"/>
      <c r="F50" s="277"/>
      <c r="G50" s="277"/>
      <c r="H50" s="277"/>
      <c r="M50" s="277"/>
      <c r="R50" s="277"/>
      <c r="W50" s="277"/>
      <c r="AB50" s="277"/>
      <c r="AG50" s="277"/>
      <c r="AL50" s="277"/>
      <c r="AQ50" s="277"/>
      <c r="AV50" s="277"/>
      <c r="BA50" s="277"/>
      <c r="BF50" s="277"/>
      <c r="BG50" s="280"/>
      <c r="BH50" s="280"/>
      <c r="BI50" s="280"/>
      <c r="BJ50" s="280"/>
      <c r="BK50" s="277"/>
      <c r="BL50" s="280"/>
      <c r="BM50" s="280"/>
      <c r="BN50" s="280"/>
      <c r="BO50" s="280"/>
      <c r="BP50" s="277"/>
      <c r="BQ50" s="239">
        <v>1.0999999999999999E-2</v>
      </c>
      <c r="BR50" s="239">
        <v>0.03</v>
      </c>
      <c r="BS50" s="239">
        <v>5.7000000000000002E-2</v>
      </c>
      <c r="BT50" s="239">
        <v>0.10200000000000001</v>
      </c>
      <c r="BU50" s="257">
        <f t="shared" ref="BU50:BU56" si="255">SUM(BQ50:BT50)</f>
        <v>0.2</v>
      </c>
      <c r="BV50" s="239">
        <v>0.20300000000000001</v>
      </c>
      <c r="BW50" s="239">
        <v>0.23100000000000001</v>
      </c>
      <c r="BX50" s="239">
        <v>0.40400000000000003</v>
      </c>
      <c r="BY50" s="239">
        <v>0.69799999999999995</v>
      </c>
      <c r="BZ50" s="257">
        <f t="shared" ref="BZ50:BZ56" si="256">SUM(BV50:BY50)</f>
        <v>1.536</v>
      </c>
      <c r="CA50" s="239">
        <v>0.71499999999999997</v>
      </c>
      <c r="CB50" s="239">
        <v>1.4350000000000001</v>
      </c>
      <c r="CC50" s="239">
        <v>2.734</v>
      </c>
      <c r="CD50" s="239">
        <v>2.9659999999999993</v>
      </c>
      <c r="CE50" s="257">
        <f t="shared" ref="CE50:CE56" si="257">SUM(CA50:CD50)</f>
        <v>7.85</v>
      </c>
      <c r="CF50" s="239">
        <v>4.649</v>
      </c>
      <c r="CG50" s="239">
        <v>7.444</v>
      </c>
      <c r="CH50" s="239">
        <v>8.0779999999999994</v>
      </c>
      <c r="CI50" s="239">
        <v>9.2650000000000006</v>
      </c>
      <c r="CJ50" s="257">
        <f t="shared" ref="CJ50:CJ56" si="258">SUM(CF50:CI50)</f>
        <v>29.436</v>
      </c>
      <c r="CK50" s="239">
        <v>12.077999999999999</v>
      </c>
      <c r="CL50" s="239">
        <v>12.173999999999999</v>
      </c>
      <c r="CM50" s="239">
        <v>11.644</v>
      </c>
      <c r="CN50" s="239">
        <v>12.286000000000005</v>
      </c>
      <c r="CO50" s="257">
        <f t="shared" ref="CO50:CO57" si="259">SUM(CK50:CN50)</f>
        <v>48.182000000000002</v>
      </c>
      <c r="CP50" s="239">
        <v>10.467000000000001</v>
      </c>
      <c r="CQ50" s="239">
        <v>5.952</v>
      </c>
      <c r="CR50" s="239">
        <v>3.7879999999999998</v>
      </c>
      <c r="CS50" s="239">
        <v>3.2270000000000003</v>
      </c>
      <c r="CT50" s="257">
        <f t="shared" ref="CT50:CT55" si="260">SUM(CP50:CS50)</f>
        <v>23.434000000000001</v>
      </c>
      <c r="CU50" s="239">
        <v>2.83</v>
      </c>
      <c r="CV50" s="239">
        <v>3.0920000000000001</v>
      </c>
      <c r="CW50" s="239">
        <v>4.516</v>
      </c>
      <c r="CX50" s="239">
        <v>4.9179999999999993</v>
      </c>
      <c r="CY50" s="257">
        <f t="shared" ref="CY50:CY57" si="261">SUM(CU50:CX50)</f>
        <v>15.356</v>
      </c>
      <c r="CZ50" s="239">
        <v>6.1890000000000001</v>
      </c>
      <c r="DA50" s="239">
        <v>12.505000000000001</v>
      </c>
      <c r="DB50" s="239">
        <v>20.884</v>
      </c>
      <c r="DC50" s="239">
        <f>79.141-SUM(CZ50:DB50)</f>
        <v>39.563000000000002</v>
      </c>
      <c r="DD50" s="257">
        <f t="shared" ref="DD50:DD57" si="262">SUM(CZ50:DC50)</f>
        <v>79.141000000000005</v>
      </c>
      <c r="DE50" s="239">
        <v>52</v>
      </c>
      <c r="DF50" s="239">
        <v>58</v>
      </c>
      <c r="DG50" s="239">
        <v>63</v>
      </c>
      <c r="DH50" s="239">
        <f>241-DG50-DF50-DE50</f>
        <v>68</v>
      </c>
      <c r="DI50" s="257">
        <f t="shared" ref="DI50:DI57" si="263">SUM(DE50:DH50)</f>
        <v>241</v>
      </c>
      <c r="DJ50" s="239">
        <v>79</v>
      </c>
      <c r="DK50" s="239">
        <v>80</v>
      </c>
      <c r="DL50" s="239">
        <v>77</v>
      </c>
      <c r="DM50" s="239">
        <v>72</v>
      </c>
      <c r="DN50" s="257">
        <f t="shared" ref="DN50:DN57" si="264">SUM(DJ50:DM50)</f>
        <v>308</v>
      </c>
      <c r="DO50" s="239">
        <v>65</v>
      </c>
      <c r="DP50" s="239">
        <v>106</v>
      </c>
      <c r="DQ50" s="239">
        <v>81</v>
      </c>
      <c r="DR50" s="239">
        <v>79</v>
      </c>
      <c r="DS50" s="257">
        <f t="shared" ref="DS50:DS57" si="265">SUM(DO50:DR50)</f>
        <v>331</v>
      </c>
      <c r="DT50" s="239">
        <v>75</v>
      </c>
      <c r="DU50" s="239">
        <v>66</v>
      </c>
      <c r="DV50" s="160">
        <f>+DU50/'Balance Sheet'!DT7*'Balance Sheet'!DU7</f>
        <v>59.568739674149477</v>
      </c>
      <c r="DW50" s="160">
        <f>+DV50/'Balance Sheet'!DU7*'Balance Sheet'!DV7</f>
        <v>58.803898942016069</v>
      </c>
      <c r="DX50" s="380">
        <f>SUM(DT50:DW50)</f>
        <v>259.37263861616555</v>
      </c>
      <c r="DY50" s="160">
        <f>+DW50/'Balance Sheet'!DW7*'Balance Sheet'!DX7</f>
        <v>58.803898942016069</v>
      </c>
      <c r="DZ50" s="160">
        <f>+DY50/'Balance Sheet'!DX7*'Balance Sheet'!DY7</f>
        <v>62.916774743740838</v>
      </c>
      <c r="EA50" s="160">
        <f>+DZ50/'Balance Sheet'!DY7*'Balance Sheet'!DZ7</f>
        <v>69.649964197457393</v>
      </c>
      <c r="EB50" s="160">
        <f>+EA50/'Balance Sheet'!DZ7*'Balance Sheet'!EA7</f>
        <v>77.187781202858233</v>
      </c>
      <c r="EC50" s="380">
        <f>SUM(DY50:EB50)</f>
        <v>268.55841908607255</v>
      </c>
      <c r="ED50" s="160">
        <f>+EB50/'Balance Sheet'!EB7*'Balance Sheet'!EC7</f>
        <v>77.187781202858233</v>
      </c>
      <c r="EE50" s="160">
        <f>+ED50/'Balance Sheet'!EC7*'Balance Sheet'!ED7</f>
        <v>81.361366708101812</v>
      </c>
      <c r="EF50" s="160">
        <f>+EE50/'Balance Sheet'!ED7*'Balance Sheet'!EE7</f>
        <v>88.560255683684588</v>
      </c>
      <c r="EG50" s="160">
        <f>+EF50/'Balance Sheet'!EE7*'Balance Sheet'!EF7</f>
        <v>96.201113597927105</v>
      </c>
      <c r="EH50" s="380">
        <f>SUM(ED50:EG50)</f>
        <v>343.31051719257175</v>
      </c>
      <c r="EI50" s="160">
        <f>+EG50/'Balance Sheet'!EG7*'Balance Sheet'!EH7</f>
        <v>96.201113597927105</v>
      </c>
      <c r="EJ50" s="160">
        <f>+EI50/'Balance Sheet'!EH7*'Balance Sheet'!EI7</f>
        <v>99.872497767825948</v>
      </c>
      <c r="EK50" s="160">
        <f>+EJ50/'Balance Sheet'!EI7*'Balance Sheet'!EJ7</f>
        <v>107.70702805253735</v>
      </c>
      <c r="EL50" s="160">
        <f>+EK50/'Balance Sheet'!EJ7*'Balance Sheet'!EK7</f>
        <v>115.95706136197533</v>
      </c>
      <c r="EM50" s="380">
        <f>SUM(EI50:EL50)</f>
        <v>419.7377007802657</v>
      </c>
      <c r="EN50" s="160">
        <f>+EL50/'Balance Sheet'!EL7*'Balance Sheet'!EM7</f>
        <v>115.95706136197533</v>
      </c>
      <c r="EO50" s="160">
        <f>+EN50/'Balance Sheet'!EM7*'Balance Sheet'!EN7</f>
        <v>119.69463618518976</v>
      </c>
      <c r="EP50" s="160">
        <f>+EO50/'Balance Sheet'!EN7*'Balance Sheet'!EO7</f>
        <v>128.14875006753599</v>
      </c>
      <c r="EQ50" s="160">
        <f>+EP50/'Balance Sheet'!EO7*'Balance Sheet'!EP7</f>
        <v>137.08412957309875</v>
      </c>
      <c r="ER50" s="380">
        <f>SUM(EN50:EQ50)</f>
        <v>500.88457718779978</v>
      </c>
      <c r="ES50"/>
      <c r="ET50"/>
      <c r="EU50"/>
      <c r="EV50"/>
      <c r="EW50"/>
      <c r="EX50"/>
      <c r="EY50"/>
      <c r="EZ50"/>
      <c r="FA50"/>
    </row>
    <row r="51" spans="1:157" ht="12" customHeight="1">
      <c r="A51" s="792"/>
      <c r="B51" s="792"/>
      <c r="C51" s="279" t="s">
        <v>256</v>
      </c>
      <c r="D51" s="277"/>
      <c r="E51" s="277"/>
      <c r="F51" s="277"/>
      <c r="G51" s="277"/>
      <c r="H51" s="277"/>
      <c r="M51" s="277"/>
      <c r="R51" s="277"/>
      <c r="W51" s="277"/>
      <c r="AB51" s="277"/>
      <c r="AG51" s="277"/>
      <c r="AL51" s="277"/>
      <c r="AQ51" s="277"/>
      <c r="AV51" s="277"/>
      <c r="BA51" s="277"/>
      <c r="BF51" s="277"/>
      <c r="BG51" s="280"/>
      <c r="BH51" s="280"/>
      <c r="BI51" s="280"/>
      <c r="BJ51" s="280"/>
      <c r="BK51" s="277"/>
      <c r="BL51" s="280"/>
      <c r="BM51" s="280"/>
      <c r="BN51" s="280"/>
      <c r="BO51" s="280"/>
      <c r="BP51" s="277"/>
      <c r="BQ51" s="239">
        <v>0</v>
      </c>
      <c r="BR51" s="239">
        <v>0</v>
      </c>
      <c r="BS51" s="239">
        <v>0</v>
      </c>
      <c r="BT51" s="239">
        <v>0</v>
      </c>
      <c r="BU51" s="257">
        <f t="shared" si="255"/>
        <v>0</v>
      </c>
      <c r="BV51" s="239">
        <v>0</v>
      </c>
      <c r="BW51" s="239">
        <v>0</v>
      </c>
      <c r="BX51" s="239">
        <v>0</v>
      </c>
      <c r="BY51" s="239">
        <v>0</v>
      </c>
      <c r="BZ51" s="257">
        <f t="shared" si="256"/>
        <v>0</v>
      </c>
      <c r="CA51" s="239">
        <v>0</v>
      </c>
      <c r="CB51" s="239">
        <v>0</v>
      </c>
      <c r="CC51" s="239">
        <v>0</v>
      </c>
      <c r="CD51" s="239">
        <v>0</v>
      </c>
      <c r="CE51" s="257">
        <f t="shared" si="257"/>
        <v>0</v>
      </c>
      <c r="CF51" s="239">
        <v>0</v>
      </c>
      <c r="CG51" s="239">
        <v>0</v>
      </c>
      <c r="CH51" s="239">
        <v>0</v>
      </c>
      <c r="CI51" s="239">
        <v>0</v>
      </c>
      <c r="CJ51" s="257">
        <f t="shared" si="258"/>
        <v>0</v>
      </c>
      <c r="CK51" s="239">
        <v>0</v>
      </c>
      <c r="CL51" s="239">
        <v>0</v>
      </c>
      <c r="CM51" s="239">
        <v>0</v>
      </c>
      <c r="CN51" s="239">
        <v>0</v>
      </c>
      <c r="CO51" s="257">
        <f t="shared" si="259"/>
        <v>0</v>
      </c>
      <c r="CP51" s="239">
        <v>0</v>
      </c>
      <c r="CQ51" s="239">
        <v>0</v>
      </c>
      <c r="CR51" s="239">
        <v>-1.238</v>
      </c>
      <c r="CS51" s="239">
        <v>-7.8470000000000013</v>
      </c>
      <c r="CT51" s="257">
        <f t="shared" si="260"/>
        <v>-9.0850000000000009</v>
      </c>
      <c r="CU51" s="239">
        <v>-0.873</v>
      </c>
      <c r="CV51" s="239">
        <v>-0.87</v>
      </c>
      <c r="CW51" s="239">
        <v>-0.872</v>
      </c>
      <c r="CX51" s="239">
        <v>-0.87800000000000011</v>
      </c>
      <c r="CY51" s="257">
        <f t="shared" si="261"/>
        <v>-3.4929999999999999</v>
      </c>
      <c r="CZ51" s="239">
        <v>-0.874</v>
      </c>
      <c r="DA51" s="239">
        <v>-0.86899999999999999</v>
      </c>
      <c r="DB51" s="239">
        <v>-0.877</v>
      </c>
      <c r="DC51" s="239">
        <f>-3.499-SUM(CZ51:DB51)</f>
        <v>-0.879</v>
      </c>
      <c r="DD51" s="257">
        <f t="shared" si="262"/>
        <v>-3.4990000000000001</v>
      </c>
      <c r="DE51" s="239">
        <v>0</v>
      </c>
      <c r="DF51" s="239">
        <v>0</v>
      </c>
      <c r="DG51" s="239">
        <v>0</v>
      </c>
      <c r="DH51" s="239">
        <v>0</v>
      </c>
      <c r="DI51" s="257">
        <f t="shared" si="263"/>
        <v>0</v>
      </c>
      <c r="DJ51" s="239">
        <v>0</v>
      </c>
      <c r="DK51" s="239">
        <v>0</v>
      </c>
      <c r="DL51" s="239">
        <v>0</v>
      </c>
      <c r="DM51" s="239">
        <v>0</v>
      </c>
      <c r="DN51" s="1427">
        <f t="shared" si="264"/>
        <v>0</v>
      </c>
      <c r="DO51" s="239">
        <v>0</v>
      </c>
      <c r="DP51" s="239">
        <v>0</v>
      </c>
      <c r="DQ51" s="239">
        <v>0</v>
      </c>
      <c r="DR51" s="239">
        <v>0</v>
      </c>
      <c r="DS51" s="257">
        <f t="shared" si="265"/>
        <v>0</v>
      </c>
      <c r="DT51" s="239">
        <v>0</v>
      </c>
      <c r="DU51" s="239">
        <v>0</v>
      </c>
      <c r="DV51" s="281">
        <f>DU51</f>
        <v>0</v>
      </c>
      <c r="DW51" s="281">
        <f>DV51</f>
        <v>0</v>
      </c>
      <c r="DX51" s="257">
        <f t="shared" ref="DX51:DX61" si="266">SUM(DT51:DW51)</f>
        <v>0</v>
      </c>
      <c r="DY51" s="281">
        <f>DW51</f>
        <v>0</v>
      </c>
      <c r="DZ51" s="281">
        <f>DY51</f>
        <v>0</v>
      </c>
      <c r="EA51" s="281">
        <f>DZ51</f>
        <v>0</v>
      </c>
      <c r="EB51" s="281">
        <f>EA51</f>
        <v>0</v>
      </c>
      <c r="EC51" s="257">
        <f t="shared" ref="EC51:EC61" si="267">SUM(DY51:EB51)</f>
        <v>0</v>
      </c>
      <c r="ED51" s="281">
        <f>EB51</f>
        <v>0</v>
      </c>
      <c r="EE51" s="281">
        <f>ED51</f>
        <v>0</v>
      </c>
      <c r="EF51" s="281">
        <f>EE51</f>
        <v>0</v>
      </c>
      <c r="EG51" s="281">
        <f>EF51</f>
        <v>0</v>
      </c>
      <c r="EH51" s="257">
        <f t="shared" ref="EH51:EH57" si="268">SUM(ED51:EG51)</f>
        <v>0</v>
      </c>
      <c r="EI51" s="281">
        <f>EG51</f>
        <v>0</v>
      </c>
      <c r="EJ51" s="281">
        <f>EI51</f>
        <v>0</v>
      </c>
      <c r="EK51" s="281">
        <f>EJ51</f>
        <v>0</v>
      </c>
      <c r="EL51" s="281">
        <f>EK51</f>
        <v>0</v>
      </c>
      <c r="EM51" s="257">
        <f t="shared" ref="EM51:EM57" si="269">SUM(EI51:EL51)</f>
        <v>0</v>
      </c>
      <c r="EN51" s="281">
        <f>EL51</f>
        <v>0</v>
      </c>
      <c r="EO51" s="281">
        <f>EN51</f>
        <v>0</v>
      </c>
      <c r="EP51" s="281">
        <f>EO51</f>
        <v>0</v>
      </c>
      <c r="EQ51" s="281">
        <f>EP51</f>
        <v>0</v>
      </c>
      <c r="ER51" s="257">
        <f t="shared" ref="ER51:ER57" si="270">SUM(EN51:EQ51)</f>
        <v>0</v>
      </c>
      <c r="ES51" s="417"/>
    </row>
    <row r="52" spans="1:157" ht="12" customHeight="1">
      <c r="A52" s="792"/>
      <c r="B52" s="792"/>
      <c r="C52" s="94" t="s">
        <v>258</v>
      </c>
      <c r="D52" s="282"/>
      <c r="E52" s="282"/>
      <c r="F52" s="282"/>
      <c r="G52" s="282"/>
      <c r="H52" s="282"/>
      <c r="I52" s="117"/>
      <c r="J52" s="117"/>
      <c r="K52" s="117"/>
      <c r="L52" s="117"/>
      <c r="M52" s="282"/>
      <c r="N52" s="117"/>
      <c r="O52" s="117"/>
      <c r="P52" s="117"/>
      <c r="Q52" s="117"/>
      <c r="R52" s="282"/>
      <c r="S52" s="117"/>
      <c r="T52" s="117"/>
      <c r="U52" s="117"/>
      <c r="V52" s="117"/>
      <c r="W52" s="282"/>
      <c r="X52" s="117"/>
      <c r="Y52" s="117"/>
      <c r="Z52" s="117"/>
      <c r="AA52" s="117"/>
      <c r="AB52" s="282"/>
      <c r="AC52" s="117"/>
      <c r="AD52" s="117"/>
      <c r="AE52" s="117"/>
      <c r="AF52" s="117"/>
      <c r="AG52" s="282"/>
      <c r="AH52" s="117"/>
      <c r="AI52" s="117"/>
      <c r="AJ52" s="117"/>
      <c r="AK52" s="117"/>
      <c r="AL52" s="282"/>
      <c r="AM52" s="117"/>
      <c r="AN52" s="117"/>
      <c r="AO52" s="117"/>
      <c r="AP52" s="117"/>
      <c r="AQ52" s="282"/>
      <c r="AR52" s="117"/>
      <c r="AS52" s="117"/>
      <c r="AT52" s="117"/>
      <c r="AU52" s="117"/>
      <c r="AV52" s="282"/>
      <c r="AW52" s="117"/>
      <c r="AX52" s="117"/>
      <c r="AY52" s="117"/>
      <c r="AZ52" s="117"/>
      <c r="BA52" s="282"/>
      <c r="BB52" s="117"/>
      <c r="BC52" s="117"/>
      <c r="BD52" s="117"/>
      <c r="BE52" s="117"/>
      <c r="BF52" s="282"/>
      <c r="BG52" s="283"/>
      <c r="BH52" s="283"/>
      <c r="BI52" s="283"/>
      <c r="BJ52" s="283"/>
      <c r="BK52" s="282"/>
      <c r="BL52" s="283"/>
      <c r="BM52" s="283"/>
      <c r="BN52" s="283"/>
      <c r="BO52" s="283"/>
      <c r="BP52" s="282"/>
      <c r="BQ52" s="284">
        <f>SUM(BQ50:BQ51)</f>
        <v>1.0999999999999999E-2</v>
      </c>
      <c r="BR52" s="284">
        <f>SUM(BR50:BR51)</f>
        <v>0.03</v>
      </c>
      <c r="BS52" s="284">
        <f>SUM(BS50:BS51)</f>
        <v>5.7000000000000002E-2</v>
      </c>
      <c r="BT52" s="284">
        <f>SUM(BT50:BT51)</f>
        <v>0.10200000000000001</v>
      </c>
      <c r="BU52" s="272">
        <f t="shared" si="255"/>
        <v>0.2</v>
      </c>
      <c r="BV52" s="284">
        <f>SUM(BV50:BV51)</f>
        <v>0.20300000000000001</v>
      </c>
      <c r="BW52" s="284">
        <f>SUM(BW50:BW51)</f>
        <v>0.23100000000000001</v>
      </c>
      <c r="BX52" s="284">
        <f>SUM(BX50:BX51)</f>
        <v>0.40400000000000003</v>
      </c>
      <c r="BY52" s="284">
        <f>SUM(BY50:BY51)</f>
        <v>0.69799999999999995</v>
      </c>
      <c r="BZ52" s="272">
        <f t="shared" si="256"/>
        <v>1.536</v>
      </c>
      <c r="CA52" s="1360">
        <f>SUM(CA50:CA51)</f>
        <v>0.71499999999999997</v>
      </c>
      <c r="CB52" s="284">
        <f>SUM(CB50:CB51)</f>
        <v>1.4350000000000001</v>
      </c>
      <c r="CC52" s="284">
        <f>SUM(CC50:CC51)</f>
        <v>2.734</v>
      </c>
      <c r="CD52" s="284">
        <f>SUM(CD50:CD51)</f>
        <v>2.9659999999999993</v>
      </c>
      <c r="CE52" s="272">
        <f t="shared" si="257"/>
        <v>7.85</v>
      </c>
      <c r="CF52" s="1360">
        <f>SUM(CF50:CF51)</f>
        <v>4.649</v>
      </c>
      <c r="CG52" s="284">
        <f>SUM(CG50:CG51)</f>
        <v>7.444</v>
      </c>
      <c r="CH52" s="284">
        <f>SUM(CH50:CH51)</f>
        <v>8.0779999999999994</v>
      </c>
      <c r="CI52" s="284">
        <f>SUM(CI50:CI51)</f>
        <v>9.2650000000000006</v>
      </c>
      <c r="CJ52" s="272">
        <f t="shared" si="258"/>
        <v>29.436</v>
      </c>
      <c r="CK52" s="284">
        <f>SUM(CK50:CK51)</f>
        <v>12.077999999999999</v>
      </c>
      <c r="CL52" s="284">
        <f>SUM(CL50:CL51)</f>
        <v>12.173999999999999</v>
      </c>
      <c r="CM52" s="284">
        <f>SUM(CM50:CM51)</f>
        <v>11.644</v>
      </c>
      <c r="CN52" s="284">
        <f>SUM(CN50:CN51)</f>
        <v>12.286000000000005</v>
      </c>
      <c r="CO52" s="272">
        <f t="shared" si="259"/>
        <v>48.182000000000002</v>
      </c>
      <c r="CP52" s="284">
        <f>SUM(CP50:CP51)</f>
        <v>10.467000000000001</v>
      </c>
      <c r="CQ52" s="284">
        <f>SUM(CQ50:CQ51)</f>
        <v>5.952</v>
      </c>
      <c r="CR52" s="284">
        <f>SUM(CR50:CR51)</f>
        <v>2.5499999999999998</v>
      </c>
      <c r="CS52" s="284">
        <f>SUM(CS50:CS51)</f>
        <v>-4.620000000000001</v>
      </c>
      <c r="CT52" s="272">
        <f t="shared" si="260"/>
        <v>14.349</v>
      </c>
      <c r="CU52" s="284">
        <f>SUM(CU50:CU51)</f>
        <v>1.9570000000000001</v>
      </c>
      <c r="CV52" s="284">
        <f>SUM(CV50:CV51)</f>
        <v>2.222</v>
      </c>
      <c r="CW52" s="284">
        <f>SUM(CW50:CW51)</f>
        <v>3.6440000000000001</v>
      </c>
      <c r="CX52" s="284">
        <f>SUM(CX50:CX51)</f>
        <v>4.0399999999999991</v>
      </c>
      <c r="CY52" s="272">
        <f t="shared" si="261"/>
        <v>11.863</v>
      </c>
      <c r="CZ52" s="1360">
        <f>SUM(CZ50:CZ51)</f>
        <v>5.3150000000000004</v>
      </c>
      <c r="DA52" s="284">
        <f>SUM(DA50:DA51)</f>
        <v>11.636000000000001</v>
      </c>
      <c r="DB52" s="284">
        <f>SUM(DB50:DB51)</f>
        <v>20.007000000000001</v>
      </c>
      <c r="DC52" s="284">
        <f>SUM(DC50:DC51)</f>
        <v>38.684000000000005</v>
      </c>
      <c r="DD52" s="272">
        <f t="shared" si="262"/>
        <v>75.641999999999996</v>
      </c>
      <c r="DE52" s="1360">
        <f>SUM(DE50:DE51)</f>
        <v>52</v>
      </c>
      <c r="DF52" s="284">
        <f>SUM(DF50:DF51)</f>
        <v>58</v>
      </c>
      <c r="DG52" s="284">
        <f>SUM(DG50:DG51)</f>
        <v>63</v>
      </c>
      <c r="DH52" s="1360">
        <f>SUM(DH50:DH51)</f>
        <v>68</v>
      </c>
      <c r="DI52" s="272">
        <f t="shared" si="263"/>
        <v>241</v>
      </c>
      <c r="DJ52" s="284">
        <f>SUM(DJ50:DJ51)</f>
        <v>79</v>
      </c>
      <c r="DK52" s="284">
        <f>SUM(DK50:DK51)</f>
        <v>80</v>
      </c>
      <c r="DL52" s="284">
        <f>SUM(DL50:DL51)</f>
        <v>77</v>
      </c>
      <c r="DM52" s="284">
        <f>SUM(DM50:DM51)</f>
        <v>72</v>
      </c>
      <c r="DN52" s="272">
        <f t="shared" si="264"/>
        <v>308</v>
      </c>
      <c r="DO52" s="284">
        <f>SUM(DO50:DO51)</f>
        <v>65</v>
      </c>
      <c r="DP52" s="284">
        <f>SUM(DP50:DP51)</f>
        <v>106</v>
      </c>
      <c r="DQ52" s="284">
        <f>SUM(DQ50:DQ51)</f>
        <v>81</v>
      </c>
      <c r="DR52" s="1360">
        <f>SUM(DR50:DR51)</f>
        <v>79</v>
      </c>
      <c r="DS52" s="272">
        <f t="shared" si="265"/>
        <v>331</v>
      </c>
      <c r="DT52" s="284">
        <f>SUM(DT50:DT51)</f>
        <v>75</v>
      </c>
      <c r="DU52" s="284">
        <f>SUM(DU50:DU51)</f>
        <v>66</v>
      </c>
      <c r="DV52" s="284">
        <f>SUM(DV50:DV51)</f>
        <v>59.568739674149477</v>
      </c>
      <c r="DW52" s="284">
        <f>SUM(DW50:DW51)</f>
        <v>58.803898942016069</v>
      </c>
      <c r="DX52" s="272">
        <f t="shared" si="266"/>
        <v>259.37263861616555</v>
      </c>
      <c r="DY52" s="284">
        <f>SUM(DY50:DY51)</f>
        <v>58.803898942016069</v>
      </c>
      <c r="DZ52" s="284">
        <f>SUM(DZ50:DZ51)</f>
        <v>62.916774743740838</v>
      </c>
      <c r="EA52" s="284">
        <f>SUM(EA50:EA51)</f>
        <v>69.649964197457393</v>
      </c>
      <c r="EB52" s="284">
        <f>SUM(EB50:EB51)</f>
        <v>77.187781202858233</v>
      </c>
      <c r="EC52" s="272">
        <f t="shared" si="267"/>
        <v>268.55841908607255</v>
      </c>
      <c r="ED52" s="284">
        <f>SUM(ED50:ED51)</f>
        <v>77.187781202858233</v>
      </c>
      <c r="EE52" s="284">
        <f>SUM(EE50:EE51)</f>
        <v>81.361366708101812</v>
      </c>
      <c r="EF52" s="284">
        <f>SUM(EF50:EF51)</f>
        <v>88.560255683684588</v>
      </c>
      <c r="EG52" s="284">
        <f>SUM(EG50:EG51)</f>
        <v>96.201113597927105</v>
      </c>
      <c r="EH52" s="272">
        <f t="shared" si="268"/>
        <v>343.31051719257175</v>
      </c>
      <c r="EI52" s="284">
        <f>SUM(EI50:EI51)</f>
        <v>96.201113597927105</v>
      </c>
      <c r="EJ52" s="284">
        <f>SUM(EJ50:EJ51)</f>
        <v>99.872497767825948</v>
      </c>
      <c r="EK52" s="284">
        <f>SUM(EK50:EK51)</f>
        <v>107.70702805253735</v>
      </c>
      <c r="EL52" s="284">
        <f>SUM(EL50:EL51)</f>
        <v>115.95706136197533</v>
      </c>
      <c r="EM52" s="272">
        <f t="shared" si="269"/>
        <v>419.7377007802657</v>
      </c>
      <c r="EN52" s="284">
        <f>SUM(EN50:EN51)</f>
        <v>115.95706136197533</v>
      </c>
      <c r="EO52" s="284">
        <f>SUM(EO50:EO51)</f>
        <v>119.69463618518976</v>
      </c>
      <c r="EP52" s="284">
        <f>SUM(EP50:EP51)</f>
        <v>128.14875006753599</v>
      </c>
      <c r="EQ52" s="284">
        <f>SUM(EQ50:EQ51)</f>
        <v>137.08412957309875</v>
      </c>
      <c r="ER52" s="272">
        <f t="shared" si="270"/>
        <v>500.88457718779978</v>
      </c>
      <c r="ES52" s="417"/>
    </row>
    <row r="53" spans="1:157" ht="12" customHeight="1">
      <c r="A53" s="792"/>
      <c r="B53" s="792"/>
      <c r="C53" s="118" t="s">
        <v>229</v>
      </c>
      <c r="D53" s="277"/>
      <c r="E53" s="277"/>
      <c r="F53" s="277"/>
      <c r="G53" s="277"/>
      <c r="H53" s="277"/>
      <c r="M53" s="277"/>
      <c r="R53" s="277"/>
      <c r="W53" s="277"/>
      <c r="AB53" s="277"/>
      <c r="AG53" s="277"/>
      <c r="AL53" s="277"/>
      <c r="AQ53" s="277"/>
      <c r="AV53" s="277"/>
      <c r="BA53" s="277"/>
      <c r="BF53" s="277"/>
      <c r="BG53" s="280"/>
      <c r="BH53" s="280"/>
      <c r="BI53" s="280"/>
      <c r="BJ53" s="280"/>
      <c r="BK53" s="277"/>
      <c r="BL53" s="280"/>
      <c r="BM53" s="280"/>
      <c r="BN53" s="280"/>
      <c r="BO53" s="280"/>
      <c r="BP53" s="277"/>
      <c r="BQ53" s="239">
        <v>0</v>
      </c>
      <c r="BR53" s="239">
        <v>0</v>
      </c>
      <c r="BS53" s="239">
        <v>0</v>
      </c>
      <c r="BT53" s="239">
        <v>0</v>
      </c>
      <c r="BU53" s="257">
        <f t="shared" si="255"/>
        <v>0</v>
      </c>
      <c r="BV53" s="239">
        <v>0</v>
      </c>
      <c r="BW53" s="239">
        <v>0</v>
      </c>
      <c r="BX53" s="239">
        <v>0</v>
      </c>
      <c r="BY53" s="239">
        <v>0</v>
      </c>
      <c r="BZ53" s="257">
        <f t="shared" si="256"/>
        <v>0</v>
      </c>
      <c r="CA53" s="239">
        <v>0</v>
      </c>
      <c r="CB53" s="239">
        <v>0</v>
      </c>
      <c r="CC53" s="239">
        <v>0</v>
      </c>
      <c r="CD53" s="239">
        <v>0</v>
      </c>
      <c r="CE53" s="257">
        <f t="shared" si="257"/>
        <v>0</v>
      </c>
      <c r="CF53" s="239">
        <v>0</v>
      </c>
      <c r="CG53" s="239">
        <v>0</v>
      </c>
      <c r="CH53" s="239">
        <v>0</v>
      </c>
      <c r="CI53" s="239">
        <v>0</v>
      </c>
      <c r="CJ53" s="257">
        <f t="shared" si="258"/>
        <v>0</v>
      </c>
      <c r="CK53" s="239">
        <v>0</v>
      </c>
      <c r="CL53" s="239">
        <v>0</v>
      </c>
      <c r="CM53" s="239">
        <v>0</v>
      </c>
      <c r="CN53" s="239">
        <v>0</v>
      </c>
      <c r="CO53" s="257">
        <f t="shared" si="259"/>
        <v>0</v>
      </c>
      <c r="CP53" s="239">
        <v>0</v>
      </c>
      <c r="CQ53" s="239">
        <v>0</v>
      </c>
      <c r="CR53" s="239">
        <v>133.239</v>
      </c>
      <c r="CS53" s="239">
        <v>1.9540000000000077</v>
      </c>
      <c r="CT53" s="257">
        <f t="shared" si="260"/>
        <v>135.19300000000001</v>
      </c>
      <c r="CU53" s="239">
        <v>1250.944</v>
      </c>
      <c r="CV53" s="239">
        <v>777.74900000000002</v>
      </c>
      <c r="CW53" s="239">
        <v>1340.8420000000001</v>
      </c>
      <c r="CX53" s="239">
        <v>-509.73499999999967</v>
      </c>
      <c r="CY53" s="257">
        <f t="shared" si="261"/>
        <v>2859.8</v>
      </c>
      <c r="CZ53" s="239">
        <f>-1677.442+122.322</f>
        <v>-1555.12</v>
      </c>
      <c r="DA53" s="259">
        <f>-1018.478+1.461</f>
        <v>-1017.0169999999999</v>
      </c>
      <c r="DB53" s="259">
        <f>173.008-1.088</f>
        <v>171.92000000000002</v>
      </c>
      <c r="DC53" s="259">
        <f>-2998.296+124.006-SUM(CZ53:DB53)</f>
        <v>-474.07300000000032</v>
      </c>
      <c r="DD53" s="257">
        <f t="shared" si="262"/>
        <v>-2874.29</v>
      </c>
      <c r="DE53" s="259">
        <v>215</v>
      </c>
      <c r="DF53" s="259">
        <v>281</v>
      </c>
      <c r="DG53" s="259">
        <f>555-10</f>
        <v>545</v>
      </c>
      <c r="DH53" s="259">
        <f>1424-5-58-DG53-DF53-DE53</f>
        <v>320</v>
      </c>
      <c r="DI53" s="257">
        <f t="shared" si="263"/>
        <v>1361</v>
      </c>
      <c r="DJ53" s="259">
        <f>-373-44</f>
        <v>-417</v>
      </c>
      <c r="DK53" s="259">
        <v>-120</v>
      </c>
      <c r="DL53" s="259">
        <f>512-28</f>
        <v>484</v>
      </c>
      <c r="DM53" s="259">
        <f>928-22</f>
        <v>906</v>
      </c>
      <c r="DN53" s="257">
        <f t="shared" si="264"/>
        <v>853</v>
      </c>
      <c r="DO53" s="259">
        <f>-1021-23</f>
        <v>-1044</v>
      </c>
      <c r="DP53" s="259">
        <f>681+1-24</f>
        <v>658</v>
      </c>
      <c r="DQ53" s="259">
        <f>0-62-21-29</f>
        <v>-112</v>
      </c>
      <c r="DR53" s="239">
        <f>32+216+28-123+29</f>
        <v>182</v>
      </c>
      <c r="DS53" s="257">
        <f t="shared" si="265"/>
        <v>-316</v>
      </c>
      <c r="DT53" s="259">
        <f>3-1064-21</f>
        <v>-1082</v>
      </c>
      <c r="DU53" s="259">
        <f>1249-22+1</f>
        <v>1228</v>
      </c>
      <c r="DV53" s="281">
        <v>0</v>
      </c>
      <c r="DW53" s="281">
        <v>0</v>
      </c>
      <c r="DX53" s="1427">
        <f t="shared" si="266"/>
        <v>146</v>
      </c>
      <c r="DY53" s="281">
        <v>0</v>
      </c>
      <c r="DZ53" s="281">
        <v>0</v>
      </c>
      <c r="EA53" s="281">
        <v>0</v>
      </c>
      <c r="EB53" s="281">
        <v>0</v>
      </c>
      <c r="EC53" s="257">
        <f t="shared" si="267"/>
        <v>0</v>
      </c>
      <c r="ED53" s="281">
        <v>0</v>
      </c>
      <c r="EE53" s="281">
        <v>0</v>
      </c>
      <c r="EF53" s="281">
        <v>0</v>
      </c>
      <c r="EG53" s="281">
        <v>0</v>
      </c>
      <c r="EH53" s="257">
        <f t="shared" si="268"/>
        <v>0</v>
      </c>
      <c r="EI53" s="281">
        <v>0</v>
      </c>
      <c r="EJ53" s="281">
        <v>0</v>
      </c>
      <c r="EK53" s="281">
        <v>0</v>
      </c>
      <c r="EL53" s="281">
        <v>0</v>
      </c>
      <c r="EM53" s="257">
        <f t="shared" si="269"/>
        <v>0</v>
      </c>
      <c r="EN53" s="281">
        <v>0</v>
      </c>
      <c r="EO53" s="281">
        <v>0</v>
      </c>
      <c r="EP53" s="281">
        <v>0</v>
      </c>
      <c r="EQ53" s="281">
        <v>0</v>
      </c>
      <c r="ER53" s="257">
        <f t="shared" si="270"/>
        <v>0</v>
      </c>
      <c r="ES53" s="1408" t="s">
        <v>753</v>
      </c>
    </row>
    <row r="54" spans="1:157" ht="12" customHeight="1">
      <c r="A54" s="792"/>
      <c r="B54" s="792"/>
      <c r="C54" s="118" t="s">
        <v>255</v>
      </c>
      <c r="D54" s="277"/>
      <c r="E54" s="277"/>
      <c r="F54" s="277"/>
      <c r="G54" s="277"/>
      <c r="H54" s="277"/>
      <c r="M54" s="277"/>
      <c r="R54" s="277"/>
      <c r="W54" s="277"/>
      <c r="AB54" s="277"/>
      <c r="AG54" s="277"/>
      <c r="AL54" s="277"/>
      <c r="AQ54" s="277"/>
      <c r="AV54" s="277"/>
      <c r="BA54" s="277"/>
      <c r="BF54" s="277"/>
      <c r="BG54" s="280"/>
      <c r="BH54" s="280"/>
      <c r="BI54" s="280"/>
      <c r="BJ54" s="280"/>
      <c r="BK54" s="277"/>
      <c r="BL54" s="280"/>
      <c r="BM54" s="280"/>
      <c r="BN54" s="280"/>
      <c r="BO54" s="280"/>
      <c r="BP54" s="277"/>
      <c r="BQ54" s="239">
        <v>-1.0649999999999999</v>
      </c>
      <c r="BR54" s="239">
        <v>0.13500000000000001</v>
      </c>
      <c r="BS54" s="239">
        <v>-0.41399999999999998</v>
      </c>
      <c r="BT54" s="239">
        <v>0.10999999999999988</v>
      </c>
      <c r="BU54" s="257">
        <f t="shared" si="255"/>
        <v>-1.234</v>
      </c>
      <c r="BV54" s="239">
        <v>0.57999999999999996</v>
      </c>
      <c r="BW54" s="239">
        <v>-1.0999999999999999E-2</v>
      </c>
      <c r="BX54" s="239">
        <v>-3.5000000000000003E-2</v>
      </c>
      <c r="BY54" s="239">
        <v>-0.2599999999999999</v>
      </c>
      <c r="BZ54" s="257">
        <f t="shared" si="256"/>
        <v>0.27400000000000002</v>
      </c>
      <c r="CA54" s="239">
        <v>0.14799999999999999</v>
      </c>
      <c r="CB54" s="239">
        <v>0.442</v>
      </c>
      <c r="CC54" s="239">
        <v>0.56200000000000006</v>
      </c>
      <c r="CD54" s="239">
        <v>0.15999999999999992</v>
      </c>
      <c r="CE54" s="257">
        <f t="shared" si="257"/>
        <v>1.3120000000000001</v>
      </c>
      <c r="CF54" s="239">
        <v>-0.218</v>
      </c>
      <c r="CG54" s="239">
        <v>-0.63600000000000001</v>
      </c>
      <c r="CH54" s="239">
        <v>0.106</v>
      </c>
      <c r="CI54" s="239">
        <v>-1.321</v>
      </c>
      <c r="CJ54" s="257">
        <f t="shared" si="258"/>
        <v>-2.069</v>
      </c>
      <c r="CK54" s="239">
        <v>-0.439</v>
      </c>
      <c r="CL54" s="239">
        <v>-1.232</v>
      </c>
      <c r="CM54" s="239">
        <v>-0.432</v>
      </c>
      <c r="CN54" s="239">
        <v>-0.74699999999999989</v>
      </c>
      <c r="CO54" s="257">
        <f t="shared" si="259"/>
        <v>-2.85</v>
      </c>
      <c r="CP54" s="239">
        <v>2.6419999999999999</v>
      </c>
      <c r="CQ54" s="239">
        <v>-1.8680000000000001</v>
      </c>
      <c r="CR54" s="239">
        <v>1.7000000000000001E-2</v>
      </c>
      <c r="CS54" s="239">
        <v>-0.12199999999999989</v>
      </c>
      <c r="CT54" s="257">
        <f t="shared" si="260"/>
        <v>0.66899999999999993</v>
      </c>
      <c r="CU54" s="239">
        <v>-2.2559999999999998</v>
      </c>
      <c r="CV54" s="239">
        <v>-9.7000000000000003E-2</v>
      </c>
      <c r="CW54" s="239">
        <v>6.7000000000000004E-2</v>
      </c>
      <c r="CX54" s="239">
        <v>2.5719999999999996</v>
      </c>
      <c r="CY54" s="257">
        <f t="shared" si="261"/>
        <v>0.28600000000000003</v>
      </c>
      <c r="CZ54" s="239">
        <v>-5.0759999999999996</v>
      </c>
      <c r="DA54" s="259">
        <v>-2.661</v>
      </c>
      <c r="DB54" s="259">
        <v>-3.694</v>
      </c>
      <c r="DC54" s="259">
        <f>-1.901-SUM(CZ54:DB54)</f>
        <v>9.5300000000000011</v>
      </c>
      <c r="DD54" s="257">
        <f t="shared" si="262"/>
        <v>-1.9009999999999998</v>
      </c>
      <c r="DE54" s="259">
        <v>2</v>
      </c>
      <c r="DF54" s="259">
        <v>-4</v>
      </c>
      <c r="DG54" s="259">
        <v>-2</v>
      </c>
      <c r="DH54" s="239">
        <f>1-DG54-DF54-DE54</f>
        <v>5</v>
      </c>
      <c r="DI54" s="257">
        <f t="shared" si="263"/>
        <v>1</v>
      </c>
      <c r="DJ54" s="239">
        <v>-4</v>
      </c>
      <c r="DK54" s="259">
        <v>2</v>
      </c>
      <c r="DL54" s="259">
        <v>16</v>
      </c>
      <c r="DM54" s="259">
        <v>-22</v>
      </c>
      <c r="DN54" s="257">
        <f t="shared" si="264"/>
        <v>-8</v>
      </c>
      <c r="DO54" s="239">
        <v>6</v>
      </c>
      <c r="DP54" s="259">
        <v>24</v>
      </c>
      <c r="DQ54" s="259">
        <f>-4</f>
        <v>-4</v>
      </c>
      <c r="DR54" s="239">
        <v>0</v>
      </c>
      <c r="DS54" s="257">
        <f t="shared" si="265"/>
        <v>26</v>
      </c>
      <c r="DT54" s="239">
        <v>-9</v>
      </c>
      <c r="DU54" s="259">
        <v>-7</v>
      </c>
      <c r="DV54" s="281">
        <v>0</v>
      </c>
      <c r="DW54" s="281">
        <v>0</v>
      </c>
      <c r="DX54" s="257">
        <f t="shared" si="266"/>
        <v>-16</v>
      </c>
      <c r="DY54" s="281">
        <v>0</v>
      </c>
      <c r="DZ54" s="281">
        <v>0</v>
      </c>
      <c r="EA54" s="281">
        <v>0</v>
      </c>
      <c r="EB54" s="281">
        <v>0</v>
      </c>
      <c r="EC54" s="257">
        <f t="shared" si="267"/>
        <v>0</v>
      </c>
      <c r="ED54" s="281">
        <v>0</v>
      </c>
      <c r="EE54" s="281">
        <v>0</v>
      </c>
      <c r="EF54" s="281">
        <v>0</v>
      </c>
      <c r="EG54" s="281">
        <v>0</v>
      </c>
      <c r="EH54" s="257">
        <f t="shared" si="268"/>
        <v>0</v>
      </c>
      <c r="EI54" s="281">
        <v>0</v>
      </c>
      <c r="EJ54" s="281">
        <v>0</v>
      </c>
      <c r="EK54" s="281">
        <v>0</v>
      </c>
      <c r="EL54" s="281">
        <v>0</v>
      </c>
      <c r="EM54" s="257">
        <f t="shared" si="269"/>
        <v>0</v>
      </c>
      <c r="EN54" s="281">
        <v>0</v>
      </c>
      <c r="EO54" s="281">
        <v>0</v>
      </c>
      <c r="EP54" s="281">
        <v>0</v>
      </c>
      <c r="EQ54" s="281">
        <v>0</v>
      </c>
      <c r="ER54" s="257">
        <f t="shared" si="270"/>
        <v>0</v>
      </c>
      <c r="ES54" s="417"/>
    </row>
    <row r="55" spans="1:157" s="291" customFormat="1" ht="12" customHeight="1">
      <c r="A55" s="792"/>
      <c r="B55" s="792"/>
      <c r="C55" s="253" t="s">
        <v>139</v>
      </c>
      <c r="D55" s="285"/>
      <c r="E55" s="285"/>
      <c r="F55" s="285"/>
      <c r="G55" s="285"/>
      <c r="H55" s="285"/>
      <c r="I55" s="253"/>
      <c r="J55" s="253"/>
      <c r="K55" s="253"/>
      <c r="L55" s="253"/>
      <c r="M55" s="285"/>
      <c r="N55" s="253"/>
      <c r="O55" s="253"/>
      <c r="P55" s="253"/>
      <c r="Q55" s="253"/>
      <c r="R55" s="285"/>
      <c r="S55" s="253"/>
      <c r="T55" s="253"/>
      <c r="U55" s="253"/>
      <c r="V55" s="253"/>
      <c r="W55" s="285"/>
      <c r="X55" s="253"/>
      <c r="Y55" s="253"/>
      <c r="Z55" s="253"/>
      <c r="AA55" s="253"/>
      <c r="AB55" s="285"/>
      <c r="AC55" s="253"/>
      <c r="AD55" s="253"/>
      <c r="AE55" s="253"/>
      <c r="AF55" s="253"/>
      <c r="AG55" s="285"/>
      <c r="AH55" s="253"/>
      <c r="AI55" s="253"/>
      <c r="AJ55" s="253"/>
      <c r="AK55" s="253"/>
      <c r="AL55" s="285"/>
      <c r="AM55" s="253"/>
      <c r="AN55" s="253"/>
      <c r="AO55" s="253"/>
      <c r="AP55" s="253"/>
      <c r="AQ55" s="285"/>
      <c r="AR55" s="253"/>
      <c r="AS55" s="253"/>
      <c r="AT55" s="253"/>
      <c r="AU55" s="253"/>
      <c r="AV55" s="285"/>
      <c r="AW55" s="253"/>
      <c r="AX55" s="253"/>
      <c r="AY55" s="253"/>
      <c r="AZ55" s="253"/>
      <c r="BA55" s="285"/>
      <c r="BB55" s="253"/>
      <c r="BC55" s="253"/>
      <c r="BD55" s="253"/>
      <c r="BE55" s="253"/>
      <c r="BF55" s="285"/>
      <c r="BG55" s="253"/>
      <c r="BH55" s="253"/>
      <c r="BI55" s="253"/>
      <c r="BJ55" s="253"/>
      <c r="BK55" s="285"/>
      <c r="BL55" s="253"/>
      <c r="BM55" s="253"/>
      <c r="BN55" s="253"/>
      <c r="BO55" s="253"/>
      <c r="BP55" s="285"/>
      <c r="BQ55" s="160">
        <f>SUM(BQ52:BQ54)</f>
        <v>-1.054</v>
      </c>
      <c r="BR55" s="160">
        <f>SUM(BR52:BR54)</f>
        <v>0.16500000000000001</v>
      </c>
      <c r="BS55" s="160">
        <f>SUM(BS52:BS54)</f>
        <v>-0.35699999999999998</v>
      </c>
      <c r="BT55" s="160">
        <f>SUM(BT52:BT54)</f>
        <v>0.21199999999999988</v>
      </c>
      <c r="BU55" s="286">
        <f t="shared" si="255"/>
        <v>-1.034</v>
      </c>
      <c r="BV55" s="287">
        <f>SUM(BV52:BV54)</f>
        <v>0.78299999999999992</v>
      </c>
      <c r="BW55" s="287">
        <f>SUM(BW52:BW54)</f>
        <v>0.22</v>
      </c>
      <c r="BX55" s="287">
        <f>SUM(BX52:BX54)</f>
        <v>0.36899999999999999</v>
      </c>
      <c r="BY55" s="287">
        <f>SUM(BY52:BY54)</f>
        <v>0.43800000000000006</v>
      </c>
      <c r="BZ55" s="286">
        <f t="shared" si="256"/>
        <v>1.81</v>
      </c>
      <c r="CA55" s="287">
        <f>SUM(CA52:CA54)</f>
        <v>0.86299999999999999</v>
      </c>
      <c r="CB55" s="287">
        <f>SUM(CB52:CB54)</f>
        <v>1.877</v>
      </c>
      <c r="CC55" s="287">
        <f>SUM(CC52:CC54)</f>
        <v>3.2960000000000003</v>
      </c>
      <c r="CD55" s="287">
        <f>SUM(CD52:CD54)</f>
        <v>3.1259999999999994</v>
      </c>
      <c r="CE55" s="286">
        <f t="shared" si="257"/>
        <v>9.161999999999999</v>
      </c>
      <c r="CF55" s="287">
        <f>SUM(CF52:CF54)</f>
        <v>4.431</v>
      </c>
      <c r="CG55" s="287">
        <f>SUM(CG52:CG54)</f>
        <v>6.8079999999999998</v>
      </c>
      <c r="CH55" s="287">
        <f>SUM(CH52:CH54)</f>
        <v>8.1839999999999993</v>
      </c>
      <c r="CI55" s="287">
        <f>SUM(CI52:CI54)</f>
        <v>7.9440000000000008</v>
      </c>
      <c r="CJ55" s="288">
        <f t="shared" si="258"/>
        <v>27.367000000000004</v>
      </c>
      <c r="CK55" s="287">
        <f>SUM(CK52:CK54)</f>
        <v>11.638999999999999</v>
      </c>
      <c r="CL55" s="287">
        <f>SUM(CL52:CL54)</f>
        <v>10.942</v>
      </c>
      <c r="CM55" s="287">
        <f>SUM(CM52:CM54)</f>
        <v>11.212</v>
      </c>
      <c r="CN55" s="287">
        <f>SUM(CN52:CN54)</f>
        <v>11.539000000000005</v>
      </c>
      <c r="CO55" s="1399">
        <f t="shared" si="259"/>
        <v>45.332000000000008</v>
      </c>
      <c r="CP55" s="287">
        <f>SUM(CP52:CP54)</f>
        <v>13.109</v>
      </c>
      <c r="CQ55" s="287">
        <f>SUM(CQ52:CQ54)</f>
        <v>4.0839999999999996</v>
      </c>
      <c r="CR55" s="287">
        <f>SUM(CR52:CR54)</f>
        <v>135.80600000000001</v>
      </c>
      <c r="CS55" s="287">
        <f>SUM(CS52:CS54)</f>
        <v>-2.7879999999999932</v>
      </c>
      <c r="CT55" s="1435">
        <f t="shared" si="260"/>
        <v>150.21100000000004</v>
      </c>
      <c r="CU55" s="287">
        <f>SUM(CU52:CU54)</f>
        <v>1250.645</v>
      </c>
      <c r="CV55" s="287">
        <f>SUM(CV52:CV54)</f>
        <v>779.87400000000002</v>
      </c>
      <c r="CW55" s="287">
        <f>SUM(CW52:CW54)</f>
        <v>1344.5530000000001</v>
      </c>
      <c r="CX55" s="287">
        <f>SUM(CX52:CX54)</f>
        <v>-503.12299999999965</v>
      </c>
      <c r="CY55" s="288">
        <f t="shared" si="261"/>
        <v>2871.9490000000005</v>
      </c>
      <c r="CZ55" s="287">
        <f>SUM(CZ52:CZ54)</f>
        <v>-1554.8809999999999</v>
      </c>
      <c r="DA55" s="287">
        <f>SUM(DA52:DA54)</f>
        <v>-1008.0419999999999</v>
      </c>
      <c r="DB55" s="287">
        <f>SUM(DB52:DB54)</f>
        <v>188.23300000000003</v>
      </c>
      <c r="DC55" s="287">
        <f>SUM(DC52:DC54)</f>
        <v>-425.85900000000026</v>
      </c>
      <c r="DD55" s="289">
        <f t="shared" si="262"/>
        <v>-2800.549</v>
      </c>
      <c r="DE55" s="287">
        <f>SUM(DE52:DE54)</f>
        <v>269</v>
      </c>
      <c r="DF55" s="287">
        <f>SUM(DF52:DF54)</f>
        <v>335</v>
      </c>
      <c r="DG55" s="287">
        <f>SUM(DG52:DG54)</f>
        <v>606</v>
      </c>
      <c r="DH55" s="290">
        <f>SUM(DH52:DH54)</f>
        <v>393</v>
      </c>
      <c r="DI55" s="289">
        <f t="shared" si="263"/>
        <v>1603</v>
      </c>
      <c r="DJ55" s="290">
        <f>SUM(DJ52:DJ54)</f>
        <v>-342</v>
      </c>
      <c r="DK55" s="290">
        <f>SUM(DK52:DK54)</f>
        <v>-38</v>
      </c>
      <c r="DL55" s="290">
        <f>SUM(DL52:DL54)</f>
        <v>577</v>
      </c>
      <c r="DM55" s="290">
        <f>SUM(DM52:DM54)</f>
        <v>956</v>
      </c>
      <c r="DN55" s="1428">
        <f t="shared" si="264"/>
        <v>1153</v>
      </c>
      <c r="DO55" s="290">
        <f>SUM(DO52:DO54)</f>
        <v>-973</v>
      </c>
      <c r="DP55" s="290">
        <f>SUM(DP52:DP54)</f>
        <v>788</v>
      </c>
      <c r="DQ55" s="290">
        <f>SUM(DQ52:DQ54)</f>
        <v>-35</v>
      </c>
      <c r="DR55" s="290">
        <f>SUM(DR52:DR54)</f>
        <v>261</v>
      </c>
      <c r="DS55" s="1428">
        <f t="shared" si="265"/>
        <v>41</v>
      </c>
      <c r="DT55" s="290">
        <f>SUM(DT52:DT54)</f>
        <v>-1016</v>
      </c>
      <c r="DU55" s="290">
        <f>SUM(DU52:DU54)</f>
        <v>1287</v>
      </c>
      <c r="DV55" s="287">
        <f>SUM(DV52:DV54)</f>
        <v>59.568739674149477</v>
      </c>
      <c r="DW55" s="287">
        <f>SUM(DW52:DW54)</f>
        <v>58.803898942016069</v>
      </c>
      <c r="DX55" s="289">
        <f t="shared" si="266"/>
        <v>389.37263861616555</v>
      </c>
      <c r="DY55" s="287">
        <f>SUM(DY52:DY54)</f>
        <v>58.803898942016069</v>
      </c>
      <c r="DZ55" s="287">
        <f>SUM(DZ52:DZ54)</f>
        <v>62.916774743740838</v>
      </c>
      <c r="EA55" s="287">
        <f>SUM(EA52:EA54)</f>
        <v>69.649964197457393</v>
      </c>
      <c r="EB55" s="287">
        <f>SUM(EB52:EB54)</f>
        <v>77.187781202858233</v>
      </c>
      <c r="EC55" s="289">
        <f t="shared" si="267"/>
        <v>268.55841908607255</v>
      </c>
      <c r="ED55" s="287">
        <f>SUM(ED52:ED54)</f>
        <v>77.187781202858233</v>
      </c>
      <c r="EE55" s="287">
        <f>SUM(EE52:EE54)</f>
        <v>81.361366708101812</v>
      </c>
      <c r="EF55" s="287">
        <f>SUM(EF52:EF54)</f>
        <v>88.560255683684588</v>
      </c>
      <c r="EG55" s="287">
        <f>SUM(EG52:EG54)</f>
        <v>96.201113597927105</v>
      </c>
      <c r="EH55" s="289">
        <f t="shared" si="268"/>
        <v>343.31051719257175</v>
      </c>
      <c r="EI55" s="287">
        <f>SUM(EI52:EI54)</f>
        <v>96.201113597927105</v>
      </c>
      <c r="EJ55" s="287">
        <f>SUM(EJ52:EJ54)</f>
        <v>99.872497767825948</v>
      </c>
      <c r="EK55" s="287">
        <f>SUM(EK52:EK54)</f>
        <v>107.70702805253735</v>
      </c>
      <c r="EL55" s="287">
        <f>SUM(EL52:EL54)</f>
        <v>115.95706136197533</v>
      </c>
      <c r="EM55" s="289">
        <f t="shared" si="269"/>
        <v>419.7377007802657</v>
      </c>
      <c r="EN55" s="287">
        <f>SUM(EN52:EN54)</f>
        <v>115.95706136197533</v>
      </c>
      <c r="EO55" s="287">
        <f>SUM(EO52:EO54)</f>
        <v>119.69463618518976</v>
      </c>
      <c r="EP55" s="287">
        <f>SUM(EP52:EP54)</f>
        <v>128.14875006753599</v>
      </c>
      <c r="EQ55" s="287">
        <f>SUM(EQ52:EQ54)</f>
        <v>137.08412957309875</v>
      </c>
      <c r="ER55" s="289">
        <f t="shared" si="270"/>
        <v>500.88457718779978</v>
      </c>
      <c r="ES55" s="913"/>
      <c r="ET55" s="133"/>
    </row>
    <row r="56" spans="1:157" s="275" customFormat="1" ht="12" customHeight="1">
      <c r="A56" s="792"/>
      <c r="B56" s="792"/>
      <c r="C56" s="248" t="s">
        <v>217</v>
      </c>
      <c r="D56" s="292"/>
      <c r="E56" s="292"/>
      <c r="F56" s="292"/>
      <c r="G56" s="292"/>
      <c r="H56" s="292"/>
      <c r="I56" s="293"/>
      <c r="J56" s="293"/>
      <c r="K56" s="293"/>
      <c r="L56" s="293"/>
      <c r="M56" s="292"/>
      <c r="N56" s="293"/>
      <c r="O56" s="293"/>
      <c r="P56" s="293"/>
      <c r="Q56" s="293"/>
      <c r="R56" s="292"/>
      <c r="S56" s="293"/>
      <c r="T56" s="293"/>
      <c r="U56" s="293"/>
      <c r="V56" s="293"/>
      <c r="W56" s="292"/>
      <c r="X56" s="293"/>
      <c r="Y56" s="293"/>
      <c r="Z56" s="293"/>
      <c r="AA56" s="293"/>
      <c r="AB56" s="292"/>
      <c r="AC56" s="293"/>
      <c r="AD56" s="293"/>
      <c r="AE56" s="293"/>
      <c r="AF56" s="293"/>
      <c r="AG56" s="292"/>
      <c r="AH56" s="293"/>
      <c r="AI56" s="293"/>
      <c r="AJ56" s="293"/>
      <c r="AK56" s="293"/>
      <c r="AL56" s="292"/>
      <c r="AM56" s="293"/>
      <c r="AN56" s="293"/>
      <c r="AO56" s="293"/>
      <c r="AP56" s="293"/>
      <c r="AQ56" s="292"/>
      <c r="AR56" s="293"/>
      <c r="AS56" s="293"/>
      <c r="AT56" s="293"/>
      <c r="AU56" s="293"/>
      <c r="AV56" s="292"/>
      <c r="AW56" s="293"/>
      <c r="AX56" s="293"/>
      <c r="AY56" s="293"/>
      <c r="AZ56" s="293"/>
      <c r="BA56" s="292"/>
      <c r="BB56" s="293"/>
      <c r="BC56" s="293"/>
      <c r="BD56" s="293"/>
      <c r="BE56" s="293"/>
      <c r="BF56" s="292"/>
      <c r="BG56" s="293"/>
      <c r="BH56" s="293"/>
      <c r="BI56" s="293"/>
      <c r="BJ56" s="293"/>
      <c r="BK56" s="292"/>
      <c r="BL56" s="293"/>
      <c r="BM56" s="293"/>
      <c r="BN56" s="293"/>
      <c r="BO56" s="293"/>
      <c r="BP56" s="292"/>
      <c r="BQ56" s="294">
        <f>BQ44+BQ55</f>
        <v>-4.5299999999999994</v>
      </c>
      <c r="BR56" s="251">
        <f>BR44+BR55</f>
        <v>-3.2959999999999985</v>
      </c>
      <c r="BS56" s="251">
        <f>BS44+BS55</f>
        <v>-4.6569999999999974</v>
      </c>
      <c r="BT56" s="251">
        <f>BT44+BT55</f>
        <v>-6.3069999999999986</v>
      </c>
      <c r="BU56" s="252">
        <f t="shared" si="255"/>
        <v>-18.789999999999992</v>
      </c>
      <c r="BV56" s="251">
        <f>BV44+BV55</f>
        <v>-8.9289999999999896</v>
      </c>
      <c r="BW56" s="251">
        <f>BW44+BW55</f>
        <v>-8.4390000000000054</v>
      </c>
      <c r="BX56" s="251">
        <f>BX44+BX55</f>
        <v>-9.1200000000000045</v>
      </c>
      <c r="BY56" s="251">
        <f>BY44+BY55</f>
        <v>-8.8670000000000204</v>
      </c>
      <c r="BZ56" s="252">
        <f t="shared" si="256"/>
        <v>-35.355000000000018</v>
      </c>
      <c r="CA56" s="1429">
        <f>CA44+CA55</f>
        <v>-13.597999999999985</v>
      </c>
      <c r="CB56" s="251">
        <f>CB44+CB55</f>
        <v>-14.029999999999996</v>
      </c>
      <c r="CC56" s="251">
        <f>CC44+CC55</f>
        <v>-9.3799999999999883</v>
      </c>
      <c r="CD56" s="251">
        <f>CD44+CD55</f>
        <v>-2.9870000000000285</v>
      </c>
      <c r="CE56" s="252">
        <f t="shared" si="257"/>
        <v>-39.994999999999997</v>
      </c>
      <c r="CF56" s="1429">
        <f>CF44+CF55</f>
        <v>-15.902000000000026</v>
      </c>
      <c r="CG56" s="251">
        <f>CG44+CG55</f>
        <v>-23.953000000000024</v>
      </c>
      <c r="CH56" s="251">
        <f>CH44+CH55</f>
        <v>-23.184000000000026</v>
      </c>
      <c r="CI56" s="251">
        <f>CI44+CI55</f>
        <v>-1.5140000000000544</v>
      </c>
      <c r="CJ56" s="252">
        <f t="shared" si="258"/>
        <v>-64.553000000000125</v>
      </c>
      <c r="CK56" s="251">
        <f>CK44+CK55</f>
        <v>-24.15100000000005</v>
      </c>
      <c r="CL56" s="251">
        <f>CL44+CL55</f>
        <v>-28.678000000000004</v>
      </c>
      <c r="CM56" s="251">
        <f>CM44+CM55</f>
        <v>-24.445999999999959</v>
      </c>
      <c r="CN56" s="251">
        <f>CN44+CN55</f>
        <v>-18.539999999999946</v>
      </c>
      <c r="CO56" s="252">
        <f t="shared" si="259"/>
        <v>-95.814999999999955</v>
      </c>
      <c r="CP56" s="251">
        <f>CP44+CP55</f>
        <v>-60.124000000000002</v>
      </c>
      <c r="CQ56" s="251">
        <f>CQ44+CQ55</f>
        <v>4.3680000000000483</v>
      </c>
      <c r="CR56" s="251">
        <f>CR44+CR55</f>
        <v>186.36700000000005</v>
      </c>
      <c r="CS56" s="251">
        <f>CS44+CS55</f>
        <v>109.75299999999994</v>
      </c>
      <c r="CT56" s="252">
        <f t="shared" ref="CT56:CT57" si="271">SUM(CP56:CS56)</f>
        <v>240.36400000000003</v>
      </c>
      <c r="CU56" s="251">
        <f>CU44+CU55</f>
        <v>1369.5439999999999</v>
      </c>
      <c r="CV56" s="251">
        <f>CV44+CV55</f>
        <v>919.31499999999994</v>
      </c>
      <c r="CW56" s="251">
        <f>CW44+CW55</f>
        <v>1340.4520000000002</v>
      </c>
      <c r="CX56" s="251">
        <f>CX44+CX55</f>
        <v>-488.71899999999943</v>
      </c>
      <c r="CY56" s="252">
        <f t="shared" si="261"/>
        <v>3140.5920000000006</v>
      </c>
      <c r="CZ56" s="1429">
        <f>CZ44+CZ55</f>
        <v>-1652.8569999999997</v>
      </c>
      <c r="DA56" s="251">
        <f>DA44+DA55</f>
        <v>-1198.25</v>
      </c>
      <c r="DB56" s="251">
        <f>DB44+DB55</f>
        <v>-157.13299999999995</v>
      </c>
      <c r="DC56" s="251">
        <f>DC44+DC55</f>
        <v>-614.60800000000017</v>
      </c>
      <c r="DD56" s="252">
        <f t="shared" si="262"/>
        <v>-3622.848</v>
      </c>
      <c r="DE56" s="1429">
        <f>DE44+DE55</f>
        <v>76</v>
      </c>
      <c r="DF56" s="251">
        <f>DF44+DF55</f>
        <v>-1301</v>
      </c>
      <c r="DG56" s="251">
        <f>DG44+DG55</f>
        <v>728</v>
      </c>
      <c r="DH56" s="295">
        <f>DH44+DH55</f>
        <v>682</v>
      </c>
      <c r="DI56" s="252">
        <f t="shared" si="263"/>
        <v>185</v>
      </c>
      <c r="DJ56" s="295">
        <f>DJ44+DJ55</f>
        <v>-256</v>
      </c>
      <c r="DK56" s="295">
        <f>DK44+DK55</f>
        <v>203</v>
      </c>
      <c r="DL56" s="295">
        <f>DL44+DL55</f>
        <v>860</v>
      </c>
      <c r="DM56" s="295">
        <f>DM44+DM55</f>
        <v>1421</v>
      </c>
      <c r="DN56" s="252">
        <f t="shared" si="264"/>
        <v>2228</v>
      </c>
      <c r="DO56" s="295">
        <f>DO44+DO55</f>
        <v>-770</v>
      </c>
      <c r="DP56" s="295">
        <f>DP44+DP55</f>
        <v>1079</v>
      </c>
      <c r="DQ56" s="295">
        <f>DQ44+DQ55</f>
        <v>308</v>
      </c>
      <c r="DR56" s="295">
        <f>DR44+DR55</f>
        <v>892</v>
      </c>
      <c r="DS56" s="252">
        <f t="shared" si="265"/>
        <v>1509</v>
      </c>
      <c r="DT56" s="295">
        <f>DT44+DT55</f>
        <v>-634</v>
      </c>
      <c r="DU56" s="295">
        <f>DU44+DU55</f>
        <v>1775</v>
      </c>
      <c r="DV56" s="251">
        <f>DV44+DV55</f>
        <v>609.83962833004409</v>
      </c>
      <c r="DW56" s="251">
        <f>DW44+DW55</f>
        <v>897.45107728573612</v>
      </c>
      <c r="DX56" s="252">
        <f t="shared" si="266"/>
        <v>2648.2907056157801</v>
      </c>
      <c r="DY56" s="251">
        <f>DY44+DY55</f>
        <v>591.80182986695399</v>
      </c>
      <c r="DZ56" s="251">
        <f>DZ44+DZ55</f>
        <v>752.22354121156502</v>
      </c>
      <c r="EA56" s="251">
        <f>EA44+EA55</f>
        <v>834.3979898654004</v>
      </c>
      <c r="EB56" s="251">
        <f>EB44+EB55</f>
        <v>1224.3975866875744</v>
      </c>
      <c r="EC56" s="252">
        <f t="shared" si="267"/>
        <v>3402.8209476314942</v>
      </c>
      <c r="ED56" s="251">
        <f>ED44+ED55</f>
        <v>743.60010117855211</v>
      </c>
      <c r="EE56" s="251">
        <f>EE44+EE55</f>
        <v>937.3740636251149</v>
      </c>
      <c r="EF56" s="251">
        <f>EF44+EF55</f>
        <v>1031.9989717600195</v>
      </c>
      <c r="EG56" s="251">
        <f>EG44+EG55</f>
        <v>1506.6757979570564</v>
      </c>
      <c r="EH56" s="252">
        <f t="shared" si="268"/>
        <v>4219.6489345207428</v>
      </c>
      <c r="EI56" s="251">
        <f>EI44+EI55</f>
        <v>915.08861039675594</v>
      </c>
      <c r="EJ56" s="251">
        <f>EJ44+EJ55</f>
        <v>1147.6276877185321</v>
      </c>
      <c r="EK56" s="251">
        <f>EK44+EK55</f>
        <v>1258.9635618292862</v>
      </c>
      <c r="EL56" s="251">
        <f>EL44+EL55</f>
        <v>1832.1688308152106</v>
      </c>
      <c r="EM56" s="252">
        <f t="shared" si="269"/>
        <v>5153.8486907597844</v>
      </c>
      <c r="EN56" s="251">
        <f>EN44+EN55</f>
        <v>1116.9242066725442</v>
      </c>
      <c r="EO56" s="251">
        <f>EO44+EO55</f>
        <v>1394.4028344225094</v>
      </c>
      <c r="EP56" s="251">
        <f>EP44+EP55</f>
        <v>1524.9901642448651</v>
      </c>
      <c r="EQ56" s="251">
        <f>EQ44+EQ55</f>
        <v>2210.3853642129379</v>
      </c>
      <c r="ER56" s="252">
        <f t="shared" si="270"/>
        <v>6246.7025695528564</v>
      </c>
      <c r="ES56" s="910">
        <f>+(EC56/DN56)^(0.333333333333333)-1</f>
        <v>0.1516167431444404</v>
      </c>
      <c r="ET56" s="133"/>
    </row>
    <row r="57" spans="1:157" s="253" customFormat="1" ht="12" customHeight="1">
      <c r="A57" s="792"/>
      <c r="B57" s="792"/>
      <c r="C57" s="265" t="s">
        <v>31</v>
      </c>
      <c r="D57" s="269"/>
      <c r="E57" s="269"/>
      <c r="F57" s="269"/>
      <c r="G57" s="269"/>
      <c r="H57" s="269"/>
      <c r="I57" s="270"/>
      <c r="J57" s="270"/>
      <c r="K57" s="270"/>
      <c r="L57" s="270"/>
      <c r="M57" s="269"/>
      <c r="N57" s="270"/>
      <c r="O57" s="270"/>
      <c r="P57" s="270"/>
      <c r="Q57" s="270"/>
      <c r="R57" s="269"/>
      <c r="S57" s="270"/>
      <c r="T57" s="270"/>
      <c r="U57" s="270"/>
      <c r="V57" s="270"/>
      <c r="W57" s="269"/>
      <c r="X57" s="270"/>
      <c r="Y57" s="270"/>
      <c r="Z57" s="270"/>
      <c r="AA57" s="270"/>
      <c r="AB57" s="269"/>
      <c r="AC57" s="270"/>
      <c r="AD57" s="270"/>
      <c r="AE57" s="270"/>
      <c r="AF57" s="270"/>
      <c r="AG57" s="269"/>
      <c r="AH57" s="270"/>
      <c r="AI57" s="270"/>
      <c r="AJ57" s="270"/>
      <c r="AK57" s="270"/>
      <c r="AL57" s="269"/>
      <c r="AM57" s="270"/>
      <c r="AN57" s="270"/>
      <c r="AO57" s="270"/>
      <c r="AP57" s="270"/>
      <c r="AQ57" s="269"/>
      <c r="AR57" s="270"/>
      <c r="AS57" s="270"/>
      <c r="AT57" s="270"/>
      <c r="AU57" s="270"/>
      <c r="AV57" s="269"/>
      <c r="AW57" s="270"/>
      <c r="AX57" s="270"/>
      <c r="AY57" s="270"/>
      <c r="AZ57" s="270"/>
      <c r="BA57" s="269"/>
      <c r="BB57" s="270"/>
      <c r="BC57" s="270"/>
      <c r="BD57" s="270"/>
      <c r="BE57" s="270"/>
      <c r="BF57" s="269"/>
      <c r="BG57" s="298"/>
      <c r="BH57" s="298"/>
      <c r="BI57" s="298"/>
      <c r="BJ57" s="298"/>
      <c r="BK57" s="269"/>
      <c r="BL57" s="298"/>
      <c r="BM57" s="298"/>
      <c r="BN57" s="298"/>
      <c r="BO57" s="298"/>
      <c r="BP57" s="269"/>
      <c r="BQ57" s="299">
        <v>0</v>
      </c>
      <c r="BR57" s="299">
        <v>0</v>
      </c>
      <c r="BS57" s="299">
        <v>0</v>
      </c>
      <c r="BT57" s="299">
        <v>0</v>
      </c>
      <c r="BU57" s="675">
        <f>SUM(BQ57:BT57)</f>
        <v>0</v>
      </c>
      <c r="BV57" s="299">
        <v>0</v>
      </c>
      <c r="BW57" s="299">
        <v>0</v>
      </c>
      <c r="BX57" s="299">
        <v>0</v>
      </c>
      <c r="BY57" s="299">
        <v>0</v>
      </c>
      <c r="BZ57" s="675">
        <f>SUM(BV57:BY57)</f>
        <v>0</v>
      </c>
      <c r="CA57" s="1431">
        <v>0</v>
      </c>
      <c r="CB57" s="299">
        <v>0</v>
      </c>
      <c r="CC57" s="299">
        <v>0</v>
      </c>
      <c r="CD57" s="299">
        <v>0</v>
      </c>
      <c r="CE57" s="675">
        <f t="shared" ref="CE57" si="272">SUM(CA57:CD57)</f>
        <v>0</v>
      </c>
      <c r="CF57" s="1431">
        <v>0</v>
      </c>
      <c r="CG57" s="299">
        <v>0</v>
      </c>
      <c r="CH57" s="299">
        <v>0</v>
      </c>
      <c r="CI57" s="299">
        <v>0</v>
      </c>
      <c r="CJ57" s="675">
        <f>SUM(CF57:CI57)</f>
        <v>0</v>
      </c>
      <c r="CK57" s="299">
        <v>0</v>
      </c>
      <c r="CL57" s="299">
        <v>0</v>
      </c>
      <c r="CM57" s="299">
        <v>-48.338000000000001</v>
      </c>
      <c r="CN57" s="299">
        <v>19.311</v>
      </c>
      <c r="CO57" s="675">
        <f t="shared" si="259"/>
        <v>-29.027000000000001</v>
      </c>
      <c r="CP57" s="299">
        <v>28.695</v>
      </c>
      <c r="CQ57" s="299">
        <v>31.63</v>
      </c>
      <c r="CR57" s="299">
        <v>4.7009999999999996</v>
      </c>
      <c r="CS57" s="299">
        <v>14.119</v>
      </c>
      <c r="CT57" s="675">
        <f t="shared" si="271"/>
        <v>79.144999999999996</v>
      </c>
      <c r="CU57" s="299">
        <v>-111.099</v>
      </c>
      <c r="CV57" s="299">
        <v>-40.222000000000001</v>
      </c>
      <c r="CW57" s="299">
        <v>-192.02</v>
      </c>
      <c r="CX57" s="299">
        <v>117.408</v>
      </c>
      <c r="CY57" s="675">
        <f t="shared" si="261"/>
        <v>-225.93299999999999</v>
      </c>
      <c r="CZ57" s="1431">
        <v>178.44900000000001</v>
      </c>
      <c r="DA57" s="299">
        <v>-5.657</v>
      </c>
      <c r="DB57" s="299">
        <v>-1.276</v>
      </c>
      <c r="DC57" s="299">
        <f>162.43-SUM(CZ57:DB57)</f>
        <v>-9.0859999999999843</v>
      </c>
      <c r="DD57" s="675">
        <f t="shared" si="262"/>
        <v>162.43</v>
      </c>
      <c r="DE57" s="1431">
        <v>-8</v>
      </c>
      <c r="DF57" s="299">
        <v>-10</v>
      </c>
      <c r="DG57" s="299">
        <v>-10</v>
      </c>
      <c r="DH57" s="1431">
        <f>-53-DG57-DF57-DE57</f>
        <v>-25</v>
      </c>
      <c r="DI57" s="675">
        <f t="shared" si="263"/>
        <v>-53</v>
      </c>
      <c r="DJ57" s="300">
        <v>-17</v>
      </c>
      <c r="DK57" s="300">
        <v>-32</v>
      </c>
      <c r="DL57" s="300">
        <v>-32</v>
      </c>
      <c r="DM57" s="300">
        <v>-128</v>
      </c>
      <c r="DN57" s="675">
        <f t="shared" si="264"/>
        <v>-209</v>
      </c>
      <c r="DO57" s="1276">
        <v>88</v>
      </c>
      <c r="DP57" s="300">
        <v>-173</v>
      </c>
      <c r="DQ57" s="300">
        <v>-44</v>
      </c>
      <c r="DR57" s="1431">
        <v>-149</v>
      </c>
      <c r="DS57" s="675">
        <f t="shared" si="265"/>
        <v>-278</v>
      </c>
      <c r="DT57" s="1276">
        <v>53</v>
      </c>
      <c r="DU57" s="300">
        <v>-273</v>
      </c>
      <c r="DV57" s="674">
        <f>-DV58*DV56</f>
        <v>-106.72193495775771</v>
      </c>
      <c r="DW57" s="674">
        <f>-DW58*DW56</f>
        <v>-157.05393852500382</v>
      </c>
      <c r="DX57" s="675">
        <f t="shared" si="266"/>
        <v>-483.77587348276154</v>
      </c>
      <c r="DY57" s="674">
        <f>-DY58*DY56</f>
        <v>-109.48333852538649</v>
      </c>
      <c r="DZ57" s="674">
        <f>-DZ58*DZ56</f>
        <v>-128.63022554717762</v>
      </c>
      <c r="EA57" s="674">
        <f>-EA58*EA56</f>
        <v>-143.51645425684885</v>
      </c>
      <c r="EB57" s="674">
        <f>-EB58*EB56</f>
        <v>-210.59638491026277</v>
      </c>
      <c r="EC57" s="675">
        <f t="shared" si="267"/>
        <v>-592.22640323967562</v>
      </c>
      <c r="ED57" s="674">
        <f>-ED58*ED56</f>
        <v>-137.56601871803213</v>
      </c>
      <c r="EE57" s="674">
        <f>-EE58*EE56</f>
        <v>-160.29096487989466</v>
      </c>
      <c r="EF57" s="674">
        <f>-EF58*EF56</f>
        <v>-177.50382314272332</v>
      </c>
      <c r="EG57" s="674">
        <f>-EG58*EG56</f>
        <v>-259.14823724861367</v>
      </c>
      <c r="EH57" s="675">
        <f t="shared" si="268"/>
        <v>-734.50904398926377</v>
      </c>
      <c r="EI57" s="674">
        <f>-EI58*EI56</f>
        <v>-169.29139292339985</v>
      </c>
      <c r="EJ57" s="674">
        <f>-EJ58*EJ56</f>
        <v>-196.24433459986901</v>
      </c>
      <c r="EK57" s="674">
        <f>-EK58*EK56</f>
        <v>-216.54173263463721</v>
      </c>
      <c r="EL57" s="674">
        <f>-EL58*EL56</f>
        <v>-315.13303890021621</v>
      </c>
      <c r="EM57" s="675">
        <f t="shared" si="269"/>
        <v>-897.21049905812231</v>
      </c>
      <c r="EN57" s="674">
        <f>-EN58*EN56</f>
        <v>-206.63097823442067</v>
      </c>
      <c r="EO57" s="674">
        <f>-EO58*EO56</f>
        <v>-238.44288468624913</v>
      </c>
      <c r="EP57" s="674">
        <f>-EP58*EP56</f>
        <v>-262.2983082501168</v>
      </c>
      <c r="EQ57" s="674">
        <f>-EQ58*EQ56</f>
        <v>-380.18628264462529</v>
      </c>
      <c r="ER57" s="675">
        <f t="shared" si="270"/>
        <v>-1087.5584538154119</v>
      </c>
      <c r="ES57" s="914"/>
      <c r="ET57" s="133"/>
    </row>
    <row r="58" spans="1:157" s="308" customFormat="1" ht="12" customHeight="1">
      <c r="A58" s="792"/>
      <c r="B58" s="792"/>
      <c r="C58" s="630" t="s">
        <v>218</v>
      </c>
      <c r="D58" s="631"/>
      <c r="E58" s="631"/>
      <c r="F58" s="631"/>
      <c r="G58" s="631"/>
      <c r="H58" s="631"/>
      <c r="I58" s="632"/>
      <c r="J58" s="632"/>
      <c r="K58" s="632"/>
      <c r="L58" s="632"/>
      <c r="M58" s="631"/>
      <c r="N58" s="632"/>
      <c r="O58" s="632"/>
      <c r="P58" s="632"/>
      <c r="Q58" s="632"/>
      <c r="R58" s="631"/>
      <c r="S58" s="632"/>
      <c r="T58" s="632"/>
      <c r="U58" s="632"/>
      <c r="V58" s="632"/>
      <c r="W58" s="631"/>
      <c r="X58" s="632"/>
      <c r="Y58" s="632"/>
      <c r="Z58" s="632"/>
      <c r="AA58" s="632"/>
      <c r="AB58" s="631"/>
      <c r="AC58" s="632"/>
      <c r="AD58" s="632"/>
      <c r="AE58" s="632"/>
      <c r="AF58" s="632"/>
      <c r="AG58" s="631"/>
      <c r="AH58" s="632"/>
      <c r="AI58" s="632"/>
      <c r="AJ58" s="632"/>
      <c r="AK58" s="632"/>
      <c r="AL58" s="631"/>
      <c r="AM58" s="632"/>
      <c r="AN58" s="632"/>
      <c r="AO58" s="632"/>
      <c r="AP58" s="632"/>
      <c r="AQ58" s="631"/>
      <c r="AR58" s="632"/>
      <c r="AS58" s="632"/>
      <c r="AT58" s="632"/>
      <c r="AU58" s="632"/>
      <c r="AV58" s="631"/>
      <c r="AW58" s="632"/>
      <c r="AX58" s="632"/>
      <c r="AY58" s="632"/>
      <c r="AZ58" s="632"/>
      <c r="BA58" s="631"/>
      <c r="BB58" s="632"/>
      <c r="BC58" s="632"/>
      <c r="BD58" s="632"/>
      <c r="BE58" s="632"/>
      <c r="BF58" s="631"/>
      <c r="BG58" s="632"/>
      <c r="BH58" s="632"/>
      <c r="BI58" s="632"/>
      <c r="BJ58" s="632"/>
      <c r="BK58" s="631"/>
      <c r="BL58" s="632"/>
      <c r="BM58" s="632"/>
      <c r="BN58" s="632"/>
      <c r="BO58" s="632"/>
      <c r="BP58" s="631"/>
      <c r="BQ58" s="310">
        <f t="shared" ref="BQ58:CD58" si="273">-BQ60/BQ56</f>
        <v>0</v>
      </c>
      <c r="BR58" s="310">
        <f t="shared" si="273"/>
        <v>0</v>
      </c>
      <c r="BS58" s="310">
        <f t="shared" si="273"/>
        <v>0</v>
      </c>
      <c r="BT58" s="310">
        <f t="shared" si="273"/>
        <v>0</v>
      </c>
      <c r="BU58" s="1432">
        <f t="shared" si="273"/>
        <v>0</v>
      </c>
      <c r="BV58" s="310">
        <f t="shared" si="273"/>
        <v>0</v>
      </c>
      <c r="BW58" s="310">
        <f t="shared" si="273"/>
        <v>0</v>
      </c>
      <c r="BX58" s="310">
        <f t="shared" si="273"/>
        <v>0</v>
      </c>
      <c r="BY58" s="310">
        <f t="shared" si="273"/>
        <v>0</v>
      </c>
      <c r="BZ58" s="309">
        <f t="shared" si="273"/>
        <v>0</v>
      </c>
      <c r="CA58" s="310">
        <f t="shared" si="273"/>
        <v>0</v>
      </c>
      <c r="CB58" s="310">
        <f t="shared" si="273"/>
        <v>0</v>
      </c>
      <c r="CC58" s="310">
        <f t="shared" si="273"/>
        <v>0</v>
      </c>
      <c r="CD58" s="310">
        <f t="shared" si="273"/>
        <v>0</v>
      </c>
      <c r="CE58" s="504">
        <f>SUM(CA58:CD58)</f>
        <v>0</v>
      </c>
      <c r="CF58" s="310">
        <f t="shared" ref="CF58:DP58" si="274">-CF60/CF56</f>
        <v>0</v>
      </c>
      <c r="CG58" s="310">
        <f t="shared" si="274"/>
        <v>0</v>
      </c>
      <c r="CH58" s="310">
        <f t="shared" si="274"/>
        <v>0</v>
      </c>
      <c r="CI58" s="310">
        <f t="shared" si="274"/>
        <v>0</v>
      </c>
      <c r="CJ58" s="1432">
        <f t="shared" si="274"/>
        <v>0</v>
      </c>
      <c r="CK58" s="310">
        <f t="shared" si="274"/>
        <v>0</v>
      </c>
      <c r="CL58" s="310">
        <f t="shared" si="274"/>
        <v>0</v>
      </c>
      <c r="CM58" s="310">
        <f t="shared" si="274"/>
        <v>-1.9773378057759994</v>
      </c>
      <c r="CN58" s="310">
        <f t="shared" si="274"/>
        <v>1.0415857605178025</v>
      </c>
      <c r="CO58" s="309">
        <f t="shared" si="274"/>
        <v>-0.30294839012680702</v>
      </c>
      <c r="CP58" s="310">
        <f t="shared" si="274"/>
        <v>0.47726365511276692</v>
      </c>
      <c r="CQ58" s="310">
        <f t="shared" si="274"/>
        <v>-7.241300366300286</v>
      </c>
      <c r="CR58" s="310">
        <f t="shared" si="274"/>
        <v>-2.5224422778710814E-2</v>
      </c>
      <c r="CS58" s="310">
        <f t="shared" si="274"/>
        <v>-0.12864340838063659</v>
      </c>
      <c r="CT58" s="309">
        <f t="shared" si="274"/>
        <v>-0.32927143831855016</v>
      </c>
      <c r="CU58" s="310">
        <f t="shared" si="274"/>
        <v>8.1121161496089222E-2</v>
      </c>
      <c r="CV58" s="310">
        <f t="shared" si="274"/>
        <v>4.3752141540168502E-2</v>
      </c>
      <c r="CW58" s="310">
        <f t="shared" si="274"/>
        <v>0.14325018725027078</v>
      </c>
      <c r="CX58" s="310">
        <f t="shared" si="274"/>
        <v>0.2402362093554786</v>
      </c>
      <c r="CY58" s="309">
        <f t="shared" si="274"/>
        <v>7.1939621574531154E-2</v>
      </c>
      <c r="CZ58" s="310">
        <f t="shared" si="274"/>
        <v>0.10796396784476821</v>
      </c>
      <c r="DA58" s="310">
        <f t="shared" si="274"/>
        <v>-4.7210515334863345E-3</v>
      </c>
      <c r="DB58" s="310">
        <f t="shared" si="274"/>
        <v>-8.1205093774064027E-3</v>
      </c>
      <c r="DC58" s="310">
        <f t="shared" si="274"/>
        <v>-1.4783406659203885E-2</v>
      </c>
      <c r="DD58" s="309">
        <f t="shared" si="274"/>
        <v>4.4834892327803987E-2</v>
      </c>
      <c r="DE58" s="310">
        <f t="shared" si="274"/>
        <v>0.10526315789473684</v>
      </c>
      <c r="DF58" s="310">
        <f t="shared" si="274"/>
        <v>-7.6863950807071479E-3</v>
      </c>
      <c r="DG58" s="310">
        <f t="shared" si="274"/>
        <v>1.3736263736263736E-2</v>
      </c>
      <c r="DH58" s="310">
        <f t="shared" si="274"/>
        <v>3.6656891495601175E-2</v>
      </c>
      <c r="DI58" s="1432">
        <f t="shared" si="274"/>
        <v>0.2864864864864865</v>
      </c>
      <c r="DJ58" s="310">
        <f t="shared" si="274"/>
        <v>-6.640625E-2</v>
      </c>
      <c r="DK58" s="310">
        <f t="shared" si="274"/>
        <v>0.15763546798029557</v>
      </c>
      <c r="DL58" s="310">
        <f t="shared" si="274"/>
        <v>3.7209302325581395E-2</v>
      </c>
      <c r="DM58" s="310">
        <f t="shared" si="274"/>
        <v>9.0077410274454608E-2</v>
      </c>
      <c r="DN58" s="309">
        <f t="shared" si="274"/>
        <v>9.380610412926392E-2</v>
      </c>
      <c r="DO58" s="310">
        <f t="shared" si="274"/>
        <v>0.11428571428571428</v>
      </c>
      <c r="DP58" s="310">
        <f t="shared" si="274"/>
        <v>0.1603336422613531</v>
      </c>
      <c r="DQ58" s="310">
        <f t="shared" ref="DQ58" si="275">-DQ60/DQ56</f>
        <v>0.14285714285714285</v>
      </c>
      <c r="DR58" s="310">
        <f>-DR60/DR56</f>
        <v>0.16704035874439463</v>
      </c>
      <c r="DS58" s="309">
        <f>-DS60/DS56</f>
        <v>0.18422796554009277</v>
      </c>
      <c r="DT58" s="310">
        <f t="shared" ref="DT58:DU58" si="276">-DT60/DT56</f>
        <v>8.3596214511041003E-2</v>
      </c>
      <c r="DU58" s="310">
        <f t="shared" si="276"/>
        <v>0.15380281690140846</v>
      </c>
      <c r="DV58" s="311">
        <v>0.17499999999999999</v>
      </c>
      <c r="DW58" s="311">
        <v>0.17499999999999999</v>
      </c>
      <c r="DX58" s="309">
        <f>-DX60/DX56</f>
        <v>0.182674761670575</v>
      </c>
      <c r="DY58" s="311">
        <v>0.185</v>
      </c>
      <c r="DZ58" s="311">
        <v>0.17100000000000001</v>
      </c>
      <c r="EA58" s="311">
        <v>0.17199999999999999</v>
      </c>
      <c r="EB58" s="311">
        <v>0.17199999999999999</v>
      </c>
      <c r="EC58" s="309">
        <f t="shared" ref="EC58" si="277">-EC60/EC56</f>
        <v>0.17403983705104731</v>
      </c>
      <c r="ED58" s="311">
        <v>0.185</v>
      </c>
      <c r="EE58" s="311">
        <v>0.17100000000000001</v>
      </c>
      <c r="EF58" s="311">
        <v>0.17199999999999999</v>
      </c>
      <c r="EG58" s="311">
        <v>0.17199999999999999</v>
      </c>
      <c r="EH58" s="309">
        <f t="shared" ref="EH58:ER58" si="278">-EH60/EH56</f>
        <v>0.17406875675847841</v>
      </c>
      <c r="EI58" s="311">
        <v>0.185</v>
      </c>
      <c r="EJ58" s="311">
        <v>0.17100000000000001</v>
      </c>
      <c r="EK58" s="311">
        <v>0.17199999999999999</v>
      </c>
      <c r="EL58" s="311">
        <v>0.17199999999999999</v>
      </c>
      <c r="EM58" s="309">
        <f t="shared" si="278"/>
        <v>0.17408553352889661</v>
      </c>
      <c r="EN58" s="311">
        <v>0.185</v>
      </c>
      <c r="EO58" s="311">
        <v>0.17100000000000001</v>
      </c>
      <c r="EP58" s="311">
        <v>0.17199999999999999</v>
      </c>
      <c r="EQ58" s="311">
        <v>0.17199999999999999</v>
      </c>
      <c r="ER58" s="309">
        <f t="shared" si="278"/>
        <v>0.17410120646952143</v>
      </c>
      <c r="ES58" s="758"/>
      <c r="ET58" s="133"/>
    </row>
    <row r="59" spans="1:157" s="306" customFormat="1" ht="12" customHeight="1">
      <c r="A59" s="792"/>
      <c r="B59" s="792"/>
      <c r="C59" s="301" t="s">
        <v>51</v>
      </c>
      <c r="D59" s="302"/>
      <c r="E59" s="302"/>
      <c r="F59" s="302"/>
      <c r="G59" s="302"/>
      <c r="H59" s="302"/>
      <c r="I59" s="303"/>
      <c r="J59" s="303"/>
      <c r="K59" s="303"/>
      <c r="L59" s="303"/>
      <c r="M59" s="302"/>
      <c r="N59" s="303"/>
      <c r="O59" s="303"/>
      <c r="P59" s="303"/>
      <c r="Q59" s="303"/>
      <c r="R59" s="302"/>
      <c r="S59" s="303"/>
      <c r="T59" s="303"/>
      <c r="U59" s="303"/>
      <c r="V59" s="303"/>
      <c r="W59" s="302"/>
      <c r="X59" s="303"/>
      <c r="Y59" s="303"/>
      <c r="Z59" s="303"/>
      <c r="AA59" s="303"/>
      <c r="AB59" s="302"/>
      <c r="AC59" s="303"/>
      <c r="AD59" s="303"/>
      <c r="AE59" s="303"/>
      <c r="AF59" s="303"/>
      <c r="AG59" s="302"/>
      <c r="AH59" s="303"/>
      <c r="AI59" s="303"/>
      <c r="AJ59" s="303"/>
      <c r="AK59" s="303"/>
      <c r="AL59" s="302"/>
      <c r="AM59" s="303"/>
      <c r="AN59" s="303"/>
      <c r="AO59" s="303"/>
      <c r="AP59" s="303"/>
      <c r="AQ59" s="302"/>
      <c r="AR59" s="303"/>
      <c r="AS59" s="303"/>
      <c r="AT59" s="303"/>
      <c r="AU59" s="303"/>
      <c r="AV59" s="302"/>
      <c r="AW59" s="303"/>
      <c r="AX59" s="303"/>
      <c r="AY59" s="303"/>
      <c r="AZ59" s="303"/>
      <c r="BA59" s="302"/>
      <c r="BB59" s="303"/>
      <c r="BC59" s="303"/>
      <c r="BD59" s="303"/>
      <c r="BE59" s="303"/>
      <c r="BF59" s="302"/>
      <c r="BG59" s="303"/>
      <c r="BH59" s="303"/>
      <c r="BI59" s="303"/>
      <c r="BJ59" s="303"/>
      <c r="BK59" s="302"/>
      <c r="BL59" s="303"/>
      <c r="BM59" s="303"/>
      <c r="BN59" s="303"/>
      <c r="BO59" s="303"/>
      <c r="BP59" s="302"/>
      <c r="BQ59" s="1397">
        <v>0</v>
      </c>
      <c r="BR59" s="1398">
        <v>0</v>
      </c>
      <c r="BS59" s="1398">
        <v>0</v>
      </c>
      <c r="BT59" s="1398">
        <v>0</v>
      </c>
      <c r="BU59" s="1399">
        <f>SUM(BQ59:BT59)</f>
        <v>0</v>
      </c>
      <c r="BV59" s="1397">
        <v>0</v>
      </c>
      <c r="BW59" s="1398">
        <v>0</v>
      </c>
      <c r="BX59" s="1398">
        <v>0</v>
      </c>
      <c r="BY59" s="1398">
        <v>0</v>
      </c>
      <c r="BZ59" s="1399">
        <f>SUM(BV59:BY59)</f>
        <v>0</v>
      </c>
      <c r="CA59" s="1398">
        <v>0</v>
      </c>
      <c r="CB59" s="1398">
        <v>0</v>
      </c>
      <c r="CC59" s="1398">
        <v>0</v>
      </c>
      <c r="CD59" s="1398">
        <v>0</v>
      </c>
      <c r="CE59" s="1399">
        <f>SUM(CA59:CD59)</f>
        <v>0</v>
      </c>
      <c r="CF59" s="1398">
        <v>0</v>
      </c>
      <c r="CG59" s="1398">
        <v>0</v>
      </c>
      <c r="CH59" s="1398">
        <v>0</v>
      </c>
      <c r="CI59" s="1398">
        <v>0</v>
      </c>
      <c r="CJ59" s="1399">
        <f>SUM(CF59:CI59)</f>
        <v>0</v>
      </c>
      <c r="CK59" s="1397">
        <v>0</v>
      </c>
      <c r="CL59" s="1398">
        <v>0</v>
      </c>
      <c r="CM59" s="1398">
        <v>0</v>
      </c>
      <c r="CN59" s="1398">
        <v>0</v>
      </c>
      <c r="CO59" s="1399">
        <f>SUM(CK59:CN59)</f>
        <v>0</v>
      </c>
      <c r="CP59" s="1397">
        <v>0</v>
      </c>
      <c r="CQ59" s="1398">
        <v>0</v>
      </c>
      <c r="CR59" s="1398">
        <v>0</v>
      </c>
      <c r="CS59" s="1398">
        <v>0</v>
      </c>
      <c r="CT59" s="1399">
        <f>SUM(CP59:CS59)</f>
        <v>0</v>
      </c>
      <c r="CU59" s="1397">
        <v>0</v>
      </c>
      <c r="CV59" s="1398">
        <v>0</v>
      </c>
      <c r="CW59" s="1398">
        <v>0</v>
      </c>
      <c r="CX59" s="1398">
        <v>0</v>
      </c>
      <c r="CY59" s="1399">
        <f>SUM(CU59:CX59)</f>
        <v>0</v>
      </c>
      <c r="CZ59" s="1398">
        <v>0</v>
      </c>
      <c r="DA59" s="1398">
        <v>0</v>
      </c>
      <c r="DB59" s="1398">
        <v>0</v>
      </c>
      <c r="DC59" s="1398">
        <v>0</v>
      </c>
      <c r="DD59" s="1399">
        <f>SUM(CZ59:DC59)</f>
        <v>0</v>
      </c>
      <c r="DE59" s="1398">
        <v>0</v>
      </c>
      <c r="DF59" s="1398">
        <v>0</v>
      </c>
      <c r="DG59" s="1398">
        <v>0</v>
      </c>
      <c r="DH59" s="1398">
        <v>0</v>
      </c>
      <c r="DI59" s="1399">
        <f>SUM(DE59:DH59)</f>
        <v>0</v>
      </c>
      <c r="DJ59" s="1397">
        <v>0</v>
      </c>
      <c r="DK59" s="1398">
        <v>0</v>
      </c>
      <c r="DL59" s="1398">
        <v>0</v>
      </c>
      <c r="DM59" s="1398">
        <v>0</v>
      </c>
      <c r="DN59" s="1399">
        <f>SUM(DJ59:DM59)</f>
        <v>0</v>
      </c>
      <c r="DO59" s="1397">
        <v>0</v>
      </c>
      <c r="DP59" s="1398">
        <v>0</v>
      </c>
      <c r="DQ59" s="1398">
        <v>0</v>
      </c>
      <c r="DR59" s="1398">
        <v>0</v>
      </c>
      <c r="DS59" s="257">
        <f t="shared" ref="DS59" si="279">SUM(DO59:DR59)</f>
        <v>0</v>
      </c>
      <c r="DT59" s="1397">
        <v>0</v>
      </c>
      <c r="DU59" s="1398">
        <v>0</v>
      </c>
      <c r="DV59" s="281">
        <f>DU59</f>
        <v>0</v>
      </c>
      <c r="DW59" s="281">
        <f>DV59</f>
        <v>0</v>
      </c>
      <c r="DX59" s="257">
        <f t="shared" ref="DX59" si="280">SUM(DT59:DW59)</f>
        <v>0</v>
      </c>
      <c r="DY59" s="281">
        <f>DW59</f>
        <v>0</v>
      </c>
      <c r="DZ59" s="281">
        <f>DY59</f>
        <v>0</v>
      </c>
      <c r="EA59" s="281">
        <f>DZ59</f>
        <v>0</v>
      </c>
      <c r="EB59" s="281">
        <f>EA59</f>
        <v>0</v>
      </c>
      <c r="EC59" s="1427">
        <f t="shared" ref="EC59" si="281">SUM(DY59:EB59)</f>
        <v>0</v>
      </c>
      <c r="ED59" s="281">
        <f>EB59</f>
        <v>0</v>
      </c>
      <c r="EE59" s="281">
        <f>ED59</f>
        <v>0</v>
      </c>
      <c r="EF59" s="281">
        <f>EE59</f>
        <v>0</v>
      </c>
      <c r="EG59" s="281">
        <f>EF59</f>
        <v>0</v>
      </c>
      <c r="EH59" s="1427">
        <f t="shared" ref="EH59" si="282">SUM(ED59:EG59)</f>
        <v>0</v>
      </c>
      <c r="EI59" s="281">
        <f>EG59</f>
        <v>0</v>
      </c>
      <c r="EJ59" s="281">
        <f>EI59</f>
        <v>0</v>
      </c>
      <c r="EK59" s="281">
        <f>EJ59</f>
        <v>0</v>
      </c>
      <c r="EL59" s="281">
        <f>EK59</f>
        <v>0</v>
      </c>
      <c r="EM59" s="1427">
        <f t="shared" ref="EM59" si="283">SUM(EI59:EL59)</f>
        <v>0</v>
      </c>
      <c r="EN59" s="281">
        <f>EL59</f>
        <v>0</v>
      </c>
      <c r="EO59" s="281">
        <f>EN59</f>
        <v>0</v>
      </c>
      <c r="EP59" s="281">
        <f>EO59</f>
        <v>0</v>
      </c>
      <c r="EQ59" s="281">
        <f>EP59</f>
        <v>0</v>
      </c>
      <c r="ER59" s="1427">
        <f t="shared" ref="ER59" si="284">SUM(EN59:EQ59)</f>
        <v>0</v>
      </c>
      <c r="ES59" s="915"/>
      <c r="ET59" s="305"/>
    </row>
    <row r="60" spans="1:157" s="253" customFormat="1" ht="12" customHeight="1">
      <c r="A60" s="792"/>
      <c r="B60" s="792"/>
      <c r="C60" s="265" t="s">
        <v>174</v>
      </c>
      <c r="D60" s="269"/>
      <c r="E60" s="269"/>
      <c r="F60" s="269"/>
      <c r="G60" s="269"/>
      <c r="H60" s="269"/>
      <c r="I60" s="270"/>
      <c r="J60" s="270"/>
      <c r="K60" s="270"/>
      <c r="L60" s="270"/>
      <c r="M60" s="269"/>
      <c r="N60" s="270"/>
      <c r="O60" s="270"/>
      <c r="P60" s="270"/>
      <c r="Q60" s="270"/>
      <c r="R60" s="269"/>
      <c r="S60" s="270"/>
      <c r="T60" s="270"/>
      <c r="U60" s="270"/>
      <c r="V60" s="270"/>
      <c r="W60" s="269"/>
      <c r="X60" s="270"/>
      <c r="Y60" s="270"/>
      <c r="Z60" s="270"/>
      <c r="AA60" s="270"/>
      <c r="AB60" s="269"/>
      <c r="AC60" s="270"/>
      <c r="AD60" s="270"/>
      <c r="AE60" s="270"/>
      <c r="AF60" s="270"/>
      <c r="AG60" s="269"/>
      <c r="AH60" s="270"/>
      <c r="AI60" s="270"/>
      <c r="AJ60" s="270"/>
      <c r="AK60" s="270"/>
      <c r="AL60" s="269"/>
      <c r="AM60" s="270"/>
      <c r="AN60" s="270"/>
      <c r="AO60" s="270"/>
      <c r="AP60" s="270"/>
      <c r="AQ60" s="269"/>
      <c r="AR60" s="270"/>
      <c r="AS60" s="270"/>
      <c r="AT60" s="270"/>
      <c r="AU60" s="270"/>
      <c r="AV60" s="269"/>
      <c r="AW60" s="270"/>
      <c r="AX60" s="270"/>
      <c r="AY60" s="270"/>
      <c r="AZ60" s="270"/>
      <c r="BA60" s="269"/>
      <c r="BB60" s="270"/>
      <c r="BC60" s="270"/>
      <c r="BD60" s="270"/>
      <c r="BE60" s="270"/>
      <c r="BF60" s="269"/>
      <c r="BG60" s="270"/>
      <c r="BH60" s="270"/>
      <c r="BI60" s="270"/>
      <c r="BJ60" s="270"/>
      <c r="BK60" s="269"/>
      <c r="BL60" s="270"/>
      <c r="BM60" s="270"/>
      <c r="BN60" s="270"/>
      <c r="BO60" s="270"/>
      <c r="BP60" s="269"/>
      <c r="BQ60" s="307">
        <f>BQ57+BQ59</f>
        <v>0</v>
      </c>
      <c r="BR60" s="307">
        <f>BR57+BR59</f>
        <v>0</v>
      </c>
      <c r="BS60" s="307">
        <f>BS57+BS59</f>
        <v>0</v>
      </c>
      <c r="BT60" s="307">
        <f>BT57+BT59</f>
        <v>0</v>
      </c>
      <c r="BU60" s="272">
        <f>SUM(BQ60:BT60)</f>
        <v>0</v>
      </c>
      <c r="BV60" s="307">
        <f>BV57+BV59</f>
        <v>0</v>
      </c>
      <c r="BW60" s="307">
        <f>BW57+BW59</f>
        <v>0</v>
      </c>
      <c r="BX60" s="307">
        <f>BX57+BX59</f>
        <v>0</v>
      </c>
      <c r="BY60" s="307">
        <f>BY57+BY59</f>
        <v>0</v>
      </c>
      <c r="BZ60" s="272">
        <f>SUM(BV60:BY60)</f>
        <v>0</v>
      </c>
      <c r="CA60" s="307">
        <f>CA57+CA59</f>
        <v>0</v>
      </c>
      <c r="CB60" s="307">
        <f>CB57+CB59</f>
        <v>0</v>
      </c>
      <c r="CC60" s="307">
        <f>CC57+CC59</f>
        <v>0</v>
      </c>
      <c r="CD60" s="307">
        <f>CD57+CD59</f>
        <v>0</v>
      </c>
      <c r="CE60" s="272">
        <f>SUM(CA60:CD60)</f>
        <v>0</v>
      </c>
      <c r="CF60" s="1433">
        <f>CF57+CF59</f>
        <v>0</v>
      </c>
      <c r="CG60" s="307">
        <f>CG57+CG59</f>
        <v>0</v>
      </c>
      <c r="CH60" s="307">
        <f>CH57+CH59</f>
        <v>0</v>
      </c>
      <c r="CI60" s="307">
        <f>CI57+CI59</f>
        <v>0</v>
      </c>
      <c r="CJ60" s="272">
        <f>SUM(CF60:CI60)</f>
        <v>0</v>
      </c>
      <c r="CK60" s="307">
        <f>CK57+CK59</f>
        <v>0</v>
      </c>
      <c r="CL60" s="307">
        <f>CL57+CL59</f>
        <v>0</v>
      </c>
      <c r="CM60" s="307">
        <f>CM57+CM59</f>
        <v>-48.338000000000001</v>
      </c>
      <c r="CN60" s="307">
        <f>CN57+CN59</f>
        <v>19.311</v>
      </c>
      <c r="CO60" s="272">
        <f>SUM(CK60:CN60)</f>
        <v>-29.027000000000001</v>
      </c>
      <c r="CP60" s="307">
        <f>CP57+CP59</f>
        <v>28.695</v>
      </c>
      <c r="CQ60" s="307">
        <f>CQ57+CQ59</f>
        <v>31.63</v>
      </c>
      <c r="CR60" s="307">
        <f>CR57+CR59</f>
        <v>4.7009999999999996</v>
      </c>
      <c r="CS60" s="307">
        <f>CS57+CS59</f>
        <v>14.119</v>
      </c>
      <c r="CT60" s="272">
        <f>SUM(CP60:CS60)</f>
        <v>79.144999999999996</v>
      </c>
      <c r="CU60" s="307">
        <f>CU57+CU59</f>
        <v>-111.099</v>
      </c>
      <c r="CV60" s="307">
        <f>CV57+CV59</f>
        <v>-40.222000000000001</v>
      </c>
      <c r="CW60" s="307">
        <f>CW57+CW59</f>
        <v>-192.02</v>
      </c>
      <c r="CX60" s="307">
        <f>CX57+CX59</f>
        <v>117.408</v>
      </c>
      <c r="CY60" s="1434">
        <f>SUM(CU60:CX60)</f>
        <v>-225.93299999999999</v>
      </c>
      <c r="CZ60" s="1433">
        <f>CZ57+CZ59</f>
        <v>178.44900000000001</v>
      </c>
      <c r="DA60" s="307">
        <f>DA57+DA59</f>
        <v>-5.657</v>
      </c>
      <c r="DB60" s="307">
        <f>DB57+DB59</f>
        <v>-1.276</v>
      </c>
      <c r="DC60" s="307">
        <f>DC57+DC59</f>
        <v>-9.0859999999999843</v>
      </c>
      <c r="DD60" s="272">
        <f>SUM(CZ60:DC60)</f>
        <v>162.43</v>
      </c>
      <c r="DE60" s="307">
        <f>DE57+DE59</f>
        <v>-8</v>
      </c>
      <c r="DF60" s="307">
        <f>DF57+DF59</f>
        <v>-10</v>
      </c>
      <c r="DG60" s="307">
        <f>DG57+DG59</f>
        <v>-10</v>
      </c>
      <c r="DH60" s="307">
        <f>DH57+DH59</f>
        <v>-25</v>
      </c>
      <c r="DI60" s="272">
        <f>SUM(DE60:DH60)</f>
        <v>-53</v>
      </c>
      <c r="DJ60" s="307">
        <f>DJ57+DJ59</f>
        <v>-17</v>
      </c>
      <c r="DK60" s="307">
        <f>DK57+DK59</f>
        <v>-32</v>
      </c>
      <c r="DL60" s="307">
        <f>DL57+DL59</f>
        <v>-32</v>
      </c>
      <c r="DM60" s="307">
        <f>DM57+DM59</f>
        <v>-128</v>
      </c>
      <c r="DN60" s="272">
        <f>SUM(DJ60:DM60)</f>
        <v>-209</v>
      </c>
      <c r="DO60" s="307">
        <f>DO57+DO59</f>
        <v>88</v>
      </c>
      <c r="DP60" s="307">
        <f>DP57+DP59</f>
        <v>-173</v>
      </c>
      <c r="DQ60" s="307">
        <f>DQ57+DQ59</f>
        <v>-44</v>
      </c>
      <c r="DR60" s="1433">
        <f>DR57+DR59</f>
        <v>-149</v>
      </c>
      <c r="DS60" s="272">
        <f>SUM(DO60:DR60)</f>
        <v>-278</v>
      </c>
      <c r="DT60" s="307">
        <f>DT57+DT59</f>
        <v>53</v>
      </c>
      <c r="DU60" s="307">
        <f>DU57+DU59</f>
        <v>-273</v>
      </c>
      <c r="DV60" s="307">
        <f>DV57+DV59</f>
        <v>-106.72193495775771</v>
      </c>
      <c r="DW60" s="307">
        <f>DW57+DW59</f>
        <v>-157.05393852500382</v>
      </c>
      <c r="DX60" s="272">
        <f t="shared" si="266"/>
        <v>-483.77587348276154</v>
      </c>
      <c r="DY60" s="307">
        <f>DY57+DY59</f>
        <v>-109.48333852538649</v>
      </c>
      <c r="DZ60" s="307">
        <f>DZ57+DZ59</f>
        <v>-128.63022554717762</v>
      </c>
      <c r="EA60" s="307">
        <f>EA57+EA59</f>
        <v>-143.51645425684885</v>
      </c>
      <c r="EB60" s="307">
        <f>EB57+EB59</f>
        <v>-210.59638491026277</v>
      </c>
      <c r="EC60" s="272">
        <f t="shared" si="267"/>
        <v>-592.22640323967562</v>
      </c>
      <c r="ED60" s="307">
        <f>ED57+ED59</f>
        <v>-137.56601871803213</v>
      </c>
      <c r="EE60" s="307">
        <f>EE57+EE59</f>
        <v>-160.29096487989466</v>
      </c>
      <c r="EF60" s="307">
        <f>EF57+EF59</f>
        <v>-177.50382314272332</v>
      </c>
      <c r="EG60" s="307">
        <f>EG57+EG59</f>
        <v>-259.14823724861367</v>
      </c>
      <c r="EH60" s="272">
        <f t="shared" ref="EH60:EH61" si="285">SUM(ED60:EG60)</f>
        <v>-734.50904398926377</v>
      </c>
      <c r="EI60" s="307">
        <f>EI57+EI59</f>
        <v>-169.29139292339985</v>
      </c>
      <c r="EJ60" s="307">
        <f>EJ57+EJ59</f>
        <v>-196.24433459986901</v>
      </c>
      <c r="EK60" s="307">
        <f>EK57+EK59</f>
        <v>-216.54173263463721</v>
      </c>
      <c r="EL60" s="307">
        <f>EL57+EL59</f>
        <v>-315.13303890021621</v>
      </c>
      <c r="EM60" s="272">
        <f t="shared" ref="EM60:EM61" si="286">SUM(EI60:EL60)</f>
        <v>-897.21049905812231</v>
      </c>
      <c r="EN60" s="307">
        <f>EN57+EN59</f>
        <v>-206.63097823442067</v>
      </c>
      <c r="EO60" s="307">
        <f>EO57+EO59</f>
        <v>-238.44288468624913</v>
      </c>
      <c r="EP60" s="307">
        <f>EP57+EP59</f>
        <v>-262.2983082501168</v>
      </c>
      <c r="EQ60" s="307">
        <f>EQ57+EQ59</f>
        <v>-380.18628264462529</v>
      </c>
      <c r="ER60" s="272">
        <f t="shared" ref="ER60:ER61" si="287">SUM(EN60:EQ60)</f>
        <v>-1087.5584538154119</v>
      </c>
      <c r="ES60" s="417"/>
      <c r="ET60" s="133"/>
    </row>
    <row r="61" spans="1:157" s="253" customFormat="1" ht="12" customHeight="1">
      <c r="A61" s="792"/>
      <c r="B61" s="792"/>
      <c r="C61" s="265" t="s">
        <v>29</v>
      </c>
      <c r="D61" s="296"/>
      <c r="E61" s="296"/>
      <c r="F61" s="296"/>
      <c r="G61" s="296"/>
      <c r="H61" s="296"/>
      <c r="I61" s="256"/>
      <c r="J61" s="256"/>
      <c r="K61" s="256"/>
      <c r="L61" s="256"/>
      <c r="M61" s="296"/>
      <c r="N61" s="256"/>
      <c r="O61" s="256"/>
      <c r="P61" s="256"/>
      <c r="Q61" s="256"/>
      <c r="R61" s="296"/>
      <c r="S61" s="256"/>
      <c r="T61" s="256"/>
      <c r="U61" s="256"/>
      <c r="V61" s="256"/>
      <c r="W61" s="296"/>
      <c r="X61" s="256"/>
      <c r="Y61" s="256"/>
      <c r="Z61" s="256"/>
      <c r="AA61" s="256"/>
      <c r="AB61" s="296"/>
      <c r="AC61" s="256"/>
      <c r="AD61" s="256"/>
      <c r="AE61" s="256"/>
      <c r="AF61" s="256"/>
      <c r="AG61" s="296"/>
      <c r="AH61" s="256"/>
      <c r="AI61" s="256"/>
      <c r="AJ61" s="256"/>
      <c r="AK61" s="256"/>
      <c r="AL61" s="296"/>
      <c r="AM61" s="256"/>
      <c r="AN61" s="256"/>
      <c r="AO61" s="256"/>
      <c r="AP61" s="256"/>
      <c r="AQ61" s="296"/>
      <c r="AR61" s="256"/>
      <c r="AS61" s="256"/>
      <c r="AT61" s="256"/>
      <c r="AU61" s="256"/>
      <c r="AV61" s="296"/>
      <c r="AW61" s="256"/>
      <c r="AX61" s="256"/>
      <c r="AY61" s="256"/>
      <c r="AZ61" s="256"/>
      <c r="BA61" s="296"/>
      <c r="BB61" s="256"/>
      <c r="BC61" s="256"/>
      <c r="BD61" s="256"/>
      <c r="BE61" s="256"/>
      <c r="BF61" s="296"/>
      <c r="BG61" s="312"/>
      <c r="BH61" s="312"/>
      <c r="BI61" s="312"/>
      <c r="BJ61" s="312"/>
      <c r="BK61" s="296"/>
      <c r="BL61" s="312"/>
      <c r="BM61" s="312"/>
      <c r="BN61" s="312"/>
      <c r="BO61" s="312"/>
      <c r="BP61" s="296"/>
      <c r="BQ61" s="1397">
        <v>0</v>
      </c>
      <c r="BR61" s="1398">
        <v>0</v>
      </c>
      <c r="BS61" s="1398">
        <v>0</v>
      </c>
      <c r="BT61" s="1398">
        <v>0</v>
      </c>
      <c r="BU61" s="1399">
        <f>SUM(BQ61:BT61)</f>
        <v>0</v>
      </c>
      <c r="BV61" s="1397">
        <v>0</v>
      </c>
      <c r="BW61" s="1398">
        <v>0</v>
      </c>
      <c r="BX61" s="1398">
        <v>0</v>
      </c>
      <c r="BY61" s="1398">
        <v>0</v>
      </c>
      <c r="BZ61" s="1399">
        <f>SUM(BV61:BY61)</f>
        <v>0</v>
      </c>
      <c r="CA61" s="1397">
        <v>0</v>
      </c>
      <c r="CB61" s="1398">
        <v>0</v>
      </c>
      <c r="CC61" s="1398">
        <v>0</v>
      </c>
      <c r="CD61" s="1398">
        <v>0</v>
      </c>
      <c r="CE61" s="1399">
        <f>SUM(CA61:CD61)</f>
        <v>0</v>
      </c>
      <c r="CF61" s="1398">
        <v>0</v>
      </c>
      <c r="CG61" s="1398">
        <v>0</v>
      </c>
      <c r="CH61" s="1398">
        <v>0</v>
      </c>
      <c r="CI61" s="1398">
        <v>0</v>
      </c>
      <c r="CJ61" s="1399">
        <f>SUM(CF61:CI61)</f>
        <v>0</v>
      </c>
      <c r="CK61" s="1397">
        <v>0</v>
      </c>
      <c r="CL61" s="1398">
        <v>0</v>
      </c>
      <c r="CM61" s="1398">
        <v>0</v>
      </c>
      <c r="CN61" s="1398">
        <v>0</v>
      </c>
      <c r="CO61" s="1399">
        <f>SUM(CK61:CN61)</f>
        <v>0</v>
      </c>
      <c r="CP61" s="1397">
        <v>0</v>
      </c>
      <c r="CQ61" s="1398">
        <v>0</v>
      </c>
      <c r="CR61" s="1398">
        <v>0</v>
      </c>
      <c r="CS61" s="1398">
        <v>0</v>
      </c>
      <c r="CT61" s="1399">
        <f>SUM(CP61:CS61)</f>
        <v>0</v>
      </c>
      <c r="CU61" s="1397">
        <v>0</v>
      </c>
      <c r="CV61" s="1398">
        <v>0</v>
      </c>
      <c r="CW61" s="1398">
        <v>0</v>
      </c>
      <c r="CX61" s="1398">
        <v>0</v>
      </c>
      <c r="CY61" s="1399">
        <f>SUM(CU61:CX61)</f>
        <v>0</v>
      </c>
      <c r="CZ61" s="1397">
        <v>0</v>
      </c>
      <c r="DA61" s="1398">
        <v>0</v>
      </c>
      <c r="DB61" s="1398">
        <v>0</v>
      </c>
      <c r="DC61" s="1398">
        <v>0</v>
      </c>
      <c r="DD61" s="1399">
        <f>SUM(CZ61:DC61)</f>
        <v>0</v>
      </c>
      <c r="DE61" s="1397">
        <v>0</v>
      </c>
      <c r="DF61" s="1398">
        <v>0</v>
      </c>
      <c r="DG61" s="1398">
        <v>0</v>
      </c>
      <c r="DH61" s="1398">
        <v>0</v>
      </c>
      <c r="DI61" s="1399">
        <f>SUM(DE61:DH61)</f>
        <v>0</v>
      </c>
      <c r="DJ61" s="1397">
        <v>0</v>
      </c>
      <c r="DK61" s="1398">
        <v>0</v>
      </c>
      <c r="DL61" s="1398">
        <v>0</v>
      </c>
      <c r="DM61" s="1398">
        <v>0</v>
      </c>
      <c r="DN61" s="1399">
        <f>SUM(DJ61:DM61)</f>
        <v>0</v>
      </c>
      <c r="DO61" s="1397">
        <v>0</v>
      </c>
      <c r="DP61" s="1398">
        <v>0</v>
      </c>
      <c r="DQ61" s="1398">
        <v>0</v>
      </c>
      <c r="DR61" s="1398">
        <v>0</v>
      </c>
      <c r="DS61" s="257">
        <f t="shared" ref="DS61" si="288">SUM(DO61:DR61)</f>
        <v>0</v>
      </c>
      <c r="DT61" s="1397">
        <v>0</v>
      </c>
      <c r="DU61" s="1398">
        <v>0</v>
      </c>
      <c r="DV61" s="281">
        <f>DU61</f>
        <v>0</v>
      </c>
      <c r="DW61" s="281">
        <f>DV61</f>
        <v>0</v>
      </c>
      <c r="DX61" s="257">
        <f t="shared" si="266"/>
        <v>0</v>
      </c>
      <c r="DY61" s="281">
        <f>DW61</f>
        <v>0</v>
      </c>
      <c r="DZ61" s="281">
        <f>DY61</f>
        <v>0</v>
      </c>
      <c r="EA61" s="281">
        <f>DZ61</f>
        <v>0</v>
      </c>
      <c r="EB61" s="281">
        <f>EA61</f>
        <v>0</v>
      </c>
      <c r="EC61" s="257">
        <f t="shared" si="267"/>
        <v>0</v>
      </c>
      <c r="ED61" s="281">
        <f>EB61</f>
        <v>0</v>
      </c>
      <c r="EE61" s="281">
        <f>ED61</f>
        <v>0</v>
      </c>
      <c r="EF61" s="281">
        <f>EE61</f>
        <v>0</v>
      </c>
      <c r="EG61" s="281">
        <f>EF61</f>
        <v>0</v>
      </c>
      <c r="EH61" s="257">
        <f t="shared" si="285"/>
        <v>0</v>
      </c>
      <c r="EI61" s="281">
        <f>EG61</f>
        <v>0</v>
      </c>
      <c r="EJ61" s="281">
        <f>EI61</f>
        <v>0</v>
      </c>
      <c r="EK61" s="281">
        <f>EJ61</f>
        <v>0</v>
      </c>
      <c r="EL61" s="281">
        <f>EK61</f>
        <v>0</v>
      </c>
      <c r="EM61" s="257">
        <f t="shared" si="286"/>
        <v>0</v>
      </c>
      <c r="EN61" s="281">
        <f>EL61</f>
        <v>0</v>
      </c>
      <c r="EO61" s="281">
        <f>EN61</f>
        <v>0</v>
      </c>
      <c r="EP61" s="281">
        <f>EO61</f>
        <v>0</v>
      </c>
      <c r="EQ61" s="281">
        <f>EP61</f>
        <v>0</v>
      </c>
      <c r="ER61" s="257">
        <f t="shared" si="287"/>
        <v>0</v>
      </c>
      <c r="ES61" s="916"/>
      <c r="ET61" s="133"/>
    </row>
    <row r="62" spans="1:157" s="275" customFormat="1" ht="12" customHeight="1">
      <c r="A62" s="792" t="s">
        <v>405</v>
      </c>
      <c r="B62" s="792"/>
      <c r="C62" s="248" t="s">
        <v>219</v>
      </c>
      <c r="D62" s="249"/>
      <c r="E62" s="249"/>
      <c r="F62" s="249"/>
      <c r="G62" s="249"/>
      <c r="H62" s="249"/>
      <c r="I62" s="250"/>
      <c r="J62" s="250"/>
      <c r="K62" s="250"/>
      <c r="L62" s="250"/>
      <c r="M62" s="249"/>
      <c r="N62" s="250"/>
      <c r="O62" s="250"/>
      <c r="P62" s="250"/>
      <c r="Q62" s="250"/>
      <c r="R62" s="249"/>
      <c r="S62" s="250"/>
      <c r="T62" s="250"/>
      <c r="U62" s="250"/>
      <c r="V62" s="250"/>
      <c r="W62" s="249"/>
      <c r="X62" s="250"/>
      <c r="Y62" s="250"/>
      <c r="Z62" s="250"/>
      <c r="AA62" s="250"/>
      <c r="AB62" s="249"/>
      <c r="AC62" s="250"/>
      <c r="AD62" s="250"/>
      <c r="AE62" s="250"/>
      <c r="AF62" s="250"/>
      <c r="AG62" s="249"/>
      <c r="AH62" s="250"/>
      <c r="AI62" s="250"/>
      <c r="AJ62" s="250"/>
      <c r="AK62" s="250"/>
      <c r="AL62" s="249"/>
      <c r="AM62" s="250"/>
      <c r="AN62" s="250"/>
      <c r="AO62" s="250"/>
      <c r="AP62" s="250"/>
      <c r="AQ62" s="249"/>
      <c r="AR62" s="250"/>
      <c r="AS62" s="250"/>
      <c r="AT62" s="250"/>
      <c r="AU62" s="250"/>
      <c r="AV62" s="249"/>
      <c r="AW62" s="250"/>
      <c r="AX62" s="250"/>
      <c r="AY62" s="250"/>
      <c r="AZ62" s="250"/>
      <c r="BA62" s="249"/>
      <c r="BB62" s="250"/>
      <c r="BC62" s="250"/>
      <c r="BD62" s="250"/>
      <c r="BE62" s="250"/>
      <c r="BF62" s="249"/>
      <c r="BG62" s="250"/>
      <c r="BH62" s="250"/>
      <c r="BI62" s="250"/>
      <c r="BJ62" s="250"/>
      <c r="BK62" s="249"/>
      <c r="BL62" s="250"/>
      <c r="BM62" s="250"/>
      <c r="BN62" s="250"/>
      <c r="BO62" s="250"/>
      <c r="BP62" s="249"/>
      <c r="BQ62" s="251">
        <f>BQ56+BQ60</f>
        <v>-4.5299999999999994</v>
      </c>
      <c r="BR62" s="251">
        <f>BR56+BR60</f>
        <v>-3.2959999999999985</v>
      </c>
      <c r="BS62" s="251">
        <f>BS56+BS60</f>
        <v>-4.6569999999999974</v>
      </c>
      <c r="BT62" s="251">
        <f>BT56+BT60</f>
        <v>-6.3069999999999986</v>
      </c>
      <c r="BU62" s="252">
        <f>SUM(BQ62:BT62)</f>
        <v>-18.789999999999992</v>
      </c>
      <c r="BV62" s="251">
        <f>BV56+BV60</f>
        <v>-8.9289999999999896</v>
      </c>
      <c r="BW62" s="251">
        <f>BW56+BW60</f>
        <v>-8.4390000000000054</v>
      </c>
      <c r="BX62" s="251">
        <f>BX56+BX60</f>
        <v>-9.1200000000000045</v>
      </c>
      <c r="BY62" s="251">
        <f>BY56+BY60</f>
        <v>-8.8670000000000204</v>
      </c>
      <c r="BZ62" s="252">
        <f>SUM(BV62:BY62)</f>
        <v>-35.355000000000018</v>
      </c>
      <c r="CA62" s="251">
        <f>CA56+CA60</f>
        <v>-13.597999999999985</v>
      </c>
      <c r="CB62" s="251">
        <f>CB56+CB60</f>
        <v>-14.029999999999996</v>
      </c>
      <c r="CC62" s="251">
        <f>CC56+CC60</f>
        <v>-9.3799999999999883</v>
      </c>
      <c r="CD62" s="251">
        <f>CD56+CD60</f>
        <v>-2.9870000000000285</v>
      </c>
      <c r="CE62" s="252">
        <f>SUM(CA62:CD62)</f>
        <v>-39.994999999999997</v>
      </c>
      <c r="CF62" s="251">
        <f>CF56+CF60</f>
        <v>-15.902000000000026</v>
      </c>
      <c r="CG62" s="251">
        <f>CG56+CG60</f>
        <v>-23.953000000000024</v>
      </c>
      <c r="CH62" s="251">
        <f>CH56+CH60</f>
        <v>-23.184000000000026</v>
      </c>
      <c r="CI62" s="251">
        <f>CI56+CI60</f>
        <v>-1.5140000000000544</v>
      </c>
      <c r="CJ62" s="252">
        <f>SUM(CF62:CI62)</f>
        <v>-64.553000000000125</v>
      </c>
      <c r="CK62" s="251">
        <f>CK56+CK60</f>
        <v>-24.15100000000005</v>
      </c>
      <c r="CL62" s="251">
        <f>CL56+CL60</f>
        <v>-28.678000000000004</v>
      </c>
      <c r="CM62" s="251">
        <f>CM56+CM60</f>
        <v>-72.783999999999963</v>
      </c>
      <c r="CN62" s="251">
        <f>CN56+CN60</f>
        <v>0.77100000000005409</v>
      </c>
      <c r="CO62" s="252">
        <f>SUM(CK62:CN62)</f>
        <v>-124.84199999999996</v>
      </c>
      <c r="CP62" s="251">
        <f>CP56+CP60</f>
        <v>-31.429000000000002</v>
      </c>
      <c r="CQ62" s="251">
        <f>CQ56+CQ60</f>
        <v>35.998000000000047</v>
      </c>
      <c r="CR62" s="251">
        <f>CR56+CR60</f>
        <v>191.06800000000004</v>
      </c>
      <c r="CS62" s="251">
        <f>CS56+CS60</f>
        <v>123.87199999999994</v>
      </c>
      <c r="CT62" s="252">
        <f>SUM(CP62:CS62)</f>
        <v>319.50900000000001</v>
      </c>
      <c r="CU62" s="251">
        <f>CU56+CU60</f>
        <v>1258.4449999999999</v>
      </c>
      <c r="CV62" s="251">
        <f>CV56+CV60</f>
        <v>879.09299999999996</v>
      </c>
      <c r="CW62" s="251">
        <f>CW56+CW60</f>
        <v>1148.4320000000002</v>
      </c>
      <c r="CX62" s="251">
        <f>CX56+CX60</f>
        <v>-371.31099999999941</v>
      </c>
      <c r="CY62" s="252">
        <f>SUM(CU62:CX62)</f>
        <v>2914.659000000001</v>
      </c>
      <c r="CZ62" s="251">
        <f>CZ56+CZ60</f>
        <v>-1474.4079999999997</v>
      </c>
      <c r="DA62" s="251">
        <f>DA56+DA60</f>
        <v>-1203.9069999999999</v>
      </c>
      <c r="DB62" s="251">
        <f>DB56+DB60</f>
        <v>-158.40899999999996</v>
      </c>
      <c r="DC62" s="251">
        <f>DC56+DC60</f>
        <v>-623.69400000000019</v>
      </c>
      <c r="DD62" s="252">
        <f>SUM(CZ62:DC62)</f>
        <v>-3460.4179999999997</v>
      </c>
      <c r="DE62" s="251">
        <f>DE56+DE60</f>
        <v>68</v>
      </c>
      <c r="DF62" s="251">
        <f>DF56+DF60</f>
        <v>-1311</v>
      </c>
      <c r="DG62" s="251">
        <f>DG56+DG60</f>
        <v>718</v>
      </c>
      <c r="DH62" s="251">
        <f>DH56+DH60</f>
        <v>657</v>
      </c>
      <c r="DI62" s="252">
        <f>SUM(DE62:DH62)</f>
        <v>132</v>
      </c>
      <c r="DJ62" s="251">
        <f>DJ56+DJ60</f>
        <v>-273</v>
      </c>
      <c r="DK62" s="251">
        <f>DK56+DK60</f>
        <v>171</v>
      </c>
      <c r="DL62" s="251">
        <f>DL56+DL60</f>
        <v>828</v>
      </c>
      <c r="DM62" s="251">
        <f>DM56+DM60</f>
        <v>1293</v>
      </c>
      <c r="DN62" s="252">
        <f>SUM(DJ62:DM62)</f>
        <v>2019</v>
      </c>
      <c r="DO62" s="251">
        <f>DO56+DO60</f>
        <v>-682</v>
      </c>
      <c r="DP62" s="251">
        <f>DP56+DP60</f>
        <v>906</v>
      </c>
      <c r="DQ62" s="251">
        <f>DQ56+DQ60</f>
        <v>264</v>
      </c>
      <c r="DR62" s="1429">
        <f>DR56+DR60</f>
        <v>743</v>
      </c>
      <c r="DS62" s="252">
        <f>SUM(DO62:DR62)</f>
        <v>1231</v>
      </c>
      <c r="DT62" s="251">
        <f>DT56+DT60</f>
        <v>-581</v>
      </c>
      <c r="DU62" s="251">
        <f>DU56+DU60</f>
        <v>1502</v>
      </c>
      <c r="DV62" s="251">
        <f>DV56+DV60</f>
        <v>503.1176933722864</v>
      </c>
      <c r="DW62" s="251">
        <f>DW56+DW60</f>
        <v>740.39713876073233</v>
      </c>
      <c r="DX62" s="252">
        <f>SUM(DT62:DW62)</f>
        <v>2164.5148321330189</v>
      </c>
      <c r="DY62" s="251">
        <f>DY56+DY60</f>
        <v>482.31849134156749</v>
      </c>
      <c r="DZ62" s="251">
        <f>DZ56+DZ60</f>
        <v>623.59331566438743</v>
      </c>
      <c r="EA62" s="251">
        <f>EA56+EA60</f>
        <v>690.88153560855153</v>
      </c>
      <c r="EB62" s="251">
        <f>EB56+EB60</f>
        <v>1013.8012017773117</v>
      </c>
      <c r="EC62" s="252">
        <f>SUM(DY62:EB62)</f>
        <v>2810.5945443918181</v>
      </c>
      <c r="ED62" s="251">
        <f>ED56+ED60</f>
        <v>606.03408246052004</v>
      </c>
      <c r="EE62" s="251">
        <f>EE56+EE60</f>
        <v>777.08309874522024</v>
      </c>
      <c r="EF62" s="251">
        <f>EF56+EF60</f>
        <v>854.49514861729608</v>
      </c>
      <c r="EG62" s="251">
        <f>EG56+EG60</f>
        <v>1247.5275607084427</v>
      </c>
      <c r="EH62" s="252">
        <f>SUM(ED62:EG62)</f>
        <v>3485.1398905314791</v>
      </c>
      <c r="EI62" s="251">
        <f>EI56+EI60</f>
        <v>745.79721747335611</v>
      </c>
      <c r="EJ62" s="251">
        <f>EJ56+EJ60</f>
        <v>951.38335311866308</v>
      </c>
      <c r="EK62" s="251">
        <f>EK56+EK60</f>
        <v>1042.421829194649</v>
      </c>
      <c r="EL62" s="251">
        <f>EL56+EL60</f>
        <v>1517.0357919149944</v>
      </c>
      <c r="EM62" s="252">
        <f>SUM(EI62:EL62)</f>
        <v>4256.6381917016624</v>
      </c>
      <c r="EN62" s="251">
        <f>EN56+EN60</f>
        <v>910.29322843812349</v>
      </c>
      <c r="EO62" s="251">
        <f>EO56+EO60</f>
        <v>1155.9599497362603</v>
      </c>
      <c r="EP62" s="251">
        <f>EP56+EP60</f>
        <v>1262.6918559947483</v>
      </c>
      <c r="EQ62" s="251">
        <f>EQ56+EQ60</f>
        <v>1830.1990815683125</v>
      </c>
      <c r="ER62" s="252">
        <f>SUM(EN62:EQ62)</f>
        <v>5159.1441157374447</v>
      </c>
      <c r="ES62" s="910">
        <f>+(EC62/DN62)^(0.333333333333333)-1</f>
        <v>0.11657344071434794</v>
      </c>
      <c r="ET62" s="133"/>
    </row>
    <row r="63" spans="1:157" s="19" customFormat="1" ht="12" customHeight="1">
      <c r="A63" s="792" t="s">
        <v>406</v>
      </c>
      <c r="B63" s="792"/>
      <c r="C63" s="1388" t="s">
        <v>129</v>
      </c>
      <c r="D63" s="1389"/>
      <c r="E63" s="1389"/>
      <c r="F63" s="1389"/>
      <c r="G63" s="1389"/>
      <c r="H63" s="1389"/>
      <c r="I63" s="351"/>
      <c r="J63" s="351"/>
      <c r="K63" s="351"/>
      <c r="L63" s="351"/>
      <c r="M63" s="1389"/>
      <c r="N63" s="634"/>
      <c r="O63" s="634"/>
      <c r="P63" s="634"/>
      <c r="Q63" s="634"/>
      <c r="R63" s="1389"/>
      <c r="S63" s="634"/>
      <c r="T63" s="634"/>
      <c r="U63" s="634"/>
      <c r="V63" s="634"/>
      <c r="W63" s="1389"/>
      <c r="X63" s="634"/>
      <c r="Y63" s="634"/>
      <c r="Z63" s="634"/>
      <c r="AA63" s="634"/>
      <c r="AB63" s="1389"/>
      <c r="AC63" s="634"/>
      <c r="AD63" s="634"/>
      <c r="AE63" s="634"/>
      <c r="AF63" s="634"/>
      <c r="AG63" s="1389"/>
      <c r="AH63" s="634"/>
      <c r="AI63" s="634"/>
      <c r="AJ63" s="634"/>
      <c r="AK63" s="634"/>
      <c r="AL63" s="1389"/>
      <c r="AM63" s="634"/>
      <c r="AN63" s="634"/>
      <c r="AO63" s="634"/>
      <c r="AP63" s="634"/>
      <c r="AQ63" s="1389"/>
      <c r="AR63" s="634"/>
      <c r="AS63" s="634"/>
      <c r="AT63" s="634"/>
      <c r="AU63" s="634"/>
      <c r="AV63" s="1389"/>
      <c r="AW63" s="634"/>
      <c r="AX63" s="634"/>
      <c r="AY63" s="634"/>
      <c r="AZ63" s="634"/>
      <c r="BA63" s="1389"/>
      <c r="BB63" s="634"/>
      <c r="BC63" s="634"/>
      <c r="BD63" s="634"/>
      <c r="BE63" s="634"/>
      <c r="BF63" s="1389"/>
      <c r="BG63" s="634"/>
      <c r="BH63" s="634"/>
      <c r="BI63" s="634"/>
      <c r="BJ63" s="634"/>
      <c r="BK63" s="1389"/>
      <c r="BL63" s="634"/>
      <c r="BM63" s="634"/>
      <c r="BN63" s="634"/>
      <c r="BO63" s="634"/>
      <c r="BP63" s="1389"/>
      <c r="BQ63" s="353"/>
      <c r="BR63" s="353"/>
      <c r="BS63" s="353"/>
      <c r="BT63" s="353"/>
      <c r="BU63" s="352"/>
      <c r="BV63" s="353" t="str">
        <f t="shared" ref="BV63:DA63" si="289">+IF(BQ62&lt;=0,"nm",BV62/BQ62-1)</f>
        <v>nm</v>
      </c>
      <c r="BW63" s="353" t="str">
        <f t="shared" si="289"/>
        <v>nm</v>
      </c>
      <c r="BX63" s="353" t="str">
        <f t="shared" si="289"/>
        <v>nm</v>
      </c>
      <c r="BY63" s="353" t="str">
        <f t="shared" si="289"/>
        <v>nm</v>
      </c>
      <c r="BZ63" s="352" t="str">
        <f t="shared" si="289"/>
        <v>nm</v>
      </c>
      <c r="CA63" s="353" t="str">
        <f t="shared" si="289"/>
        <v>nm</v>
      </c>
      <c r="CB63" s="353" t="str">
        <f t="shared" si="289"/>
        <v>nm</v>
      </c>
      <c r="CC63" s="353" t="str">
        <f t="shared" si="289"/>
        <v>nm</v>
      </c>
      <c r="CD63" s="353" t="str">
        <f t="shared" si="289"/>
        <v>nm</v>
      </c>
      <c r="CE63" s="352" t="str">
        <f t="shared" si="289"/>
        <v>nm</v>
      </c>
      <c r="CF63" s="353" t="str">
        <f t="shared" si="289"/>
        <v>nm</v>
      </c>
      <c r="CG63" s="353" t="str">
        <f t="shared" si="289"/>
        <v>nm</v>
      </c>
      <c r="CH63" s="353" t="str">
        <f t="shared" si="289"/>
        <v>nm</v>
      </c>
      <c r="CI63" s="353" t="str">
        <f t="shared" si="289"/>
        <v>nm</v>
      </c>
      <c r="CJ63" s="352" t="str">
        <f t="shared" si="289"/>
        <v>nm</v>
      </c>
      <c r="CK63" s="353" t="str">
        <f t="shared" si="289"/>
        <v>nm</v>
      </c>
      <c r="CL63" s="353" t="str">
        <f t="shared" si="289"/>
        <v>nm</v>
      </c>
      <c r="CM63" s="353" t="str">
        <f t="shared" si="289"/>
        <v>nm</v>
      </c>
      <c r="CN63" s="353" t="str">
        <f t="shared" si="289"/>
        <v>nm</v>
      </c>
      <c r="CO63" s="352" t="str">
        <f t="shared" si="289"/>
        <v>nm</v>
      </c>
      <c r="CP63" s="353" t="str">
        <f t="shared" si="289"/>
        <v>nm</v>
      </c>
      <c r="CQ63" s="353" t="str">
        <f t="shared" si="289"/>
        <v>nm</v>
      </c>
      <c r="CR63" s="353" t="str">
        <f t="shared" si="289"/>
        <v>nm</v>
      </c>
      <c r="CS63" s="353" t="s">
        <v>572</v>
      </c>
      <c r="CT63" s="352" t="str">
        <f t="shared" si="289"/>
        <v>nm</v>
      </c>
      <c r="CU63" s="353" t="str">
        <f t="shared" si="289"/>
        <v>nm</v>
      </c>
      <c r="CV63" s="353">
        <f t="shared" si="289"/>
        <v>23.420606700372211</v>
      </c>
      <c r="CW63" s="353">
        <f t="shared" si="289"/>
        <v>5.0105930872778277</v>
      </c>
      <c r="CX63" s="354">
        <f t="shared" si="289"/>
        <v>-3.9975377809351555</v>
      </c>
      <c r="CY63" s="352">
        <f t="shared" si="289"/>
        <v>8.1223064139038357</v>
      </c>
      <c r="CZ63" s="353">
        <f t="shared" si="289"/>
        <v>-2.171610996110279</v>
      </c>
      <c r="DA63" s="353">
        <f t="shared" si="289"/>
        <v>-2.3694876423768587</v>
      </c>
      <c r="DB63" s="353">
        <f t="shared" ref="DB63:EC63" si="290">+IF(CW62&lt;=0,"nm",DB62/CW62-1)</f>
        <v>-1.1379350279337392</v>
      </c>
      <c r="DC63" s="353" t="str">
        <f t="shared" si="290"/>
        <v>nm</v>
      </c>
      <c r="DD63" s="352">
        <f t="shared" si="290"/>
        <v>-2.1872462610548951</v>
      </c>
      <c r="DE63" s="353" t="str">
        <f t="shared" si="290"/>
        <v>nm</v>
      </c>
      <c r="DF63" s="353" t="str">
        <f t="shared" si="290"/>
        <v>nm</v>
      </c>
      <c r="DG63" s="353" t="str">
        <f t="shared" si="290"/>
        <v>nm</v>
      </c>
      <c r="DH63" s="353" t="str">
        <f t="shared" si="290"/>
        <v>nm</v>
      </c>
      <c r="DI63" s="352" t="str">
        <f t="shared" si="290"/>
        <v>nm</v>
      </c>
      <c r="DJ63" s="353">
        <f t="shared" si="290"/>
        <v>-5.0147058823529411</v>
      </c>
      <c r="DK63" s="353" t="str">
        <f t="shared" si="290"/>
        <v>nm</v>
      </c>
      <c r="DL63" s="353">
        <f t="shared" si="290"/>
        <v>0.15320334261838431</v>
      </c>
      <c r="DM63" s="353">
        <f t="shared" si="290"/>
        <v>0.96803652968036524</v>
      </c>
      <c r="DN63" s="352">
        <f t="shared" si="290"/>
        <v>14.295454545454545</v>
      </c>
      <c r="DO63" s="353" t="str">
        <f>+IF(DJ62&lt;=0,"nm",DO62/DJ62-1)</f>
        <v>nm</v>
      </c>
      <c r="DP63" s="353">
        <f t="shared" si="290"/>
        <v>4.2982456140350873</v>
      </c>
      <c r="DQ63" s="353">
        <f t="shared" si="290"/>
        <v>-0.6811594202898551</v>
      </c>
      <c r="DR63" s="354">
        <f>+IF(DM62&lt;=0,"nm",DR62/DM62-1)</f>
        <v>-0.42536736272235109</v>
      </c>
      <c r="DS63" s="352">
        <f t="shared" si="290"/>
        <v>-0.3902922238732045</v>
      </c>
      <c r="DT63" s="353" t="str">
        <f>+IF(DO62&lt;=0,"nm",DT62/DO62-1)</f>
        <v>nm</v>
      </c>
      <c r="DU63" s="353">
        <f t="shared" si="290"/>
        <v>0.65783664459161151</v>
      </c>
      <c r="DV63" s="353">
        <f t="shared" si="290"/>
        <v>0.90574883853138788</v>
      </c>
      <c r="DW63" s="353">
        <f t="shared" si="290"/>
        <v>-3.5031779801718566E-3</v>
      </c>
      <c r="DX63" s="352">
        <f t="shared" si="290"/>
        <v>0.75833861261821189</v>
      </c>
      <c r="DY63" s="353" t="str">
        <f t="shared" si="290"/>
        <v>nm</v>
      </c>
      <c r="DZ63" s="353">
        <f t="shared" si="290"/>
        <v>-0.58482468997044779</v>
      </c>
      <c r="EA63" s="353">
        <f t="shared" si="290"/>
        <v>0.37320063418506644</v>
      </c>
      <c r="EB63" s="353">
        <f t="shared" si="290"/>
        <v>0.36926677414529152</v>
      </c>
      <c r="EC63" s="352">
        <f t="shared" si="290"/>
        <v>0.29848708018420944</v>
      </c>
      <c r="ED63" s="353">
        <f t="shared" ref="ED63" si="291">+IF(DY62&lt;=0,"nm",ED62/DY62-1)</f>
        <v>0.25650186202655845</v>
      </c>
      <c r="EE63" s="353">
        <f t="shared" ref="EE63" si="292">+IF(DZ62&lt;=0,"nm",EE62/DZ62-1)</f>
        <v>0.24613763365520058</v>
      </c>
      <c r="EF63" s="353">
        <f t="shared" ref="EF63" si="293">+IF(EA62&lt;=0,"nm",EF62/EA62-1)</f>
        <v>0.23681862168255541</v>
      </c>
      <c r="EG63" s="353">
        <f t="shared" ref="EG63" si="294">+IF(EB62&lt;=0,"nm",EG62/EB62-1)</f>
        <v>0.23054456684543423</v>
      </c>
      <c r="EH63" s="352">
        <f t="shared" ref="EH63" si="295">+IF(EC62&lt;=0,"nm",EH62/EC62-1)</f>
        <v>0.24000094481277268</v>
      </c>
      <c r="EI63" s="353">
        <f t="shared" ref="EI63" si="296">+IF(ED62&lt;=0,"nm",EI62/ED62-1)</f>
        <v>0.23061926557891388</v>
      </c>
      <c r="EJ63" s="353">
        <f t="shared" ref="EJ63" si="297">+IF(EE62&lt;=0,"nm",EJ62/EE62-1)</f>
        <v>0.22430066315287367</v>
      </c>
      <c r="EK63" s="353">
        <f t="shared" ref="EK63" si="298">+IF(EF62&lt;=0,"nm",EK62/EF62-1)</f>
        <v>0.21992714748755104</v>
      </c>
      <c r="EL63" s="353">
        <f t="shared" ref="EL63" si="299">+IF(EG62&lt;=0,"nm",EL62/EG62-1)</f>
        <v>0.21603388950662072</v>
      </c>
      <c r="EM63" s="352">
        <f t="shared" ref="EM63" si="300">+IF(EH62&lt;=0,"nm",EM62/EH62-1)</f>
        <v>0.22136795807428289</v>
      </c>
      <c r="EN63" s="353">
        <f t="shared" ref="EN63" si="301">+IF(EI62&lt;=0,"nm",EN62/EI62-1)</f>
        <v>0.22056399127105086</v>
      </c>
      <c r="EO63" s="353">
        <f t="shared" ref="EO63" si="302">+IF(EJ62&lt;=0,"nm",EO62/EJ62-1)</f>
        <v>0.21503066660457004</v>
      </c>
      <c r="EP63" s="353">
        <f t="shared" ref="EP63" si="303">+IF(EK62&lt;=0,"nm",EP62/EK62-1)</f>
        <v>0.21130603814223159</v>
      </c>
      <c r="EQ63" s="353">
        <f t="shared" ref="EQ63" si="304">+IF(EL62&lt;=0,"nm",EQ62/EL62-1)</f>
        <v>0.20643104884032026</v>
      </c>
      <c r="ER63" s="352">
        <f t="shared" ref="ER63" si="305">+IF(EM62&lt;=0,"nm",ER62/EM62-1)</f>
        <v>0.21202317025563078</v>
      </c>
      <c r="ES63" s="244"/>
      <c r="ET63" s="133"/>
    </row>
    <row r="64" spans="1:157" s="99" customFormat="1" ht="12" customHeight="1">
      <c r="A64" s="792" t="s">
        <v>493</v>
      </c>
      <c r="B64" s="792"/>
      <c r="C64" s="1388" t="s">
        <v>58</v>
      </c>
      <c r="D64" s="635"/>
      <c r="E64" s="635"/>
      <c r="F64" s="635"/>
      <c r="G64" s="635"/>
      <c r="H64" s="635"/>
      <c r="I64" s="634"/>
      <c r="J64" s="634"/>
      <c r="K64" s="634"/>
      <c r="L64" s="634"/>
      <c r="M64" s="635"/>
      <c r="N64" s="634"/>
      <c r="O64" s="634"/>
      <c r="P64" s="634"/>
      <c r="Q64" s="634"/>
      <c r="R64" s="635"/>
      <c r="S64" s="634"/>
      <c r="T64" s="634"/>
      <c r="U64" s="634"/>
      <c r="V64" s="634"/>
      <c r="W64" s="635"/>
      <c r="X64" s="634"/>
      <c r="Y64" s="634"/>
      <c r="Z64" s="634"/>
      <c r="AA64" s="634"/>
      <c r="AB64" s="635"/>
      <c r="AC64" s="634"/>
      <c r="AD64" s="634"/>
      <c r="AE64" s="634"/>
      <c r="AF64" s="634"/>
      <c r="AG64" s="635"/>
      <c r="AH64" s="634"/>
      <c r="AI64" s="634"/>
      <c r="AJ64" s="634"/>
      <c r="AK64" s="634"/>
      <c r="AL64" s="635"/>
      <c r="AM64" s="634"/>
      <c r="AN64" s="634"/>
      <c r="AO64" s="634"/>
      <c r="AP64" s="634"/>
      <c r="AQ64" s="635"/>
      <c r="AR64" s="634"/>
      <c r="AS64" s="634"/>
      <c r="AT64" s="634"/>
      <c r="AU64" s="634"/>
      <c r="AV64" s="635"/>
      <c r="AW64" s="634"/>
      <c r="AX64" s="634"/>
      <c r="AY64" s="634"/>
      <c r="AZ64" s="634"/>
      <c r="BA64" s="635"/>
      <c r="BB64" s="634"/>
      <c r="BC64" s="634"/>
      <c r="BD64" s="634"/>
      <c r="BE64" s="634"/>
      <c r="BF64" s="635"/>
      <c r="BG64" s="634"/>
      <c r="BH64" s="634"/>
      <c r="BI64" s="634"/>
      <c r="BJ64" s="634"/>
      <c r="BK64" s="635"/>
      <c r="BL64" s="634"/>
      <c r="BM64" s="634"/>
      <c r="BN64" s="634"/>
      <c r="BO64" s="634"/>
      <c r="BP64" s="635"/>
      <c r="BQ64" s="353">
        <f t="shared" ref="BQ64:CV64" si="306">BQ62/BQ10</f>
        <v>-0.12129163542893862</v>
      </c>
      <c r="BR64" s="353">
        <f t="shared" si="306"/>
        <v>-7.3365089257890717E-2</v>
      </c>
      <c r="BS64" s="353">
        <f t="shared" si="306"/>
        <v>-8.8224150342893895E-2</v>
      </c>
      <c r="BT64" s="353">
        <f t="shared" si="306"/>
        <v>-8.9877873256095628E-2</v>
      </c>
      <c r="BU64" s="352">
        <f t="shared" si="306"/>
        <v>-9.1554477106508173E-2</v>
      </c>
      <c r="BV64" s="353">
        <f t="shared" si="306"/>
        <v>-0.12278265174225116</v>
      </c>
      <c r="BW64" s="353">
        <f t="shared" si="306"/>
        <v>-9.7395178136577221E-2</v>
      </c>
      <c r="BX64" s="353">
        <f t="shared" si="306"/>
        <v>-9.1586495008937757E-2</v>
      </c>
      <c r="BY64" s="353">
        <f t="shared" si="306"/>
        <v>-6.8007332244234456E-2</v>
      </c>
      <c r="BZ64" s="352">
        <f t="shared" si="306"/>
        <v>-9.0809852824082452E-2</v>
      </c>
      <c r="CA64" s="353">
        <f t="shared" si="306"/>
        <v>-0.10675229040893698</v>
      </c>
      <c r="CB64" s="353">
        <f t="shared" si="306"/>
        <v>-9.2512610860176023E-2</v>
      </c>
      <c r="CC64" s="353">
        <f t="shared" si="306"/>
        <v>-5.4707913400522508E-2</v>
      </c>
      <c r="CD64" s="353">
        <f t="shared" si="306"/>
        <v>-1.3405800353658336E-2</v>
      </c>
      <c r="CE64" s="352">
        <f t="shared" si="306"/>
        <v>-5.9401102622292458E-2</v>
      </c>
      <c r="CF64" s="353">
        <f t="shared" si="306"/>
        <v>-7.4190538396939565E-2</v>
      </c>
      <c r="CG64" s="353">
        <f t="shared" si="306"/>
        <v>-9.7782114033548029E-2</v>
      </c>
      <c r="CH64" s="353">
        <f t="shared" si="306"/>
        <v>-8.5846317909828884E-2</v>
      </c>
      <c r="CI64" s="353">
        <f t="shared" si="306"/>
        <v>-4.4029290820156181E-3</v>
      </c>
      <c r="CJ64" s="352">
        <f t="shared" si="306"/>
        <v>-6.0148393306554457E-2</v>
      </c>
      <c r="CK64" s="353">
        <f t="shared" si="306"/>
        <v>-7.5358366460519008E-2</v>
      </c>
      <c r="CL64" s="353">
        <f t="shared" si="306"/>
        <v>-7.9225590434804247E-2</v>
      </c>
      <c r="CM64" s="353">
        <f t="shared" si="306"/>
        <v>-0.18636186730576199</v>
      </c>
      <c r="CN64" s="353">
        <f t="shared" si="306"/>
        <v>1.526249109193234E-3</v>
      </c>
      <c r="CO64" s="352">
        <f t="shared" si="306"/>
        <v>-7.9105395923007152E-2</v>
      </c>
      <c r="CP64" s="353">
        <f t="shared" si="306"/>
        <v>-6.687007048921173E-2</v>
      </c>
      <c r="CQ64" s="353">
        <f t="shared" si="306"/>
        <v>5.0393299558614227E-2</v>
      </c>
      <c r="CR64" s="353">
        <f t="shared" si="306"/>
        <v>0.24897935249314254</v>
      </c>
      <c r="CS64" s="353">
        <f t="shared" si="306"/>
        <v>0.12669164934788651</v>
      </c>
      <c r="CT64" s="352">
        <f t="shared" si="306"/>
        <v>0.10906638730072904</v>
      </c>
      <c r="CU64" s="353">
        <f t="shared" si="306"/>
        <v>1.272896190450181</v>
      </c>
      <c r="CV64" s="353">
        <f t="shared" si="306"/>
        <v>0.78529360531334724</v>
      </c>
      <c r="CW64" s="353">
        <f t="shared" ref="CW64:EC64" si="307">CW62/CW10</f>
        <v>1.0219730542652217</v>
      </c>
      <c r="CX64" s="354">
        <f t="shared" si="307"/>
        <v>-0.26906126270267716</v>
      </c>
      <c r="CY64" s="352">
        <f t="shared" si="307"/>
        <v>0.63199262943162171</v>
      </c>
      <c r="CZ64" s="353">
        <f t="shared" si="307"/>
        <v>-1.2249749298576047</v>
      </c>
      <c r="DA64" s="353">
        <f t="shared" si="307"/>
        <v>-0.9296126906567479</v>
      </c>
      <c r="DB64" s="353">
        <f t="shared" si="307"/>
        <v>-0.11594861660079048</v>
      </c>
      <c r="DC64" s="353">
        <f t="shared" si="307"/>
        <v>-0.35948236807613709</v>
      </c>
      <c r="DD64" s="352">
        <f t="shared" si="307"/>
        <v>-0.61794679299354405</v>
      </c>
      <c r="DE64" s="353">
        <f t="shared" si="307"/>
        <v>4.5092838196286469E-2</v>
      </c>
      <c r="DF64" s="353">
        <f t="shared" si="307"/>
        <v>-0.7739079102715466</v>
      </c>
      <c r="DG64" s="353">
        <f t="shared" si="307"/>
        <v>0.41890315052508753</v>
      </c>
      <c r="DH64" s="353">
        <f t="shared" si="307"/>
        <v>0.30643656716417911</v>
      </c>
      <c r="DI64" s="352">
        <f t="shared" si="307"/>
        <v>1.8696883852691217E-2</v>
      </c>
      <c r="DJ64" s="353">
        <f t="shared" si="307"/>
        <v>-0.14669532509403546</v>
      </c>
      <c r="DK64" s="353">
        <f t="shared" si="307"/>
        <v>8.361858190709047E-2</v>
      </c>
      <c r="DL64" s="353">
        <f t="shared" si="307"/>
        <v>0.38297872340425532</v>
      </c>
      <c r="DM64" s="353">
        <f t="shared" si="307"/>
        <v>0.45981507823613088</v>
      </c>
      <c r="DN64" s="352">
        <f t="shared" si="307"/>
        <v>0.22736486486486487</v>
      </c>
      <c r="DO64" s="353">
        <f t="shared" si="307"/>
        <v>-0.28898305084745762</v>
      </c>
      <c r="DP64" s="353">
        <f t="shared" si="307"/>
        <v>0.33805970149253733</v>
      </c>
      <c r="DQ64" s="353">
        <f t="shared" ref="DQ64" si="308">DQ62/DQ10</f>
        <v>9.2827004219409287E-2</v>
      </c>
      <c r="DR64" s="354">
        <f>DR62/DR10</f>
        <v>0.20234204793028324</v>
      </c>
      <c r="DS64" s="352">
        <f t="shared" si="307"/>
        <v>0.10652474904811353</v>
      </c>
      <c r="DT64" s="353">
        <f t="shared" ref="DT64:DU64" si="309">DT62/DT10</f>
        <v>-0.18328075709779179</v>
      </c>
      <c r="DU64" s="353">
        <f t="shared" si="309"/>
        <v>0.41920178621267096</v>
      </c>
      <c r="DV64" s="353">
        <f t="shared" si="307"/>
        <v>0.13565059589971798</v>
      </c>
      <c r="DW64" s="353">
        <f t="shared" si="307"/>
        <v>0.15588089404582742</v>
      </c>
      <c r="DX64" s="352">
        <f t="shared" si="307"/>
        <v>0.1422928990183738</v>
      </c>
      <c r="DY64" s="353">
        <f t="shared" si="307"/>
        <v>0.11953010177750073</v>
      </c>
      <c r="DZ64" s="353">
        <f t="shared" si="307"/>
        <v>0.13730257733064766</v>
      </c>
      <c r="EA64" s="353">
        <f t="shared" si="307"/>
        <v>0.14884312268660355</v>
      </c>
      <c r="EB64" s="353">
        <f t="shared" si="307"/>
        <v>0.17137360999604215</v>
      </c>
      <c r="EC64" s="352">
        <f t="shared" si="307"/>
        <v>0.14688792068021977</v>
      </c>
      <c r="ED64" s="353">
        <f t="shared" ref="ED64:EH64" si="310">ED62/ED10</f>
        <v>0.12426099799998608</v>
      </c>
      <c r="EE64" s="353">
        <f t="shared" si="310"/>
        <v>0.1416729707905808</v>
      </c>
      <c r="EF64" s="353">
        <f t="shared" si="310"/>
        <v>0.15262373226583956</v>
      </c>
      <c r="EG64" s="353">
        <f t="shared" si="310"/>
        <v>0.17481058174389863</v>
      </c>
      <c r="EH64" s="352">
        <f t="shared" si="310"/>
        <v>0.1508894132783925</v>
      </c>
      <c r="EI64" s="353">
        <f t="shared" ref="EI64:ER64" si="311">EI62/EI10</f>
        <v>0.12903390156107633</v>
      </c>
      <c r="EJ64" s="353">
        <f t="shared" si="311"/>
        <v>0.14633610825589638</v>
      </c>
      <c r="EK64" s="353">
        <f t="shared" si="311"/>
        <v>0.15709337731696851</v>
      </c>
      <c r="EL64" s="353">
        <f t="shared" si="311"/>
        <v>0.17926371874126204</v>
      </c>
      <c r="EM64" s="352">
        <f t="shared" si="311"/>
        <v>0.15546814660871297</v>
      </c>
      <c r="EN64" s="353">
        <f t="shared" si="311"/>
        <v>0.13425276010479978</v>
      </c>
      <c r="EO64" s="353">
        <f t="shared" si="311"/>
        <v>0.15156156777746271</v>
      </c>
      <c r="EP64" s="353">
        <f t="shared" si="311"/>
        <v>0.16219389183796629</v>
      </c>
      <c r="EQ64" s="353">
        <f t="shared" si="311"/>
        <v>0.18432318556219218</v>
      </c>
      <c r="ER64" s="352">
        <f t="shared" si="311"/>
        <v>0.1606118601719875</v>
      </c>
      <c r="ES64" s="244"/>
      <c r="ET64" s="133"/>
    </row>
    <row r="65" spans="1:150" s="99" customFormat="1" ht="12" customHeight="1">
      <c r="A65" s="792"/>
      <c r="B65" s="792"/>
      <c r="C65" s="1409" t="s">
        <v>752</v>
      </c>
      <c r="D65" s="635"/>
      <c r="E65" s="635"/>
      <c r="F65" s="635"/>
      <c r="G65" s="635"/>
      <c r="H65" s="635"/>
      <c r="I65" s="634"/>
      <c r="J65" s="634"/>
      <c r="K65" s="634"/>
      <c r="L65" s="634"/>
      <c r="M65" s="635"/>
      <c r="N65" s="634"/>
      <c r="O65" s="634"/>
      <c r="P65" s="634"/>
      <c r="Q65" s="634"/>
      <c r="R65" s="635"/>
      <c r="S65" s="634"/>
      <c r="T65" s="634"/>
      <c r="U65" s="634"/>
      <c r="V65" s="634"/>
      <c r="W65" s="635"/>
      <c r="X65" s="634"/>
      <c r="Y65" s="634"/>
      <c r="Z65" s="634"/>
      <c r="AA65" s="634"/>
      <c r="AB65" s="635"/>
      <c r="AC65" s="634"/>
      <c r="AD65" s="634"/>
      <c r="AE65" s="634"/>
      <c r="AF65" s="634"/>
      <c r="AG65" s="635"/>
      <c r="AH65" s="634"/>
      <c r="AI65" s="634"/>
      <c r="AJ65" s="634"/>
      <c r="AK65" s="634"/>
      <c r="AL65" s="635"/>
      <c r="AM65" s="634"/>
      <c r="AN65" s="634"/>
      <c r="AO65" s="634"/>
      <c r="AP65" s="634"/>
      <c r="AQ65" s="635"/>
      <c r="AR65" s="634"/>
      <c r="AS65" s="634"/>
      <c r="AT65" s="634"/>
      <c r="AU65" s="634"/>
      <c r="AV65" s="635"/>
      <c r="AW65" s="634"/>
      <c r="AX65" s="634"/>
      <c r="AY65" s="634"/>
      <c r="AZ65" s="634"/>
      <c r="BA65" s="635"/>
      <c r="BB65" s="634"/>
      <c r="BC65" s="634"/>
      <c r="BD65" s="634"/>
      <c r="BE65" s="634"/>
      <c r="BF65" s="635"/>
      <c r="BG65" s="634"/>
      <c r="BH65" s="634"/>
      <c r="BI65" s="634"/>
      <c r="BJ65" s="634"/>
      <c r="BK65" s="635"/>
      <c r="BL65" s="634"/>
      <c r="BM65" s="634"/>
      <c r="BN65" s="634"/>
      <c r="BO65" s="634"/>
      <c r="BP65" s="635"/>
      <c r="BQ65" s="353"/>
      <c r="BR65" s="353"/>
      <c r="BS65" s="353"/>
      <c r="BT65" s="353"/>
      <c r="BU65" s="352"/>
      <c r="BV65" s="353"/>
      <c r="BW65" s="353"/>
      <c r="BX65" s="353"/>
      <c r="BY65" s="353"/>
      <c r="BZ65" s="352"/>
      <c r="CA65" s="353"/>
      <c r="CB65" s="353"/>
      <c r="CC65" s="353"/>
      <c r="CD65" s="353"/>
      <c r="CE65" s="352"/>
      <c r="CF65" s="353"/>
      <c r="CG65" s="353"/>
      <c r="CH65" s="353"/>
      <c r="CI65" s="353"/>
      <c r="CJ65" s="352"/>
      <c r="CK65" s="353"/>
      <c r="CL65" s="353"/>
      <c r="CM65" s="353"/>
      <c r="CN65" s="353"/>
      <c r="CO65" s="352"/>
      <c r="CP65" s="353"/>
      <c r="CQ65" s="353"/>
      <c r="CR65" s="353"/>
      <c r="CS65" s="353"/>
      <c r="CT65" s="352"/>
      <c r="CU65" s="1410"/>
      <c r="CV65" s="1410"/>
      <c r="CW65" s="1410"/>
      <c r="CX65" s="1410"/>
      <c r="CY65" s="1420"/>
      <c r="CZ65" s="1410"/>
      <c r="DA65" s="1410"/>
      <c r="DB65" s="1410"/>
      <c r="DC65" s="1410"/>
      <c r="DD65" s="1420"/>
      <c r="DE65" s="1410"/>
      <c r="DF65" s="1410"/>
      <c r="DG65" s="1410">
        <v>545</v>
      </c>
      <c r="DH65" s="1410">
        <v>320</v>
      </c>
      <c r="DI65" s="1420">
        <f>SUM(DE65:DH65)</f>
        <v>865</v>
      </c>
      <c r="DJ65" s="1410">
        <v>-417</v>
      </c>
      <c r="DK65" s="1410">
        <v>-120</v>
      </c>
      <c r="DL65" s="1410">
        <v>484</v>
      </c>
      <c r="DM65" s="1410">
        <v>835</v>
      </c>
      <c r="DN65" s="1420">
        <f>SUM(DJ65:DM65)</f>
        <v>782</v>
      </c>
      <c r="DO65" s="1410">
        <v>-908</v>
      </c>
      <c r="DP65" s="1410">
        <v>568</v>
      </c>
      <c r="DQ65" s="1410">
        <v>-103</v>
      </c>
      <c r="DR65" s="1522">
        <v>149</v>
      </c>
      <c r="DS65" s="1420">
        <f>SUM(DO65:DR65)</f>
        <v>-294</v>
      </c>
      <c r="DT65" s="1410">
        <v>-941</v>
      </c>
      <c r="DU65" s="1410">
        <v>1063</v>
      </c>
      <c r="DV65" s="1421">
        <v>0</v>
      </c>
      <c r="DW65" s="1421">
        <v>0</v>
      </c>
      <c r="DX65" s="1420">
        <f>SUM(DT65:DW65)</f>
        <v>122</v>
      </c>
      <c r="DY65" s="1421">
        <v>0</v>
      </c>
      <c r="DZ65" s="1421">
        <v>0</v>
      </c>
      <c r="EA65" s="1421">
        <v>0</v>
      </c>
      <c r="EB65" s="1421">
        <v>0</v>
      </c>
      <c r="EC65" s="1420">
        <f>SUM(DY65:EB65)</f>
        <v>0</v>
      </c>
      <c r="ED65" s="1421">
        <v>0</v>
      </c>
      <c r="EE65" s="1421">
        <v>0</v>
      </c>
      <c r="EF65" s="1421">
        <v>0</v>
      </c>
      <c r="EG65" s="1421">
        <v>0</v>
      </c>
      <c r="EH65" s="1420">
        <f>SUM(ED65:EG65)</f>
        <v>0</v>
      </c>
      <c r="EI65" s="1421">
        <v>0</v>
      </c>
      <c r="EJ65" s="1421">
        <v>0</v>
      </c>
      <c r="EK65" s="1421">
        <v>0</v>
      </c>
      <c r="EL65" s="1421">
        <v>0</v>
      </c>
      <c r="EM65" s="1420">
        <f>SUM(EI65:EL65)</f>
        <v>0</v>
      </c>
      <c r="EN65" s="1421">
        <v>0</v>
      </c>
      <c r="EO65" s="1421">
        <v>0</v>
      </c>
      <c r="EP65" s="1421">
        <v>0</v>
      </c>
      <c r="EQ65" s="1421">
        <v>0</v>
      </c>
      <c r="ER65" s="1420">
        <f>SUM(EN65:EQ65)</f>
        <v>0</v>
      </c>
      <c r="ES65" s="244"/>
      <c r="ET65" s="133"/>
    </row>
    <row r="66" spans="1:150" s="99" customFormat="1" ht="12" customHeight="1">
      <c r="A66" s="792"/>
      <c r="B66" s="792"/>
      <c r="C66" s="248" t="s">
        <v>751</v>
      </c>
      <c r="D66" s="635"/>
      <c r="E66" s="635"/>
      <c r="F66" s="635"/>
      <c r="G66" s="635"/>
      <c r="H66" s="635"/>
      <c r="I66" s="634"/>
      <c r="J66" s="634"/>
      <c r="K66" s="634"/>
      <c r="L66" s="634"/>
      <c r="M66" s="635"/>
      <c r="N66" s="634"/>
      <c r="O66" s="634"/>
      <c r="P66" s="634"/>
      <c r="Q66" s="634"/>
      <c r="R66" s="635"/>
      <c r="S66" s="634"/>
      <c r="T66" s="634"/>
      <c r="U66" s="634"/>
      <c r="V66" s="634"/>
      <c r="W66" s="635"/>
      <c r="X66" s="634"/>
      <c r="Y66" s="634"/>
      <c r="Z66" s="634"/>
      <c r="AA66" s="634"/>
      <c r="AB66" s="635"/>
      <c r="AC66" s="634"/>
      <c r="AD66" s="634"/>
      <c r="AE66" s="634"/>
      <c r="AF66" s="634"/>
      <c r="AG66" s="635"/>
      <c r="AH66" s="634"/>
      <c r="AI66" s="634"/>
      <c r="AJ66" s="634"/>
      <c r="AK66" s="634"/>
      <c r="AL66" s="635"/>
      <c r="AM66" s="634"/>
      <c r="AN66" s="634"/>
      <c r="AO66" s="634"/>
      <c r="AP66" s="634"/>
      <c r="AQ66" s="635"/>
      <c r="AR66" s="634"/>
      <c r="AS66" s="634"/>
      <c r="AT66" s="634"/>
      <c r="AU66" s="634"/>
      <c r="AV66" s="635"/>
      <c r="AW66" s="634"/>
      <c r="AX66" s="634"/>
      <c r="AY66" s="634"/>
      <c r="AZ66" s="634"/>
      <c r="BA66" s="635"/>
      <c r="BB66" s="634"/>
      <c r="BC66" s="634"/>
      <c r="BD66" s="634"/>
      <c r="BE66" s="634"/>
      <c r="BF66" s="635"/>
      <c r="BG66" s="634"/>
      <c r="BH66" s="634"/>
      <c r="BI66" s="634"/>
      <c r="BJ66" s="634"/>
      <c r="BK66" s="635"/>
      <c r="BL66" s="634"/>
      <c r="BM66" s="634"/>
      <c r="BN66" s="634"/>
      <c r="BO66" s="634"/>
      <c r="BP66" s="635"/>
      <c r="BQ66" s="353"/>
      <c r="BR66" s="353"/>
      <c r="BS66" s="353"/>
      <c r="BT66" s="353"/>
      <c r="BU66" s="352"/>
      <c r="BV66" s="353"/>
      <c r="BW66" s="353"/>
      <c r="BX66" s="353"/>
      <c r="BY66" s="353"/>
      <c r="BZ66" s="352"/>
      <c r="CA66" s="353"/>
      <c r="CB66" s="353"/>
      <c r="CC66" s="353"/>
      <c r="CD66" s="353"/>
      <c r="CE66" s="352"/>
      <c r="CF66" s="353"/>
      <c r="CG66" s="353"/>
      <c r="CH66" s="353"/>
      <c r="CI66" s="353"/>
      <c r="CJ66" s="352"/>
      <c r="CK66" s="353"/>
      <c r="CL66" s="353"/>
      <c r="CM66" s="353"/>
      <c r="CN66" s="353"/>
      <c r="CO66" s="352"/>
      <c r="CP66" s="353"/>
      <c r="CQ66" s="353"/>
      <c r="CR66" s="353"/>
      <c r="CS66" s="353"/>
      <c r="CT66" s="352"/>
      <c r="CU66" s="295"/>
      <c r="CV66" s="295"/>
      <c r="CW66" s="295"/>
      <c r="CX66" s="295"/>
      <c r="CY66" s="348"/>
      <c r="CZ66" s="295"/>
      <c r="DA66" s="295"/>
      <c r="DB66" s="295"/>
      <c r="DC66" s="295"/>
      <c r="DD66" s="348"/>
      <c r="DE66" s="295"/>
      <c r="DF66" s="295"/>
      <c r="DG66" s="295">
        <f t="shared" ref="DG66:EC66" si="312">DG62-DG65</f>
        <v>173</v>
      </c>
      <c r="DH66" s="295">
        <f t="shared" si="312"/>
        <v>337</v>
      </c>
      <c r="DI66" s="348">
        <f t="shared" si="312"/>
        <v>-733</v>
      </c>
      <c r="DJ66" s="295">
        <f t="shared" si="312"/>
        <v>144</v>
      </c>
      <c r="DK66" s="295">
        <f t="shared" si="312"/>
        <v>291</v>
      </c>
      <c r="DL66" s="295">
        <f t="shared" si="312"/>
        <v>344</v>
      </c>
      <c r="DM66" s="295">
        <f t="shared" si="312"/>
        <v>458</v>
      </c>
      <c r="DN66" s="348">
        <f t="shared" si="312"/>
        <v>1237</v>
      </c>
      <c r="DO66" s="295">
        <f t="shared" si="312"/>
        <v>226</v>
      </c>
      <c r="DP66" s="295">
        <f t="shared" si="312"/>
        <v>338</v>
      </c>
      <c r="DQ66" s="295">
        <f t="shared" ref="DQ66" si="313">DQ62-DQ65</f>
        <v>367</v>
      </c>
      <c r="DR66" s="295">
        <f>DR62-DR65</f>
        <v>594</v>
      </c>
      <c r="DS66" s="348">
        <f t="shared" si="312"/>
        <v>1525</v>
      </c>
      <c r="DT66" s="295">
        <f t="shared" ref="DT66:DU66" si="314">DT62-DT65</f>
        <v>360</v>
      </c>
      <c r="DU66" s="295">
        <f t="shared" si="314"/>
        <v>439</v>
      </c>
      <c r="DV66" s="295">
        <f t="shared" si="312"/>
        <v>503.1176933722864</v>
      </c>
      <c r="DW66" s="295">
        <f t="shared" si="312"/>
        <v>740.39713876073233</v>
      </c>
      <c r="DX66" s="348">
        <f t="shared" si="312"/>
        <v>2042.5148321330189</v>
      </c>
      <c r="DY66" s="295">
        <f t="shared" si="312"/>
        <v>482.31849134156749</v>
      </c>
      <c r="DZ66" s="295">
        <f t="shared" si="312"/>
        <v>623.59331566438743</v>
      </c>
      <c r="EA66" s="295">
        <f t="shared" si="312"/>
        <v>690.88153560855153</v>
      </c>
      <c r="EB66" s="295">
        <f t="shared" si="312"/>
        <v>1013.8012017773117</v>
      </c>
      <c r="EC66" s="348">
        <f t="shared" si="312"/>
        <v>2810.5945443918181</v>
      </c>
      <c r="ED66" s="295">
        <f t="shared" ref="ED66:EH66" si="315">ED62-ED65</f>
        <v>606.03408246052004</v>
      </c>
      <c r="EE66" s="295">
        <f t="shared" si="315"/>
        <v>777.08309874522024</v>
      </c>
      <c r="EF66" s="295">
        <f t="shared" si="315"/>
        <v>854.49514861729608</v>
      </c>
      <c r="EG66" s="295">
        <f t="shared" si="315"/>
        <v>1247.5275607084427</v>
      </c>
      <c r="EH66" s="348">
        <f t="shared" si="315"/>
        <v>3485.1398905314791</v>
      </c>
      <c r="EI66" s="295">
        <f t="shared" ref="EI66:ER66" si="316">EI62-EI65</f>
        <v>745.79721747335611</v>
      </c>
      <c r="EJ66" s="295">
        <f t="shared" si="316"/>
        <v>951.38335311866308</v>
      </c>
      <c r="EK66" s="295">
        <f t="shared" si="316"/>
        <v>1042.421829194649</v>
      </c>
      <c r="EL66" s="295">
        <f t="shared" si="316"/>
        <v>1517.0357919149944</v>
      </c>
      <c r="EM66" s="348">
        <f t="shared" si="316"/>
        <v>4256.6381917016624</v>
      </c>
      <c r="EN66" s="295">
        <f t="shared" si="316"/>
        <v>910.29322843812349</v>
      </c>
      <c r="EO66" s="295">
        <f t="shared" si="316"/>
        <v>1155.9599497362603</v>
      </c>
      <c r="EP66" s="295">
        <f t="shared" si="316"/>
        <v>1262.6918559947483</v>
      </c>
      <c r="EQ66" s="295">
        <f t="shared" si="316"/>
        <v>1830.1990815683125</v>
      </c>
      <c r="ER66" s="348">
        <f t="shared" si="316"/>
        <v>5159.1441157374447</v>
      </c>
      <c r="ES66" s="244"/>
      <c r="ET66" s="133"/>
    </row>
    <row r="67" spans="1:150" s="99" customFormat="1" ht="12" customHeight="1">
      <c r="A67" s="792"/>
      <c r="B67" s="792"/>
      <c r="C67" s="1388" t="s">
        <v>129</v>
      </c>
      <c r="D67" s="635"/>
      <c r="E67" s="635"/>
      <c r="F67" s="635"/>
      <c r="G67" s="635"/>
      <c r="H67" s="635"/>
      <c r="I67" s="634"/>
      <c r="J67" s="634"/>
      <c r="K67" s="634"/>
      <c r="L67" s="634"/>
      <c r="M67" s="635"/>
      <c r="N67" s="634"/>
      <c r="O67" s="634"/>
      <c r="P67" s="634"/>
      <c r="Q67" s="634"/>
      <c r="R67" s="635"/>
      <c r="S67" s="634"/>
      <c r="T67" s="634"/>
      <c r="U67" s="634"/>
      <c r="V67" s="634"/>
      <c r="W67" s="635"/>
      <c r="X67" s="634"/>
      <c r="Y67" s="634"/>
      <c r="Z67" s="634"/>
      <c r="AA67" s="634"/>
      <c r="AB67" s="635"/>
      <c r="AC67" s="634"/>
      <c r="AD67" s="634"/>
      <c r="AE67" s="634"/>
      <c r="AF67" s="634"/>
      <c r="AG67" s="635"/>
      <c r="AH67" s="634"/>
      <c r="AI67" s="634"/>
      <c r="AJ67" s="634"/>
      <c r="AK67" s="634"/>
      <c r="AL67" s="635"/>
      <c r="AM67" s="634"/>
      <c r="AN67" s="634"/>
      <c r="AO67" s="634"/>
      <c r="AP67" s="634"/>
      <c r="AQ67" s="635"/>
      <c r="AR67" s="634"/>
      <c r="AS67" s="634"/>
      <c r="AT67" s="634"/>
      <c r="AU67" s="634"/>
      <c r="AV67" s="635"/>
      <c r="AW67" s="634"/>
      <c r="AX67" s="634"/>
      <c r="AY67" s="634"/>
      <c r="AZ67" s="634"/>
      <c r="BA67" s="635"/>
      <c r="BB67" s="634"/>
      <c r="BC67" s="634"/>
      <c r="BD67" s="634"/>
      <c r="BE67" s="634"/>
      <c r="BF67" s="635"/>
      <c r="BG67" s="634"/>
      <c r="BH67" s="634"/>
      <c r="BI67" s="634"/>
      <c r="BJ67" s="634"/>
      <c r="BK67" s="635"/>
      <c r="BL67" s="634"/>
      <c r="BM67" s="634"/>
      <c r="BN67" s="634"/>
      <c r="BO67" s="634"/>
      <c r="BP67" s="635"/>
      <c r="BQ67" s="353"/>
      <c r="BR67" s="353"/>
      <c r="BS67" s="353"/>
      <c r="BT67" s="353"/>
      <c r="BU67" s="352"/>
      <c r="BV67" s="353"/>
      <c r="BW67" s="353"/>
      <c r="BX67" s="353"/>
      <c r="BY67" s="353"/>
      <c r="BZ67" s="352"/>
      <c r="CA67" s="353"/>
      <c r="CB67" s="353"/>
      <c r="CC67" s="353"/>
      <c r="CD67" s="353"/>
      <c r="CE67" s="352"/>
      <c r="CF67" s="353"/>
      <c r="CG67" s="353"/>
      <c r="CH67" s="353"/>
      <c r="CI67" s="353"/>
      <c r="CJ67" s="352"/>
      <c r="CK67" s="353"/>
      <c r="CL67" s="353"/>
      <c r="CM67" s="353"/>
      <c r="CN67" s="353"/>
      <c r="CO67" s="352"/>
      <c r="CP67" s="353"/>
      <c r="CQ67" s="353"/>
      <c r="CR67" s="353"/>
      <c r="CS67" s="353"/>
      <c r="CT67" s="352"/>
      <c r="CU67" s="353"/>
      <c r="CV67" s="353"/>
      <c r="CW67" s="353"/>
      <c r="CX67" s="353"/>
      <c r="CY67" s="352"/>
      <c r="CZ67" s="353"/>
      <c r="DA67" s="353"/>
      <c r="DB67" s="353"/>
      <c r="DC67" s="353"/>
      <c r="DD67" s="352"/>
      <c r="DE67" s="353"/>
      <c r="DF67" s="353"/>
      <c r="DG67" s="353"/>
      <c r="DH67" s="353"/>
      <c r="DI67" s="352"/>
      <c r="DJ67" s="353"/>
      <c r="DK67" s="353"/>
      <c r="DL67" s="353">
        <f t="shared" ref="DL67:EC67" si="317">DL66/DG66-1</f>
        <v>0.9884393063583814</v>
      </c>
      <c r="DM67" s="353">
        <f t="shared" si="317"/>
        <v>0.35905044510385764</v>
      </c>
      <c r="DN67" s="352">
        <f t="shared" si="317"/>
        <v>-2.6875852660300135</v>
      </c>
      <c r="DO67" s="353">
        <f t="shared" si="317"/>
        <v>0.56944444444444442</v>
      </c>
      <c r="DP67" s="353">
        <f t="shared" si="317"/>
        <v>0.16151202749140903</v>
      </c>
      <c r="DQ67" s="353">
        <f t="shared" si="317"/>
        <v>6.6860465116278966E-2</v>
      </c>
      <c r="DR67" s="354">
        <f>DR66/DM66-1</f>
        <v>0.29694323144104806</v>
      </c>
      <c r="DS67" s="352">
        <f t="shared" si="317"/>
        <v>0.23282134195634607</v>
      </c>
      <c r="DT67" s="353">
        <f t="shared" si="317"/>
        <v>0.59292035398230092</v>
      </c>
      <c r="DU67" s="353">
        <f t="shared" si="317"/>
        <v>0.29881656804733736</v>
      </c>
      <c r="DV67" s="353">
        <f t="shared" si="317"/>
        <v>0.37089289747216991</v>
      </c>
      <c r="DW67" s="353">
        <f t="shared" si="317"/>
        <v>0.24645982956352253</v>
      </c>
      <c r="DX67" s="352">
        <f t="shared" si="317"/>
        <v>0.33935398828394692</v>
      </c>
      <c r="DY67" s="353">
        <f t="shared" si="317"/>
        <v>0.33977358705990968</v>
      </c>
      <c r="DZ67" s="353">
        <f t="shared" si="317"/>
        <v>0.42048591267514213</v>
      </c>
      <c r="EA67" s="353">
        <f t="shared" si="317"/>
        <v>0.37320063418506644</v>
      </c>
      <c r="EB67" s="353">
        <f t="shared" si="317"/>
        <v>0.36926677414529152</v>
      </c>
      <c r="EC67" s="352">
        <f t="shared" si="317"/>
        <v>0.3760460879770875</v>
      </c>
      <c r="ED67" s="353">
        <f t="shared" ref="ED67" si="318">ED66/DY66-1</f>
        <v>0.25650186202655845</v>
      </c>
      <c r="EE67" s="353">
        <f t="shared" ref="EE67" si="319">EE66/DZ66-1</f>
        <v>0.24613763365520058</v>
      </c>
      <c r="EF67" s="353">
        <f t="shared" ref="EF67" si="320">EF66/EA66-1</f>
        <v>0.23681862168255541</v>
      </c>
      <c r="EG67" s="353">
        <f t="shared" ref="EG67" si="321">EG66/EB66-1</f>
        <v>0.23054456684543423</v>
      </c>
      <c r="EH67" s="352">
        <f t="shared" ref="EH67" si="322">EH66/EC66-1</f>
        <v>0.24000094481277268</v>
      </c>
      <c r="EI67" s="353">
        <f t="shared" ref="EI67" si="323">EI66/ED66-1</f>
        <v>0.23061926557891388</v>
      </c>
      <c r="EJ67" s="353">
        <f t="shared" ref="EJ67" si="324">EJ66/EE66-1</f>
        <v>0.22430066315287367</v>
      </c>
      <c r="EK67" s="353">
        <f t="shared" ref="EK67" si="325">EK66/EF66-1</f>
        <v>0.21992714748755104</v>
      </c>
      <c r="EL67" s="353">
        <f t="shared" ref="EL67" si="326">EL66/EG66-1</f>
        <v>0.21603388950662072</v>
      </c>
      <c r="EM67" s="352">
        <f t="shared" ref="EM67" si="327">EM66/EH66-1</f>
        <v>0.22136795807428289</v>
      </c>
      <c r="EN67" s="353">
        <f t="shared" ref="EN67" si="328">EN66/EI66-1</f>
        <v>0.22056399127105086</v>
      </c>
      <c r="EO67" s="353">
        <f t="shared" ref="EO67" si="329">EO66/EJ66-1</f>
        <v>0.21503066660457004</v>
      </c>
      <c r="EP67" s="353">
        <f t="shared" ref="EP67" si="330">EP66/EK66-1</f>
        <v>0.21130603814223159</v>
      </c>
      <c r="EQ67" s="353">
        <f t="shared" ref="EQ67" si="331">EQ66/EL66-1</f>
        <v>0.20643104884032026</v>
      </c>
      <c r="ER67" s="352">
        <f t="shared" ref="ER67" si="332">ER66/EM66-1</f>
        <v>0.21202317025563078</v>
      </c>
      <c r="ES67" s="244"/>
      <c r="ET67" s="133"/>
    </row>
    <row r="68" spans="1:150" s="99" customFormat="1" ht="12" customHeight="1">
      <c r="A68" s="792"/>
      <c r="B68" s="792"/>
      <c r="C68" s="1388" t="s">
        <v>58</v>
      </c>
      <c r="D68" s="635"/>
      <c r="E68" s="635"/>
      <c r="F68" s="635"/>
      <c r="G68" s="635"/>
      <c r="H68" s="635"/>
      <c r="I68" s="634"/>
      <c r="J68" s="634"/>
      <c r="K68" s="634"/>
      <c r="L68" s="634"/>
      <c r="M68" s="635"/>
      <c r="N68" s="634"/>
      <c r="O68" s="634"/>
      <c r="P68" s="634"/>
      <c r="Q68" s="634"/>
      <c r="R68" s="635"/>
      <c r="S68" s="634"/>
      <c r="T68" s="634"/>
      <c r="U68" s="634"/>
      <c r="V68" s="634"/>
      <c r="W68" s="635"/>
      <c r="X68" s="634"/>
      <c r="Y68" s="634"/>
      <c r="Z68" s="634"/>
      <c r="AA68" s="634"/>
      <c r="AB68" s="635"/>
      <c r="AC68" s="634"/>
      <c r="AD68" s="634"/>
      <c r="AE68" s="634"/>
      <c r="AF68" s="634"/>
      <c r="AG68" s="635"/>
      <c r="AH68" s="634"/>
      <c r="AI68" s="634"/>
      <c r="AJ68" s="634"/>
      <c r="AK68" s="634"/>
      <c r="AL68" s="635"/>
      <c r="AM68" s="634"/>
      <c r="AN68" s="634"/>
      <c r="AO68" s="634"/>
      <c r="AP68" s="634"/>
      <c r="AQ68" s="635"/>
      <c r="AR68" s="634"/>
      <c r="AS68" s="634"/>
      <c r="AT68" s="634"/>
      <c r="AU68" s="634"/>
      <c r="AV68" s="635"/>
      <c r="AW68" s="634"/>
      <c r="AX68" s="634"/>
      <c r="AY68" s="634"/>
      <c r="AZ68" s="634"/>
      <c r="BA68" s="635"/>
      <c r="BB68" s="634"/>
      <c r="BC68" s="634"/>
      <c r="BD68" s="634"/>
      <c r="BE68" s="634"/>
      <c r="BF68" s="635"/>
      <c r="BG68" s="634"/>
      <c r="BH68" s="634"/>
      <c r="BI68" s="634"/>
      <c r="BJ68" s="634"/>
      <c r="BK68" s="635"/>
      <c r="BL68" s="634"/>
      <c r="BM68" s="634"/>
      <c r="BN68" s="634"/>
      <c r="BO68" s="634"/>
      <c r="BP68" s="635"/>
      <c r="BQ68" s="353"/>
      <c r="BR68" s="353"/>
      <c r="BS68" s="353"/>
      <c r="BT68" s="353"/>
      <c r="BU68" s="352"/>
      <c r="BV68" s="353"/>
      <c r="BW68" s="353"/>
      <c r="BX68" s="353"/>
      <c r="BY68" s="353"/>
      <c r="BZ68" s="352"/>
      <c r="CA68" s="353"/>
      <c r="CB68" s="353"/>
      <c r="CC68" s="353"/>
      <c r="CD68" s="353"/>
      <c r="CE68" s="352"/>
      <c r="CF68" s="353"/>
      <c r="CG68" s="353"/>
      <c r="CH68" s="353"/>
      <c r="CI68" s="353"/>
      <c r="CJ68" s="352"/>
      <c r="CK68" s="353"/>
      <c r="CL68" s="353"/>
      <c r="CM68" s="353"/>
      <c r="CN68" s="353"/>
      <c r="CO68" s="352"/>
      <c r="CP68" s="353"/>
      <c r="CQ68" s="353"/>
      <c r="CR68" s="353"/>
      <c r="CS68" s="353"/>
      <c r="CT68" s="352"/>
      <c r="CU68" s="353"/>
      <c r="CV68" s="353"/>
      <c r="CW68" s="353"/>
      <c r="CX68" s="353"/>
      <c r="CY68" s="352"/>
      <c r="CZ68" s="353"/>
      <c r="DA68" s="353"/>
      <c r="DB68" s="353"/>
      <c r="DC68" s="353"/>
      <c r="DD68" s="352"/>
      <c r="DE68" s="353"/>
      <c r="DF68" s="353"/>
      <c r="DG68" s="353">
        <f t="shared" ref="DG68:EC68" si="333">DG66/DG10</f>
        <v>0.10093348891481914</v>
      </c>
      <c r="DH68" s="353">
        <f t="shared" si="333"/>
        <v>0.15718283582089551</v>
      </c>
      <c r="DI68" s="352">
        <f t="shared" si="333"/>
        <v>-0.10382436260623229</v>
      </c>
      <c r="DJ68" s="353">
        <f t="shared" si="333"/>
        <v>7.7377753895754964E-2</v>
      </c>
      <c r="DK68" s="353">
        <f t="shared" si="333"/>
        <v>0.14229828850855747</v>
      </c>
      <c r="DL68" s="353">
        <f t="shared" si="333"/>
        <v>0.15911193339500462</v>
      </c>
      <c r="DM68" s="353">
        <f t="shared" si="333"/>
        <v>0.16287339971550499</v>
      </c>
      <c r="DN68" s="352">
        <f t="shared" si="333"/>
        <v>0.13930180180180179</v>
      </c>
      <c r="DO68" s="353">
        <f t="shared" si="333"/>
        <v>9.5762711864406783E-2</v>
      </c>
      <c r="DP68" s="353">
        <f t="shared" si="333"/>
        <v>0.12611940298507462</v>
      </c>
      <c r="DQ68" s="353">
        <f t="shared" ref="DQ68" si="334">DQ66/DQ10</f>
        <v>0.1290436005625879</v>
      </c>
      <c r="DR68" s="354">
        <f>DR66/DR10</f>
        <v>0.16176470588235295</v>
      </c>
      <c r="DS68" s="352">
        <f t="shared" si="333"/>
        <v>0.13196607822776046</v>
      </c>
      <c r="DT68" s="353">
        <f t="shared" ref="DT68:DU68" si="335">DT66/DT10</f>
        <v>0.11356466876971609</v>
      </c>
      <c r="DU68" s="353">
        <f t="shared" si="335"/>
        <v>0.12252302539771141</v>
      </c>
      <c r="DV68" s="353">
        <f t="shared" si="333"/>
        <v>0.13565059589971798</v>
      </c>
      <c r="DW68" s="353">
        <f t="shared" si="333"/>
        <v>0.15588089404582742</v>
      </c>
      <c r="DX68" s="352">
        <f t="shared" si="333"/>
        <v>0.13427274899559274</v>
      </c>
      <c r="DY68" s="353">
        <f t="shared" si="333"/>
        <v>0.11953010177750073</v>
      </c>
      <c r="DZ68" s="353">
        <f t="shared" si="333"/>
        <v>0.13730257733064766</v>
      </c>
      <c r="EA68" s="353">
        <f t="shared" si="333"/>
        <v>0.14884312268660355</v>
      </c>
      <c r="EB68" s="353">
        <f t="shared" si="333"/>
        <v>0.17137360999604215</v>
      </c>
      <c r="EC68" s="352">
        <f t="shared" si="333"/>
        <v>0.14688792068021977</v>
      </c>
      <c r="ED68" s="353">
        <f t="shared" ref="ED68:EH68" si="336">ED66/ED10</f>
        <v>0.12426099799998608</v>
      </c>
      <c r="EE68" s="353">
        <f t="shared" si="336"/>
        <v>0.1416729707905808</v>
      </c>
      <c r="EF68" s="353">
        <f t="shared" si="336"/>
        <v>0.15262373226583956</v>
      </c>
      <c r="EG68" s="353">
        <f t="shared" si="336"/>
        <v>0.17481058174389863</v>
      </c>
      <c r="EH68" s="352">
        <f t="shared" si="336"/>
        <v>0.1508894132783925</v>
      </c>
      <c r="EI68" s="353">
        <f t="shared" ref="EI68:ER68" si="337">EI66/EI10</f>
        <v>0.12903390156107633</v>
      </c>
      <c r="EJ68" s="353">
        <f t="shared" si="337"/>
        <v>0.14633610825589638</v>
      </c>
      <c r="EK68" s="353">
        <f t="shared" si="337"/>
        <v>0.15709337731696851</v>
      </c>
      <c r="EL68" s="353">
        <f t="shared" si="337"/>
        <v>0.17926371874126204</v>
      </c>
      <c r="EM68" s="352">
        <f t="shared" si="337"/>
        <v>0.15546814660871297</v>
      </c>
      <c r="EN68" s="353">
        <f t="shared" si="337"/>
        <v>0.13425276010479978</v>
      </c>
      <c r="EO68" s="353">
        <f t="shared" si="337"/>
        <v>0.15156156777746271</v>
      </c>
      <c r="EP68" s="353">
        <f t="shared" si="337"/>
        <v>0.16219389183796629</v>
      </c>
      <c r="EQ68" s="353">
        <f t="shared" si="337"/>
        <v>0.18432318556219218</v>
      </c>
      <c r="ER68" s="352">
        <f t="shared" si="337"/>
        <v>0.1606118601719875</v>
      </c>
      <c r="ES68" s="244"/>
      <c r="ET68" s="133"/>
    </row>
    <row r="69" spans="1:150" s="253" customFormat="1" ht="12" customHeight="1">
      <c r="A69" s="792"/>
      <c r="B69" s="792"/>
      <c r="C69" s="258" t="s">
        <v>59</v>
      </c>
      <c r="D69" s="315"/>
      <c r="E69" s="315"/>
      <c r="F69" s="315"/>
      <c r="G69" s="315"/>
      <c r="H69" s="315"/>
      <c r="I69" s="316"/>
      <c r="J69" s="316"/>
      <c r="K69" s="316"/>
      <c r="L69" s="316"/>
      <c r="M69" s="315"/>
      <c r="N69" s="316"/>
      <c r="O69" s="316"/>
      <c r="P69" s="316"/>
      <c r="Q69" s="316"/>
      <c r="R69" s="315"/>
      <c r="S69" s="316"/>
      <c r="T69" s="316"/>
      <c r="U69" s="316"/>
      <c r="V69" s="316"/>
      <c r="W69" s="315"/>
      <c r="X69" s="316"/>
      <c r="Y69" s="316"/>
      <c r="Z69" s="316"/>
      <c r="AA69" s="316"/>
      <c r="AB69" s="315"/>
      <c r="AC69" s="316"/>
      <c r="AD69" s="316"/>
      <c r="AE69" s="316"/>
      <c r="AF69" s="316"/>
      <c r="AG69" s="315"/>
      <c r="AH69" s="316"/>
      <c r="AI69" s="316"/>
      <c r="AJ69" s="316"/>
      <c r="AK69" s="316"/>
      <c r="AL69" s="315"/>
      <c r="AM69" s="316"/>
      <c r="AN69" s="316"/>
      <c r="AO69" s="316"/>
      <c r="AP69" s="316"/>
      <c r="AQ69" s="315"/>
      <c r="AR69" s="316"/>
      <c r="AS69" s="316"/>
      <c r="AT69" s="316"/>
      <c r="AU69" s="316"/>
      <c r="AV69" s="315"/>
      <c r="AW69" s="316"/>
      <c r="AX69" s="316"/>
      <c r="AY69" s="316"/>
      <c r="AZ69" s="316"/>
      <c r="BA69" s="315"/>
      <c r="BB69" s="316"/>
      <c r="BC69" s="316"/>
      <c r="BD69" s="316"/>
      <c r="BE69" s="316"/>
      <c r="BF69" s="315"/>
      <c r="BG69" s="160"/>
      <c r="BH69" s="160"/>
      <c r="BI69" s="160"/>
      <c r="BJ69" s="160"/>
      <c r="BK69" s="315"/>
      <c r="BL69" s="160"/>
      <c r="BM69" s="160"/>
      <c r="BN69" s="316"/>
      <c r="BO69" s="317"/>
      <c r="BP69" s="315"/>
      <c r="BQ69" s="318">
        <v>39.344619000000002</v>
      </c>
      <c r="BR69" s="318">
        <v>53.040539000000003</v>
      </c>
      <c r="BS69" s="318">
        <v>75.901840000000007</v>
      </c>
      <c r="BT69" s="318">
        <v>61.716065</v>
      </c>
      <c r="BU69" s="257">
        <v>101.777</v>
      </c>
      <c r="BV69" s="318">
        <v>80.488495</v>
      </c>
      <c r="BW69" s="318">
        <v>81.349248000000003</v>
      </c>
      <c r="BX69" s="318">
        <v>84.912756999999999</v>
      </c>
      <c r="BY69" s="318">
        <v>89.137155000000007</v>
      </c>
      <c r="BZ69" s="257">
        <v>101.777</v>
      </c>
      <c r="CA69" s="318">
        <v>90.242889000000005</v>
      </c>
      <c r="CB69" s="318">
        <v>94.290537999999998</v>
      </c>
      <c r="CC69" s="318">
        <v>98.777974999999998</v>
      </c>
      <c r="CD69" s="318">
        <v>99.551790999999994</v>
      </c>
      <c r="CE69" s="257">
        <v>101.777</v>
      </c>
      <c r="CF69" s="318">
        <v>102.25664399999999</v>
      </c>
      <c r="CG69" s="318">
        <v>105.978076</v>
      </c>
      <c r="CH69" s="318">
        <v>106.647222</v>
      </c>
      <c r="CI69" s="318">
        <v>107.734499</v>
      </c>
      <c r="CJ69" s="257">
        <v>101.777</v>
      </c>
      <c r="CK69" s="318">
        <v>110.92127600000001</v>
      </c>
      <c r="CL69" s="318">
        <v>112.013409</v>
      </c>
      <c r="CM69" s="318">
        <v>113.086997</v>
      </c>
      <c r="CN69" s="318">
        <v>116.02724000000001</v>
      </c>
      <c r="CO69" s="257">
        <v>101.777</v>
      </c>
      <c r="CP69" s="318">
        <v>116.806549</v>
      </c>
      <c r="CQ69" s="318">
        <v>120.511484</v>
      </c>
      <c r="CR69" s="318">
        <v>120.511484</v>
      </c>
      <c r="CS69" s="318">
        <v>122.181067</v>
      </c>
      <c r="CT69" s="257">
        <f>AVERAGE(CP69:CS69)</f>
        <v>120.002646</v>
      </c>
      <c r="CU69" s="318">
        <v>123.24365</v>
      </c>
      <c r="CV69" s="318">
        <v>124.547501</v>
      </c>
      <c r="CW69" s="318">
        <v>125.07146</v>
      </c>
      <c r="CX69" s="318">
        <v>125.73475500000001</v>
      </c>
      <c r="CY69" s="257">
        <f>AVERAGE(CU69:CX69)</f>
        <v>124.64934150000001</v>
      </c>
      <c r="CZ69" s="318">
        <v>126.01306599999999</v>
      </c>
      <c r="DA69" s="318">
        <v>1262.011665</v>
      </c>
      <c r="DB69" s="318">
        <v>1269.4252260000001</v>
      </c>
      <c r="DC69" s="318">
        <v>1273.338804</v>
      </c>
      <c r="DD69" s="319">
        <v>1266.268155</v>
      </c>
      <c r="DE69" s="318">
        <v>1276.884726</v>
      </c>
      <c r="DF69" s="318">
        <v>1280.4076419999999</v>
      </c>
      <c r="DG69" s="318">
        <v>1283.329213</v>
      </c>
      <c r="DH69" s="318">
        <v>1285.4985320000001</v>
      </c>
      <c r="DI69" s="319">
        <v>1281.5545589999999</v>
      </c>
      <c r="DJ69" s="318">
        <v>1287.3767190000001</v>
      </c>
      <c r="DK69" s="318">
        <v>1288.900183</v>
      </c>
      <c r="DL69" s="318">
        <v>1290.5854260000001</v>
      </c>
      <c r="DM69" s="318">
        <v>1292.349784</v>
      </c>
      <c r="DN69" s="257">
        <f>AVERAGE(DJ69:DM69)</f>
        <v>1289.803028</v>
      </c>
      <c r="DO69" s="318">
        <v>1295.3773759999999</v>
      </c>
      <c r="DP69" s="318">
        <v>1297.74605</v>
      </c>
      <c r="DQ69" s="318">
        <v>1300.0696849999999</v>
      </c>
      <c r="DR69" s="318">
        <v>1302.4900299999999</v>
      </c>
      <c r="DS69" s="380">
        <f>AVERAGE(DO69:DR69)</f>
        <v>1298.9207852499999</v>
      </c>
      <c r="DT69" s="318">
        <v>1303.357874</v>
      </c>
      <c r="DU69" s="318">
        <v>1295.220307</v>
      </c>
      <c r="DV69" s="1400">
        <f t="shared" ref="DV69:DW70" si="338">DU69+2.5</f>
        <v>1297.720307</v>
      </c>
      <c r="DW69" s="1400">
        <f t="shared" si="338"/>
        <v>1300.220307</v>
      </c>
      <c r="DX69" s="380">
        <f>AVERAGE(DT69:DW69)</f>
        <v>1299.12969875</v>
      </c>
      <c r="DY69" s="1400">
        <f>DW69+2.5</f>
        <v>1302.720307</v>
      </c>
      <c r="DZ69" s="1400">
        <f t="shared" ref="DZ69:EB70" si="339">DY69+2.5</f>
        <v>1305.220307</v>
      </c>
      <c r="EA69" s="1400">
        <f t="shared" si="339"/>
        <v>1307.720307</v>
      </c>
      <c r="EB69" s="1400">
        <f t="shared" si="339"/>
        <v>1310.220307</v>
      </c>
      <c r="EC69" s="380">
        <f>AVERAGE(DY69:EB69)</f>
        <v>1306.470307</v>
      </c>
      <c r="ED69" s="1400">
        <f>EB69+2.5</f>
        <v>1312.720307</v>
      </c>
      <c r="EE69" s="1400">
        <f t="shared" ref="EE69:EE70" si="340">ED69+2.5</f>
        <v>1315.220307</v>
      </c>
      <c r="EF69" s="1400">
        <f t="shared" ref="EF69:EF70" si="341">EE69+2.5</f>
        <v>1317.720307</v>
      </c>
      <c r="EG69" s="1400">
        <f t="shared" ref="EG69:EG70" si="342">EF69+2.5</f>
        <v>1320.220307</v>
      </c>
      <c r="EH69" s="380">
        <f>AVERAGE(ED69:EG69)</f>
        <v>1316.470307</v>
      </c>
      <c r="EI69" s="1400">
        <f>EG69+2.5</f>
        <v>1322.720307</v>
      </c>
      <c r="EJ69" s="1400">
        <f t="shared" ref="EJ69" si="343">EI69+2.5</f>
        <v>1325.220307</v>
      </c>
      <c r="EK69" s="1400">
        <f t="shared" ref="EK69" si="344">EJ69+2.5</f>
        <v>1327.720307</v>
      </c>
      <c r="EL69" s="1400">
        <f t="shared" ref="EL69" si="345">EK69+2.5</f>
        <v>1330.220307</v>
      </c>
      <c r="EM69" s="380">
        <f>AVERAGE(EI69:EL69)</f>
        <v>1326.470307</v>
      </c>
      <c r="EN69" s="1400">
        <f>EL69+2.5</f>
        <v>1332.720307</v>
      </c>
      <c r="EO69" s="1400">
        <f t="shared" ref="EO69" si="346">EN69+2.5</f>
        <v>1335.220307</v>
      </c>
      <c r="EP69" s="1400">
        <f t="shared" ref="EP69" si="347">EO69+2.5</f>
        <v>1337.720307</v>
      </c>
      <c r="EQ69" s="1400">
        <f t="shared" ref="EQ69" si="348">EP69+2.5</f>
        <v>1340.220307</v>
      </c>
      <c r="ER69" s="380">
        <f>AVERAGE(EN69:EQ69)</f>
        <v>1336.470307</v>
      </c>
      <c r="ES69" s="417"/>
      <c r="ET69" s="133"/>
    </row>
    <row r="70" spans="1:150" s="253" customFormat="1" ht="12" customHeight="1">
      <c r="A70" s="792"/>
      <c r="B70" s="792"/>
      <c r="C70" s="258" t="s">
        <v>757</v>
      </c>
      <c r="D70" s="315"/>
      <c r="E70" s="315"/>
      <c r="F70" s="315"/>
      <c r="G70" s="315"/>
      <c r="H70" s="315"/>
      <c r="I70" s="316"/>
      <c r="J70" s="316"/>
      <c r="K70" s="316"/>
      <c r="L70" s="316"/>
      <c r="M70" s="315"/>
      <c r="N70" s="316"/>
      <c r="O70" s="316"/>
      <c r="P70" s="316"/>
      <c r="Q70" s="316"/>
      <c r="R70" s="315"/>
      <c r="S70" s="316"/>
      <c r="T70" s="316"/>
      <c r="U70" s="316"/>
      <c r="V70" s="316"/>
      <c r="W70" s="315"/>
      <c r="X70" s="316"/>
      <c r="Y70" s="316"/>
      <c r="Z70" s="316"/>
      <c r="AA70" s="316"/>
      <c r="AB70" s="315"/>
      <c r="AC70" s="316"/>
      <c r="AD70" s="316"/>
      <c r="AE70" s="316"/>
      <c r="AF70" s="316"/>
      <c r="AG70" s="315"/>
      <c r="AH70" s="316"/>
      <c r="AI70" s="316"/>
      <c r="AJ70" s="316"/>
      <c r="AK70" s="316"/>
      <c r="AL70" s="315"/>
      <c r="AM70" s="316"/>
      <c r="AN70" s="316"/>
      <c r="AO70" s="316"/>
      <c r="AP70" s="316"/>
      <c r="AQ70" s="315"/>
      <c r="AR70" s="316"/>
      <c r="AS70" s="316"/>
      <c r="AT70" s="316"/>
      <c r="AU70" s="316"/>
      <c r="AV70" s="315"/>
      <c r="AW70" s="316"/>
      <c r="AX70" s="316"/>
      <c r="AY70" s="316"/>
      <c r="AZ70" s="316"/>
      <c r="BA70" s="315"/>
      <c r="BB70" s="316"/>
      <c r="BC70" s="316"/>
      <c r="BD70" s="316"/>
      <c r="BE70" s="316"/>
      <c r="BF70" s="315"/>
      <c r="BG70" s="160"/>
      <c r="BH70" s="160"/>
      <c r="BI70" s="160"/>
      <c r="BJ70" s="160"/>
      <c r="BK70" s="315"/>
      <c r="BL70" s="160"/>
      <c r="BM70" s="160"/>
      <c r="BN70" s="316"/>
      <c r="BO70" s="317"/>
      <c r="BP70" s="315"/>
      <c r="BQ70" s="318">
        <v>39.344619000000002</v>
      </c>
      <c r="BR70" s="318">
        <v>53.040539000000003</v>
      </c>
      <c r="BS70" s="318">
        <v>75.901840000000007</v>
      </c>
      <c r="BT70" s="318">
        <v>61.716065</v>
      </c>
      <c r="BU70" s="257">
        <v>102.01900000000001</v>
      </c>
      <c r="BV70" s="318">
        <v>80.488495</v>
      </c>
      <c r="BW70" s="318">
        <v>81.349248000000003</v>
      </c>
      <c r="BX70" s="318">
        <v>84.912756999999999</v>
      </c>
      <c r="BY70" s="318">
        <v>89.137155000000007</v>
      </c>
      <c r="BZ70" s="257">
        <v>102.01900000000001</v>
      </c>
      <c r="CA70" s="318">
        <v>90.242889000000005</v>
      </c>
      <c r="CB70" s="318">
        <v>94.290537999999998</v>
      </c>
      <c r="CC70" s="318">
        <v>98.777974999999998</v>
      </c>
      <c r="CD70" s="318">
        <v>99.551790999999994</v>
      </c>
      <c r="CE70" s="257">
        <v>102.01900000000001</v>
      </c>
      <c r="CF70" s="318">
        <v>102.25664399999999</v>
      </c>
      <c r="CG70" s="318">
        <v>105.978076</v>
      </c>
      <c r="CH70" s="318">
        <v>106.647222</v>
      </c>
      <c r="CI70" s="318">
        <v>107.734499</v>
      </c>
      <c r="CJ70" s="257">
        <v>102.01900000000001</v>
      </c>
      <c r="CK70" s="318">
        <v>110.92127600000001</v>
      </c>
      <c r="CL70" s="318">
        <v>112.013409</v>
      </c>
      <c r="CM70" s="318">
        <v>113.086997</v>
      </c>
      <c r="CN70" s="318">
        <v>116.02724000000001</v>
      </c>
      <c r="CO70" s="257">
        <v>102.01900000000001</v>
      </c>
      <c r="CP70" s="318">
        <v>116.806549</v>
      </c>
      <c r="CQ70" s="318">
        <v>124.90827899999999</v>
      </c>
      <c r="CR70" s="318">
        <v>124.90827899999999</v>
      </c>
      <c r="CS70" s="318">
        <v>125.454919</v>
      </c>
      <c r="CT70" s="257">
        <f>AVERAGE(CP70:CS70)</f>
        <v>123.01950650000001</v>
      </c>
      <c r="CU70" s="318">
        <v>126.67438799999999</v>
      </c>
      <c r="CV70" s="318">
        <v>127.47506300000001</v>
      </c>
      <c r="CW70" s="318">
        <v>127.61918799999999</v>
      </c>
      <c r="CX70" s="318">
        <v>125.73475500000001</v>
      </c>
      <c r="CY70" s="257">
        <f>AVERAGE(CU70:CX70)</f>
        <v>126.8758485</v>
      </c>
      <c r="CZ70" s="318">
        <v>126.01306599999999</v>
      </c>
      <c r="DA70" s="318">
        <v>1262.011665</v>
      </c>
      <c r="DB70" s="318">
        <v>1269.4252260000001</v>
      </c>
      <c r="DC70" s="318">
        <v>1273.338804</v>
      </c>
      <c r="DD70" s="319">
        <v>1266.268155</v>
      </c>
      <c r="DE70" s="318">
        <v>1291.682051</v>
      </c>
      <c r="DF70" s="318">
        <v>1280.4076419999999</v>
      </c>
      <c r="DG70" s="318">
        <v>1295.8301879999999</v>
      </c>
      <c r="DH70" s="318">
        <v>1297.295576</v>
      </c>
      <c r="DI70" s="319">
        <v>1295.511385</v>
      </c>
      <c r="DJ70" s="318">
        <v>1287.3767190000001</v>
      </c>
      <c r="DK70" s="318">
        <v>1299.9130789999999</v>
      </c>
      <c r="DL70" s="318">
        <v>1301.6006560000001</v>
      </c>
      <c r="DM70" s="318">
        <v>1305.229922</v>
      </c>
      <c r="DN70" s="257">
        <f>AVERAGE(DJ70:DM70)</f>
        <v>1298.530094</v>
      </c>
      <c r="DO70" s="318">
        <v>1295.3773759999999</v>
      </c>
      <c r="DP70" s="318">
        <v>1308.9938380000001</v>
      </c>
      <c r="DQ70" s="318">
        <v>1312.872709</v>
      </c>
      <c r="DR70" s="318">
        <v>1308.408782</v>
      </c>
      <c r="DS70" s="380">
        <f>AVERAGE(DO70:DR70)</f>
        <v>1306.4131762500001</v>
      </c>
      <c r="DT70" s="318">
        <v>1303.357874</v>
      </c>
      <c r="DU70" s="318">
        <v>1297.9409579999999</v>
      </c>
      <c r="DV70" s="1400">
        <f t="shared" si="338"/>
        <v>1300.4409579999999</v>
      </c>
      <c r="DW70" s="1400">
        <f t="shared" si="338"/>
        <v>1302.9409579999999</v>
      </c>
      <c r="DX70" s="380">
        <f>AVERAGE(DT70:DW70)</f>
        <v>1301.1701869999999</v>
      </c>
      <c r="DY70" s="1400">
        <f>DW70+2.5</f>
        <v>1305.4409579999999</v>
      </c>
      <c r="DZ70" s="1400">
        <f t="shared" si="339"/>
        <v>1307.9409579999999</v>
      </c>
      <c r="EA70" s="1400">
        <f t="shared" si="339"/>
        <v>1310.4409579999999</v>
      </c>
      <c r="EB70" s="1400">
        <f t="shared" si="339"/>
        <v>1312.9409579999999</v>
      </c>
      <c r="EC70" s="380">
        <f>AVERAGE(DY70:EB70)</f>
        <v>1309.1909579999999</v>
      </c>
      <c r="ED70" s="1400">
        <f>EB70+2.5</f>
        <v>1315.4409579999999</v>
      </c>
      <c r="EE70" s="1400">
        <f t="shared" si="340"/>
        <v>1317.9409579999999</v>
      </c>
      <c r="EF70" s="1400">
        <f t="shared" si="341"/>
        <v>1320.4409579999999</v>
      </c>
      <c r="EG70" s="1400">
        <f t="shared" si="342"/>
        <v>1322.9409579999999</v>
      </c>
      <c r="EH70" s="257">
        <f>AVERAGE(ED70:EG70)</f>
        <v>1319.1909579999999</v>
      </c>
      <c r="EI70" s="1570">
        <f>EG70+2.5</f>
        <v>1325.4409579999999</v>
      </c>
      <c r="EJ70" s="1570">
        <f>EI70+2.5</f>
        <v>1327.9409579999999</v>
      </c>
      <c r="EK70" s="1570">
        <f>EJ70+2.5</f>
        <v>1330.4409579999999</v>
      </c>
      <c r="EL70" s="1570">
        <f>EK70+2.5</f>
        <v>1332.9409579999999</v>
      </c>
      <c r="EM70" s="257">
        <f>AVERAGE(EI70:EL70)</f>
        <v>1329.1909579999999</v>
      </c>
      <c r="EN70" s="1570">
        <f>EL70+2.5</f>
        <v>1335.4409579999999</v>
      </c>
      <c r="EO70" s="1570">
        <f>EN70+2.5</f>
        <v>1337.9409579999999</v>
      </c>
      <c r="EP70" s="1570">
        <f>EO70+2.5</f>
        <v>1340.4409579999999</v>
      </c>
      <c r="EQ70" s="1570">
        <f>EP70+2.5</f>
        <v>1342.9409579999999</v>
      </c>
      <c r="ER70" s="257">
        <f>AVERAGE(EN70:EQ70)</f>
        <v>1339.1909579999999</v>
      </c>
      <c r="ES70" s="417"/>
      <c r="ET70" s="133"/>
    </row>
    <row r="71" spans="1:150" ht="12" customHeight="1">
      <c r="A71" s="792" t="s">
        <v>80</v>
      </c>
      <c r="B71" s="792"/>
      <c r="C71" s="248" t="s">
        <v>220</v>
      </c>
      <c r="D71" s="321"/>
      <c r="E71" s="321"/>
      <c r="F71" s="321"/>
      <c r="G71" s="321"/>
      <c r="H71" s="321"/>
      <c r="I71" s="322"/>
      <c r="J71" s="322"/>
      <c r="K71" s="322"/>
      <c r="L71" s="322"/>
      <c r="M71" s="321"/>
      <c r="N71" s="322"/>
      <c r="O71" s="322"/>
      <c r="P71" s="322"/>
      <c r="Q71" s="322"/>
      <c r="R71" s="321"/>
      <c r="S71" s="322"/>
      <c r="T71" s="322"/>
      <c r="U71" s="322"/>
      <c r="V71" s="322"/>
      <c r="W71" s="321"/>
      <c r="X71" s="322"/>
      <c r="Y71" s="322"/>
      <c r="Z71" s="322"/>
      <c r="AA71" s="322"/>
      <c r="AB71" s="321"/>
      <c r="AC71" s="322"/>
      <c r="AD71" s="322"/>
      <c r="AE71" s="322"/>
      <c r="AF71" s="322"/>
      <c r="AG71" s="321"/>
      <c r="AH71" s="322"/>
      <c r="AI71" s="322"/>
      <c r="AJ71" s="322"/>
      <c r="AK71" s="322"/>
      <c r="AL71" s="321"/>
      <c r="AM71" s="322"/>
      <c r="AN71" s="322"/>
      <c r="AO71" s="322"/>
      <c r="AP71" s="322"/>
      <c r="AQ71" s="321"/>
      <c r="AR71" s="322"/>
      <c r="AS71" s="322"/>
      <c r="AT71" s="322"/>
      <c r="AU71" s="322"/>
      <c r="AV71" s="321"/>
      <c r="AW71" s="322"/>
      <c r="AX71" s="322"/>
      <c r="AY71" s="322"/>
      <c r="AZ71" s="322"/>
      <c r="BA71" s="321"/>
      <c r="BB71" s="322"/>
      <c r="BC71" s="322"/>
      <c r="BD71" s="322"/>
      <c r="BE71" s="322"/>
      <c r="BF71" s="321"/>
      <c r="BG71" s="322"/>
      <c r="BH71" s="322"/>
      <c r="BI71" s="322"/>
      <c r="BJ71" s="322"/>
      <c r="BK71" s="321"/>
      <c r="BL71" s="322"/>
      <c r="BM71" s="322"/>
      <c r="BN71" s="322"/>
      <c r="BO71" s="322"/>
      <c r="BP71" s="321"/>
      <c r="BQ71" s="323">
        <f>IF(BQ62&lt;0,BQ62/BQ69,BQ62/BQ70)</f>
        <v>-0.11513645614410446</v>
      </c>
      <c r="BR71" s="323">
        <f>IF(BR62&lt;0,BR62/BR69,BR62/BR70)</f>
        <v>-6.2141148301679182E-2</v>
      </c>
      <c r="BS71" s="323">
        <f>IF(BS62&lt;0,BS62/BS69,BS62/BS70)</f>
        <v>-6.1355561340805401E-2</v>
      </c>
      <c r="BT71" s="323">
        <f>IF(BT62&lt;0,BT62/BT69,BT62/BT70)</f>
        <v>-0.10219381290754682</v>
      </c>
      <c r="BU71" s="324">
        <f>IFERROR(BU62/BU70,"")</f>
        <v>-0.18418137797861173</v>
      </c>
      <c r="BV71" s="323">
        <f>IF(BV62&lt;0,BV62/BV69,BV62/BV70)</f>
        <v>-0.11093510942153893</v>
      </c>
      <c r="BW71" s="323">
        <f>IF(BW62&lt;0,BW62/BW69,BW62/BW70)</f>
        <v>-0.10373789810570842</v>
      </c>
      <c r="BX71" s="323">
        <f>IF(BX62&lt;0,BX62/BX69,BX62/BX70)</f>
        <v>-0.10740435621469697</v>
      </c>
      <c r="BY71" s="323">
        <f>IF(BY62&lt;0,BY62/BY69,BY62/BY70)</f>
        <v>-9.9475914392825521E-2</v>
      </c>
      <c r="BZ71" s="324">
        <f>IFERROR(BZ62/BZ70,"")</f>
        <v>-0.3465530930512945</v>
      </c>
      <c r="CA71" s="323">
        <f>IF(CA62&lt;0,CA62/CA69,CA62/CA70)</f>
        <v>-0.15068223270201361</v>
      </c>
      <c r="CB71" s="323">
        <f>IF(CB62&lt;0,CB62/CB69,CB62/CB70)</f>
        <v>-0.14879541783927455</v>
      </c>
      <c r="CC71" s="323">
        <f>IF(CC62&lt;0,CC62/CC69,CC62/CC70)</f>
        <v>-9.4960440320830508E-2</v>
      </c>
      <c r="CD71" s="323">
        <f>IF(CD62&lt;0,CD62/CD69,CD62/CD70)</f>
        <v>-3.0004482792278731E-2</v>
      </c>
      <c r="CE71" s="324">
        <f>IFERROR(CE62/CE70,"")</f>
        <v>-0.39203481704388393</v>
      </c>
      <c r="CF71" s="323">
        <f>IF(CF62&lt;0,CF62/CF69,CF62/CF70)</f>
        <v>-0.15551067762403806</v>
      </c>
      <c r="CG71" s="323">
        <f>IF(CG62&lt;0,CG62/CG69,CG62/CG70)</f>
        <v>-0.22601844555094605</v>
      </c>
      <c r="CH71" s="323">
        <f>IF(CH62&lt;0,CH62/CH69,CH62/CH70)</f>
        <v>-0.21738962877063994</v>
      </c>
      <c r="CI71" s="323">
        <f>IF(CI62&lt;0,CI62/CI69,CI62/CI70)</f>
        <v>-1.405306576865461E-2</v>
      </c>
      <c r="CJ71" s="324">
        <f>IFERROR(CJ62/CJ70,"")</f>
        <v>-0.63275468295121617</v>
      </c>
      <c r="CK71" s="323">
        <f>IF(CK62&lt;0,CK62/CK69,CK62/CK70)</f>
        <v>-0.21773099689188616</v>
      </c>
      <c r="CL71" s="323">
        <f>IF(CL62&lt;0,CL62/CL69,CL62/CL70)</f>
        <v>-0.25602291954171313</v>
      </c>
      <c r="CM71" s="323">
        <f>IF(CM62&lt;0,CM62/CM69,CM62/CM70)</f>
        <v>-0.64361068850382475</v>
      </c>
      <c r="CN71" s="323">
        <f>IF(CN62&lt;0,CN62/CN69,CN62/CN70)</f>
        <v>6.644991296871787E-3</v>
      </c>
      <c r="CO71" s="324">
        <f>IFERROR(CO62/CO70,"")</f>
        <v>-1.2237132298885496</v>
      </c>
      <c r="CP71" s="323">
        <f t="shared" ref="CP71:EC71" si="349">IF(CP62&lt;0,CP62/CP69,CP62/CP70)</f>
        <v>-0.26906881736571125</v>
      </c>
      <c r="CQ71" s="323">
        <f t="shared" si="349"/>
        <v>0.28819546861261336</v>
      </c>
      <c r="CR71" s="323">
        <f t="shared" si="349"/>
        <v>1.5296664202698691</v>
      </c>
      <c r="CS71" s="323">
        <f t="shared" si="349"/>
        <v>0.98738256727900753</v>
      </c>
      <c r="CT71" s="324">
        <f t="shared" si="349"/>
        <v>2.5972222543422414</v>
      </c>
      <c r="CU71" s="323">
        <f t="shared" si="349"/>
        <v>9.9344865198796146</v>
      </c>
      <c r="CV71" s="323">
        <f t="shared" si="349"/>
        <v>6.8961958465554938</v>
      </c>
      <c r="CW71" s="323">
        <f t="shared" si="349"/>
        <v>8.9988975638992486</v>
      </c>
      <c r="CX71" s="325">
        <f t="shared" si="349"/>
        <v>-2.9531293873360585</v>
      </c>
      <c r="CY71" s="324">
        <f t="shared" si="349"/>
        <v>22.972528140373388</v>
      </c>
      <c r="CZ71" s="323">
        <f t="shared" si="349"/>
        <v>-11.700437476856564</v>
      </c>
      <c r="DA71" s="323">
        <f t="shared" si="349"/>
        <v>-0.95395869419321089</v>
      </c>
      <c r="DB71" s="323">
        <f t="shared" si="349"/>
        <v>-0.12478797234804594</v>
      </c>
      <c r="DC71" s="323">
        <f t="shared" si="349"/>
        <v>-0.48980993749720064</v>
      </c>
      <c r="DD71" s="324">
        <f t="shared" si="349"/>
        <v>-2.732768715959693</v>
      </c>
      <c r="DE71" s="323">
        <f t="shared" si="349"/>
        <v>5.2644534270144469E-2</v>
      </c>
      <c r="DF71" s="323">
        <f t="shared" si="349"/>
        <v>-1.0238926705812337</v>
      </c>
      <c r="DG71" s="323">
        <f t="shared" si="349"/>
        <v>0.5540849461982128</v>
      </c>
      <c r="DH71" s="323">
        <f t="shared" si="349"/>
        <v>0.50643817195904783</v>
      </c>
      <c r="DI71" s="324">
        <f t="shared" si="349"/>
        <v>0.10189026629048112</v>
      </c>
      <c r="DJ71" s="323">
        <f t="shared" si="349"/>
        <v>-0.21205914008764981</v>
      </c>
      <c r="DK71" s="323">
        <f t="shared" si="349"/>
        <v>0.13154725709164128</v>
      </c>
      <c r="DL71" s="323">
        <f t="shared" si="349"/>
        <v>0.63613981460685431</v>
      </c>
      <c r="DM71" s="323">
        <f t="shared" si="349"/>
        <v>0.99063006310699642</v>
      </c>
      <c r="DN71" s="324">
        <f t="shared" si="349"/>
        <v>1.5548349701936135</v>
      </c>
      <c r="DO71" s="323">
        <f t="shared" si="349"/>
        <v>-0.52648750289737967</v>
      </c>
      <c r="DP71" s="323">
        <f t="shared" si="349"/>
        <v>0.69213465617551662</v>
      </c>
      <c r="DQ71" s="323">
        <f t="shared" ref="DQ71" si="350">IF(DQ62&lt;0,DQ62/DQ69,DQ62/DQ70)</f>
        <v>0.20108575506995324</v>
      </c>
      <c r="DR71" s="325">
        <f>IF(DR62&lt;0,DR62/DR69,DR62/DR70)</f>
        <v>0.56786534164366376</v>
      </c>
      <c r="DS71" s="324">
        <f t="shared" si="349"/>
        <v>0.94227463591076888</v>
      </c>
      <c r="DT71" s="323">
        <f t="shared" ref="DT71:DU71" si="351">IF(DT62&lt;0,DT62/DT69,DT62/DT70)</f>
        <v>-0.44577165764680837</v>
      </c>
      <c r="DU71" s="323">
        <f t="shared" si="351"/>
        <v>1.1572175072696951</v>
      </c>
      <c r="DV71" s="323">
        <f t="shared" si="349"/>
        <v>0.38688238037815359</v>
      </c>
      <c r="DW71" s="323">
        <f t="shared" si="349"/>
        <v>0.56825072096684548</v>
      </c>
      <c r="DX71" s="324">
        <f t="shared" si="349"/>
        <v>1.6635140074363071</v>
      </c>
      <c r="DY71" s="323">
        <f t="shared" si="349"/>
        <v>0.36946787090279692</v>
      </c>
      <c r="DZ71" s="323">
        <f t="shared" si="349"/>
        <v>0.47677482064476145</v>
      </c>
      <c r="EA71" s="323">
        <f t="shared" si="349"/>
        <v>0.52721302046524676</v>
      </c>
      <c r="EB71" s="323">
        <f t="shared" si="349"/>
        <v>0.77216054202592088</v>
      </c>
      <c r="EC71" s="324">
        <f t="shared" si="349"/>
        <v>2.146817870393372</v>
      </c>
      <c r="ED71" s="323">
        <f t="shared" ref="ED71:EH71" si="352">IF(ED62&lt;0,ED62/ED69,ED62/ED70)</f>
        <v>0.46070793126430848</v>
      </c>
      <c r="EE71" s="323">
        <f t="shared" si="352"/>
        <v>0.58961905237732226</v>
      </c>
      <c r="EF71" s="323">
        <f t="shared" si="352"/>
        <v>0.64712863035659951</v>
      </c>
      <c r="EG71" s="323">
        <f t="shared" si="352"/>
        <v>0.94299564403420855</v>
      </c>
      <c r="EH71" s="324">
        <f t="shared" si="352"/>
        <v>2.6418767270928183</v>
      </c>
      <c r="EI71" s="323">
        <f t="shared" ref="EI71:ER71" si="353">IF(EI62&lt;0,EI62/EI69,EI62/EI70)</f>
        <v>0.5626785659307777</v>
      </c>
      <c r="EJ71" s="323">
        <f t="shared" si="353"/>
        <v>0.71643497957283664</v>
      </c>
      <c r="EK71" s="323">
        <f t="shared" si="353"/>
        <v>0.78351603874378706</v>
      </c>
      <c r="EL71" s="323">
        <f t="shared" si="353"/>
        <v>1.1381117691748464</v>
      </c>
      <c r="EM71" s="324">
        <f t="shared" si="353"/>
        <v>3.2024278874921919</v>
      </c>
      <c r="EN71" s="323">
        <f t="shared" si="353"/>
        <v>0.6816424365188023</v>
      </c>
      <c r="EO71" s="323">
        <f t="shared" si="353"/>
        <v>0.86398427585640925</v>
      </c>
      <c r="EP71" s="323">
        <f t="shared" si="353"/>
        <v>0.94199736919315202</v>
      </c>
      <c r="EQ71" s="323">
        <f t="shared" si="353"/>
        <v>1.3628291479723509</v>
      </c>
      <c r="ER71" s="324">
        <f t="shared" si="353"/>
        <v>3.8524335046603899</v>
      </c>
      <c r="ES71" s="917"/>
    </row>
    <row r="72" spans="1:150" s="99" customFormat="1" ht="12" customHeight="1">
      <c r="A72" s="792" t="s">
        <v>465</v>
      </c>
      <c r="B72" s="792"/>
      <c r="C72" s="1388" t="s">
        <v>129</v>
      </c>
      <c r="D72" s="350"/>
      <c r="E72" s="350"/>
      <c r="F72" s="350"/>
      <c r="G72" s="350"/>
      <c r="H72" s="350"/>
      <c r="I72" s="351"/>
      <c r="J72" s="351"/>
      <c r="K72" s="351"/>
      <c r="L72" s="351"/>
      <c r="M72" s="350"/>
      <c r="N72" s="634"/>
      <c r="O72" s="634"/>
      <c r="P72" s="634"/>
      <c r="Q72" s="634"/>
      <c r="R72" s="350"/>
      <c r="S72" s="634"/>
      <c r="T72" s="634"/>
      <c r="U72" s="634"/>
      <c r="V72" s="634"/>
      <c r="W72" s="350"/>
      <c r="X72" s="634"/>
      <c r="Y72" s="634"/>
      <c r="Z72" s="634"/>
      <c r="AA72" s="634"/>
      <c r="AB72" s="350"/>
      <c r="AC72" s="634"/>
      <c r="AD72" s="634"/>
      <c r="AE72" s="634"/>
      <c r="AF72" s="634"/>
      <c r="AG72" s="350"/>
      <c r="AH72" s="634"/>
      <c r="AI72" s="634"/>
      <c r="AJ72" s="634"/>
      <c r="AK72" s="634"/>
      <c r="AL72" s="350"/>
      <c r="AM72" s="634"/>
      <c r="AN72" s="634"/>
      <c r="AO72" s="634"/>
      <c r="AP72" s="634"/>
      <c r="AQ72" s="350"/>
      <c r="AR72" s="634"/>
      <c r="AS72" s="634"/>
      <c r="AT72" s="634"/>
      <c r="AU72" s="634"/>
      <c r="AV72" s="350"/>
      <c r="AW72" s="634"/>
      <c r="AX72" s="634"/>
      <c r="AY72" s="634"/>
      <c r="AZ72" s="634"/>
      <c r="BA72" s="350"/>
      <c r="BB72" s="634"/>
      <c r="BC72" s="634"/>
      <c r="BD72" s="634"/>
      <c r="BE72" s="634"/>
      <c r="BF72" s="350"/>
      <c r="BG72" s="634"/>
      <c r="BH72" s="634"/>
      <c r="BI72" s="634"/>
      <c r="BJ72" s="634"/>
      <c r="BK72" s="350"/>
      <c r="BL72" s="634"/>
      <c r="BM72" s="634"/>
      <c r="BN72" s="634"/>
      <c r="BO72" s="634"/>
      <c r="BP72" s="350"/>
      <c r="BQ72" s="353"/>
      <c r="BR72" s="353"/>
      <c r="BS72" s="353"/>
      <c r="BT72" s="353"/>
      <c r="BU72" s="352"/>
      <c r="BV72" s="353" t="str">
        <f t="shared" ref="BV72:DA72" si="354">+IF(BQ71&lt;=0,"nm",BV71/BQ71-1)</f>
        <v>nm</v>
      </c>
      <c r="BW72" s="353" t="str">
        <f t="shared" si="354"/>
        <v>nm</v>
      </c>
      <c r="BX72" s="353" t="str">
        <f t="shared" si="354"/>
        <v>nm</v>
      </c>
      <c r="BY72" s="353" t="str">
        <f t="shared" si="354"/>
        <v>nm</v>
      </c>
      <c r="BZ72" s="352" t="str">
        <f t="shared" si="354"/>
        <v>nm</v>
      </c>
      <c r="CA72" s="353" t="str">
        <f t="shared" si="354"/>
        <v>nm</v>
      </c>
      <c r="CB72" s="353" t="str">
        <f t="shared" si="354"/>
        <v>nm</v>
      </c>
      <c r="CC72" s="353" t="str">
        <f t="shared" si="354"/>
        <v>nm</v>
      </c>
      <c r="CD72" s="353" t="str">
        <f t="shared" si="354"/>
        <v>nm</v>
      </c>
      <c r="CE72" s="352" t="str">
        <f t="shared" si="354"/>
        <v>nm</v>
      </c>
      <c r="CF72" s="353" t="str">
        <f t="shared" si="354"/>
        <v>nm</v>
      </c>
      <c r="CG72" s="353" t="str">
        <f t="shared" si="354"/>
        <v>nm</v>
      </c>
      <c r="CH72" s="353" t="str">
        <f t="shared" si="354"/>
        <v>nm</v>
      </c>
      <c r="CI72" s="353" t="str">
        <f t="shared" si="354"/>
        <v>nm</v>
      </c>
      <c r="CJ72" s="352" t="str">
        <f t="shared" si="354"/>
        <v>nm</v>
      </c>
      <c r="CK72" s="353" t="str">
        <f t="shared" si="354"/>
        <v>nm</v>
      </c>
      <c r="CL72" s="353" t="str">
        <f t="shared" si="354"/>
        <v>nm</v>
      </c>
      <c r="CM72" s="353" t="str">
        <f t="shared" si="354"/>
        <v>nm</v>
      </c>
      <c r="CN72" s="353" t="str">
        <f t="shared" si="354"/>
        <v>nm</v>
      </c>
      <c r="CO72" s="352" t="str">
        <f t="shared" si="354"/>
        <v>nm</v>
      </c>
      <c r="CP72" s="353" t="str">
        <f>+IF(CK71&lt;=0,"nm",CP71/CK71-1)</f>
        <v>nm</v>
      </c>
      <c r="CQ72" s="353" t="str">
        <f t="shared" si="354"/>
        <v>nm</v>
      </c>
      <c r="CR72" s="353" t="str">
        <f t="shared" si="354"/>
        <v>nm</v>
      </c>
      <c r="CS72" s="353" t="s">
        <v>572</v>
      </c>
      <c r="CT72" s="352" t="str">
        <f t="shared" si="354"/>
        <v>nm</v>
      </c>
      <c r="CU72" s="353" t="str">
        <f t="shared" si="354"/>
        <v>nm</v>
      </c>
      <c r="CV72" s="353">
        <f t="shared" si="354"/>
        <v>22.928883683543351</v>
      </c>
      <c r="CW72" s="353">
        <f t="shared" si="354"/>
        <v>4.8829150229444345</v>
      </c>
      <c r="CX72" s="354">
        <f t="shared" si="354"/>
        <v>-3.9908664434639389</v>
      </c>
      <c r="CY72" s="352">
        <f t="shared" si="354"/>
        <v>7.8450374633769204</v>
      </c>
      <c r="CZ72" s="353">
        <f t="shared" si="354"/>
        <v>-2.1777596611000636</v>
      </c>
      <c r="DA72" s="353">
        <f t="shared" si="354"/>
        <v>-1.138331148856466</v>
      </c>
      <c r="DB72" s="353">
        <f t="shared" ref="DB72:EC72" si="355">+IF(CW71&lt;=0,"nm",DB71/CW71-1)</f>
        <v>-1.0138670288734764</v>
      </c>
      <c r="DC72" s="353" t="str">
        <f t="shared" si="355"/>
        <v>nm</v>
      </c>
      <c r="DD72" s="352">
        <f t="shared" si="355"/>
        <v>-1.1189581181166104</v>
      </c>
      <c r="DE72" s="353" t="str">
        <f t="shared" si="355"/>
        <v>nm</v>
      </c>
      <c r="DF72" s="353" t="str">
        <f t="shared" si="355"/>
        <v>nm</v>
      </c>
      <c r="DG72" s="353" t="str">
        <f t="shared" si="355"/>
        <v>nm</v>
      </c>
      <c r="DH72" s="353" t="str">
        <f t="shared" si="355"/>
        <v>nm</v>
      </c>
      <c r="DI72" s="352" t="str">
        <f t="shared" si="355"/>
        <v>nm</v>
      </c>
      <c r="DJ72" s="353">
        <f t="shared" si="355"/>
        <v>-5.028132132378115</v>
      </c>
      <c r="DK72" s="353" t="str">
        <f t="shared" si="355"/>
        <v>nm</v>
      </c>
      <c r="DL72" s="353">
        <f t="shared" si="355"/>
        <v>0.14809077375527191</v>
      </c>
      <c r="DM72" s="353">
        <f t="shared" si="355"/>
        <v>0.95607305680564258</v>
      </c>
      <c r="DN72" s="352">
        <f t="shared" si="355"/>
        <v>14.259897012742135</v>
      </c>
      <c r="DO72" s="353" t="str">
        <f>+IF(DJ71&lt;=0,"nm",DO71/DJ71-1)</f>
        <v>nm</v>
      </c>
      <c r="DP72" s="353">
        <f t="shared" si="355"/>
        <v>4.2614905964428198</v>
      </c>
      <c r="DQ72" s="353">
        <f t="shared" si="355"/>
        <v>-0.68389691943078934</v>
      </c>
      <c r="DR72" s="354">
        <f>+IF(DM71&lt;=0,"nm",DR71/DM71-1)</f>
        <v>-0.42676346822887656</v>
      </c>
      <c r="DS72" s="352">
        <f t="shared" si="355"/>
        <v>-0.39397128700196815</v>
      </c>
      <c r="DT72" s="353" t="str">
        <f>+IF(DO71&lt;=0,"nm",DT71/DO71-1)</f>
        <v>nm</v>
      </c>
      <c r="DU72" s="353">
        <f t="shared" si="355"/>
        <v>0.67195428945005653</v>
      </c>
      <c r="DV72" s="353">
        <f t="shared" si="355"/>
        <v>0.92396711663422337</v>
      </c>
      <c r="DW72" s="353">
        <f t="shared" si="355"/>
        <v>6.7864561352926067E-4</v>
      </c>
      <c r="DX72" s="352">
        <f t="shared" si="355"/>
        <v>0.76542373533000174</v>
      </c>
      <c r="DY72" s="353" t="str">
        <f t="shared" si="355"/>
        <v>nm</v>
      </c>
      <c r="DZ72" s="353">
        <f t="shared" si="355"/>
        <v>-0.58799895641948074</v>
      </c>
      <c r="EA72" s="353">
        <f t="shared" si="355"/>
        <v>0.36272171389642671</v>
      </c>
      <c r="EB72" s="353">
        <f t="shared" si="355"/>
        <v>0.35883776920183186</v>
      </c>
      <c r="EC72" s="352">
        <f t="shared" si="355"/>
        <v>0.29053188659463069</v>
      </c>
      <c r="ED72" s="353">
        <f t="shared" ref="ED72" si="356">+IF(DY71&lt;=0,"nm",ED71/DY71-1)</f>
        <v>0.24694991783335829</v>
      </c>
      <c r="EE72" s="353">
        <f t="shared" ref="EE72" si="357">+IF(DZ71&lt;=0,"nm",EE71/DZ71-1)</f>
        <v>0.23668244807885852</v>
      </c>
      <c r="EF72" s="353">
        <f t="shared" ref="EF72" si="358">+IF(EA71&lt;=0,"nm",EF71/EA71-1)</f>
        <v>0.22745191267380216</v>
      </c>
      <c r="EG72" s="353">
        <f t="shared" ref="EG72" si="359">+IF(EB71&lt;=0,"nm",EG71/EB71-1)</f>
        <v>0.2212429834345937</v>
      </c>
      <c r="EH72" s="352">
        <f t="shared" ref="EH72" si="360">+IF(EC71&lt;=0,"nm",EH71/EC71-1)</f>
        <v>0.23060123708059788</v>
      </c>
      <c r="EI72" s="353">
        <f t="shared" ref="EI72" si="361">+IF(ED71&lt;=0,"nm",EI71/ED71-1)</f>
        <v>0.2213346629102606</v>
      </c>
      <c r="EJ72" s="353">
        <f t="shared" ref="EJ72" si="362">+IF(EE71&lt;=0,"nm",EJ71/EE71-1)</f>
        <v>0.21508112175852734</v>
      </c>
      <c r="EK72" s="353">
        <f t="shared" ref="EK72" si="363">+IF(EF71&lt;=0,"nm",EK71/EF71-1)</f>
        <v>0.21075780299201319</v>
      </c>
      <c r="EL72" s="353">
        <f t="shared" ref="EL72" si="364">+IF(EG71&lt;=0,"nm",EL71/EG71-1)</f>
        <v>0.20691095062318188</v>
      </c>
      <c r="EM72" s="352">
        <f t="shared" ref="EM72" si="365">+IF(EH71&lt;=0,"nm",EM71/EH71-1)</f>
        <v>0.2121791507721924</v>
      </c>
      <c r="EN72" s="353">
        <f t="shared" ref="EN72" si="366">+IF(EI71&lt;=0,"nm",EN71/EI71-1)</f>
        <v>0.21142420875981949</v>
      </c>
      <c r="EO72" s="353">
        <f t="shared" ref="EO72" si="367">+IF(EJ71&lt;=0,"nm",EO71/EJ71-1)</f>
        <v>0.20594931918531767</v>
      </c>
      <c r="EP72" s="353">
        <f t="shared" ref="EP72" si="368">+IF(EK71&lt;=0,"nm",EP71/EK71-1)</f>
        <v>0.20226941455271086</v>
      </c>
      <c r="EQ72" s="353">
        <f t="shared" ref="EQ72" si="369">+IF(EL71&lt;=0,"nm",EQ71/EL71-1)</f>
        <v>0.19744754854826696</v>
      </c>
      <c r="ER72" s="352">
        <f t="shared" ref="ER72" si="370">+IF(EM71&lt;=0,"nm",ER71/EM71-1)</f>
        <v>0.20297275692200367</v>
      </c>
      <c r="ES72" s="244"/>
      <c r="ET72" s="133"/>
    </row>
    <row r="73" spans="1:150" ht="12.75" customHeight="1">
      <c r="A73" s="792"/>
      <c r="B73" s="792"/>
      <c r="C73" s="1383" t="s">
        <v>746</v>
      </c>
      <c r="D73" s="1384"/>
      <c r="E73" s="1384"/>
      <c r="F73" s="1384"/>
      <c r="G73" s="1384"/>
      <c r="H73" s="1384"/>
      <c r="I73" s="1385"/>
      <c r="J73" s="1385"/>
      <c r="K73" s="1385"/>
      <c r="L73" s="1385"/>
      <c r="M73" s="1384"/>
      <c r="N73" s="1385"/>
      <c r="O73" s="1385"/>
      <c r="P73" s="1385"/>
      <c r="Q73" s="1385"/>
      <c r="R73" s="1384"/>
      <c r="S73" s="1385"/>
      <c r="T73" s="1385"/>
      <c r="U73" s="1385"/>
      <c r="V73" s="1385"/>
      <c r="W73" s="1384"/>
      <c r="X73" s="1385"/>
      <c r="Y73" s="1385"/>
      <c r="Z73" s="1385"/>
      <c r="AA73" s="1385"/>
      <c r="AB73" s="1384"/>
      <c r="AC73" s="1385"/>
      <c r="AD73" s="1385"/>
      <c r="AE73" s="1385"/>
      <c r="AF73" s="1385"/>
      <c r="AG73" s="1384"/>
      <c r="AH73" s="1385"/>
      <c r="AI73" s="1385"/>
      <c r="AJ73" s="1385"/>
      <c r="AK73" s="1385"/>
      <c r="AL73" s="1384"/>
      <c r="AM73" s="1385"/>
      <c r="AN73" s="1385"/>
      <c r="AO73" s="1385"/>
      <c r="AP73" s="1385"/>
      <c r="AQ73" s="1384"/>
      <c r="AR73" s="1385"/>
      <c r="AS73" s="1385"/>
      <c r="AT73" s="1385"/>
      <c r="AU73" s="1385"/>
      <c r="AV73" s="1384"/>
      <c r="AW73" s="1385"/>
      <c r="AX73" s="1385"/>
      <c r="AY73" s="1385"/>
      <c r="AZ73" s="1385"/>
      <c r="BA73" s="1384"/>
      <c r="BB73" s="1385"/>
      <c r="BC73" s="1385"/>
      <c r="BD73" s="1385"/>
      <c r="BE73" s="1385"/>
      <c r="BF73" s="1384"/>
      <c r="BG73" s="1385"/>
      <c r="BH73" s="1385"/>
      <c r="BI73" s="1385"/>
      <c r="BJ73" s="1385"/>
      <c r="BK73" s="1384"/>
      <c r="BL73" s="1385"/>
      <c r="BM73" s="1385"/>
      <c r="BN73" s="1385"/>
      <c r="BO73" s="1385"/>
      <c r="BP73" s="1384"/>
      <c r="BQ73" s="1386"/>
      <c r="BR73" s="1386"/>
      <c r="BS73" s="1386"/>
      <c r="BT73" s="1386"/>
      <c r="BU73" s="1387"/>
      <c r="BV73" s="1386"/>
      <c r="BW73" s="1386"/>
      <c r="BX73" s="1386"/>
      <c r="BY73" s="1386"/>
      <c r="BZ73" s="1387"/>
      <c r="CA73" s="1386"/>
      <c r="CB73" s="1386"/>
      <c r="CC73" s="1386"/>
      <c r="CD73" s="1386"/>
      <c r="CE73" s="1387"/>
      <c r="CF73" s="1386"/>
      <c r="CG73" s="1386"/>
      <c r="CH73" s="1386"/>
      <c r="CI73" s="1386"/>
      <c r="CJ73" s="1387"/>
      <c r="CK73" s="1386"/>
      <c r="CL73" s="1386"/>
      <c r="CM73" s="1386"/>
      <c r="CN73" s="1386"/>
      <c r="CO73" s="1387"/>
      <c r="CP73" s="1386"/>
      <c r="CQ73" s="1386"/>
      <c r="CR73" s="1386"/>
      <c r="CS73" s="1386"/>
      <c r="CT73" s="1387"/>
      <c r="CU73" s="1386"/>
      <c r="CV73" s="1386"/>
      <c r="CW73" s="1386"/>
      <c r="CX73" s="1386"/>
      <c r="CY73" s="1387"/>
      <c r="CZ73" s="1386"/>
      <c r="DA73" s="1386"/>
      <c r="DB73" s="1386"/>
      <c r="DC73" s="1386"/>
      <c r="DD73" s="1387"/>
      <c r="DE73" s="1386"/>
      <c r="DF73" s="1386"/>
      <c r="DG73" s="1386"/>
      <c r="DH73" s="1386"/>
      <c r="DI73" s="1387"/>
      <c r="DJ73" s="1386"/>
      <c r="DK73" s="1386"/>
      <c r="DL73" s="1386"/>
      <c r="DM73" s="1386"/>
      <c r="DN73" s="1387"/>
      <c r="DO73" s="1386"/>
      <c r="DP73" s="1386"/>
      <c r="DQ73" s="1386"/>
      <c r="DR73" s="1386"/>
      <c r="DS73" s="1387"/>
      <c r="DT73" s="1386"/>
      <c r="DU73" s="1386"/>
      <c r="DV73" s="1386"/>
      <c r="DW73" s="1386"/>
      <c r="DX73" s="1387"/>
      <c r="DY73" s="1386"/>
      <c r="DZ73" s="1386"/>
      <c r="EA73" s="1386"/>
      <c r="EB73" s="1386"/>
      <c r="EC73" s="1387"/>
      <c r="ED73" s="1386"/>
      <c r="EE73" s="1386"/>
      <c r="EF73" s="1386"/>
      <c r="EG73" s="1386"/>
      <c r="EH73" s="1387"/>
      <c r="EI73" s="1386"/>
      <c r="EJ73" s="1386"/>
      <c r="EK73" s="1386"/>
      <c r="EL73" s="1386"/>
      <c r="EM73" s="1387"/>
      <c r="EN73" s="1386"/>
      <c r="EO73" s="1386"/>
      <c r="EP73" s="1386"/>
      <c r="EQ73" s="1386"/>
      <c r="ER73" s="1387"/>
      <c r="ES73" s="232"/>
    </row>
    <row r="74" spans="1:150" ht="12.75" customHeight="1">
      <c r="A74" s="792"/>
      <c r="B74" s="792"/>
      <c r="C74" s="118" t="s">
        <v>221</v>
      </c>
      <c r="D74" s="285"/>
      <c r="E74" s="285"/>
      <c r="F74" s="285"/>
      <c r="G74" s="285"/>
      <c r="H74" s="285"/>
      <c r="I74" s="253"/>
      <c r="J74" s="253"/>
      <c r="K74" s="253"/>
      <c r="L74" s="253"/>
      <c r="M74" s="285"/>
      <c r="N74" s="253"/>
      <c r="O74" s="253"/>
      <c r="P74" s="253"/>
      <c r="Q74" s="253"/>
      <c r="R74" s="285"/>
      <c r="S74" s="253"/>
      <c r="T74" s="253"/>
      <c r="U74" s="253"/>
      <c r="V74" s="253"/>
      <c r="W74" s="285"/>
      <c r="X74" s="253"/>
      <c r="Y74" s="253"/>
      <c r="Z74" s="253"/>
      <c r="AA74" s="253"/>
      <c r="AB74" s="285"/>
      <c r="AC74" s="253"/>
      <c r="AD74" s="253"/>
      <c r="AE74" s="253"/>
      <c r="AF74" s="253"/>
      <c r="AG74" s="285"/>
      <c r="AH74" s="253"/>
      <c r="AI74" s="253"/>
      <c r="AJ74" s="253"/>
      <c r="AK74" s="253"/>
      <c r="AL74" s="285"/>
      <c r="AM74" s="253"/>
      <c r="AN74" s="253"/>
      <c r="AO74" s="253"/>
      <c r="AP74" s="253"/>
      <c r="AQ74" s="285"/>
      <c r="AR74" s="253"/>
      <c r="AS74" s="253"/>
      <c r="AT74" s="253"/>
      <c r="AU74" s="253"/>
      <c r="AV74" s="285"/>
      <c r="AW74" s="253"/>
      <c r="AX74" s="253"/>
      <c r="AY74" s="253"/>
      <c r="AZ74" s="253"/>
      <c r="BA74" s="285"/>
      <c r="BB74" s="253"/>
      <c r="BC74" s="253"/>
      <c r="BD74" s="253"/>
      <c r="BE74" s="253"/>
      <c r="BF74" s="285"/>
      <c r="BG74" s="253"/>
      <c r="BH74" s="253"/>
      <c r="BI74" s="253"/>
      <c r="BJ74" s="253"/>
      <c r="BK74" s="285"/>
      <c r="BL74" s="253"/>
      <c r="BM74" s="253"/>
      <c r="BN74" s="253"/>
      <c r="BO74" s="253"/>
      <c r="BP74" s="285"/>
      <c r="BQ74" s="120">
        <f>BQ44</f>
        <v>-3.4759999999999991</v>
      </c>
      <c r="BR74" s="120">
        <f>BR44</f>
        <v>-3.4609999999999985</v>
      </c>
      <c r="BS74" s="120">
        <f>BS44</f>
        <v>-4.2999999999999972</v>
      </c>
      <c r="BT74" s="120">
        <f>BT44</f>
        <v>-6.5189999999999984</v>
      </c>
      <c r="BU74" s="257">
        <f>SUM(BQ74:BT74)</f>
        <v>-17.755999999999993</v>
      </c>
      <c r="BV74" s="120">
        <f>BV44</f>
        <v>-9.7119999999999891</v>
      </c>
      <c r="BW74" s="120">
        <f>BW44</f>
        <v>-8.659000000000006</v>
      </c>
      <c r="BX74" s="120">
        <f>BX44</f>
        <v>-9.4890000000000043</v>
      </c>
      <c r="BY74" s="120">
        <f>BY44</f>
        <v>-9.305000000000021</v>
      </c>
      <c r="BZ74" s="257">
        <f>SUM(BV74:BY74)</f>
        <v>-37.16500000000002</v>
      </c>
      <c r="CA74" s="120">
        <f>CA44</f>
        <v>-14.460999999999984</v>
      </c>
      <c r="CB74" s="120">
        <f>CB44</f>
        <v>-15.906999999999996</v>
      </c>
      <c r="CC74" s="120">
        <f>CC44</f>
        <v>-12.675999999999988</v>
      </c>
      <c r="CD74" s="120">
        <f>CD44</f>
        <v>-6.113000000000028</v>
      </c>
      <c r="CE74" s="257">
        <f>SUM(CA74:CD74)</f>
        <v>-49.156999999999996</v>
      </c>
      <c r="CF74" s="120">
        <f>CF44</f>
        <v>-20.333000000000027</v>
      </c>
      <c r="CG74" s="120">
        <f>CG44</f>
        <v>-30.761000000000024</v>
      </c>
      <c r="CH74" s="120">
        <f>CH44</f>
        <v>-31.368000000000023</v>
      </c>
      <c r="CI74" s="120">
        <f>CI44</f>
        <v>-9.4580000000000553</v>
      </c>
      <c r="CJ74" s="257">
        <f>SUM(CF74:CI74)</f>
        <v>-91.92000000000013</v>
      </c>
      <c r="CK74" s="120">
        <f>CK44</f>
        <v>-35.790000000000049</v>
      </c>
      <c r="CL74" s="120">
        <f>CL44</f>
        <v>-39.620000000000005</v>
      </c>
      <c r="CM74" s="120">
        <f>CM44</f>
        <v>-35.657999999999959</v>
      </c>
      <c r="CN74" s="120">
        <f>CN44</f>
        <v>-30.078999999999951</v>
      </c>
      <c r="CO74" s="257">
        <f>SUM(CK74:CN74)</f>
        <v>-141.14699999999996</v>
      </c>
      <c r="CP74" s="120">
        <f>CP44</f>
        <v>-73.233000000000004</v>
      </c>
      <c r="CQ74" s="120">
        <f>CQ44</f>
        <v>0.28400000000004866</v>
      </c>
      <c r="CR74" s="120">
        <f>CR44</f>
        <v>50.561000000000035</v>
      </c>
      <c r="CS74" s="120">
        <f>CS44</f>
        <v>112.54099999999994</v>
      </c>
      <c r="CT74" s="257">
        <f>SUM(CP74:CS74)</f>
        <v>90.15300000000002</v>
      </c>
      <c r="CU74" s="120">
        <f>CU44</f>
        <v>118.89899999999989</v>
      </c>
      <c r="CV74" s="120">
        <f>CV44</f>
        <v>139.44099999999992</v>
      </c>
      <c r="CW74" s="120">
        <f>CW44</f>
        <v>-4.1009999999999991</v>
      </c>
      <c r="CX74" s="120">
        <f>CX44</f>
        <v>14.404000000000224</v>
      </c>
      <c r="CY74" s="257">
        <f>SUM(CU74:CX74)</f>
        <v>268.64300000000003</v>
      </c>
      <c r="CZ74" s="120">
        <f>CZ44</f>
        <v>-97.975999999999885</v>
      </c>
      <c r="DA74" s="120">
        <f>DA44</f>
        <v>-190.20799999999997</v>
      </c>
      <c r="DB74" s="120">
        <f>DB44</f>
        <v>-345.36599999999999</v>
      </c>
      <c r="DC74" s="120">
        <f>DC44</f>
        <v>-188.74899999999991</v>
      </c>
      <c r="DD74" s="257">
        <f>SUM(CZ74:DC74)</f>
        <v>-822.29899999999975</v>
      </c>
      <c r="DE74" s="120">
        <f>DE44</f>
        <v>-193</v>
      </c>
      <c r="DF74" s="120">
        <f>DF44</f>
        <v>-1636</v>
      </c>
      <c r="DG74" s="120">
        <f>DG44</f>
        <v>122</v>
      </c>
      <c r="DH74" s="120">
        <f>DH44</f>
        <v>289</v>
      </c>
      <c r="DI74" s="257">
        <f>SUM(DE74:DH74)</f>
        <v>-1418</v>
      </c>
      <c r="DJ74" s="120">
        <f>DJ44</f>
        <v>86</v>
      </c>
      <c r="DK74" s="120">
        <f>DK44</f>
        <v>241</v>
      </c>
      <c r="DL74" s="120">
        <f>DL44</f>
        <v>283</v>
      </c>
      <c r="DM74" s="120">
        <f>DM44</f>
        <v>465</v>
      </c>
      <c r="DN74" s="257">
        <f>SUM(DJ74:DM74)</f>
        <v>1075</v>
      </c>
      <c r="DO74" s="120">
        <f>DO44</f>
        <v>203</v>
      </c>
      <c r="DP74" s="120">
        <f>DP44</f>
        <v>291</v>
      </c>
      <c r="DQ74" s="120">
        <f>DQ44</f>
        <v>343</v>
      </c>
      <c r="DR74" s="120">
        <f>DR44</f>
        <v>631</v>
      </c>
      <c r="DS74" s="257">
        <f>SUM(DO74:DR74)</f>
        <v>1468</v>
      </c>
      <c r="DT74" s="120">
        <f>DT44</f>
        <v>382</v>
      </c>
      <c r="DU74" s="120">
        <f>DU44</f>
        <v>488</v>
      </c>
      <c r="DV74" s="120">
        <f>DV44</f>
        <v>550.27088865589462</v>
      </c>
      <c r="DW74" s="120">
        <f>DW44</f>
        <v>838.64717834372004</v>
      </c>
      <c r="DX74" s="257">
        <f>SUM(DT74:DW74)</f>
        <v>2258.9180669996149</v>
      </c>
      <c r="DY74" s="120">
        <f>DY44</f>
        <v>532.99793092493792</v>
      </c>
      <c r="DZ74" s="120">
        <f>DZ44</f>
        <v>689.30676646782422</v>
      </c>
      <c r="EA74" s="120">
        <f>EA44</f>
        <v>764.74802566794301</v>
      </c>
      <c r="EB74" s="120">
        <f>EB44</f>
        <v>1147.2098054847161</v>
      </c>
      <c r="EC74" s="257">
        <f>SUM(DY74:EB74)</f>
        <v>3134.2625285454214</v>
      </c>
      <c r="ED74" s="120">
        <f>ED44</f>
        <v>666.41231997569389</v>
      </c>
      <c r="EE74" s="120">
        <f>EE44</f>
        <v>856.01269691701305</v>
      </c>
      <c r="EF74" s="120">
        <f>EF44</f>
        <v>943.43871607633491</v>
      </c>
      <c r="EG74" s="120">
        <f>EG44</f>
        <v>1410.4746843591292</v>
      </c>
      <c r="EH74" s="257">
        <f>SUM(ED74:EG74)</f>
        <v>3876.3384173281711</v>
      </c>
      <c r="EI74" s="120">
        <f>EI44</f>
        <v>818.88749679882881</v>
      </c>
      <c r="EJ74" s="120">
        <f>EJ44</f>
        <v>1047.7551899507062</v>
      </c>
      <c r="EK74" s="120">
        <f>EK44</f>
        <v>1151.2565337767487</v>
      </c>
      <c r="EL74" s="120">
        <f>EL44</f>
        <v>1716.2117694532353</v>
      </c>
      <c r="EM74" s="257">
        <f>SUM(EI74:EL74)</f>
        <v>4734.1109899795192</v>
      </c>
      <c r="EN74" s="120">
        <f>EN44</f>
        <v>1000.9671453105689</v>
      </c>
      <c r="EO74" s="120">
        <f>EO44</f>
        <v>1274.7081982373197</v>
      </c>
      <c r="EP74" s="120">
        <f>EP44</f>
        <v>1396.8414141773292</v>
      </c>
      <c r="EQ74" s="120">
        <f>EQ44</f>
        <v>2073.3012346398391</v>
      </c>
      <c r="ER74" s="257">
        <f>SUM(EN74:EQ74)</f>
        <v>5745.8179923650569</v>
      </c>
      <c r="ES74" s="417"/>
    </row>
    <row r="75" spans="1:150" s="327" customFormat="1" ht="12" customHeight="1">
      <c r="A75" s="792"/>
      <c r="B75" s="792"/>
      <c r="C75" s="265" t="s">
        <v>28</v>
      </c>
      <c r="D75" s="285"/>
      <c r="E75" s="285"/>
      <c r="F75" s="285"/>
      <c r="G75" s="285"/>
      <c r="H75" s="285"/>
      <c r="I75" s="253"/>
      <c r="J75" s="253"/>
      <c r="K75" s="253"/>
      <c r="L75" s="253"/>
      <c r="M75" s="285"/>
      <c r="N75" s="253"/>
      <c r="O75" s="253"/>
      <c r="P75" s="253"/>
      <c r="Q75" s="253"/>
      <c r="R75" s="285"/>
      <c r="S75" s="253"/>
      <c r="T75" s="253"/>
      <c r="U75" s="253"/>
      <c r="V75" s="253"/>
      <c r="W75" s="285"/>
      <c r="X75" s="253"/>
      <c r="Y75" s="253"/>
      <c r="Z75" s="253"/>
      <c r="AA75" s="253"/>
      <c r="AB75" s="285"/>
      <c r="AC75" s="253"/>
      <c r="AD75" s="253"/>
      <c r="AE75" s="253"/>
      <c r="AF75" s="253"/>
      <c r="AG75" s="285"/>
      <c r="AH75" s="253"/>
      <c r="AI75" s="253"/>
      <c r="AJ75" s="253"/>
      <c r="AK75" s="253"/>
      <c r="AL75" s="285"/>
      <c r="AM75" s="253"/>
      <c r="AN75" s="253"/>
      <c r="AO75" s="253"/>
      <c r="AP75" s="253"/>
      <c r="AQ75" s="285"/>
      <c r="AR75" s="253"/>
      <c r="AS75" s="253"/>
      <c r="AT75" s="253"/>
      <c r="AU75" s="253"/>
      <c r="AV75" s="285"/>
      <c r="AW75" s="253"/>
      <c r="AX75" s="253"/>
      <c r="AY75" s="253"/>
      <c r="AZ75" s="253"/>
      <c r="BA75" s="285"/>
      <c r="BB75" s="253"/>
      <c r="BC75" s="253"/>
      <c r="BD75" s="253"/>
      <c r="BE75" s="253"/>
      <c r="BF75" s="285"/>
      <c r="BG75" s="253"/>
      <c r="BH75" s="253"/>
      <c r="BI75" s="253"/>
      <c r="BJ75" s="253"/>
      <c r="BK75" s="285"/>
      <c r="BL75" s="253"/>
      <c r="BM75" s="253"/>
      <c r="BN75" s="253"/>
      <c r="BO75" s="253"/>
      <c r="BP75" s="285"/>
      <c r="BQ75" s="120">
        <f>'Cash Flow'!BQ10</f>
        <v>1.47</v>
      </c>
      <c r="BR75" s="120">
        <f>'Cash Flow'!BR10</f>
        <v>1.655</v>
      </c>
      <c r="BS75" s="120">
        <f>'Cash Flow'!BS10</f>
        <v>1.9089999999999996</v>
      </c>
      <c r="BT75" s="120">
        <f>'Cash Flow'!BT10</f>
        <v>2.202</v>
      </c>
      <c r="BU75" s="257">
        <f>SUM(BQ75:BT75)</f>
        <v>7.2359999999999998</v>
      </c>
      <c r="BV75" s="120">
        <f>'Cash Flow'!BV10</f>
        <v>3.0579999999999998</v>
      </c>
      <c r="BW75" s="120">
        <f>'Cash Flow'!BW10</f>
        <v>2.7759999999999998</v>
      </c>
      <c r="BX75" s="120">
        <f>'Cash Flow'!BX10</f>
        <v>3.6929999999999996</v>
      </c>
      <c r="BY75" s="120">
        <f>'Cash Flow'!BY10</f>
        <v>4.4400000000000013</v>
      </c>
      <c r="BZ75" s="257">
        <f>SUM(BV75:BY75)</f>
        <v>13.967000000000001</v>
      </c>
      <c r="CA75" s="120">
        <f>'Cash Flow'!CA10</f>
        <v>4.5339999999999998</v>
      </c>
      <c r="CB75" s="120">
        <f>'Cash Flow'!CB10</f>
        <v>5.3530000000000006</v>
      </c>
      <c r="CC75" s="120">
        <f>'Cash Flow'!CC10</f>
        <v>5.737000000000001</v>
      </c>
      <c r="CD75" s="120">
        <f>'Cash Flow'!CD10</f>
        <v>7.7579999999999982</v>
      </c>
      <c r="CE75" s="257">
        <f>SUM(CA75:CD75)</f>
        <v>23.382000000000001</v>
      </c>
      <c r="CF75" s="120">
        <f>'Cash Flow'!CF10</f>
        <v>7.5819999999999999</v>
      </c>
      <c r="CG75" s="120">
        <f>'Cash Flow'!CG10</f>
        <v>7.4259999999999993</v>
      </c>
      <c r="CH75" s="120">
        <f>'Cash Flow'!CH10</f>
        <v>6.1960000000000024</v>
      </c>
      <c r="CI75" s="120">
        <f>'Cash Flow'!CI10</f>
        <v>5.8479999999999999</v>
      </c>
      <c r="CJ75" s="257">
        <f>SUM(CF75:CI75)</f>
        <v>27.052</v>
      </c>
      <c r="CK75" s="120">
        <f>'Cash Flow'!CK10</f>
        <v>6.8319999999999999</v>
      </c>
      <c r="CL75" s="120">
        <f>'Cash Flow'!CL10</f>
        <v>7.3750000000000009</v>
      </c>
      <c r="CM75" s="120">
        <f>'Cash Flow'!CM10</f>
        <v>8.7429999999999986</v>
      </c>
      <c r="CN75" s="120">
        <f>'Cash Flow'!CN10</f>
        <v>12.701000000000004</v>
      </c>
      <c r="CO75" s="257">
        <f>SUM(CK75:CN75)</f>
        <v>35.651000000000003</v>
      </c>
      <c r="CP75" s="120">
        <f>'Cash Flow'!CP10</f>
        <v>14.366</v>
      </c>
      <c r="CQ75" s="120">
        <f>'Cash Flow'!CQ10</f>
        <v>19.930999999999997</v>
      </c>
      <c r="CR75" s="120">
        <f>'Cash Flow'!CR10</f>
        <v>17.870000000000005</v>
      </c>
      <c r="CS75" s="120">
        <f>'Cash Flow'!CS10</f>
        <v>17.893000000000001</v>
      </c>
      <c r="CT75" s="257">
        <f>SUM(CP75:CS75)</f>
        <v>70.06</v>
      </c>
      <c r="CU75" s="120">
        <f>'Cash Flow'!CU10</f>
        <v>15.8</v>
      </c>
      <c r="CV75" s="120">
        <f>'Cash Flow'!CV10</f>
        <v>14.663</v>
      </c>
      <c r="CW75" s="120">
        <f>'Cash Flow'!CW10</f>
        <v>13.603999999999999</v>
      </c>
      <c r="CX75" s="120">
        <f>'Cash Flow'!CX10</f>
        <v>22.241000000000007</v>
      </c>
      <c r="CY75" s="257">
        <f>SUM(CU75:CX75)</f>
        <v>66.308000000000007</v>
      </c>
      <c r="CZ75" s="109">
        <f>'Cash Flow'!CZ10</f>
        <v>16.670000000000002</v>
      </c>
      <c r="DA75" s="109">
        <f>'Cash Flow'!DA10</f>
        <v>16.402999999999999</v>
      </c>
      <c r="DB75" s="109">
        <f>'Cash Flow'!DB10</f>
        <v>27.625</v>
      </c>
      <c r="DC75" s="109">
        <f>'Cash Flow'!DC10</f>
        <v>29.821999999999996</v>
      </c>
      <c r="DD75" s="257">
        <f>SUM(CZ75:DC75)</f>
        <v>90.52</v>
      </c>
      <c r="DE75" s="109">
        <f>'Cash Flow'!DE10</f>
        <v>29</v>
      </c>
      <c r="DF75" s="109">
        <f>'Cash Flow'!DF10</f>
        <v>17</v>
      </c>
      <c r="DG75" s="109">
        <f>'Cash Flow'!DG10</f>
        <v>13</v>
      </c>
      <c r="DH75" s="109">
        <f>'Cash Flow'!DH10</f>
        <v>10</v>
      </c>
      <c r="DI75" s="257">
        <f>SUM(DE75:DH75)</f>
        <v>69</v>
      </c>
      <c r="DJ75" s="109">
        <f>'Cash Flow'!DJ10</f>
        <v>10</v>
      </c>
      <c r="DK75" s="109">
        <f>'Cash Flow'!DK10</f>
        <v>10</v>
      </c>
      <c r="DL75" s="109">
        <f>'Cash Flow'!DL10</f>
        <v>8</v>
      </c>
      <c r="DM75" s="109">
        <f>'Cash Flow'!DM10</f>
        <v>8</v>
      </c>
      <c r="DN75" s="257">
        <f>'Cash Flow'!DN10</f>
        <v>36</v>
      </c>
      <c r="DO75" s="109">
        <f>'Cash Flow'!DO10</f>
        <v>8</v>
      </c>
      <c r="DP75" s="109">
        <f>'Cash Flow'!DP10</f>
        <v>8</v>
      </c>
      <c r="DQ75" s="109">
        <f>'Cash Flow'!DQ10</f>
        <v>8</v>
      </c>
      <c r="DR75" s="109">
        <f>'Cash Flow'!DR10</f>
        <v>7</v>
      </c>
      <c r="DS75" s="257">
        <f>'Cash Flow'!DS10</f>
        <v>31</v>
      </c>
      <c r="DT75" s="109">
        <f>'Cash Flow'!DT10</f>
        <v>7</v>
      </c>
      <c r="DU75" s="109">
        <f>'Cash Flow'!DU10</f>
        <v>7</v>
      </c>
      <c r="DV75" s="109">
        <f>'Cash Flow'!DV10</f>
        <v>6.8544617885210943</v>
      </c>
      <c r="DW75" s="109">
        <f>'Cash Flow'!DW10</f>
        <v>7.3748809733637497</v>
      </c>
      <c r="DX75" s="257">
        <f>'Cash Flow'!DX10</f>
        <v>28.229342761884844</v>
      </c>
      <c r="DY75" s="109">
        <f>'Cash Flow'!DY10</f>
        <v>6.0175607824687507</v>
      </c>
      <c r="DZ75" s="109">
        <f>'Cash Flow'!DZ10</f>
        <v>6.2708725786067001</v>
      </c>
      <c r="EA75" s="109">
        <f>'Cash Flow'!EA10</f>
        <v>6.3208379505153101</v>
      </c>
      <c r="EB75" s="109">
        <f>'Cash Flow'!EB10</f>
        <v>6.9578684892053246</v>
      </c>
      <c r="EC75" s="257">
        <f>'Cash Flow'!EC10</f>
        <v>25.567139800796085</v>
      </c>
      <c r="ED75" s="109">
        <f>'Cash Flow'!ED10</f>
        <v>6.4385530947553953</v>
      </c>
      <c r="EE75" s="109">
        <f>'Cash Flow'!EE10</f>
        <v>6.7425241893667032</v>
      </c>
      <c r="EF75" s="109">
        <f>'Cash Flow'!EF10</f>
        <v>6.7993521581851342</v>
      </c>
      <c r="EG75" s="109">
        <f>'Cash Flow'!EG10</f>
        <v>7.5682266721590636</v>
      </c>
      <c r="EH75" s="257">
        <f>'Cash Flow'!EH10</f>
        <v>27.548656114466297</v>
      </c>
      <c r="EI75" s="109">
        <f>'Cash Flow'!EI10</f>
        <v>6.8899274084196538</v>
      </c>
      <c r="EJ75" s="109">
        <f>'Cash Flow'!EJ10</f>
        <v>7.2506787438100693</v>
      </c>
      <c r="EK75" s="109">
        <f>'Cash Flow'!EK10</f>
        <v>7.3178414233572262</v>
      </c>
      <c r="EL75" s="109">
        <f>'Cash Flow'!EL10</f>
        <v>8.2312962225908866</v>
      </c>
      <c r="EM75" s="257">
        <f>'Cash Flow'!EM10</f>
        <v>29.689743798177837</v>
      </c>
      <c r="EN75" s="109">
        <f>'Cash Flow'!EN10</f>
        <v>7.3902216525289113</v>
      </c>
      <c r="EO75" s="109">
        <f>'Cash Flow'!EO10</f>
        <v>7.8134995787109833</v>
      </c>
      <c r="EP75" s="109">
        <f>'Cash Flow'!EP10</f>
        <v>7.8925382506271973</v>
      </c>
      <c r="EQ75" s="109">
        <f>'Cash Flow'!EQ10</f>
        <v>8.9646469487442424</v>
      </c>
      <c r="ER75" s="257">
        <f>'Cash Flow'!ER10</f>
        <v>32.06090643061134</v>
      </c>
      <c r="ES75" s="417"/>
      <c r="ET75" s="133"/>
    </row>
    <row r="76" spans="1:150" s="253" customFormat="1">
      <c r="A76" s="792"/>
      <c r="B76" s="792"/>
      <c r="C76" s="265" t="s">
        <v>68</v>
      </c>
      <c r="D76" s="296"/>
      <c r="E76" s="296"/>
      <c r="F76" s="296"/>
      <c r="G76" s="296"/>
      <c r="H76" s="296"/>
      <c r="I76" s="256"/>
      <c r="J76" s="256"/>
      <c r="K76" s="256"/>
      <c r="L76" s="256"/>
      <c r="M76" s="296"/>
      <c r="N76" s="256"/>
      <c r="O76" s="256"/>
      <c r="P76" s="256"/>
      <c r="Q76" s="256"/>
      <c r="R76" s="296"/>
      <c r="S76" s="256"/>
      <c r="T76" s="256"/>
      <c r="U76" s="256"/>
      <c r="V76" s="256"/>
      <c r="W76" s="296"/>
      <c r="X76" s="256"/>
      <c r="Y76" s="256"/>
      <c r="Z76" s="256"/>
      <c r="AA76" s="256"/>
      <c r="AB76" s="296"/>
      <c r="AC76" s="256"/>
      <c r="AD76" s="256"/>
      <c r="AE76" s="256"/>
      <c r="AF76" s="256"/>
      <c r="AG76" s="296"/>
      <c r="AH76" s="256"/>
      <c r="AI76" s="256"/>
      <c r="AJ76" s="256"/>
      <c r="AK76" s="256"/>
      <c r="AL76" s="296"/>
      <c r="AM76" s="256"/>
      <c r="AN76" s="256"/>
      <c r="AO76" s="256"/>
      <c r="AP76" s="256"/>
      <c r="AQ76" s="296"/>
      <c r="AR76" s="256"/>
      <c r="AS76" s="256"/>
      <c r="AT76" s="256"/>
      <c r="AU76" s="256"/>
      <c r="AV76" s="296"/>
      <c r="AW76" s="256"/>
      <c r="AX76" s="256"/>
      <c r="AY76" s="256"/>
      <c r="AZ76" s="256"/>
      <c r="BA76" s="296"/>
      <c r="BB76" s="256"/>
      <c r="BC76" s="256"/>
      <c r="BD76" s="256"/>
      <c r="BE76" s="256"/>
      <c r="BF76" s="296"/>
      <c r="BG76" s="280"/>
      <c r="BH76" s="280"/>
      <c r="BI76" s="280"/>
      <c r="BJ76" s="280"/>
      <c r="BK76" s="296"/>
      <c r="BL76" s="280"/>
      <c r="BM76" s="280"/>
      <c r="BN76" s="280"/>
      <c r="BO76" s="280"/>
      <c r="BP76" s="296"/>
      <c r="BQ76" s="239">
        <v>0</v>
      </c>
      <c r="BR76" s="239">
        <v>0</v>
      </c>
      <c r="BS76" s="239">
        <v>0</v>
      </c>
      <c r="BT76" s="239">
        <v>0</v>
      </c>
      <c r="BU76" s="257">
        <f>SUM(BQ76:BT76)</f>
        <v>0</v>
      </c>
      <c r="BV76" s="239">
        <v>0</v>
      </c>
      <c r="BW76" s="239">
        <v>0</v>
      </c>
      <c r="BX76" s="239">
        <v>0</v>
      </c>
      <c r="BY76" s="239">
        <v>0</v>
      </c>
      <c r="BZ76" s="257">
        <f>SUM(BV76:BY76)</f>
        <v>0</v>
      </c>
      <c r="CA76" s="239">
        <v>0</v>
      </c>
      <c r="CB76" s="239">
        <v>0</v>
      </c>
      <c r="CC76" s="239">
        <v>0</v>
      </c>
      <c r="CD76" s="239">
        <v>0</v>
      </c>
      <c r="CE76" s="257">
        <f>SUM(CA76:CD76)</f>
        <v>0</v>
      </c>
      <c r="CF76" s="239">
        <v>0</v>
      </c>
      <c r="CG76" s="239">
        <v>0</v>
      </c>
      <c r="CH76" s="239">
        <v>0</v>
      </c>
      <c r="CI76" s="239">
        <v>0</v>
      </c>
      <c r="CJ76" s="257">
        <f>SUM(CF76:CI76)</f>
        <v>0</v>
      </c>
      <c r="CK76" s="239">
        <v>0</v>
      </c>
      <c r="CL76" s="239">
        <v>0</v>
      </c>
      <c r="CM76" s="239">
        <v>0</v>
      </c>
      <c r="CN76" s="239">
        <v>0</v>
      </c>
      <c r="CO76" s="257">
        <f>SUM(CK76:CN76)</f>
        <v>0</v>
      </c>
      <c r="CP76" s="239">
        <v>0</v>
      </c>
      <c r="CQ76" s="239">
        <v>0</v>
      </c>
      <c r="CR76" s="239">
        <v>0</v>
      </c>
      <c r="CS76" s="239">
        <v>0</v>
      </c>
      <c r="CT76" s="257">
        <f>SUM(CP76:CS76)</f>
        <v>0</v>
      </c>
      <c r="CU76" s="239">
        <v>0</v>
      </c>
      <c r="CV76" s="239">
        <v>0</v>
      </c>
      <c r="CW76" s="239">
        <v>0</v>
      </c>
      <c r="CX76" s="239">
        <v>0</v>
      </c>
      <c r="CY76" s="257">
        <f>SUM(CU76:CX76)</f>
        <v>0</v>
      </c>
      <c r="CZ76" s="239">
        <v>0</v>
      </c>
      <c r="DA76" s="239">
        <v>0</v>
      </c>
      <c r="DB76" s="239">
        <v>0</v>
      </c>
      <c r="DC76" s="239">
        <v>0</v>
      </c>
      <c r="DD76" s="257">
        <f>SUM(CZ76:DC76)</f>
        <v>0</v>
      </c>
      <c r="DE76" s="239">
        <v>0</v>
      </c>
      <c r="DF76" s="239">
        <v>0</v>
      </c>
      <c r="DG76" s="239">
        <v>0</v>
      </c>
      <c r="DH76" s="239">
        <v>0</v>
      </c>
      <c r="DI76" s="257">
        <f>SUM(DE76:DH76)</f>
        <v>0</v>
      </c>
      <c r="DJ76" s="239">
        <v>0</v>
      </c>
      <c r="DK76" s="239">
        <v>0</v>
      </c>
      <c r="DL76" s="239">
        <v>0</v>
      </c>
      <c r="DM76" s="239">
        <v>0</v>
      </c>
      <c r="DN76" s="257">
        <f>SUM(DJ76:DM76)</f>
        <v>0</v>
      </c>
      <c r="DO76" s="239">
        <v>0</v>
      </c>
      <c r="DP76" s="239">
        <v>0</v>
      </c>
      <c r="DQ76" s="239">
        <v>0</v>
      </c>
      <c r="DR76" s="239">
        <v>0</v>
      </c>
      <c r="DS76" s="257">
        <f>SUM(DO76:DR76)</f>
        <v>0</v>
      </c>
      <c r="DT76" s="239">
        <v>0</v>
      </c>
      <c r="DU76" s="239">
        <v>0</v>
      </c>
      <c r="DV76" s="281">
        <v>0</v>
      </c>
      <c r="DW76" s="281">
        <v>0</v>
      </c>
      <c r="DX76" s="257">
        <f>SUM(DT76:DW76)</f>
        <v>0</v>
      </c>
      <c r="DY76" s="281">
        <v>0</v>
      </c>
      <c r="DZ76" s="281">
        <v>0</v>
      </c>
      <c r="EA76" s="281">
        <v>0</v>
      </c>
      <c r="EB76" s="281">
        <v>0</v>
      </c>
      <c r="EC76" s="257">
        <f>SUM(DY76:EB76)</f>
        <v>0</v>
      </c>
      <c r="ED76" s="281">
        <v>0</v>
      </c>
      <c r="EE76" s="281">
        <v>0</v>
      </c>
      <c r="EF76" s="281">
        <v>0</v>
      </c>
      <c r="EG76" s="281">
        <v>0</v>
      </c>
      <c r="EH76" s="257">
        <f>SUM(ED76:EG76)</f>
        <v>0</v>
      </c>
      <c r="EI76" s="281">
        <v>0</v>
      </c>
      <c r="EJ76" s="281">
        <v>0</v>
      </c>
      <c r="EK76" s="281">
        <v>0</v>
      </c>
      <c r="EL76" s="281">
        <v>0</v>
      </c>
      <c r="EM76" s="257">
        <f>SUM(EI76:EL76)</f>
        <v>0</v>
      </c>
      <c r="EN76" s="281">
        <v>0</v>
      </c>
      <c r="EO76" s="281">
        <v>0</v>
      </c>
      <c r="EP76" s="281">
        <v>0</v>
      </c>
      <c r="EQ76" s="281">
        <v>0</v>
      </c>
      <c r="ER76" s="257">
        <f>SUM(EN76:EQ76)</f>
        <v>0</v>
      </c>
      <c r="ES76" s="417"/>
      <c r="ET76" s="133"/>
    </row>
    <row r="77" spans="1:150" s="253" customFormat="1">
      <c r="A77" s="792"/>
      <c r="B77" s="792"/>
      <c r="C77" s="248" t="s">
        <v>2</v>
      </c>
      <c r="D77" s="292"/>
      <c r="E77" s="292"/>
      <c r="F77" s="292"/>
      <c r="G77" s="292"/>
      <c r="H77" s="292"/>
      <c r="I77" s="293"/>
      <c r="J77" s="293"/>
      <c r="K77" s="293"/>
      <c r="L77" s="293"/>
      <c r="M77" s="292"/>
      <c r="N77" s="293"/>
      <c r="O77" s="293"/>
      <c r="P77" s="293"/>
      <c r="Q77" s="293"/>
      <c r="R77" s="292"/>
      <c r="S77" s="293"/>
      <c r="T77" s="293"/>
      <c r="U77" s="293"/>
      <c r="V77" s="293"/>
      <c r="W77" s="292"/>
      <c r="X77" s="293"/>
      <c r="Y77" s="293"/>
      <c r="Z77" s="293"/>
      <c r="AA77" s="293"/>
      <c r="AB77" s="292"/>
      <c r="AC77" s="293"/>
      <c r="AD77" s="293"/>
      <c r="AE77" s="293"/>
      <c r="AF77" s="293"/>
      <c r="AG77" s="292"/>
      <c r="AH77" s="293"/>
      <c r="AI77" s="293"/>
      <c r="AJ77" s="293"/>
      <c r="AK77" s="293"/>
      <c r="AL77" s="292"/>
      <c r="AM77" s="293"/>
      <c r="AN77" s="293"/>
      <c r="AO77" s="293"/>
      <c r="AP77" s="293"/>
      <c r="AQ77" s="292"/>
      <c r="AR77" s="293"/>
      <c r="AS77" s="293"/>
      <c r="AT77" s="293"/>
      <c r="AU77" s="293"/>
      <c r="AV77" s="292"/>
      <c r="AW77" s="293"/>
      <c r="AX77" s="293"/>
      <c r="AY77" s="293"/>
      <c r="AZ77" s="293"/>
      <c r="BA77" s="292"/>
      <c r="BB77" s="293"/>
      <c r="BC77" s="293"/>
      <c r="BD77" s="293"/>
      <c r="BE77" s="293"/>
      <c r="BF77" s="292"/>
      <c r="BG77" s="293"/>
      <c r="BH77" s="293"/>
      <c r="BI77" s="293"/>
      <c r="BJ77" s="293"/>
      <c r="BK77" s="292"/>
      <c r="BL77" s="293"/>
      <c r="BM77" s="293"/>
      <c r="BN77" s="293"/>
      <c r="BO77" s="293"/>
      <c r="BP77" s="292"/>
      <c r="BQ77" s="294">
        <f>SUM(BQ74:BQ76)</f>
        <v>-2.0059999999999993</v>
      </c>
      <c r="BR77" s="251">
        <f>SUM(BR74:BR76)</f>
        <v>-1.8059999999999985</v>
      </c>
      <c r="BS77" s="251">
        <f>SUM(BS74:BS76)</f>
        <v>-2.3909999999999973</v>
      </c>
      <c r="BT77" s="251">
        <f>SUM(BT74:BT76)</f>
        <v>-4.3169999999999984</v>
      </c>
      <c r="BU77" s="252">
        <f>SUM(BQ77:BT77)</f>
        <v>-10.519999999999992</v>
      </c>
      <c r="BV77" s="251">
        <f>SUM(BV74:BV76)</f>
        <v>-6.6539999999999893</v>
      </c>
      <c r="BW77" s="251">
        <f>SUM(BW74:BW76)</f>
        <v>-5.8830000000000062</v>
      </c>
      <c r="BX77" s="251">
        <f>SUM(BX74:BX76)</f>
        <v>-5.7960000000000047</v>
      </c>
      <c r="BY77" s="251">
        <f>SUM(BY74:BY76)</f>
        <v>-4.8650000000000198</v>
      </c>
      <c r="BZ77" s="252">
        <f>SUM(BV77:BY77)</f>
        <v>-23.198000000000018</v>
      </c>
      <c r="CA77" s="251">
        <f>SUM(CA74:CA76)</f>
        <v>-9.9269999999999854</v>
      </c>
      <c r="CB77" s="251">
        <f>SUM(CB74:CB76)</f>
        <v>-10.553999999999995</v>
      </c>
      <c r="CC77" s="251">
        <f>SUM(CC74:CC76)</f>
        <v>-6.9389999999999867</v>
      </c>
      <c r="CD77" s="251">
        <f>SUM(CD74:CD76)</f>
        <v>1.6449999999999703</v>
      </c>
      <c r="CE77" s="252">
        <f>SUM(CA77:CD77)</f>
        <v>-25.774999999999995</v>
      </c>
      <c r="CF77" s="251">
        <f>SUM(CF74:CF76)</f>
        <v>-12.751000000000026</v>
      </c>
      <c r="CG77" s="251">
        <f>SUM(CG74:CG76)</f>
        <v>-23.335000000000026</v>
      </c>
      <c r="CH77" s="251">
        <f>SUM(CH74:CH76)</f>
        <v>-25.172000000000022</v>
      </c>
      <c r="CI77" s="251">
        <f>SUM(CI74:CI76)</f>
        <v>-3.6100000000000554</v>
      </c>
      <c r="CJ77" s="252">
        <f>SUM(CF77:CI77)</f>
        <v>-64.868000000000137</v>
      </c>
      <c r="CK77" s="251">
        <f>SUM(CK74:CK76)</f>
        <v>-28.958000000000048</v>
      </c>
      <c r="CL77" s="251">
        <f>SUM(CL74:CL76)</f>
        <v>-32.245000000000005</v>
      </c>
      <c r="CM77" s="251">
        <f>SUM(CM74:CM76)</f>
        <v>-26.91499999999996</v>
      </c>
      <c r="CN77" s="251">
        <f>SUM(CN74:CN76)</f>
        <v>-17.377999999999947</v>
      </c>
      <c r="CO77" s="252">
        <f>SUM(CK77:CN77)</f>
        <v>-105.49599999999995</v>
      </c>
      <c r="CP77" s="251">
        <f>SUM(CP74:CP76)</f>
        <v>-58.867000000000004</v>
      </c>
      <c r="CQ77" s="251">
        <f>SUM(CQ74:CQ76)</f>
        <v>20.215000000000046</v>
      </c>
      <c r="CR77" s="251">
        <f>SUM(CR74:CR76)</f>
        <v>68.43100000000004</v>
      </c>
      <c r="CS77" s="251">
        <f>SUM(CS74:CS76)</f>
        <v>130.43399999999994</v>
      </c>
      <c r="CT77" s="252">
        <f>SUM(CP77:CS77)</f>
        <v>160.21300000000002</v>
      </c>
      <c r="CU77" s="251">
        <f>SUM(CU74:CU76)</f>
        <v>134.6989999999999</v>
      </c>
      <c r="CV77" s="251">
        <f>SUM(CV74:CV76)</f>
        <v>154.10399999999993</v>
      </c>
      <c r="CW77" s="251">
        <f>SUM(CW74:CW76)</f>
        <v>9.5030000000000001</v>
      </c>
      <c r="CX77" s="251">
        <f>SUM(CX74:CX76)</f>
        <v>36.645000000000231</v>
      </c>
      <c r="CY77" s="252">
        <f>SUM(CU77:CX77)</f>
        <v>334.95100000000002</v>
      </c>
      <c r="CZ77" s="251">
        <f>SUM(CZ74:CZ76)</f>
        <v>-81.305999999999884</v>
      </c>
      <c r="DA77" s="251">
        <f>SUM(DA74:DA76)</f>
        <v>-173.80499999999998</v>
      </c>
      <c r="DB77" s="251">
        <f>SUM(DB74:DB76)</f>
        <v>-317.74099999999999</v>
      </c>
      <c r="DC77" s="251">
        <f>SUM(DC74:DC76)</f>
        <v>-158.92699999999991</v>
      </c>
      <c r="DD77" s="252">
        <f>SUM(CZ77:DC77)</f>
        <v>-731.77899999999977</v>
      </c>
      <c r="DE77" s="251">
        <f>SUM(DE74:DE76)</f>
        <v>-164</v>
      </c>
      <c r="DF77" s="251">
        <f>SUM(DF74:DF76)</f>
        <v>-1619</v>
      </c>
      <c r="DG77" s="251">
        <f>SUM(DG74:DG76)</f>
        <v>135</v>
      </c>
      <c r="DH77" s="251">
        <f>SUM(DH74:DH76)</f>
        <v>299</v>
      </c>
      <c r="DI77" s="252">
        <f>SUM(DE77:DH77)</f>
        <v>-1349</v>
      </c>
      <c r="DJ77" s="251">
        <f>SUM(DJ74:DJ76)</f>
        <v>96</v>
      </c>
      <c r="DK77" s="251">
        <f>SUM(DK74:DK76)</f>
        <v>251</v>
      </c>
      <c r="DL77" s="251">
        <f>SUM(DL74:DL76)</f>
        <v>291</v>
      </c>
      <c r="DM77" s="251">
        <f>SUM(DM74:DM76)</f>
        <v>473</v>
      </c>
      <c r="DN77" s="252">
        <f>SUM(DJ77:DM77)</f>
        <v>1111</v>
      </c>
      <c r="DO77" s="251">
        <f>SUM(DO74:DO76)</f>
        <v>211</v>
      </c>
      <c r="DP77" s="251">
        <f>SUM(DP74:DP76)</f>
        <v>299</v>
      </c>
      <c r="DQ77" s="251">
        <f>SUM(DQ74:DQ76)</f>
        <v>351</v>
      </c>
      <c r="DR77" s="1429">
        <f>SUM(DR74:DR76)</f>
        <v>638</v>
      </c>
      <c r="DS77" s="252">
        <f>SUM(DO77:DR77)</f>
        <v>1499</v>
      </c>
      <c r="DT77" s="251">
        <f>SUM(DT74:DT76)</f>
        <v>389</v>
      </c>
      <c r="DU77" s="251">
        <f>SUM(DU74:DU76)</f>
        <v>495</v>
      </c>
      <c r="DV77" s="251">
        <f>SUM(DV74:DV76)</f>
        <v>557.12535044441574</v>
      </c>
      <c r="DW77" s="251">
        <f>SUM(DW74:DW76)</f>
        <v>846.02205931708374</v>
      </c>
      <c r="DX77" s="252">
        <f>SUM(DT77:DW77)</f>
        <v>2287.1474097614996</v>
      </c>
      <c r="DY77" s="251">
        <f>SUM(DY74:DY76)</f>
        <v>539.01549170740668</v>
      </c>
      <c r="DZ77" s="251">
        <f>SUM(DZ74:DZ76)</f>
        <v>695.57763904643093</v>
      </c>
      <c r="EA77" s="251">
        <f>SUM(EA74:EA76)</f>
        <v>771.06886361845829</v>
      </c>
      <c r="EB77" s="251">
        <f>SUM(EB74:EB76)</f>
        <v>1154.1676739739214</v>
      </c>
      <c r="EC77" s="252">
        <f>SUM(DY77:EB77)</f>
        <v>3159.8296683462172</v>
      </c>
      <c r="ED77" s="251">
        <f>SUM(ED74:ED76)</f>
        <v>672.85087307044932</v>
      </c>
      <c r="EE77" s="251">
        <f>SUM(EE74:EE76)</f>
        <v>862.75522110637974</v>
      </c>
      <c r="EF77" s="251">
        <f>SUM(EF74:EF76)</f>
        <v>950.23806823452003</v>
      </c>
      <c r="EG77" s="251">
        <f>SUM(EG74:EG76)</f>
        <v>1418.0429110312882</v>
      </c>
      <c r="EH77" s="252">
        <f>SUM(ED77:EG77)</f>
        <v>3903.8870734426373</v>
      </c>
      <c r="EI77" s="251">
        <f>SUM(EI74:EI76)</f>
        <v>825.77742420724849</v>
      </c>
      <c r="EJ77" s="251">
        <f>SUM(EJ74:EJ76)</f>
        <v>1055.0058686945163</v>
      </c>
      <c r="EK77" s="251">
        <f>SUM(EK74:EK76)</f>
        <v>1158.574375200106</v>
      </c>
      <c r="EL77" s="251">
        <f>SUM(EL74:EL76)</f>
        <v>1724.4430656758261</v>
      </c>
      <c r="EM77" s="252">
        <f>SUM(EI77:EL77)</f>
        <v>4763.8007337776971</v>
      </c>
      <c r="EN77" s="251">
        <f>SUM(EN74:EN76)</f>
        <v>1008.3573669630978</v>
      </c>
      <c r="EO77" s="251">
        <f>SUM(EO74:EO76)</f>
        <v>1282.5216978160306</v>
      </c>
      <c r="EP77" s="251">
        <f>SUM(EP74:EP76)</f>
        <v>1404.7339524279564</v>
      </c>
      <c r="EQ77" s="251">
        <f>SUM(EQ74:EQ76)</f>
        <v>2082.2658815885834</v>
      </c>
      <c r="ER77" s="252">
        <f>SUM(EN77:EQ77)</f>
        <v>5777.8788987956686</v>
      </c>
      <c r="ES77" s="911"/>
      <c r="ET77" s="133"/>
    </row>
    <row r="78" spans="1:150" s="253" customFormat="1">
      <c r="A78" s="792"/>
      <c r="B78" s="792"/>
      <c r="C78" s="240" t="s">
        <v>58</v>
      </c>
      <c r="D78" s="628"/>
      <c r="E78" s="628"/>
      <c r="F78" s="628"/>
      <c r="G78" s="628"/>
      <c r="H78" s="628"/>
      <c r="I78" s="622"/>
      <c r="J78" s="622"/>
      <c r="K78" s="622"/>
      <c r="L78" s="622"/>
      <c r="M78" s="628"/>
      <c r="N78" s="622"/>
      <c r="O78" s="622"/>
      <c r="P78" s="622"/>
      <c r="Q78" s="622"/>
      <c r="R78" s="628"/>
      <c r="S78" s="622"/>
      <c r="T78" s="622"/>
      <c r="U78" s="622"/>
      <c r="V78" s="622"/>
      <c r="W78" s="628"/>
      <c r="X78" s="622"/>
      <c r="Y78" s="622"/>
      <c r="Z78" s="622"/>
      <c r="AA78" s="622"/>
      <c r="AB78" s="628"/>
      <c r="AC78" s="622"/>
      <c r="AD78" s="622"/>
      <c r="AE78" s="622"/>
      <c r="AF78" s="622"/>
      <c r="AG78" s="628"/>
      <c r="AH78" s="622"/>
      <c r="AI78" s="622"/>
      <c r="AJ78" s="622"/>
      <c r="AK78" s="622"/>
      <c r="AL78" s="628"/>
      <c r="AM78" s="622"/>
      <c r="AN78" s="622"/>
      <c r="AO78" s="622"/>
      <c r="AP78" s="622"/>
      <c r="AQ78" s="628"/>
      <c r="AR78" s="622"/>
      <c r="AS78" s="622"/>
      <c r="AT78" s="622"/>
      <c r="AU78" s="622"/>
      <c r="AV78" s="628"/>
      <c r="AW78" s="622"/>
      <c r="AX78" s="622"/>
      <c r="AY78" s="622"/>
      <c r="AZ78" s="622"/>
      <c r="BA78" s="628"/>
      <c r="BB78" s="622"/>
      <c r="BC78" s="622"/>
      <c r="BD78" s="622"/>
      <c r="BE78" s="622"/>
      <c r="BF78" s="628"/>
      <c r="BG78" s="622"/>
      <c r="BH78" s="622"/>
      <c r="BI78" s="622"/>
      <c r="BJ78" s="622"/>
      <c r="BK78" s="628"/>
      <c r="BL78" s="622"/>
      <c r="BM78" s="622"/>
      <c r="BN78" s="622"/>
      <c r="BO78" s="622"/>
      <c r="BP78" s="628"/>
      <c r="BQ78" s="244">
        <f t="shared" ref="BQ78:CV78" si="371">BQ77/BQ10</f>
        <v>-5.3711042090607244E-2</v>
      </c>
      <c r="BR78" s="244">
        <f t="shared" si="371"/>
        <v>-4.0199439077594233E-2</v>
      </c>
      <c r="BS78" s="244">
        <f t="shared" si="371"/>
        <v>-4.5296101238964825E-2</v>
      </c>
      <c r="BT78" s="244">
        <f t="shared" si="371"/>
        <v>-6.1519387798725983E-2</v>
      </c>
      <c r="BU78" s="243">
        <f t="shared" si="371"/>
        <v>-5.1258813153829998E-2</v>
      </c>
      <c r="BV78" s="244">
        <f t="shared" si="371"/>
        <v>-9.1499133687192161E-2</v>
      </c>
      <c r="BW78" s="244">
        <f t="shared" si="371"/>
        <v>-6.7896176440038397E-2</v>
      </c>
      <c r="BX78" s="244">
        <f t="shared" si="371"/>
        <v>-5.8205627749101249E-2</v>
      </c>
      <c r="BY78" s="244">
        <f t="shared" si="371"/>
        <v>-3.7313146652554557E-2</v>
      </c>
      <c r="BZ78" s="243">
        <f t="shared" si="371"/>
        <v>-5.958441425012205E-2</v>
      </c>
      <c r="CA78" s="244">
        <f t="shared" si="371"/>
        <v>-7.7932783268827549E-2</v>
      </c>
      <c r="CB78" s="244">
        <f t="shared" si="371"/>
        <v>-6.9592166430384725E-2</v>
      </c>
      <c r="CC78" s="244">
        <f t="shared" si="371"/>
        <v>-4.0471024636058152E-2</v>
      </c>
      <c r="CD78" s="244">
        <f t="shared" si="371"/>
        <v>7.3828394984155861E-3</v>
      </c>
      <c r="CE78" s="243">
        <f t="shared" si="371"/>
        <v>-3.8281370673573893E-2</v>
      </c>
      <c r="CF78" s="244">
        <f t="shared" si="371"/>
        <v>-5.9489595969021307E-2</v>
      </c>
      <c r="CG78" s="244">
        <f t="shared" si="371"/>
        <v>-9.5259284055143126E-2</v>
      </c>
      <c r="CH78" s="244">
        <f t="shared" si="371"/>
        <v>-9.3207535991468776E-2</v>
      </c>
      <c r="CI78" s="244">
        <f t="shared" si="371"/>
        <v>-1.0498397612996074E-2</v>
      </c>
      <c r="CJ78" s="243">
        <f t="shared" si="371"/>
        <v>-6.0441900097742557E-2</v>
      </c>
      <c r="CK78" s="244">
        <f t="shared" si="371"/>
        <v>-9.0357648791507955E-2</v>
      </c>
      <c r="CL78" s="244">
        <f t="shared" si="371"/>
        <v>-8.9079753245354026E-2</v>
      </c>
      <c r="CM78" s="244">
        <f t="shared" si="371"/>
        <v>-6.8915278887318354E-2</v>
      </c>
      <c r="CN78" s="244">
        <f t="shared" si="371"/>
        <v>-3.44009818671311E-2</v>
      </c>
      <c r="CO78" s="243">
        <f t="shared" si="371"/>
        <v>-6.6846917289802799E-2</v>
      </c>
      <c r="CP78" s="244">
        <f t="shared" si="371"/>
        <v>-0.12524866968368153</v>
      </c>
      <c r="CQ78" s="244">
        <f t="shared" si="371"/>
        <v>2.8298809672131442E-2</v>
      </c>
      <c r="CR78" s="244">
        <f t="shared" si="371"/>
        <v>8.9171949622428887E-2</v>
      </c>
      <c r="CS78" s="244">
        <f t="shared" si="371"/>
        <v>0.13340301755878833</v>
      </c>
      <c r="CT78" s="243">
        <f t="shared" si="371"/>
        <v>5.4689705481259378E-2</v>
      </c>
      <c r="CU78" s="244">
        <f t="shared" si="371"/>
        <v>0.13624579855094884</v>
      </c>
      <c r="CV78" s="244">
        <f t="shared" si="371"/>
        <v>0.13766107312105547</v>
      </c>
      <c r="CW78" s="244">
        <f t="shared" ref="CW78:EB78" si="372">CW77/CW10</f>
        <v>8.4565824834926234E-3</v>
      </c>
      <c r="CX78" s="245">
        <f t="shared" si="372"/>
        <v>2.6553886019373741E-2</v>
      </c>
      <c r="CY78" s="243">
        <f t="shared" si="372"/>
        <v>7.2628243379671886E-2</v>
      </c>
      <c r="CZ78" s="244">
        <f t="shared" si="372"/>
        <v>-6.7551052115155566E-2</v>
      </c>
      <c r="DA78" s="244">
        <f t="shared" si="372"/>
        <v>-0.13420582628026587</v>
      </c>
      <c r="DB78" s="244">
        <f t="shared" si="372"/>
        <v>-0.23257282974674276</v>
      </c>
      <c r="DC78" s="244">
        <f t="shared" si="372"/>
        <v>-9.1601737889471735E-2</v>
      </c>
      <c r="DD78" s="243">
        <f t="shared" si="372"/>
        <v>-0.13067799503702227</v>
      </c>
      <c r="DE78" s="244">
        <f t="shared" si="372"/>
        <v>-0.10875331564986737</v>
      </c>
      <c r="DF78" s="244">
        <f t="shared" si="372"/>
        <v>-0.95572609208972847</v>
      </c>
      <c r="DG78" s="244">
        <f t="shared" si="372"/>
        <v>7.8763127187864643E-2</v>
      </c>
      <c r="DH78" s="244">
        <f t="shared" si="372"/>
        <v>0.1394589552238806</v>
      </c>
      <c r="DI78" s="243">
        <f t="shared" si="372"/>
        <v>-0.19107648725212464</v>
      </c>
      <c r="DJ78" s="244">
        <f t="shared" si="372"/>
        <v>5.1585169263836647E-2</v>
      </c>
      <c r="DK78" s="244">
        <f t="shared" si="372"/>
        <v>0.12273838630806846</v>
      </c>
      <c r="DL78" s="244">
        <f t="shared" si="372"/>
        <v>0.13459759481961148</v>
      </c>
      <c r="DM78" s="244">
        <f t="shared" si="372"/>
        <v>0.16820768136557609</v>
      </c>
      <c r="DN78" s="243">
        <f t="shared" si="372"/>
        <v>0.12511261261261261</v>
      </c>
      <c r="DO78" s="244">
        <f t="shared" si="372"/>
        <v>8.9406779661016955E-2</v>
      </c>
      <c r="DP78" s="244">
        <f t="shared" si="372"/>
        <v>0.11156716417910448</v>
      </c>
      <c r="DQ78" s="244">
        <f t="shared" ref="DQ78" si="373">DQ77/DQ10</f>
        <v>0.12341772151898735</v>
      </c>
      <c r="DR78" s="629">
        <f>DR77/DR10</f>
        <v>0.17374727668845316</v>
      </c>
      <c r="DS78" s="243">
        <f t="shared" si="372"/>
        <v>0.12971616476289374</v>
      </c>
      <c r="DT78" s="244">
        <f t="shared" ref="DT78:DU78" si="374">DT77/DT10</f>
        <v>0.12271293375394322</v>
      </c>
      <c r="DU78" s="244">
        <f t="shared" si="374"/>
        <v>0.13815238626849008</v>
      </c>
      <c r="DV78" s="244">
        <f t="shared" si="372"/>
        <v>0.15021214076584319</v>
      </c>
      <c r="DW78" s="244">
        <f t="shared" si="372"/>
        <v>0.1781188339133454</v>
      </c>
      <c r="DX78" s="243">
        <f t="shared" si="372"/>
        <v>0.15035463402051119</v>
      </c>
      <c r="DY78" s="244">
        <f t="shared" si="372"/>
        <v>0.13358097966393123</v>
      </c>
      <c r="DZ78" s="244">
        <f t="shared" si="372"/>
        <v>0.15315206269151491</v>
      </c>
      <c r="EA78" s="244">
        <f t="shared" si="372"/>
        <v>0.16611863474725869</v>
      </c>
      <c r="EB78" s="244">
        <f t="shared" si="372"/>
        <v>0.19510124912348714</v>
      </c>
      <c r="EC78" s="243">
        <f t="shared" ref="EC78:EG78" si="375">EC77/EC10</f>
        <v>0.16513972483621941</v>
      </c>
      <c r="ED78" s="244">
        <f t="shared" si="375"/>
        <v>0.13796108735904747</v>
      </c>
      <c r="EE78" s="244">
        <f t="shared" si="375"/>
        <v>0.15729218076752957</v>
      </c>
      <c r="EF78" s="244">
        <f t="shared" si="375"/>
        <v>0.16972463886976175</v>
      </c>
      <c r="EG78" s="244">
        <f t="shared" si="375"/>
        <v>0.19870415213465942</v>
      </c>
      <c r="EH78" s="243">
        <f t="shared" ref="EH78:EL78" si="376">EH77/EH10</f>
        <v>0.16901910641154499</v>
      </c>
      <c r="EI78" s="244">
        <f t="shared" si="376"/>
        <v>0.14287165514977793</v>
      </c>
      <c r="EJ78" s="244">
        <f t="shared" si="376"/>
        <v>0.16227470504482405</v>
      </c>
      <c r="EK78" s="244">
        <f t="shared" si="376"/>
        <v>0.17459761142348071</v>
      </c>
      <c r="EL78" s="244">
        <f t="shared" si="376"/>
        <v>0.20377243461105679</v>
      </c>
      <c r="EM78" s="243">
        <f t="shared" ref="EM78:ER78" si="377">EM77/EM10</f>
        <v>0.17399159560647801</v>
      </c>
      <c r="EN78" s="244">
        <f t="shared" si="377"/>
        <v>0.14871555171192435</v>
      </c>
      <c r="EO78" s="244">
        <f t="shared" si="377"/>
        <v>0.16815547915302786</v>
      </c>
      <c r="EP78" s="244">
        <f t="shared" si="377"/>
        <v>0.18043932544550004</v>
      </c>
      <c r="EQ78" s="244">
        <f t="shared" si="377"/>
        <v>0.20970936131876119</v>
      </c>
      <c r="ER78" s="243">
        <f t="shared" si="377"/>
        <v>0.17987399788916342</v>
      </c>
      <c r="ES78" s="244"/>
      <c r="ET78" s="133"/>
    </row>
    <row r="79" spans="1:150" s="253" customFormat="1">
      <c r="A79" s="792"/>
      <c r="B79" s="792"/>
      <c r="C79" s="240" t="s">
        <v>1</v>
      </c>
      <c r="D79" s="241"/>
      <c r="E79" s="241"/>
      <c r="F79" s="241"/>
      <c r="G79" s="241"/>
      <c r="H79" s="241"/>
      <c r="I79" s="99"/>
      <c r="J79" s="99"/>
      <c r="K79" s="99"/>
      <c r="L79" s="99"/>
      <c r="M79" s="241"/>
      <c r="N79" s="622"/>
      <c r="O79" s="622"/>
      <c r="P79" s="622"/>
      <c r="Q79" s="622"/>
      <c r="R79" s="241"/>
      <c r="S79" s="622"/>
      <c r="T79" s="622"/>
      <c r="U79" s="622"/>
      <c r="V79" s="622"/>
      <c r="W79" s="241"/>
      <c r="X79" s="622"/>
      <c r="Y79" s="622"/>
      <c r="Z79" s="622"/>
      <c r="AA79" s="622"/>
      <c r="AB79" s="241"/>
      <c r="AC79" s="622"/>
      <c r="AD79" s="622"/>
      <c r="AE79" s="622"/>
      <c r="AF79" s="622"/>
      <c r="AG79" s="241"/>
      <c r="AH79" s="622"/>
      <c r="AI79" s="622"/>
      <c r="AJ79" s="622"/>
      <c r="AK79" s="622"/>
      <c r="AL79" s="241"/>
      <c r="AM79" s="622"/>
      <c r="AN79" s="622"/>
      <c r="AO79" s="622"/>
      <c r="AP79" s="622"/>
      <c r="AQ79" s="241"/>
      <c r="AR79" s="622"/>
      <c r="AS79" s="622"/>
      <c r="AT79" s="622"/>
      <c r="AU79" s="622"/>
      <c r="AV79" s="241"/>
      <c r="AW79" s="622"/>
      <c r="AX79" s="622"/>
      <c r="AY79" s="622"/>
      <c r="AZ79" s="622"/>
      <c r="BA79" s="241"/>
      <c r="BB79" s="622"/>
      <c r="BC79" s="622"/>
      <c r="BD79" s="622"/>
      <c r="BE79" s="622"/>
      <c r="BF79" s="241"/>
      <c r="BG79" s="622"/>
      <c r="BH79" s="622"/>
      <c r="BI79" s="622"/>
      <c r="BJ79" s="622"/>
      <c r="BK79" s="241"/>
      <c r="BL79" s="622"/>
      <c r="BM79" s="622"/>
      <c r="BN79" s="622"/>
      <c r="BO79" s="622"/>
      <c r="BP79" s="241"/>
      <c r="BQ79" s="244" t="str">
        <f t="shared" ref="BQ79:CV79" si="378">IF(BL77&lt;=0,"nm",(BQ77-BL77)/BL77)</f>
        <v>nm</v>
      </c>
      <c r="BR79" s="244" t="str">
        <f t="shared" si="378"/>
        <v>nm</v>
      </c>
      <c r="BS79" s="244" t="str">
        <f t="shared" si="378"/>
        <v>nm</v>
      </c>
      <c r="BT79" s="244" t="str">
        <f t="shared" si="378"/>
        <v>nm</v>
      </c>
      <c r="BU79" s="243" t="str">
        <f t="shared" si="378"/>
        <v>nm</v>
      </c>
      <c r="BV79" s="244" t="str">
        <f t="shared" si="378"/>
        <v>nm</v>
      </c>
      <c r="BW79" s="244" t="str">
        <f t="shared" si="378"/>
        <v>nm</v>
      </c>
      <c r="BX79" s="244" t="str">
        <f t="shared" si="378"/>
        <v>nm</v>
      </c>
      <c r="BY79" s="244" t="str">
        <f t="shared" si="378"/>
        <v>nm</v>
      </c>
      <c r="BZ79" s="243" t="str">
        <f t="shared" si="378"/>
        <v>nm</v>
      </c>
      <c r="CA79" s="244" t="str">
        <f t="shared" si="378"/>
        <v>nm</v>
      </c>
      <c r="CB79" s="244" t="str">
        <f t="shared" si="378"/>
        <v>nm</v>
      </c>
      <c r="CC79" s="244" t="str">
        <f t="shared" si="378"/>
        <v>nm</v>
      </c>
      <c r="CD79" s="244" t="str">
        <f t="shared" si="378"/>
        <v>nm</v>
      </c>
      <c r="CE79" s="243" t="str">
        <f t="shared" si="378"/>
        <v>nm</v>
      </c>
      <c r="CF79" s="244" t="str">
        <f t="shared" si="378"/>
        <v>nm</v>
      </c>
      <c r="CG79" s="244" t="str">
        <f t="shared" si="378"/>
        <v>nm</v>
      </c>
      <c r="CH79" s="244" t="str">
        <f t="shared" si="378"/>
        <v>nm</v>
      </c>
      <c r="CI79" s="244">
        <f t="shared" si="378"/>
        <v>-3.1945288753800125</v>
      </c>
      <c r="CJ79" s="243" t="str">
        <f t="shared" si="378"/>
        <v>nm</v>
      </c>
      <c r="CK79" s="244" t="str">
        <f t="shared" si="378"/>
        <v>nm</v>
      </c>
      <c r="CL79" s="244" t="str">
        <f t="shared" si="378"/>
        <v>nm</v>
      </c>
      <c r="CM79" s="244" t="str">
        <f t="shared" si="378"/>
        <v>nm</v>
      </c>
      <c r="CN79" s="244" t="str">
        <f t="shared" si="378"/>
        <v>nm</v>
      </c>
      <c r="CO79" s="243" t="str">
        <f t="shared" si="378"/>
        <v>nm</v>
      </c>
      <c r="CP79" s="244" t="str">
        <f t="shared" si="378"/>
        <v>nm</v>
      </c>
      <c r="CQ79" s="244" t="str">
        <f t="shared" si="378"/>
        <v>nm</v>
      </c>
      <c r="CR79" s="244" t="str">
        <f t="shared" si="378"/>
        <v>nm</v>
      </c>
      <c r="CS79" s="244" t="str">
        <f t="shared" si="378"/>
        <v>nm</v>
      </c>
      <c r="CT79" s="243" t="str">
        <f t="shared" si="378"/>
        <v>nm</v>
      </c>
      <c r="CU79" s="244" t="str">
        <f t="shared" si="378"/>
        <v>nm</v>
      </c>
      <c r="CV79" s="244">
        <f t="shared" si="378"/>
        <v>6.6232500618352503</v>
      </c>
      <c r="CW79" s="244">
        <f t="shared" ref="CW79:EB79" si="379">IF(CR77&lt;=0,"nm",(CW77-CR77)/CR77)</f>
        <v>-0.86113018953398324</v>
      </c>
      <c r="CX79" s="245">
        <f t="shared" si="379"/>
        <v>-0.71905331431988395</v>
      </c>
      <c r="CY79" s="243">
        <f t="shared" si="379"/>
        <v>1.0906605581319866</v>
      </c>
      <c r="CZ79" s="244">
        <f t="shared" si="379"/>
        <v>-1.6036124989792049</v>
      </c>
      <c r="DA79" s="244">
        <f t="shared" si="379"/>
        <v>-2.1278422364117739</v>
      </c>
      <c r="DB79" s="244">
        <f t="shared" si="379"/>
        <v>-34.435862359254969</v>
      </c>
      <c r="DC79" s="244">
        <f t="shared" si="379"/>
        <v>-5.3369354618637992</v>
      </c>
      <c r="DD79" s="243">
        <f t="shared" si="379"/>
        <v>-3.1847344835513245</v>
      </c>
      <c r="DE79" s="244" t="str">
        <f t="shared" si="379"/>
        <v>nm</v>
      </c>
      <c r="DF79" s="244" t="str">
        <f t="shared" si="379"/>
        <v>nm</v>
      </c>
      <c r="DG79" s="244" t="str">
        <f t="shared" si="379"/>
        <v>nm</v>
      </c>
      <c r="DH79" s="244" t="str">
        <f t="shared" si="379"/>
        <v>nm</v>
      </c>
      <c r="DI79" s="243" t="str">
        <f t="shared" si="379"/>
        <v>nm</v>
      </c>
      <c r="DJ79" s="244" t="str">
        <f t="shared" si="379"/>
        <v>nm</v>
      </c>
      <c r="DK79" s="244" t="str">
        <f t="shared" si="379"/>
        <v>nm</v>
      </c>
      <c r="DL79" s="244">
        <f t="shared" si="379"/>
        <v>1.1555555555555554</v>
      </c>
      <c r="DM79" s="244">
        <f t="shared" si="379"/>
        <v>0.58193979933110362</v>
      </c>
      <c r="DN79" s="243" t="str">
        <f t="shared" si="379"/>
        <v>nm</v>
      </c>
      <c r="DO79" s="244">
        <f>IF(DJ77&lt;=0,"nm",(DO77-DJ77)/DJ77)</f>
        <v>1.1979166666666667</v>
      </c>
      <c r="DP79" s="244">
        <f t="shared" si="379"/>
        <v>0.19123505976095617</v>
      </c>
      <c r="DQ79" s="244">
        <f t="shared" si="379"/>
        <v>0.20618556701030927</v>
      </c>
      <c r="DR79" s="629">
        <f>IF(DM77&lt;=0,"nm",(DR77-DM77)/DM77)</f>
        <v>0.34883720930232559</v>
      </c>
      <c r="DS79" s="243">
        <f t="shared" si="379"/>
        <v>0.34923492349234925</v>
      </c>
      <c r="DT79" s="244">
        <f>IF(DO77&lt;=0,"nm",(DT77-DO77)/DO77)</f>
        <v>0.84360189573459721</v>
      </c>
      <c r="DU79" s="244">
        <f t="shared" si="379"/>
        <v>0.65551839464882944</v>
      </c>
      <c r="DV79" s="244">
        <f t="shared" si="379"/>
        <v>0.58725171066785109</v>
      </c>
      <c r="DW79" s="244">
        <f t="shared" si="379"/>
        <v>0.32605338450953564</v>
      </c>
      <c r="DX79" s="243">
        <f t="shared" si="379"/>
        <v>0.52578212792628387</v>
      </c>
      <c r="DY79" s="244">
        <f t="shared" si="379"/>
        <v>0.38564393755117399</v>
      </c>
      <c r="DZ79" s="244">
        <f t="shared" si="379"/>
        <v>0.40520735160895138</v>
      </c>
      <c r="EA79" s="244">
        <f t="shared" si="379"/>
        <v>0.38401324406326337</v>
      </c>
      <c r="EB79" s="244">
        <f t="shared" si="379"/>
        <v>0.36422881798800311</v>
      </c>
      <c r="EC79" s="243">
        <f>IF(DX77&lt;=0,"nm",(EC77-DX77)/DX77)</f>
        <v>0.38155925361877729</v>
      </c>
      <c r="ED79" s="244">
        <f t="shared" ref="ED79" si="380">IF(DY77&lt;=0,"nm",(ED77-DY77)/DY77)</f>
        <v>0.24829598299503494</v>
      </c>
      <c r="EE79" s="244">
        <f t="shared" ref="EE79" si="381">IF(DZ77&lt;=0,"nm",(EE77-DZ77)/DZ77)</f>
        <v>0.24034352554681451</v>
      </c>
      <c r="EF79" s="244">
        <f t="shared" ref="EF79" si="382">IF(EA77&lt;=0,"nm",(EF77-EA77)/EA77)</f>
        <v>0.23236472521437276</v>
      </c>
      <c r="EG79" s="244">
        <f t="shared" ref="EG79" si="383">IF(EB77&lt;=0,"nm",(EG77-EB77)/EB77)</f>
        <v>0.22862816470055555</v>
      </c>
      <c r="EH79" s="243">
        <f>IF(EC77&lt;=0,"nm",(EH77-EC77)/EC77)</f>
        <v>0.23547389675780936</v>
      </c>
      <c r="EI79" s="244">
        <f t="shared" ref="EI79" si="384">IF(ED77&lt;=0,"nm",(EI77-ED77)/ED77)</f>
        <v>0.22728149320657468</v>
      </c>
      <c r="EJ79" s="244">
        <f t="shared" ref="EJ79" si="385">IF(EE77&lt;=0,"nm",(EJ77-EE77)/EE77)</f>
        <v>0.22283336325869835</v>
      </c>
      <c r="EK79" s="244">
        <f t="shared" ref="EK79" si="386">IF(EF77&lt;=0,"nm",(EK77-EF77)/EF77)</f>
        <v>0.21924643300458505</v>
      </c>
      <c r="EL79" s="244">
        <f t="shared" ref="EL79" si="387">IF(EG77&lt;=0,"nm",(EL77-EG77)/EG77)</f>
        <v>0.21607255482960303</v>
      </c>
      <c r="EM79" s="243">
        <f>IF(EH77&lt;=0,"nm",(EM77-EH77)/EH77)</f>
        <v>0.22027114108522258</v>
      </c>
      <c r="EN79" s="244">
        <f t="shared" ref="EN79" si="388">IF(EI77&lt;=0,"nm",(EN77-EI77)/EI77)</f>
        <v>0.22110067120220339</v>
      </c>
      <c r="EO79" s="244">
        <f t="shared" ref="EO79" si="389">IF(EJ77&lt;=0,"nm",(EO77-EJ77)/EJ77)</f>
        <v>0.2156536147074202</v>
      </c>
      <c r="EP79" s="244">
        <f t="shared" ref="EP79" si="390">IF(EK77&lt;=0,"nm",(EP77-EK77)/EK77)</f>
        <v>0.21246765205326962</v>
      </c>
      <c r="EQ79" s="244">
        <f t="shared" ref="EQ79" si="391">IF(EL77&lt;=0,"nm",(EQ77-EL77)/EL77)</f>
        <v>0.20750051018502197</v>
      </c>
      <c r="ER79" s="243">
        <f>IF(EM77&lt;=0,"nm",(ER77-EM77)/EM77)</f>
        <v>0.21287165893141943</v>
      </c>
      <c r="ES79" s="244"/>
      <c r="ET79" s="133"/>
    </row>
    <row r="80" spans="1:150" ht="12" customHeight="1">
      <c r="A80" s="792"/>
      <c r="B80" s="792"/>
      <c r="C80" s="240" t="s">
        <v>130</v>
      </c>
      <c r="D80" s="241"/>
      <c r="E80" s="241"/>
      <c r="F80" s="241"/>
      <c r="G80" s="241"/>
      <c r="H80" s="241"/>
      <c r="I80" s="99"/>
      <c r="J80" s="99"/>
      <c r="K80" s="99"/>
      <c r="L80" s="99"/>
      <c r="M80" s="241"/>
      <c r="N80" s="622"/>
      <c r="O80" s="622"/>
      <c r="P80" s="622"/>
      <c r="Q80" s="622"/>
      <c r="R80" s="241"/>
      <c r="S80" s="622"/>
      <c r="T80" s="622"/>
      <c r="U80" s="622"/>
      <c r="V80" s="622"/>
      <c r="W80" s="241"/>
      <c r="X80" s="622"/>
      <c r="Y80" s="622"/>
      <c r="Z80" s="622"/>
      <c r="AA80" s="622"/>
      <c r="AB80" s="241"/>
      <c r="AC80" s="622"/>
      <c r="AD80" s="622"/>
      <c r="AE80" s="622"/>
      <c r="AF80" s="622"/>
      <c r="AG80" s="241"/>
      <c r="AH80" s="622"/>
      <c r="AI80" s="622"/>
      <c r="AJ80" s="622"/>
      <c r="AK80" s="622"/>
      <c r="AL80" s="241"/>
      <c r="AM80" s="622"/>
      <c r="AN80" s="622"/>
      <c r="AO80" s="622"/>
      <c r="AP80" s="622"/>
      <c r="AQ80" s="241"/>
      <c r="AR80" s="622"/>
      <c r="AS80" s="622"/>
      <c r="AT80" s="622"/>
      <c r="AU80" s="622"/>
      <c r="AV80" s="241"/>
      <c r="AW80" s="622"/>
      <c r="AX80" s="622"/>
      <c r="AY80" s="622"/>
      <c r="AZ80" s="622"/>
      <c r="BA80" s="241"/>
      <c r="BB80" s="622"/>
      <c r="BC80" s="622"/>
      <c r="BD80" s="622"/>
      <c r="BE80" s="622"/>
      <c r="BF80" s="241"/>
      <c r="BG80" s="622"/>
      <c r="BH80" s="622"/>
      <c r="BI80" s="622"/>
      <c r="BJ80" s="622"/>
      <c r="BK80" s="241"/>
      <c r="BL80" s="622"/>
      <c r="BM80" s="622"/>
      <c r="BN80" s="622"/>
      <c r="BO80" s="622"/>
      <c r="BP80" s="241"/>
      <c r="BQ80" s="244" t="str">
        <f>IF(BO77&lt;=0,"nm",(BQ77-BO77)/BO77)</f>
        <v>nm</v>
      </c>
      <c r="BR80" s="244" t="str">
        <f>IF(BQ77&lt;=0,"nm",(BR77-BQ77)/BQ77)</f>
        <v>nm</v>
      </c>
      <c r="BS80" s="244" t="str">
        <f>IF(BR77&lt;=0,"nm",(BS77-BR77)/BR77)</f>
        <v>nm</v>
      </c>
      <c r="BT80" s="244" t="str">
        <f>IF(BS77&lt;=0,"nm",(BT77-BS77)/BS77)</f>
        <v>nm</v>
      </c>
      <c r="BU80" s="243"/>
      <c r="BV80" s="244" t="str">
        <f>IF(BT77&lt;=0,"nm",(BV77-BT77)/BT77)</f>
        <v>nm</v>
      </c>
      <c r="BW80" s="244" t="str">
        <f>IF(BV77&lt;=0,"nm",(BW77-BV77)/BV77)</f>
        <v>nm</v>
      </c>
      <c r="BX80" s="244" t="str">
        <f>IF(BW77&lt;=0,"nm",(BX77-BW77)/BW77)</f>
        <v>nm</v>
      </c>
      <c r="BY80" s="244" t="str">
        <f>IF(BX77&lt;=0,"nm",(BY77-BX77)/BX77)</f>
        <v>nm</v>
      </c>
      <c r="BZ80" s="243"/>
      <c r="CA80" s="244" t="str">
        <f>IF(BY77&lt;=0,"nm",(CA77-BY77)/BY77)</f>
        <v>nm</v>
      </c>
      <c r="CB80" s="244" t="str">
        <f>IF(CA77&lt;=0,"nm",(CB77-CA77)/CA77)</f>
        <v>nm</v>
      </c>
      <c r="CC80" s="244" t="str">
        <f>IF(CB77&lt;=0,"nm",(CC77-CB77)/CB77)</f>
        <v>nm</v>
      </c>
      <c r="CD80" s="244" t="str">
        <f>IF(CC77&lt;=0,"nm",(CD77-CC77)/CC77)</f>
        <v>nm</v>
      </c>
      <c r="CE80" s="243"/>
      <c r="CF80" s="244">
        <f>IF(CD77&lt;=0,"nm",(CF77-CD77)/CD77)</f>
        <v>-8.7513677811551709</v>
      </c>
      <c r="CG80" s="244" t="str">
        <f>IF(CF77&lt;=0,"nm",(CG77-CF77)/CF77)</f>
        <v>nm</v>
      </c>
      <c r="CH80" s="244" t="str">
        <f>IF(CG77&lt;=0,"nm",(CH77-CG77)/CG77)</f>
        <v>nm</v>
      </c>
      <c r="CI80" s="244" t="str">
        <f>IF(CH77&lt;=0,"nm",(CI77-CH77)/CH77)</f>
        <v>nm</v>
      </c>
      <c r="CJ80" s="243"/>
      <c r="CK80" s="244" t="str">
        <f>IF(CI77&lt;=0,"nm",(CK77-CI77)/CI77)</f>
        <v>nm</v>
      </c>
      <c r="CL80" s="244" t="str">
        <f>IF(CK77&lt;=0,"nm",(CL77-CK77)/CK77)</f>
        <v>nm</v>
      </c>
      <c r="CM80" s="244" t="str">
        <f>IF(CL77&lt;=0,"nm",(CM77-CL77)/CL77)</f>
        <v>nm</v>
      </c>
      <c r="CN80" s="244" t="str">
        <f>IF(CM77&lt;=0,"nm",(CN77-CM77)/CM77)</f>
        <v>nm</v>
      </c>
      <c r="CO80" s="243"/>
      <c r="CP80" s="244" t="str">
        <f>IF(CN77&lt;=0,"nm",(CP77-CN77)/CN77)</f>
        <v>nm</v>
      </c>
      <c r="CQ80" s="244" t="str">
        <f>IF(CP77&lt;=0,"nm",(CQ77-CP77)/CP77)</f>
        <v>nm</v>
      </c>
      <c r="CR80" s="244">
        <f>IF(CQ77&lt;=0,"nm",(CR77-CQ77)/CQ77)</f>
        <v>2.3851595349987575</v>
      </c>
      <c r="CS80" s="244">
        <f>IF(CR77&lt;=0,"nm",(CS77-CR77)/CR77)</f>
        <v>0.90606596425596386</v>
      </c>
      <c r="CT80" s="243"/>
      <c r="CU80" s="244">
        <f>IF(CS77&lt;=0,"nm",(CU77-CS77)/CS77)</f>
        <v>3.2698529524510175E-2</v>
      </c>
      <c r="CV80" s="244">
        <f>IF(CU77&lt;=0,"nm",(CV77-CU77)/CU77)</f>
        <v>0.14406194552298118</v>
      </c>
      <c r="CW80" s="244">
        <f>IF(CV77&lt;=0,"nm",(CW77-CV77)/CV77)</f>
        <v>-0.93833385246327161</v>
      </c>
      <c r="CX80" s="244">
        <f>IF(CW77&lt;=0,"nm",(CX77-CW77)/CW77)</f>
        <v>2.8561506892560486</v>
      </c>
      <c r="CY80" s="243"/>
      <c r="CZ80" s="244">
        <f>IF(CX77&lt;=0,"nm",(CZ77-CX77)/CX77)</f>
        <v>-3.2187474416700605</v>
      </c>
      <c r="DA80" s="244" t="str">
        <f>IF(CZ77&lt;=0,"nm",(DA77-CZ77)/CZ77)</f>
        <v>nm</v>
      </c>
      <c r="DB80" s="244" t="str">
        <f>IF(DA77&lt;=0,"nm",(DB77-DA77)/DA77)</f>
        <v>nm</v>
      </c>
      <c r="DC80" s="244" t="str">
        <f>IF(DB77&lt;=0,"nm",(DC77-DB77)/DB77)</f>
        <v>nm</v>
      </c>
      <c r="DD80" s="243"/>
      <c r="DE80" s="244" t="str">
        <f>IF(DC77&lt;=0,"nm",(DE77-DC77)/DC77)</f>
        <v>nm</v>
      </c>
      <c r="DF80" s="244" t="str">
        <f>IF(DE77&lt;=0,"nm",(DF77-DE77)/DE77)</f>
        <v>nm</v>
      </c>
      <c r="DG80" s="244" t="str">
        <f>IF(DF77&lt;=0,"nm",(DG77-DF77)/DF77)</f>
        <v>nm</v>
      </c>
      <c r="DH80" s="244">
        <f>IF(DG77&lt;=0,"nm",(DH77-DG77)/DG77)</f>
        <v>1.2148148148148148</v>
      </c>
      <c r="DI80" s="243"/>
      <c r="DJ80" s="244">
        <f>IF(DH77&lt;=0,"nm",(DJ77-DH77)/DH77)</f>
        <v>-0.67892976588628762</v>
      </c>
      <c r="DK80" s="244">
        <f>IF(DJ77&lt;=0,"nm",(DK77-DJ77)/DJ77)</f>
        <v>1.6145833333333333</v>
      </c>
      <c r="DL80" s="244">
        <f>IF(DK77&lt;=0,"nm",(DL77-DK77)/DK77)</f>
        <v>0.15936254980079681</v>
      </c>
      <c r="DM80" s="244">
        <f>IF(DL77&lt;=0,"nm",(DM77-DL77)/DL77)</f>
        <v>0.62542955326460481</v>
      </c>
      <c r="DN80" s="243"/>
      <c r="DO80" s="244">
        <f>IF(DM77&lt;=0,"nm",(DO77-DM77)/DM77)</f>
        <v>-0.55391120507399583</v>
      </c>
      <c r="DP80" s="244">
        <f>IF(DO77&lt;=0,"nm",(DP77-DO77)/DO77)</f>
        <v>0.41706161137440756</v>
      </c>
      <c r="DQ80" s="244">
        <f>IF(DP77&lt;=0,"nm",(DQ77-DP77)/DP77)</f>
        <v>0.17391304347826086</v>
      </c>
      <c r="DR80" s="629">
        <f>IF(DQ77&lt;=0,"nm",(DR77-DQ77)/DQ77)</f>
        <v>0.81766381766381768</v>
      </c>
      <c r="DS80" s="243"/>
      <c r="DT80" s="244">
        <f>IF(DR77&lt;=0,"nm",(DT77-DR77)/DR77)</f>
        <v>-0.39028213166144199</v>
      </c>
      <c r="DU80" s="244">
        <f>IF(DT77&lt;=0,"nm",(DU77-DT77)/DT77)</f>
        <v>0.27249357326478146</v>
      </c>
      <c r="DV80" s="244">
        <f>IF(DU77&lt;=0,"nm",(DV77-DU77)/DU77)</f>
        <v>0.12550575847356715</v>
      </c>
      <c r="DW80" s="244">
        <f>IF(DV77&lt;=0,"nm",(DW77-DV77)/DV77)</f>
        <v>0.5185488483735603</v>
      </c>
      <c r="DX80" s="243"/>
      <c r="DY80" s="244">
        <f>IF(DW77&lt;=0,"nm",(DY77-DW77)/DW77)</f>
        <v>-0.36288246178532907</v>
      </c>
      <c r="DZ80" s="244">
        <f>IF(DY77&lt;=0,"nm",(DZ77-DY77)/DY77)</f>
        <v>0.29045945756232688</v>
      </c>
      <c r="EA80" s="244">
        <f>IF(DZ77&lt;=0,"nm",(EA77-DZ77)/DZ77)</f>
        <v>0.10853026367483358</v>
      </c>
      <c r="EB80" s="244">
        <f>IF(EA77&lt;=0,"nm",(EB77-EA77)/EA77)</f>
        <v>0.49684124003874802</v>
      </c>
      <c r="EC80" s="243"/>
      <c r="ED80" s="244">
        <f>IF(EB77&lt;=0,"nm",(ED77-EB77)/EB77)</f>
        <v>-0.41702502310279355</v>
      </c>
      <c r="EE80" s="244">
        <f>IF(ED77&lt;=0,"nm",(EE77-ED77)/ED77)</f>
        <v>0.28223839135309692</v>
      </c>
      <c r="EF80" s="244">
        <f>IF(EE77&lt;=0,"nm",(EF77-EE77)/EE77)</f>
        <v>0.10139938303236701</v>
      </c>
      <c r="EG80" s="244">
        <f>IF(EF77&lt;=0,"nm",(EG77-EF77)/EF77)</f>
        <v>0.49230278015057732</v>
      </c>
      <c r="EH80" s="243"/>
      <c r="EI80" s="244">
        <f>IF(EG77&lt;=0,"nm",(EI77-EG77)/EG77)</f>
        <v>-0.41766400876635512</v>
      </c>
      <c r="EJ80" s="244">
        <f>IF(EI77&lt;=0,"nm",(EJ77-EI77)/EI77)</f>
        <v>0.2775910769264836</v>
      </c>
      <c r="EK80" s="244">
        <f>IF(EJ77&lt;=0,"nm",(EK77-EJ77)/EJ77)</f>
        <v>9.8168654392176369E-2</v>
      </c>
      <c r="EL80" s="244">
        <f>IF(EK77&lt;=0,"nm",(EL77-EK77)/EK77)</f>
        <v>0.48841809605704828</v>
      </c>
      <c r="EM80" s="243"/>
      <c r="EN80" s="244">
        <f>IF(EL77&lt;=0,"nm",(EN77-EL77)/EL77)</f>
        <v>-0.41525621400094609</v>
      </c>
      <c r="EO80" s="244">
        <f>IF(EN77&lt;=0,"nm",(EO77-EN77)/EN77)</f>
        <v>0.27189202938898771</v>
      </c>
      <c r="EP80" s="244">
        <f>IF(EO77&lt;=0,"nm",(EP77-EO77)/EO77)</f>
        <v>9.5290594163075407E-2</v>
      </c>
      <c r="EQ80" s="244">
        <f>IF(EP77&lt;=0,"nm",(EQ77-EP77)/EP77)</f>
        <v>0.48232046216977525</v>
      </c>
      <c r="ER80" s="243"/>
      <c r="ES80" s="244"/>
    </row>
    <row r="81" spans="1:150" s="253" customFormat="1">
      <c r="A81" s="792"/>
      <c r="B81" s="792"/>
      <c r="C81" s="328" t="s">
        <v>27</v>
      </c>
      <c r="D81" s="296"/>
      <c r="E81" s="296"/>
      <c r="F81" s="296"/>
      <c r="G81" s="296"/>
      <c r="H81" s="296"/>
      <c r="I81" s="256"/>
      <c r="J81" s="256"/>
      <c r="K81" s="256"/>
      <c r="L81" s="256"/>
      <c r="M81" s="296"/>
      <c r="N81" s="256"/>
      <c r="O81" s="256"/>
      <c r="P81" s="256"/>
      <c r="Q81" s="256"/>
      <c r="R81" s="296"/>
      <c r="S81" s="256"/>
      <c r="T81" s="256"/>
      <c r="U81" s="256"/>
      <c r="V81" s="256"/>
      <c r="W81" s="296"/>
      <c r="X81" s="256"/>
      <c r="Y81" s="256"/>
      <c r="Z81" s="256"/>
      <c r="AA81" s="256"/>
      <c r="AB81" s="296"/>
      <c r="AC81" s="256"/>
      <c r="AD81" s="256"/>
      <c r="AE81" s="256"/>
      <c r="AF81" s="256"/>
      <c r="AG81" s="296"/>
      <c r="AH81" s="256"/>
      <c r="AI81" s="256"/>
      <c r="AJ81" s="256"/>
      <c r="AK81" s="256"/>
      <c r="AL81" s="296"/>
      <c r="AM81" s="256"/>
      <c r="AN81" s="256"/>
      <c r="AO81" s="256"/>
      <c r="AP81" s="256"/>
      <c r="AQ81" s="296"/>
      <c r="AR81" s="256"/>
      <c r="AS81" s="256"/>
      <c r="AT81" s="256"/>
      <c r="AU81" s="256"/>
      <c r="AV81" s="296"/>
      <c r="AW81" s="256"/>
      <c r="AX81" s="256"/>
      <c r="AY81" s="256"/>
      <c r="AZ81" s="256"/>
      <c r="BA81" s="296"/>
      <c r="BB81" s="256"/>
      <c r="BC81" s="256"/>
      <c r="BD81" s="256"/>
      <c r="BE81" s="256"/>
      <c r="BF81" s="296"/>
      <c r="BG81" s="625"/>
      <c r="BH81" s="256"/>
      <c r="BI81" s="256"/>
      <c r="BJ81" s="256"/>
      <c r="BK81" s="296"/>
      <c r="BL81" s="256"/>
      <c r="BM81" s="256"/>
      <c r="BN81" s="256"/>
      <c r="BO81" s="256"/>
      <c r="BP81" s="296"/>
      <c r="BQ81" s="329"/>
      <c r="BR81" s="329"/>
      <c r="BS81" s="329"/>
      <c r="BT81" s="329"/>
      <c r="BU81" s="257"/>
      <c r="BV81" s="329"/>
      <c r="BW81" s="329"/>
      <c r="BX81" s="329"/>
      <c r="BY81" s="329"/>
      <c r="BZ81" s="257"/>
      <c r="CA81" s="329"/>
      <c r="CB81" s="329"/>
      <c r="CC81" s="329"/>
      <c r="CD81" s="329"/>
      <c r="CE81" s="257"/>
      <c r="CF81" s="329"/>
      <c r="CG81" s="329"/>
      <c r="CH81" s="329"/>
      <c r="CI81" s="329"/>
      <c r="CJ81" s="257"/>
      <c r="CK81" s="329"/>
      <c r="CL81" s="329"/>
      <c r="CM81" s="329"/>
      <c r="CN81" s="329"/>
      <c r="CO81" s="257"/>
      <c r="CP81" s="329"/>
      <c r="CQ81" s="329"/>
      <c r="CR81" s="329"/>
      <c r="CS81" s="329"/>
      <c r="CT81" s="257"/>
      <c r="CU81" s="329"/>
      <c r="CV81" s="329"/>
      <c r="CW81" s="329"/>
      <c r="CX81" s="120"/>
      <c r="CY81" s="257"/>
      <c r="CZ81" s="329"/>
      <c r="DA81" s="329"/>
      <c r="DB81" s="329"/>
      <c r="DC81" s="329"/>
      <c r="DD81" s="257"/>
      <c r="DE81" s="329"/>
      <c r="DF81" s="329"/>
      <c r="DG81" s="329"/>
      <c r="DH81" s="120"/>
      <c r="DI81" s="257"/>
      <c r="DJ81" s="120"/>
      <c r="DK81" s="120"/>
      <c r="DL81" s="120"/>
      <c r="DM81" s="120"/>
      <c r="DN81" s="257"/>
      <c r="DO81" s="120"/>
      <c r="DP81" s="120"/>
      <c r="DQ81" s="120"/>
      <c r="DR81" s="120"/>
      <c r="DS81" s="257"/>
      <c r="DT81" s="120"/>
      <c r="DU81" s="120"/>
      <c r="DV81" s="120"/>
      <c r="DW81" s="120"/>
      <c r="DX81" s="257"/>
      <c r="DY81" s="120"/>
      <c r="DZ81" s="120"/>
      <c r="EA81" s="120"/>
      <c r="EB81" s="120"/>
      <c r="EC81" s="257"/>
      <c r="ED81" s="120"/>
      <c r="EE81" s="120"/>
      <c r="EF81" s="120"/>
      <c r="EG81" s="120"/>
      <c r="EH81" s="257"/>
      <c r="EI81" s="120"/>
      <c r="EJ81" s="120"/>
      <c r="EK81" s="120"/>
      <c r="EL81" s="120"/>
      <c r="EM81" s="257"/>
      <c r="EN81" s="120"/>
      <c r="EO81" s="120"/>
      <c r="EP81" s="120"/>
      <c r="EQ81" s="120"/>
      <c r="ER81" s="257"/>
      <c r="ES81" s="417"/>
      <c r="ET81" s="133"/>
    </row>
    <row r="82" spans="1:150" s="253" customFormat="1">
      <c r="A82" s="792"/>
      <c r="B82" s="792"/>
      <c r="C82" s="265" t="s">
        <v>143</v>
      </c>
      <c r="D82" s="296"/>
      <c r="E82" s="296"/>
      <c r="F82" s="296"/>
      <c r="G82" s="296"/>
      <c r="H82" s="296"/>
      <c r="I82" s="256"/>
      <c r="J82" s="256"/>
      <c r="K82" s="256"/>
      <c r="L82" s="256"/>
      <c r="M82" s="296"/>
      <c r="N82" s="256"/>
      <c r="O82" s="256"/>
      <c r="P82" s="256"/>
      <c r="Q82" s="256"/>
      <c r="R82" s="296"/>
      <c r="S82" s="256"/>
      <c r="T82" s="256"/>
      <c r="U82" s="256"/>
      <c r="V82" s="256"/>
      <c r="W82" s="296"/>
      <c r="X82" s="256"/>
      <c r="Y82" s="256"/>
      <c r="Z82" s="256"/>
      <c r="AA82" s="256"/>
      <c r="AB82" s="296"/>
      <c r="AC82" s="256"/>
      <c r="AD82" s="256"/>
      <c r="AE82" s="256"/>
      <c r="AF82" s="256"/>
      <c r="AG82" s="296"/>
      <c r="AH82" s="256"/>
      <c r="AI82" s="256"/>
      <c r="AJ82" s="256"/>
      <c r="AK82" s="256"/>
      <c r="AL82" s="296"/>
      <c r="AM82" s="256"/>
      <c r="AN82" s="256"/>
      <c r="AO82" s="256"/>
      <c r="AP82" s="256"/>
      <c r="AQ82" s="296"/>
      <c r="AR82" s="256"/>
      <c r="AS82" s="256"/>
      <c r="AT82" s="256"/>
      <c r="AU82" s="256"/>
      <c r="AV82" s="296"/>
      <c r="AW82" s="256"/>
      <c r="AX82" s="256"/>
      <c r="AY82" s="256"/>
      <c r="AZ82" s="256"/>
      <c r="BA82" s="296"/>
      <c r="BB82" s="256"/>
      <c r="BC82" s="256"/>
      <c r="BD82" s="256"/>
      <c r="BE82" s="256"/>
      <c r="BF82" s="296"/>
      <c r="BG82" s="330"/>
      <c r="BH82" s="330"/>
      <c r="BI82" s="330"/>
      <c r="BJ82" s="330"/>
      <c r="BK82" s="296"/>
      <c r="BL82" s="330"/>
      <c r="BM82" s="330"/>
      <c r="BN82" s="330"/>
      <c r="BO82" s="256"/>
      <c r="BP82" s="296"/>
      <c r="BQ82" s="239">
        <v>5.8999999999999997E-2</v>
      </c>
      <c r="BR82" s="239">
        <v>7.1999999999999995E-2</v>
      </c>
      <c r="BS82" s="239">
        <v>6.7000000000000004E-2</v>
      </c>
      <c r="BT82" s="239">
        <v>8.4000000000000005E-2</v>
      </c>
      <c r="BU82" s="257">
        <f>SUM(BQ82:BT82)</f>
        <v>0.28200000000000003</v>
      </c>
      <c r="BV82" s="239">
        <v>0.105</v>
      </c>
      <c r="BW82" s="239">
        <v>0.129</v>
      </c>
      <c r="BX82" s="239">
        <v>0.188</v>
      </c>
      <c r="BY82" s="239">
        <v>0.20599999999999999</v>
      </c>
      <c r="BZ82" s="257">
        <f>SUM(BV82:BY82)</f>
        <v>0.628</v>
      </c>
      <c r="CA82" s="239">
        <v>0.214</v>
      </c>
      <c r="CB82" s="239">
        <v>0.26100000000000001</v>
      </c>
      <c r="CC82" s="239">
        <v>0.318</v>
      </c>
      <c r="CD82" s="239">
        <v>0.309</v>
      </c>
      <c r="CE82" s="257">
        <f>SUM(CA82:CD82)</f>
        <v>1.1019999999999999</v>
      </c>
      <c r="CF82" s="239">
        <v>0.42599999999999999</v>
      </c>
      <c r="CG82" s="239">
        <v>0.58399999999999996</v>
      </c>
      <c r="CH82" s="239">
        <v>0.61799999999999999</v>
      </c>
      <c r="CI82" s="239">
        <v>0.60399999999999998</v>
      </c>
      <c r="CJ82" s="257">
        <f>SUM(CF82:CI82)</f>
        <v>2.2320000000000002</v>
      </c>
      <c r="CK82" s="239">
        <v>0.71399999999999997</v>
      </c>
      <c r="CL82" s="239">
        <v>0.89400000000000002</v>
      </c>
      <c r="CM82" s="239">
        <v>0.92800000000000005</v>
      </c>
      <c r="CN82" s="239">
        <v>1.036</v>
      </c>
      <c r="CO82" s="257">
        <f>SUM(CK82:CN82)</f>
        <v>3.5720000000000001</v>
      </c>
      <c r="CP82" s="239">
        <v>1.1479999999999999</v>
      </c>
      <c r="CQ82" s="239">
        <v>1.1879999999999999</v>
      </c>
      <c r="CR82" s="239">
        <v>2.6669999999999998</v>
      </c>
      <c r="CS82" s="239">
        <v>1.48</v>
      </c>
      <c r="CT82" s="257">
        <f>SUM(CP82:CS82)</f>
        <v>6.4830000000000005</v>
      </c>
      <c r="CU82" s="239">
        <v>1.5149999999999999</v>
      </c>
      <c r="CV82" s="239">
        <v>1.637</v>
      </c>
      <c r="CW82" s="239">
        <v>1.6990000000000001</v>
      </c>
      <c r="CX82" s="239">
        <v>1.825</v>
      </c>
      <c r="CY82" s="257">
        <f>SUM(CU82:CX82)</f>
        <v>6.6760000000000002</v>
      </c>
      <c r="CZ82" s="239">
        <v>2.0670000000000002</v>
      </c>
      <c r="DA82" s="239">
        <v>2.359</v>
      </c>
      <c r="DB82" s="239">
        <v>2.2599999999999998</v>
      </c>
      <c r="DC82" s="239">
        <v>1.905</v>
      </c>
      <c r="DD82" s="257">
        <f>SUM(CZ82:DC82)</f>
        <v>8.5909999999999993</v>
      </c>
      <c r="DE82" s="239">
        <v>2</v>
      </c>
      <c r="DF82" s="239">
        <v>1</v>
      </c>
      <c r="DG82" s="239">
        <v>0</v>
      </c>
      <c r="DH82" s="160">
        <f>+DH96-DH89</f>
        <v>1</v>
      </c>
      <c r="DI82" s="257">
        <f>+SUM(DE82:DH82)</f>
        <v>4</v>
      </c>
      <c r="DJ82" s="239">
        <v>1</v>
      </c>
      <c r="DK82" s="239">
        <v>3</v>
      </c>
      <c r="DL82" s="239">
        <v>0</v>
      </c>
      <c r="DM82" s="160">
        <f ca="1">+DM96-DM89</f>
        <v>0</v>
      </c>
      <c r="DN82" s="257">
        <f ca="1">+SUM(DJ82:DM82)</f>
        <v>4</v>
      </c>
      <c r="DO82" s="239">
        <v>1</v>
      </c>
      <c r="DP82" s="239">
        <v>1</v>
      </c>
      <c r="DQ82" s="239">
        <v>1</v>
      </c>
      <c r="DR82" s="120">
        <f>+DS82-DQ82-DP82-DO82</f>
        <v>1</v>
      </c>
      <c r="DS82" s="319">
        <v>4</v>
      </c>
      <c r="DT82" s="239">
        <v>1</v>
      </c>
      <c r="DU82" s="239">
        <v>2</v>
      </c>
      <c r="DV82" s="120">
        <f t="shared" ref="DV82:DW85" si="392">DV$10*DV137</f>
        <v>1.3041222141498552</v>
      </c>
      <c r="DW82" s="120">
        <f t="shared" si="392"/>
        <v>1.2935081554268792</v>
      </c>
      <c r="DX82" s="257">
        <f>SUM(DT82:DW82)</f>
        <v>5.5976303695767342</v>
      </c>
      <c r="DY82" s="120">
        <f t="shared" ref="DY82:EB85" si="393">DY$10*DY137</f>
        <v>1.2729090110212937</v>
      </c>
      <c r="DZ82" s="120">
        <f t="shared" si="393"/>
        <v>2.5351633587571314</v>
      </c>
      <c r="EA82" s="120">
        <f t="shared" si="393"/>
        <v>1.63209419867462</v>
      </c>
      <c r="EB82" s="120">
        <f t="shared" si="393"/>
        <v>1.6110394821379768</v>
      </c>
      <c r="EC82" s="257">
        <f>SUM(DY82:EB82)</f>
        <v>7.0512060505910217</v>
      </c>
      <c r="ED82" s="120">
        <f t="shared" ref="ED82:EG82" si="394">ED$10*ED137</f>
        <v>1.5385193026847921</v>
      </c>
      <c r="EE82" s="120">
        <f t="shared" si="394"/>
        <v>3.0617071608894255</v>
      </c>
      <c r="EF82" s="120">
        <f t="shared" si="394"/>
        <v>1.9686020802989692</v>
      </c>
      <c r="EG82" s="120">
        <f t="shared" si="394"/>
        <v>1.9434785796073333</v>
      </c>
      <c r="EH82" s="257">
        <f>SUM(ED82:EG82)</f>
        <v>8.5123071234805199</v>
      </c>
      <c r="EI82" s="120">
        <f t="shared" ref="EI82:EL82" si="395">EI$10*EI137</f>
        <v>1.8232980494761226</v>
      </c>
      <c r="EJ82" s="120">
        <f t="shared" si="395"/>
        <v>3.6290022258555057</v>
      </c>
      <c r="EK82" s="120">
        <f t="shared" si="395"/>
        <v>2.3332218167069096</v>
      </c>
      <c r="EL82" s="120">
        <f t="shared" si="395"/>
        <v>2.3046275722172589</v>
      </c>
      <c r="EM82" s="257">
        <f>SUM(EI82:EL82)</f>
        <v>10.090149664255797</v>
      </c>
      <c r="EN82" s="120">
        <f t="shared" ref="EN82:EQ82" si="396">EN$10*EN137</f>
        <v>2.1389411056964738</v>
      </c>
      <c r="EO82" s="120">
        <f t="shared" si="396"/>
        <v>4.2573257925883157</v>
      </c>
      <c r="EP82" s="120">
        <f t="shared" si="396"/>
        <v>2.7373686713271428</v>
      </c>
      <c r="EQ82" s="120">
        <f t="shared" si="396"/>
        <v>2.7040560723007863</v>
      </c>
      <c r="ER82" s="257">
        <f>SUM(EN82:EQ82)</f>
        <v>11.83769164191272</v>
      </c>
      <c r="ES82" s="417"/>
      <c r="ET82" s="133"/>
    </row>
    <row r="83" spans="1:150" s="253" customFormat="1">
      <c r="A83" s="792"/>
      <c r="B83" s="792"/>
      <c r="C83" s="265" t="s">
        <v>141</v>
      </c>
      <c r="D83" s="296"/>
      <c r="E83" s="296"/>
      <c r="F83" s="296"/>
      <c r="G83" s="296"/>
      <c r="H83" s="296"/>
      <c r="I83" s="256"/>
      <c r="J83" s="256"/>
      <c r="K83" s="256"/>
      <c r="L83" s="256"/>
      <c r="M83" s="296"/>
      <c r="N83" s="256"/>
      <c r="O83" s="256"/>
      <c r="P83" s="256"/>
      <c r="Q83" s="256"/>
      <c r="R83" s="296"/>
      <c r="S83" s="256"/>
      <c r="T83" s="256"/>
      <c r="U83" s="256"/>
      <c r="V83" s="256"/>
      <c r="W83" s="296"/>
      <c r="X83" s="256"/>
      <c r="Y83" s="256"/>
      <c r="Z83" s="256"/>
      <c r="AA83" s="256"/>
      <c r="AB83" s="296"/>
      <c r="AC83" s="256"/>
      <c r="AD83" s="256"/>
      <c r="AE83" s="256"/>
      <c r="AF83" s="256"/>
      <c r="AG83" s="296"/>
      <c r="AH83" s="256"/>
      <c r="AI83" s="256"/>
      <c r="AJ83" s="256"/>
      <c r="AK83" s="256"/>
      <c r="AL83" s="296"/>
      <c r="AM83" s="256"/>
      <c r="AN83" s="256"/>
      <c r="AO83" s="256"/>
      <c r="AP83" s="256"/>
      <c r="AQ83" s="296"/>
      <c r="AR83" s="256"/>
      <c r="AS83" s="256"/>
      <c r="AT83" s="256"/>
      <c r="AU83" s="256"/>
      <c r="AV83" s="296"/>
      <c r="AW83" s="256"/>
      <c r="AX83" s="256"/>
      <c r="AY83" s="256"/>
      <c r="AZ83" s="256"/>
      <c r="BA83" s="296"/>
      <c r="BB83" s="256"/>
      <c r="BC83" s="256"/>
      <c r="BD83" s="256"/>
      <c r="BE83" s="256"/>
      <c r="BF83" s="296"/>
      <c r="BG83" s="330"/>
      <c r="BH83" s="330"/>
      <c r="BI83" s="330"/>
      <c r="BJ83" s="330"/>
      <c r="BK83" s="296"/>
      <c r="BL83" s="330"/>
      <c r="BM83" s="330"/>
      <c r="BN83" s="330"/>
      <c r="BO83" s="256"/>
      <c r="BP83" s="296"/>
      <c r="BQ83" s="239">
        <v>0.17399999999999999</v>
      </c>
      <c r="BR83" s="239">
        <v>0.182</v>
      </c>
      <c r="BS83" s="239">
        <v>0.32500000000000001</v>
      </c>
      <c r="BT83" s="239">
        <v>0.41799999999999998</v>
      </c>
      <c r="BU83" s="257">
        <f>SUM(BQ83:BT83)</f>
        <v>1.099</v>
      </c>
      <c r="BV83" s="239">
        <v>0.56399999999999995</v>
      </c>
      <c r="BW83" s="239">
        <v>0.94199999999999995</v>
      </c>
      <c r="BX83" s="239">
        <v>1.145</v>
      </c>
      <c r="BY83" s="239">
        <v>1.3</v>
      </c>
      <c r="BZ83" s="257">
        <f>SUM(BV83:BY83)</f>
        <v>3.9509999999999996</v>
      </c>
      <c r="CA83" s="239">
        <v>1.4810000000000001</v>
      </c>
      <c r="CB83" s="239">
        <v>2.004</v>
      </c>
      <c r="CC83" s="239">
        <v>2.5649999999999999</v>
      </c>
      <c r="CD83" s="239">
        <v>2.9359999999999999</v>
      </c>
      <c r="CE83" s="257">
        <f>SUM(CA83:CD83)</f>
        <v>8.9860000000000007</v>
      </c>
      <c r="CF83" s="239">
        <v>4.0380000000000003</v>
      </c>
      <c r="CG83" s="239">
        <v>5.7220000000000004</v>
      </c>
      <c r="CH83" s="239">
        <v>6.0149999999999997</v>
      </c>
      <c r="CI83" s="239">
        <v>6.1529999999999996</v>
      </c>
      <c r="CJ83" s="257">
        <f>SUM(CF83:CI83)</f>
        <v>21.928000000000001</v>
      </c>
      <c r="CK83" s="239">
        <v>6.835</v>
      </c>
      <c r="CL83" s="239">
        <v>8.4090000000000007</v>
      </c>
      <c r="CM83" s="239">
        <v>8.7070000000000007</v>
      </c>
      <c r="CN83" s="239">
        <v>9.9659999999999993</v>
      </c>
      <c r="CO83" s="257">
        <f>SUM(CK83:CN83)</f>
        <v>33.917000000000002</v>
      </c>
      <c r="CP83" s="239">
        <v>11.207000000000001</v>
      </c>
      <c r="CQ83" s="239">
        <v>10.613</v>
      </c>
      <c r="CR83" s="239">
        <v>10.093999999999999</v>
      </c>
      <c r="CS83" s="239">
        <v>8.766</v>
      </c>
      <c r="CT83" s="257">
        <f>SUM(CP83:CS83)</f>
        <v>40.68</v>
      </c>
      <c r="CU83" s="239">
        <v>8.8529999999999998</v>
      </c>
      <c r="CV83" s="239">
        <v>9.6709999999999994</v>
      </c>
      <c r="CW83" s="239">
        <v>10.329000000000001</v>
      </c>
      <c r="CX83" s="239">
        <v>12.6983</v>
      </c>
      <c r="CY83" s="257">
        <f>SUM(CU83:CX83)</f>
        <v>41.551299999999998</v>
      </c>
      <c r="CZ83" s="239">
        <v>14.723000000000001</v>
      </c>
      <c r="DA83" s="239">
        <v>17.172999999999998</v>
      </c>
      <c r="DB83" s="239">
        <v>16.771999999999998</v>
      </c>
      <c r="DC83" s="239">
        <v>14.587</v>
      </c>
      <c r="DD83" s="257">
        <f>SUM(CZ83:DC83)</f>
        <v>63.254999999999995</v>
      </c>
      <c r="DE83" s="239">
        <v>14</v>
      </c>
      <c r="DF83" s="239">
        <v>13</v>
      </c>
      <c r="DG83" s="239">
        <v>16</v>
      </c>
      <c r="DH83" s="160">
        <f t="shared" ref="DH83:DH85" si="397">+DH97-DH90</f>
        <v>13</v>
      </c>
      <c r="DI83" s="257">
        <f t="shared" ref="DI83:DI85" si="398">+SUM(DE83:DH83)</f>
        <v>56</v>
      </c>
      <c r="DJ83" s="239">
        <v>11</v>
      </c>
      <c r="DK83" s="239">
        <v>10</v>
      </c>
      <c r="DL83" s="239">
        <v>14</v>
      </c>
      <c r="DM83" s="160">
        <v>13</v>
      </c>
      <c r="DN83" s="257">
        <f t="shared" ref="DN83:DN85" si="399">+SUM(DJ83:DM83)</f>
        <v>48</v>
      </c>
      <c r="DO83" s="239">
        <v>12</v>
      </c>
      <c r="DP83" s="239">
        <v>11</v>
      </c>
      <c r="DQ83" s="239">
        <v>12</v>
      </c>
      <c r="DR83" s="120">
        <f>+DS83-DQ83-DP83-DO83</f>
        <v>9</v>
      </c>
      <c r="DS83" s="319">
        <v>44</v>
      </c>
      <c r="DT83" s="239">
        <v>10</v>
      </c>
      <c r="DU83" s="239">
        <v>9</v>
      </c>
      <c r="DV83" s="120">
        <f t="shared" si="392"/>
        <v>10.384986015718125</v>
      </c>
      <c r="DW83" s="120">
        <f t="shared" si="392"/>
        <v>13.299333450836999</v>
      </c>
      <c r="DX83" s="257">
        <f>SUM(DT83:DW83)</f>
        <v>42.684319466555124</v>
      </c>
      <c r="DY83" s="120">
        <f t="shared" si="393"/>
        <v>7.68518815404106</v>
      </c>
      <c r="DZ83" s="120">
        <f t="shared" si="393"/>
        <v>5.7310536678903388</v>
      </c>
      <c r="EA83" s="120">
        <f t="shared" si="393"/>
        <v>7.1945976465974599</v>
      </c>
      <c r="EB83" s="120">
        <f t="shared" si="393"/>
        <v>9.1693923165365074</v>
      </c>
      <c r="EC83" s="257">
        <f>SUM(DY83:EB83)</f>
        <v>29.780231785065368</v>
      </c>
      <c r="ED83" s="120">
        <f t="shared" ref="ED83:EG83" si="400">ED$10*ED138</f>
        <v>7.3156592842661858</v>
      </c>
      <c r="EE83" s="120">
        <f t="shared" si="400"/>
        <v>8.2275725681001077</v>
      </c>
      <c r="EF83" s="120">
        <f t="shared" si="400"/>
        <v>8.3980564745554034</v>
      </c>
      <c r="EG83" s="120">
        <f t="shared" si="400"/>
        <v>10.704680016477191</v>
      </c>
      <c r="EH83" s="257">
        <f>SUM(ED83:EG83)</f>
        <v>34.645968343398891</v>
      </c>
      <c r="EI83" s="120">
        <f t="shared" ref="EI83:EL83" si="401">EI$10*EI138</f>
        <v>8.6697822252589631</v>
      </c>
      <c r="EJ83" s="120">
        <f t="shared" si="401"/>
        <v>9.7520362314302069</v>
      </c>
      <c r="EK83" s="120">
        <f t="shared" si="401"/>
        <v>9.9535242700716768</v>
      </c>
      <c r="EL83" s="120">
        <f t="shared" si="401"/>
        <v>12.693888667772661</v>
      </c>
      <c r="EM83" s="257">
        <f>SUM(EI83:EL83)</f>
        <v>41.06923139453351</v>
      </c>
      <c r="EN83" s="120">
        <f t="shared" ref="EN83:EQ83" si="402">EN$10*EN138</f>
        <v>10.170664957586732</v>
      </c>
      <c r="EO83" s="120">
        <f t="shared" si="402"/>
        <v>11.44049873613295</v>
      </c>
      <c r="EP83" s="120">
        <f t="shared" si="402"/>
        <v>11.677614751881592</v>
      </c>
      <c r="EQ83" s="120">
        <f t="shared" si="402"/>
        <v>14.893940846232729</v>
      </c>
      <c r="ER83" s="257">
        <f>SUM(EN83:EQ83)</f>
        <v>48.182719291834005</v>
      </c>
      <c r="ES83" s="417"/>
      <c r="ET83" s="133"/>
    </row>
    <row r="84" spans="1:150" s="253" customFormat="1">
      <c r="A84" s="792"/>
      <c r="B84" s="792"/>
      <c r="C84" s="265" t="s">
        <v>222</v>
      </c>
      <c r="D84" s="296"/>
      <c r="E84" s="296"/>
      <c r="F84" s="296"/>
      <c r="G84" s="296"/>
      <c r="H84" s="296"/>
      <c r="I84" s="256"/>
      <c r="J84" s="256"/>
      <c r="K84" s="256"/>
      <c r="L84" s="256"/>
      <c r="M84" s="296"/>
      <c r="N84" s="256"/>
      <c r="O84" s="256"/>
      <c r="P84" s="256"/>
      <c r="Q84" s="256"/>
      <c r="R84" s="296"/>
      <c r="S84" s="256"/>
      <c r="T84" s="256"/>
      <c r="U84" s="256"/>
      <c r="V84" s="256"/>
      <c r="W84" s="296"/>
      <c r="X84" s="256"/>
      <c r="Y84" s="256"/>
      <c r="Z84" s="256"/>
      <c r="AA84" s="256"/>
      <c r="AB84" s="296"/>
      <c r="AC84" s="256"/>
      <c r="AD84" s="256"/>
      <c r="AE84" s="256"/>
      <c r="AF84" s="256"/>
      <c r="AG84" s="296"/>
      <c r="AH84" s="256"/>
      <c r="AI84" s="256"/>
      <c r="AJ84" s="256"/>
      <c r="AK84" s="256"/>
      <c r="AL84" s="296"/>
      <c r="AM84" s="256"/>
      <c r="AN84" s="256"/>
      <c r="AO84" s="256"/>
      <c r="AP84" s="256"/>
      <c r="AQ84" s="296"/>
      <c r="AR84" s="256"/>
      <c r="AS84" s="256"/>
      <c r="AT84" s="256"/>
      <c r="AU84" s="256"/>
      <c r="AV84" s="296"/>
      <c r="AW84" s="256"/>
      <c r="AX84" s="256"/>
      <c r="AY84" s="256"/>
      <c r="AZ84" s="256"/>
      <c r="BA84" s="296"/>
      <c r="BB84" s="256"/>
      <c r="BC84" s="256"/>
      <c r="BD84" s="256"/>
      <c r="BE84" s="256"/>
      <c r="BF84" s="296"/>
      <c r="BG84" s="330"/>
      <c r="BH84" s="330"/>
      <c r="BI84" s="330"/>
      <c r="BJ84" s="330"/>
      <c r="BK84" s="296"/>
      <c r="BL84" s="330"/>
      <c r="BM84" s="330"/>
      <c r="BN84" s="330"/>
      <c r="BO84" s="256"/>
      <c r="BP84" s="296"/>
      <c r="BQ84" s="239">
        <v>0.77900000000000003</v>
      </c>
      <c r="BR84" s="239">
        <v>0.82599999999999996</v>
      </c>
      <c r="BS84" s="239">
        <v>1.248</v>
      </c>
      <c r="BT84" s="239">
        <v>1.6559999999999999</v>
      </c>
      <c r="BU84" s="257">
        <f>SUM(BQ84:BT84)</f>
        <v>4.5089999999999995</v>
      </c>
      <c r="BV84" s="239">
        <v>2.0299999999999998</v>
      </c>
      <c r="BW84" s="239">
        <v>3.0350000000000001</v>
      </c>
      <c r="BX84" s="239">
        <v>4.0190000000000001</v>
      </c>
      <c r="BY84" s="239">
        <v>5.2320000000000002</v>
      </c>
      <c r="BZ84" s="257">
        <f>SUM(BV84:BY84)</f>
        <v>14.315999999999999</v>
      </c>
      <c r="CA84" s="239">
        <v>5.8330000000000002</v>
      </c>
      <c r="CB84" s="239">
        <v>7.2549999999999999</v>
      </c>
      <c r="CC84" s="239">
        <v>8.5950000000000006</v>
      </c>
      <c r="CD84" s="239">
        <v>9.6530000000000005</v>
      </c>
      <c r="CE84" s="257">
        <f>SUM(CA84:CD84)</f>
        <v>31.335999999999999</v>
      </c>
      <c r="CF84" s="239">
        <v>10.865</v>
      </c>
      <c r="CG84" s="239">
        <v>13.638999999999999</v>
      </c>
      <c r="CH84" s="239">
        <v>14.718999999999999</v>
      </c>
      <c r="CI84" s="239">
        <v>15.941000000000001</v>
      </c>
      <c r="CJ84" s="257">
        <f>SUM(CF84:CI84)</f>
        <v>55.164000000000001</v>
      </c>
      <c r="CK84" s="239">
        <v>18.114999999999998</v>
      </c>
      <c r="CL84" s="239">
        <v>22.983000000000001</v>
      </c>
      <c r="CM84" s="239">
        <v>23.135999999999999</v>
      </c>
      <c r="CN84" s="239">
        <v>29.315000000000001</v>
      </c>
      <c r="CO84" s="257">
        <f>SUM(CK84:CN84)</f>
        <v>93.548999999999992</v>
      </c>
      <c r="CP84" s="239">
        <v>32.603999999999999</v>
      </c>
      <c r="CQ84" s="239">
        <v>39.360999999999997</v>
      </c>
      <c r="CR84" s="239">
        <v>39.406999999999996</v>
      </c>
      <c r="CS84" s="239">
        <v>42.747</v>
      </c>
      <c r="CT84" s="257">
        <f>SUM(CP84:CS84)</f>
        <v>154.119</v>
      </c>
      <c r="CU84" s="239">
        <v>44.289000000000001</v>
      </c>
      <c r="CV84" s="239">
        <v>48.747</v>
      </c>
      <c r="CW84" s="239">
        <v>54.194000000000003</v>
      </c>
      <c r="CX84" s="239">
        <v>67.962999999999994</v>
      </c>
      <c r="CY84" s="257">
        <f>SUM(CU84:CX84)</f>
        <v>215.19300000000001</v>
      </c>
      <c r="CZ84" s="239">
        <v>82.463999999999999</v>
      </c>
      <c r="DA84" s="239">
        <v>97.572000000000003</v>
      </c>
      <c r="DB84" s="239">
        <v>105.124</v>
      </c>
      <c r="DC84" s="239">
        <v>101.43600000000001</v>
      </c>
      <c r="DD84" s="257">
        <f>SUM(CZ84:DC84)</f>
        <v>386.596</v>
      </c>
      <c r="DE84" s="239">
        <v>101</v>
      </c>
      <c r="DF84" s="239">
        <v>248</v>
      </c>
      <c r="DG84" s="239">
        <v>67</v>
      </c>
      <c r="DH84" s="160">
        <f t="shared" si="397"/>
        <v>66</v>
      </c>
      <c r="DI84" s="257">
        <f t="shared" si="398"/>
        <v>482</v>
      </c>
      <c r="DJ84" s="239">
        <v>68</v>
      </c>
      <c r="DK84" s="239">
        <v>70</v>
      </c>
      <c r="DL84" s="239">
        <v>74</v>
      </c>
      <c r="DM84" s="160">
        <v>81</v>
      </c>
      <c r="DN84" s="257">
        <f t="shared" si="399"/>
        <v>293</v>
      </c>
      <c r="DO84" s="239">
        <v>79</v>
      </c>
      <c r="DP84" s="239">
        <v>80</v>
      </c>
      <c r="DQ84" s="239">
        <v>73</v>
      </c>
      <c r="DR84" s="120">
        <f>+DS84-DQ84-DP84-DO84</f>
        <v>81</v>
      </c>
      <c r="DS84" s="319">
        <v>313</v>
      </c>
      <c r="DT84" s="239">
        <v>93</v>
      </c>
      <c r="DU84" s="239">
        <v>90</v>
      </c>
      <c r="DV84" s="120">
        <f t="shared" si="392"/>
        <v>103.84986015718127</v>
      </c>
      <c r="DW84" s="120">
        <f t="shared" si="392"/>
        <v>132.99333450837</v>
      </c>
      <c r="DX84" s="257">
        <f>SUM(DT84:DW84)</f>
        <v>419.84319466555132</v>
      </c>
      <c r="DY84" s="120">
        <f t="shared" si="393"/>
        <v>113.33663606880842</v>
      </c>
      <c r="DZ84" s="120">
        <f t="shared" si="393"/>
        <v>108.40516969755414</v>
      </c>
      <c r="EA84" s="120">
        <f t="shared" si="393"/>
        <v>124.16483035256907</v>
      </c>
      <c r="EB84" s="120">
        <f t="shared" si="393"/>
        <v>158.24596417248489</v>
      </c>
      <c r="EC84" s="257">
        <f>SUM(DY84:EB84)</f>
        <v>504.15260029141655</v>
      </c>
      <c r="ED84" s="120">
        <f t="shared" ref="ED84:EG84" si="403">ED$10*ED139</f>
        <v>141.31208527065584</v>
      </c>
      <c r="EE84" s="120">
        <f t="shared" si="403"/>
        <v>139.05006972057743</v>
      </c>
      <c r="EF84" s="120">
        <f t="shared" si="403"/>
        <v>118.51378243815854</v>
      </c>
      <c r="EG84" s="120">
        <f t="shared" si="403"/>
        <v>125.30772489876242</v>
      </c>
      <c r="EH84" s="257">
        <f>SUM(ED84:EG84)</f>
        <v>524.18366232815424</v>
      </c>
      <c r="EI84" s="120">
        <f t="shared" ref="EI84:EL84" si="404">EI$10*EI139</f>
        <v>167.46884422689484</v>
      </c>
      <c r="EJ84" s="120">
        <f t="shared" si="404"/>
        <v>164.81426407048963</v>
      </c>
      <c r="EK84" s="120">
        <f t="shared" si="404"/>
        <v>140.46461980938938</v>
      </c>
      <c r="EL84" s="120">
        <f t="shared" si="404"/>
        <v>148.59316734627998</v>
      </c>
      <c r="EM84" s="257">
        <f>SUM(EI84:EL84)</f>
        <v>621.34089545305392</v>
      </c>
      <c r="EN84" s="120">
        <f t="shared" ref="EN84:EQ84" si="405">EN$10*EN139</f>
        <v>196.46047169485331</v>
      </c>
      <c r="EO84" s="120">
        <f t="shared" si="405"/>
        <v>193.35012043106283</v>
      </c>
      <c r="EP84" s="120">
        <f t="shared" si="405"/>
        <v>164.79506875123664</v>
      </c>
      <c r="EQ84" s="120">
        <f t="shared" si="405"/>
        <v>174.34671931766547</v>
      </c>
      <c r="ER84" s="257">
        <f>SUM(EN84:EQ84)</f>
        <v>728.95238019481826</v>
      </c>
      <c r="ES84" s="417"/>
      <c r="ET84" s="133"/>
    </row>
    <row r="85" spans="1:150" s="291" customFormat="1">
      <c r="A85" s="792"/>
      <c r="B85" s="792"/>
      <c r="C85" s="331" t="s">
        <v>142</v>
      </c>
      <c r="D85" s="255"/>
      <c r="E85" s="255"/>
      <c r="F85" s="255"/>
      <c r="G85" s="255"/>
      <c r="H85" s="255"/>
      <c r="I85" s="332"/>
      <c r="J85" s="332"/>
      <c r="K85" s="332"/>
      <c r="L85" s="332"/>
      <c r="M85" s="255"/>
      <c r="N85" s="332"/>
      <c r="O85" s="332"/>
      <c r="P85" s="332"/>
      <c r="Q85" s="332"/>
      <c r="R85" s="255"/>
      <c r="S85" s="332"/>
      <c r="T85" s="332"/>
      <c r="U85" s="332"/>
      <c r="V85" s="332"/>
      <c r="W85" s="255"/>
      <c r="X85" s="332"/>
      <c r="Y85" s="332"/>
      <c r="Z85" s="332"/>
      <c r="AA85" s="332"/>
      <c r="AB85" s="255"/>
      <c r="AC85" s="332"/>
      <c r="AD85" s="332"/>
      <c r="AE85" s="332"/>
      <c r="AF85" s="332"/>
      <c r="AG85" s="255"/>
      <c r="AH85" s="332"/>
      <c r="AI85" s="332"/>
      <c r="AJ85" s="332"/>
      <c r="AK85" s="332"/>
      <c r="AL85" s="255"/>
      <c r="AM85" s="332"/>
      <c r="AN85" s="332"/>
      <c r="AO85" s="332"/>
      <c r="AP85" s="332"/>
      <c r="AQ85" s="255"/>
      <c r="AR85" s="332"/>
      <c r="AS85" s="332"/>
      <c r="AT85" s="332"/>
      <c r="AU85" s="332"/>
      <c r="AV85" s="255"/>
      <c r="AW85" s="332"/>
      <c r="AX85" s="332"/>
      <c r="AY85" s="332"/>
      <c r="AZ85" s="332"/>
      <c r="BA85" s="255"/>
      <c r="BB85" s="332"/>
      <c r="BC85" s="332"/>
      <c r="BD85" s="332"/>
      <c r="BE85" s="332"/>
      <c r="BF85" s="255"/>
      <c r="BG85" s="333"/>
      <c r="BH85" s="333"/>
      <c r="BI85" s="333"/>
      <c r="BJ85" s="333"/>
      <c r="BK85" s="255"/>
      <c r="BL85" s="333"/>
      <c r="BM85" s="333"/>
      <c r="BN85" s="333"/>
      <c r="BO85" s="332"/>
      <c r="BP85" s="255"/>
      <c r="BQ85" s="334">
        <v>0.42799999999999999</v>
      </c>
      <c r="BR85" s="334">
        <v>0.49099999999999999</v>
      </c>
      <c r="BS85" s="334">
        <v>0.628</v>
      </c>
      <c r="BT85" s="334">
        <v>0.72099999999999997</v>
      </c>
      <c r="BU85" s="335">
        <f>SUM(BQ85:BT85)</f>
        <v>2.2680000000000002</v>
      </c>
      <c r="BV85" s="334">
        <v>0.76100000000000001</v>
      </c>
      <c r="BW85" s="334">
        <v>0.98</v>
      </c>
      <c r="BX85" s="334">
        <v>1.135</v>
      </c>
      <c r="BY85" s="334">
        <v>1.3240000000000001</v>
      </c>
      <c r="BZ85" s="335">
        <f>SUM(BV85:BY85)</f>
        <v>4.2</v>
      </c>
      <c r="CA85" s="334">
        <v>1.679</v>
      </c>
      <c r="CB85" s="334">
        <v>2.081</v>
      </c>
      <c r="CC85" s="334">
        <v>1.8979999999999999</v>
      </c>
      <c r="CD85" s="334">
        <v>2.08</v>
      </c>
      <c r="CE85" s="335">
        <f>SUM(CA85:CD85)</f>
        <v>7.7379999999999995</v>
      </c>
      <c r="CF85" s="334">
        <v>2.5960000000000001</v>
      </c>
      <c r="CG85" s="334">
        <v>4.2460000000000004</v>
      </c>
      <c r="CH85" s="334">
        <v>4.8330000000000002</v>
      </c>
      <c r="CI85" s="334">
        <v>4.7210000000000001</v>
      </c>
      <c r="CJ85" s="335">
        <f>SUM(CF85:CI85)</f>
        <v>16.396000000000001</v>
      </c>
      <c r="CK85" s="334">
        <v>5.5</v>
      </c>
      <c r="CL85" s="334">
        <v>6.9820000000000002</v>
      </c>
      <c r="CM85" s="334">
        <v>7.2610000000000001</v>
      </c>
      <c r="CN85" s="334">
        <v>7.6749999999999998</v>
      </c>
      <c r="CO85" s="335">
        <f>SUM(CK85:CN85)</f>
        <v>27.417999999999999</v>
      </c>
      <c r="CP85" s="334">
        <v>8.7929999999999993</v>
      </c>
      <c r="CQ85" s="334">
        <v>11.162000000000001</v>
      </c>
      <c r="CR85" s="334">
        <v>11.638999999999999</v>
      </c>
      <c r="CS85" s="334">
        <v>14.064</v>
      </c>
      <c r="CT85" s="335">
        <f>SUM(CP85:CS85)</f>
        <v>45.658000000000001</v>
      </c>
      <c r="CU85" s="334">
        <v>14.499000000000001</v>
      </c>
      <c r="CV85" s="334">
        <v>21.902999999999999</v>
      </c>
      <c r="CW85" s="334">
        <v>15.118</v>
      </c>
      <c r="CX85" s="334">
        <v>15.827999999999999</v>
      </c>
      <c r="CY85" s="335">
        <f>SUM(CU85:CX85)</f>
        <v>67.347999999999999</v>
      </c>
      <c r="CZ85" s="334">
        <v>18.734999999999999</v>
      </c>
      <c r="DA85" s="334">
        <v>22.315000000000001</v>
      </c>
      <c r="DB85" s="334">
        <v>25.834</v>
      </c>
      <c r="DC85" s="334">
        <v>23.815999999999999</v>
      </c>
      <c r="DD85" s="335">
        <f>SUM(CZ85:DC85)</f>
        <v>90.7</v>
      </c>
      <c r="DE85" s="334">
        <v>18</v>
      </c>
      <c r="DF85" s="334">
        <v>18</v>
      </c>
      <c r="DG85" s="334">
        <v>19</v>
      </c>
      <c r="DH85" s="160">
        <f t="shared" si="397"/>
        <v>18</v>
      </c>
      <c r="DI85" s="335">
        <f t="shared" si="398"/>
        <v>73</v>
      </c>
      <c r="DJ85" s="334">
        <v>25</v>
      </c>
      <c r="DK85" s="334">
        <v>23</v>
      </c>
      <c r="DL85" s="334">
        <v>22</v>
      </c>
      <c r="DM85" s="160">
        <v>24</v>
      </c>
      <c r="DN85" s="335">
        <f t="shared" si="399"/>
        <v>94</v>
      </c>
      <c r="DO85" s="334">
        <v>22</v>
      </c>
      <c r="DP85" s="334">
        <v>21</v>
      </c>
      <c r="DQ85" s="239">
        <v>21</v>
      </c>
      <c r="DR85" s="120">
        <f>+DS85-DQ85-DP85-DO85</f>
        <v>24</v>
      </c>
      <c r="DS85" s="1529">
        <v>88</v>
      </c>
      <c r="DT85" s="334">
        <v>28</v>
      </c>
      <c r="DU85" s="334">
        <v>27</v>
      </c>
      <c r="DV85" s="336">
        <f t="shared" si="392"/>
        <v>31.525850404858598</v>
      </c>
      <c r="DW85" s="336">
        <f t="shared" si="392"/>
        <v>40.372976547183754</v>
      </c>
      <c r="DX85" s="335">
        <f>SUM(DT85:DW85)</f>
        <v>126.89882695204236</v>
      </c>
      <c r="DY85" s="336">
        <f t="shared" si="393"/>
        <v>30.597550352424342</v>
      </c>
      <c r="DZ85" s="336">
        <f t="shared" si="393"/>
        <v>28.547523896704519</v>
      </c>
      <c r="EA85" s="336">
        <f t="shared" si="393"/>
        <v>33.652150282471993</v>
      </c>
      <c r="EB85" s="336">
        <f t="shared" si="393"/>
        <v>42.889093093477214</v>
      </c>
      <c r="EC85" s="335">
        <f>SUM(DY85:EB85)</f>
        <v>135.68631762507806</v>
      </c>
      <c r="ED85" s="336">
        <f t="shared" ref="ED85:EG85" si="406">ED$10*ED140</f>
        <v>12.192765473776976</v>
      </c>
      <c r="EE85" s="336">
        <f t="shared" si="406"/>
        <v>13.712620946833512</v>
      </c>
      <c r="EF85" s="336">
        <f t="shared" si="406"/>
        <v>13.996760790925672</v>
      </c>
      <c r="EG85" s="336">
        <f t="shared" si="406"/>
        <v>17.841133360795318</v>
      </c>
      <c r="EH85" s="335">
        <f>SUM(ED85:EG85)</f>
        <v>57.743280572331479</v>
      </c>
      <c r="EI85" s="336">
        <f t="shared" ref="EI85:EL85" si="407">EI$10*EI140</f>
        <v>14.449637042098271</v>
      </c>
      <c r="EJ85" s="336">
        <f t="shared" si="407"/>
        <v>16.253393719050347</v>
      </c>
      <c r="EK85" s="336">
        <f t="shared" si="407"/>
        <v>16.589207116786127</v>
      </c>
      <c r="EL85" s="336">
        <f t="shared" si="407"/>
        <v>21.156481112954435</v>
      </c>
      <c r="EM85" s="335">
        <f>SUM(EI85:EL85)</f>
        <v>68.448718990889176</v>
      </c>
      <c r="EN85" s="336">
        <f t="shared" ref="EN85:EQ85" si="408">EN$10*EN140</f>
        <v>16.951108262644556</v>
      </c>
      <c r="EO85" s="336">
        <f t="shared" si="408"/>
        <v>19.067497893554918</v>
      </c>
      <c r="EP85" s="336">
        <f t="shared" si="408"/>
        <v>19.462691253135986</v>
      </c>
      <c r="EQ85" s="336">
        <f t="shared" si="408"/>
        <v>24.823234743721216</v>
      </c>
      <c r="ER85" s="335">
        <f>SUM(EN85:EQ85)</f>
        <v>80.30453215305667</v>
      </c>
      <c r="ES85" s="918"/>
      <c r="ET85" s="133"/>
    </row>
    <row r="86" spans="1:150" s="253" customFormat="1" ht="12" customHeight="1">
      <c r="A86" s="792" t="s">
        <v>741</v>
      </c>
      <c r="B86" s="792"/>
      <c r="C86" s="1358" t="s">
        <v>744</v>
      </c>
      <c r="D86" s="1209"/>
      <c r="E86" s="1209"/>
      <c r="F86" s="1209"/>
      <c r="G86" s="1209"/>
      <c r="H86" s="1209"/>
      <c r="I86" s="1210"/>
      <c r="J86" s="1210"/>
      <c r="K86" s="1210"/>
      <c r="L86" s="1210"/>
      <c r="M86" s="1209"/>
      <c r="N86" s="1210"/>
      <c r="O86" s="1210"/>
      <c r="P86" s="1210"/>
      <c r="Q86" s="1210"/>
      <c r="R86" s="1209"/>
      <c r="S86" s="1210"/>
      <c r="T86" s="1210"/>
      <c r="U86" s="1210"/>
      <c r="V86" s="1210"/>
      <c r="W86" s="1209"/>
      <c r="X86" s="1210"/>
      <c r="Y86" s="1210"/>
      <c r="Z86" s="1210"/>
      <c r="AA86" s="1210"/>
      <c r="AB86" s="1209"/>
      <c r="AC86" s="1210"/>
      <c r="AD86" s="1210"/>
      <c r="AE86" s="1210"/>
      <c r="AF86" s="1210"/>
      <c r="AG86" s="1209"/>
      <c r="AH86" s="1210"/>
      <c r="AI86" s="1210"/>
      <c r="AJ86" s="1210"/>
      <c r="AK86" s="1210"/>
      <c r="AL86" s="1209"/>
      <c r="AM86" s="1210"/>
      <c r="AN86" s="1210"/>
      <c r="AO86" s="1210"/>
      <c r="AP86" s="1210"/>
      <c r="AQ86" s="1209"/>
      <c r="AR86" s="1210"/>
      <c r="AS86" s="1210"/>
      <c r="AT86" s="1210"/>
      <c r="AU86" s="1210"/>
      <c r="AV86" s="1209"/>
      <c r="AW86" s="1210"/>
      <c r="AX86" s="1210"/>
      <c r="AY86" s="1210"/>
      <c r="AZ86" s="1210"/>
      <c r="BA86" s="1209"/>
      <c r="BB86" s="1210"/>
      <c r="BC86" s="1210"/>
      <c r="BD86" s="1210"/>
      <c r="BE86" s="1210"/>
      <c r="BF86" s="1209"/>
      <c r="BG86" s="1210"/>
      <c r="BH86" s="1210"/>
      <c r="BI86" s="1210"/>
      <c r="BJ86" s="1210"/>
      <c r="BK86" s="1209"/>
      <c r="BL86" s="1210"/>
      <c r="BM86" s="1210"/>
      <c r="BN86" s="1210"/>
      <c r="BO86" s="1211"/>
      <c r="BP86" s="1209"/>
      <c r="BQ86" s="1207">
        <f>SUM(BQ82:BQ85)</f>
        <v>1.44</v>
      </c>
      <c r="BR86" s="1207">
        <f>SUM(BR82:BR85)</f>
        <v>1.5710000000000002</v>
      </c>
      <c r="BS86" s="1207">
        <f>SUM(BS82:BS85)</f>
        <v>2.2680000000000002</v>
      </c>
      <c r="BT86" s="1207">
        <f>SUM(BT82:BT85)</f>
        <v>2.879</v>
      </c>
      <c r="BU86" s="272">
        <f>SUM(BQ86:BT86)</f>
        <v>8.1579999999999995</v>
      </c>
      <c r="BV86" s="1207">
        <f>SUM(BV82:BV85)</f>
        <v>3.46</v>
      </c>
      <c r="BW86" s="1207">
        <f>SUM(BW82:BW85)</f>
        <v>5.0860000000000003</v>
      </c>
      <c r="BX86" s="1207">
        <f>SUM(BX82:BX85)</f>
        <v>6.4870000000000001</v>
      </c>
      <c r="BY86" s="1207">
        <f>SUM(BY82:BY85)</f>
        <v>8.0620000000000012</v>
      </c>
      <c r="BZ86" s="272">
        <f>SUM(BV86:BY86)</f>
        <v>23.094999999999999</v>
      </c>
      <c r="CA86" s="1207">
        <f>SUM(CA82:CA85)</f>
        <v>9.2070000000000007</v>
      </c>
      <c r="CB86" s="1207">
        <f>SUM(CB82:CB85)</f>
        <v>11.600999999999999</v>
      </c>
      <c r="CC86" s="1207">
        <f>SUM(CC82:CC85)</f>
        <v>13.376000000000001</v>
      </c>
      <c r="CD86" s="1207">
        <f>SUM(CD82:CD85)</f>
        <v>14.978</v>
      </c>
      <c r="CE86" s="272">
        <f>SUM(CA86:CD86)</f>
        <v>49.161999999999999</v>
      </c>
      <c r="CF86" s="1207">
        <f>SUM(CF82:CF85)</f>
        <v>17.925000000000001</v>
      </c>
      <c r="CG86" s="1207">
        <f>SUM(CG82:CG85)</f>
        <v>24.191000000000003</v>
      </c>
      <c r="CH86" s="1207">
        <f>SUM(CH82:CH85)</f>
        <v>26.185000000000002</v>
      </c>
      <c r="CI86" s="1207">
        <f>SUM(CI82:CI85)</f>
        <v>27.419</v>
      </c>
      <c r="CJ86" s="272">
        <f>SUM(CF86:CI86)</f>
        <v>95.72</v>
      </c>
      <c r="CK86" s="1207">
        <f>SUM(CK82:CK85)</f>
        <v>31.163999999999998</v>
      </c>
      <c r="CL86" s="1207">
        <f>SUM(CL82:CL85)</f>
        <v>39.268000000000001</v>
      </c>
      <c r="CM86" s="1207">
        <f>SUM(CM82:CM85)</f>
        <v>40.032000000000004</v>
      </c>
      <c r="CN86" s="1207">
        <f>SUM(CN82:CN85)</f>
        <v>47.991999999999997</v>
      </c>
      <c r="CO86" s="272">
        <f>SUM(CK86:CN86)</f>
        <v>158.45599999999999</v>
      </c>
      <c r="CP86" s="1207">
        <f>SUM(CP82:CP85)</f>
        <v>53.752000000000002</v>
      </c>
      <c r="CQ86" s="1207">
        <f>SUM(CQ82:CQ85)</f>
        <v>62.323999999999998</v>
      </c>
      <c r="CR86" s="1207">
        <f>SUM(CR82:CR85)</f>
        <v>63.806999999999988</v>
      </c>
      <c r="CS86" s="1207">
        <f>SUM(CS82:CS85)</f>
        <v>67.057000000000002</v>
      </c>
      <c r="CT86" s="272">
        <f>SUM(CP86:CS86)</f>
        <v>246.94</v>
      </c>
      <c r="CU86" s="1207">
        <f>SUM(CU82:CU85)</f>
        <v>69.156000000000006</v>
      </c>
      <c r="CV86" s="1207">
        <f>SUM(CV82:CV85)</f>
        <v>81.957999999999998</v>
      </c>
      <c r="CW86" s="1207">
        <f>SUM(CW82:CW85)</f>
        <v>81.34</v>
      </c>
      <c r="CX86" s="1207">
        <f>SUM(CX82:CX85)</f>
        <v>98.314300000000003</v>
      </c>
      <c r="CY86" s="272">
        <f>SUM(CU86:CX86)</f>
        <v>330.76830000000001</v>
      </c>
      <c r="CZ86" s="1207">
        <f>SUM(CZ82:CZ85)</f>
        <v>117.98899999999999</v>
      </c>
      <c r="DA86" s="1207">
        <f>SUM(DA82:DA85)</f>
        <v>139.41900000000001</v>
      </c>
      <c r="DB86" s="1207">
        <f>SUM(DB82:DB85)</f>
        <v>149.98999999999998</v>
      </c>
      <c r="DC86" s="1207">
        <f>SUM(DC82:DC85)</f>
        <v>141.744</v>
      </c>
      <c r="DD86" s="272">
        <f>SUM(CZ86:DC86)</f>
        <v>549.14200000000005</v>
      </c>
      <c r="DE86" s="1207">
        <f>SUM(DE82:DE85)</f>
        <v>135</v>
      </c>
      <c r="DF86" s="1207">
        <f>SUM(DF82:DF85)</f>
        <v>280</v>
      </c>
      <c r="DG86" s="1207">
        <f>SUM(DG82:DG85)</f>
        <v>102</v>
      </c>
      <c r="DH86" s="1361">
        <f>+'Cash Flow'!DH11</f>
        <v>98</v>
      </c>
      <c r="DI86" s="272">
        <f>SUM(DE86:DH86)</f>
        <v>615</v>
      </c>
      <c r="DJ86" s="1362">
        <f>SUM(DJ82:DJ85)</f>
        <v>105</v>
      </c>
      <c r="DK86" s="1362">
        <f>SUM(DK82:DK85)</f>
        <v>106</v>
      </c>
      <c r="DL86" s="1362">
        <f>SUM(DL82:DL85)</f>
        <v>110</v>
      </c>
      <c r="DM86" s="1523">
        <f>+'Cash Flow'!DM11</f>
        <v>109</v>
      </c>
      <c r="DN86" s="272">
        <f>SUM(DJ86:DM86)</f>
        <v>430</v>
      </c>
      <c r="DO86" s="1207">
        <f t="shared" ref="DO86:DW86" si="409">SUM(DO82:DO85)</f>
        <v>114</v>
      </c>
      <c r="DP86" s="1207">
        <f t="shared" si="409"/>
        <v>113</v>
      </c>
      <c r="DQ86" s="1207">
        <f t="shared" si="409"/>
        <v>107</v>
      </c>
      <c r="DR86" s="1430">
        <f t="shared" si="409"/>
        <v>115</v>
      </c>
      <c r="DS86" s="272">
        <f t="shared" si="409"/>
        <v>449</v>
      </c>
      <c r="DT86" s="1207">
        <f t="shared" ref="DT86:DU86" si="410">SUM(DT82:DT85)</f>
        <v>132</v>
      </c>
      <c r="DU86" s="1207">
        <f t="shared" si="410"/>
        <v>128</v>
      </c>
      <c r="DV86" s="1207">
        <f t="shared" si="409"/>
        <v>147.06481879190784</v>
      </c>
      <c r="DW86" s="1207">
        <f t="shared" si="409"/>
        <v>187.95915266181763</v>
      </c>
      <c r="DX86" s="272">
        <f>SUM(DT86:DW86)</f>
        <v>595.02397145372549</v>
      </c>
      <c r="DY86" s="1207">
        <f>SUM(DY82:DY85)</f>
        <v>152.89228358629512</v>
      </c>
      <c r="DZ86" s="1207">
        <f>SUM(DZ82:DZ85)</f>
        <v>145.21891062090612</v>
      </c>
      <c r="EA86" s="1207">
        <f>SUM(EA82:EA85)</f>
        <v>166.64367248031317</v>
      </c>
      <c r="EB86" s="1207">
        <f>SUM(EB82:EB85)</f>
        <v>211.9154890646366</v>
      </c>
      <c r="EC86" s="272">
        <f>SUM(DY86:EB86)</f>
        <v>676.67035575215107</v>
      </c>
      <c r="ED86" s="1207">
        <f>SUM(ED82:ED85)</f>
        <v>162.35902933138379</v>
      </c>
      <c r="EE86" s="1207">
        <f>SUM(EE82:EE85)</f>
        <v>164.05197039640046</v>
      </c>
      <c r="EF86" s="1207">
        <f>SUM(EF82:EF85)</f>
        <v>142.87720178393857</v>
      </c>
      <c r="EG86" s="1207">
        <f>SUM(EG82:EG85)</f>
        <v>155.79701685564225</v>
      </c>
      <c r="EH86" s="272">
        <f>SUM(ED86:EG86)</f>
        <v>625.08521836736509</v>
      </c>
      <c r="EI86" s="1207">
        <f>SUM(EI82:EI85)</f>
        <v>192.4115615437282</v>
      </c>
      <c r="EJ86" s="1207">
        <f>SUM(EJ82:EJ85)</f>
        <v>194.44869624682568</v>
      </c>
      <c r="EK86" s="1207">
        <f>SUM(EK82:EK85)</f>
        <v>169.34057301295408</v>
      </c>
      <c r="EL86" s="1207">
        <f>SUM(EL82:EL85)</f>
        <v>184.74816469922433</v>
      </c>
      <c r="EM86" s="272">
        <f>SUM(EI86:EL86)</f>
        <v>740.94899550273226</v>
      </c>
      <c r="EN86" s="1207">
        <f>SUM(EN82:EN85)</f>
        <v>225.72118602078109</v>
      </c>
      <c r="EO86" s="1207">
        <f>SUM(EO82:EO85)</f>
        <v>228.11544285333903</v>
      </c>
      <c r="EP86" s="1207">
        <f>SUM(EP82:EP85)</f>
        <v>198.67274342758134</v>
      </c>
      <c r="EQ86" s="1207">
        <f>SUM(EQ82:EQ85)</f>
        <v>216.76795097992022</v>
      </c>
      <c r="ER86" s="272">
        <f>SUM(EN86:EQ86)</f>
        <v>869.27732328162165</v>
      </c>
      <c r="ES86" s="417"/>
      <c r="ET86" s="133"/>
    </row>
    <row r="87" spans="1:150" s="253" customFormat="1" ht="12" customHeight="1">
      <c r="A87" s="792"/>
      <c r="B87" s="792"/>
      <c r="C87" s="337" t="s">
        <v>193</v>
      </c>
      <c r="D87" s="338"/>
      <c r="E87" s="338"/>
      <c r="F87" s="338"/>
      <c r="G87" s="338"/>
      <c r="H87" s="338"/>
      <c r="I87" s="339"/>
      <c r="J87" s="339"/>
      <c r="K87" s="339"/>
      <c r="L87" s="339"/>
      <c r="M87" s="338"/>
      <c r="N87" s="339"/>
      <c r="O87" s="339"/>
      <c r="P87" s="339"/>
      <c r="Q87" s="339"/>
      <c r="R87" s="338"/>
      <c r="S87" s="339"/>
      <c r="T87" s="339"/>
      <c r="U87" s="339"/>
      <c r="V87" s="339"/>
      <c r="W87" s="338"/>
      <c r="X87" s="339"/>
      <c r="Y87" s="339"/>
      <c r="Z87" s="339"/>
      <c r="AA87" s="339"/>
      <c r="AB87" s="338"/>
      <c r="AC87" s="339"/>
      <c r="AD87" s="339"/>
      <c r="AE87" s="339"/>
      <c r="AF87" s="339"/>
      <c r="AG87" s="338"/>
      <c r="AH87" s="339"/>
      <c r="AI87" s="339"/>
      <c r="AJ87" s="339"/>
      <c r="AK87" s="339"/>
      <c r="AL87" s="338"/>
      <c r="AM87" s="339"/>
      <c r="AN87" s="339"/>
      <c r="AO87" s="339"/>
      <c r="AP87" s="339"/>
      <c r="AQ87" s="338"/>
      <c r="AR87" s="339"/>
      <c r="AS87" s="339"/>
      <c r="AT87" s="339"/>
      <c r="AU87" s="339"/>
      <c r="AV87" s="338"/>
      <c r="AW87" s="339"/>
      <c r="AX87" s="339"/>
      <c r="AY87" s="339"/>
      <c r="AZ87" s="339"/>
      <c r="BA87" s="338"/>
      <c r="BB87" s="339"/>
      <c r="BC87" s="339"/>
      <c r="BD87" s="339"/>
      <c r="BE87" s="339"/>
      <c r="BF87" s="338"/>
      <c r="BG87" s="340"/>
      <c r="BH87" s="340"/>
      <c r="BI87" s="340"/>
      <c r="BJ87" s="340"/>
      <c r="BK87" s="338"/>
      <c r="BL87" s="340"/>
      <c r="BM87" s="340"/>
      <c r="BN87" s="340"/>
      <c r="BO87" s="340"/>
      <c r="BP87" s="338"/>
      <c r="BQ87" s="341">
        <f t="shared" ref="BQ87:BZ87" si="411">BQ86/BQ$10</f>
        <v>3.8556281460854665E-2</v>
      </c>
      <c r="BR87" s="341">
        <f t="shared" si="411"/>
        <v>3.4968615055869658E-2</v>
      </c>
      <c r="BS87" s="341">
        <f t="shared" si="411"/>
        <v>4.296593793808965E-2</v>
      </c>
      <c r="BT87" s="341">
        <f t="shared" si="411"/>
        <v>4.1027175694355378E-2</v>
      </c>
      <c r="BU87" s="243">
        <f t="shared" si="411"/>
        <v>3.9749942747998611E-2</v>
      </c>
      <c r="BV87" s="341">
        <f t="shared" si="411"/>
        <v>4.7578449437584221E-2</v>
      </c>
      <c r="BW87" s="341">
        <f t="shared" si="411"/>
        <v>5.8697935300702858E-2</v>
      </c>
      <c r="BX87" s="341">
        <f t="shared" si="411"/>
        <v>6.5144911526642424E-2</v>
      </c>
      <c r="BY87" s="341">
        <f t="shared" si="411"/>
        <v>6.1833214452804451E-2</v>
      </c>
      <c r="BZ87" s="243">
        <f t="shared" si="411"/>
        <v>5.9319857190558135E-2</v>
      </c>
      <c r="CA87" s="341">
        <f t="shared" ref="CA87:CV87" si="412">CA86/CA$10</f>
        <v>7.2280360184959841E-2</v>
      </c>
      <c r="CB87" s="341">
        <f t="shared" si="412"/>
        <v>7.6495994197355838E-2</v>
      </c>
      <c r="CC87" s="341">
        <f t="shared" si="412"/>
        <v>7.8014184397163122E-2</v>
      </c>
      <c r="CD87" s="341">
        <f t="shared" si="412"/>
        <v>6.7221987846365128E-2</v>
      </c>
      <c r="CE87" s="243">
        <f t="shared" si="412"/>
        <v>7.3016052184451605E-2</v>
      </c>
      <c r="CF87" s="341">
        <f t="shared" si="412"/>
        <v>8.3628814033778129E-2</v>
      </c>
      <c r="CG87" s="341">
        <f t="shared" si="412"/>
        <v>9.8753689332674741E-2</v>
      </c>
      <c r="CH87" s="341">
        <f t="shared" si="412"/>
        <v>9.6958498726227874E-2</v>
      </c>
      <c r="CI87" s="341">
        <f t="shared" si="412"/>
        <v>7.9738383421256206E-2</v>
      </c>
      <c r="CJ87" s="243">
        <f t="shared" si="412"/>
        <v>8.9188793817535694E-2</v>
      </c>
      <c r="CK87" s="341">
        <f t="shared" si="412"/>
        <v>9.7241030697511874E-2</v>
      </c>
      <c r="CL87" s="341">
        <f t="shared" si="412"/>
        <v>0.10848143124324892</v>
      </c>
      <c r="CM87" s="341">
        <f t="shared" si="412"/>
        <v>0.10250107540097093</v>
      </c>
      <c r="CN87" s="341">
        <f t="shared" si="412"/>
        <v>9.5003563227492274E-2</v>
      </c>
      <c r="CO87" s="243">
        <f t="shared" si="412"/>
        <v>0.10040470848253011</v>
      </c>
      <c r="CP87" s="341">
        <f t="shared" si="412"/>
        <v>0.11436571411550189</v>
      </c>
      <c r="CQ87" s="341">
        <f t="shared" si="412"/>
        <v>8.7246847094034921E-2</v>
      </c>
      <c r="CR87" s="341">
        <f t="shared" si="412"/>
        <v>8.3146448094552405E-2</v>
      </c>
      <c r="CS87" s="341">
        <f t="shared" si="412"/>
        <v>6.8583391971722668E-2</v>
      </c>
      <c r="CT87" s="243">
        <f t="shared" si="412"/>
        <v>8.4294507134515861E-2</v>
      </c>
      <c r="CU87" s="341">
        <f t="shared" si="412"/>
        <v>6.9950143984657834E-2</v>
      </c>
      <c r="CV87" s="341">
        <f t="shared" si="412"/>
        <v>7.3213065402945213E-2</v>
      </c>
      <c r="CW87" s="341">
        <f t="shared" ref="CW87:EC87" si="413">CW86/CW10</f>
        <v>7.2383291508711978E-2</v>
      </c>
      <c r="CX87" s="341">
        <f t="shared" si="413"/>
        <v>7.1241007402769799E-2</v>
      </c>
      <c r="CY87" s="243">
        <f t="shared" si="413"/>
        <v>7.1721298323278102E-2</v>
      </c>
      <c r="CZ87" s="341">
        <f t="shared" si="413"/>
        <v>9.802820318322264E-2</v>
      </c>
      <c r="DA87" s="341">
        <f t="shared" si="413"/>
        <v>0.10765422222702679</v>
      </c>
      <c r="DB87" s="341">
        <f t="shared" si="413"/>
        <v>0.10978626848192063</v>
      </c>
      <c r="DC87" s="341">
        <f t="shared" si="413"/>
        <v>8.1697865909538911E-2</v>
      </c>
      <c r="DD87" s="243">
        <f t="shared" si="413"/>
        <v>9.8063452969572112E-2</v>
      </c>
      <c r="DE87" s="341">
        <f t="shared" si="413"/>
        <v>8.952254641909814E-2</v>
      </c>
      <c r="DF87" s="341">
        <f t="shared" si="413"/>
        <v>0.16528925619834711</v>
      </c>
      <c r="DG87" s="341">
        <f t="shared" si="413"/>
        <v>5.9509918319719954E-2</v>
      </c>
      <c r="DH87" s="341">
        <f t="shared" si="413"/>
        <v>4.5708955223880597E-2</v>
      </c>
      <c r="DI87" s="243">
        <f t="shared" si="413"/>
        <v>8.7110481586402264E-2</v>
      </c>
      <c r="DJ87" s="341">
        <f t="shared" si="413"/>
        <v>5.6421278882321332E-2</v>
      </c>
      <c r="DK87" s="341">
        <f t="shared" si="413"/>
        <v>5.1833740831295841E-2</v>
      </c>
      <c r="DL87" s="341">
        <f t="shared" si="413"/>
        <v>5.0878815911193337E-2</v>
      </c>
      <c r="DM87" s="341">
        <f t="shared" si="413"/>
        <v>3.8762446657183501E-2</v>
      </c>
      <c r="DN87" s="243">
        <f t="shared" si="413"/>
        <v>4.8423423423423421E-2</v>
      </c>
      <c r="DO87" s="341">
        <f t="shared" si="413"/>
        <v>4.8305084745762714E-2</v>
      </c>
      <c r="DP87" s="341">
        <f t="shared" si="413"/>
        <v>4.216417910447761E-2</v>
      </c>
      <c r="DQ87" s="341">
        <f t="shared" ref="DQ87" si="414">DQ86/DQ10</f>
        <v>3.7623066104078763E-2</v>
      </c>
      <c r="DR87" s="629">
        <f>DR86/DR10</f>
        <v>3.1318082788671021E-2</v>
      </c>
      <c r="DS87" s="243">
        <f t="shared" si="413"/>
        <v>3.885427483558325E-2</v>
      </c>
      <c r="DT87" s="341">
        <f t="shared" ref="DT87:DU87" si="415">DT86/DT10</f>
        <v>4.16403785488959E-2</v>
      </c>
      <c r="DU87" s="341">
        <f t="shared" si="415"/>
        <v>3.5724253418922693E-2</v>
      </c>
      <c r="DV87" s="341">
        <f t="shared" si="413"/>
        <v>3.9651617440225037E-2</v>
      </c>
      <c r="DW87" s="341">
        <f t="shared" si="413"/>
        <v>3.9572331154684094E-2</v>
      </c>
      <c r="DX87" s="243">
        <f t="shared" si="413"/>
        <v>3.9116241952540015E-2</v>
      </c>
      <c r="DY87" s="341">
        <f t="shared" si="413"/>
        <v>3.7890378548895896E-2</v>
      </c>
      <c r="DZ87" s="341">
        <f t="shared" si="413"/>
        <v>3.1974253418922682E-2</v>
      </c>
      <c r="EA87" s="341">
        <f t="shared" si="413"/>
        <v>3.5901617440225041E-2</v>
      </c>
      <c r="EB87" s="341">
        <f t="shared" si="413"/>
        <v>3.5822331154684098E-2</v>
      </c>
      <c r="EC87" s="243">
        <f t="shared" si="413"/>
        <v>3.5364297472471606E-2</v>
      </c>
      <c r="ED87" s="341">
        <f t="shared" ref="ED87:EH87" si="416">ED86/ED10</f>
        <v>3.3290033684435644E-2</v>
      </c>
      <c r="EE87" s="341">
        <f t="shared" si="416"/>
        <v>2.9908937728327378E-2</v>
      </c>
      <c r="EF87" s="341">
        <f t="shared" si="416"/>
        <v>2.5519690576652602E-2</v>
      </c>
      <c r="EG87" s="341">
        <f t="shared" si="416"/>
        <v>2.1831154684095862E-2</v>
      </c>
      <c r="EH87" s="243">
        <f t="shared" si="416"/>
        <v>2.7063115057359751E-2</v>
      </c>
      <c r="EI87" s="341">
        <f t="shared" ref="EI87:ER87" si="417">EI86/EI10</f>
        <v>3.3290033684435651E-2</v>
      </c>
      <c r="EJ87" s="341">
        <f t="shared" si="417"/>
        <v>2.9908937728327381E-2</v>
      </c>
      <c r="EK87" s="341">
        <f t="shared" si="417"/>
        <v>2.5519690576652598E-2</v>
      </c>
      <c r="EL87" s="341">
        <f t="shared" si="417"/>
        <v>2.1831154684095862E-2</v>
      </c>
      <c r="EM87" s="243">
        <f t="shared" si="417"/>
        <v>2.706219365483508E-2</v>
      </c>
      <c r="EN87" s="341">
        <f t="shared" si="417"/>
        <v>3.3290033684435651E-2</v>
      </c>
      <c r="EO87" s="341">
        <f t="shared" si="417"/>
        <v>2.9908937728327385E-2</v>
      </c>
      <c r="EP87" s="341">
        <f t="shared" si="417"/>
        <v>2.5519690576652598E-2</v>
      </c>
      <c r="EQ87" s="341">
        <f t="shared" si="417"/>
        <v>2.1831154684095862E-2</v>
      </c>
      <c r="ER87" s="243">
        <f t="shared" si="417"/>
        <v>2.7061901114896598E-2</v>
      </c>
      <c r="ES87" s="244"/>
      <c r="ET87" s="133"/>
    </row>
    <row r="88" spans="1:150" s="253" customFormat="1" ht="12" customHeight="1">
      <c r="A88" s="792"/>
      <c r="B88" s="792"/>
      <c r="C88" s="328" t="s">
        <v>225</v>
      </c>
      <c r="D88" s="296"/>
      <c r="E88" s="296"/>
      <c r="F88" s="296"/>
      <c r="G88" s="296"/>
      <c r="H88" s="296"/>
      <c r="I88" s="256"/>
      <c r="J88" s="256"/>
      <c r="K88" s="256"/>
      <c r="L88" s="256"/>
      <c r="M88" s="296"/>
      <c r="N88" s="256"/>
      <c r="O88" s="256"/>
      <c r="P88" s="256"/>
      <c r="Q88" s="256"/>
      <c r="R88" s="296"/>
      <c r="S88" s="256"/>
      <c r="T88" s="256"/>
      <c r="U88" s="256"/>
      <c r="V88" s="256"/>
      <c r="W88" s="296"/>
      <c r="X88" s="256"/>
      <c r="Y88" s="256"/>
      <c r="Z88" s="256"/>
      <c r="AA88" s="256"/>
      <c r="AB88" s="296"/>
      <c r="AC88" s="256"/>
      <c r="AD88" s="256"/>
      <c r="AE88" s="256"/>
      <c r="AF88" s="256"/>
      <c r="AG88" s="296"/>
      <c r="AH88" s="256"/>
      <c r="AI88" s="256"/>
      <c r="AJ88" s="256"/>
      <c r="AK88" s="256"/>
      <c r="AL88" s="296"/>
      <c r="AM88" s="256"/>
      <c r="AN88" s="256"/>
      <c r="AO88" s="256"/>
      <c r="AP88" s="256"/>
      <c r="AQ88" s="296"/>
      <c r="AR88" s="256"/>
      <c r="AS88" s="256"/>
      <c r="AT88" s="256"/>
      <c r="AU88" s="256"/>
      <c r="AV88" s="296"/>
      <c r="AW88" s="256"/>
      <c r="AX88" s="256"/>
      <c r="AY88" s="256"/>
      <c r="AZ88" s="256"/>
      <c r="BA88" s="296"/>
      <c r="BB88" s="256"/>
      <c r="BC88" s="256"/>
      <c r="BD88" s="256"/>
      <c r="BE88" s="256"/>
      <c r="BF88" s="296"/>
      <c r="BG88" s="340"/>
      <c r="BH88" s="340"/>
      <c r="BI88" s="340"/>
      <c r="BJ88" s="340"/>
      <c r="BK88" s="296"/>
      <c r="BL88" s="340"/>
      <c r="BM88" s="340"/>
      <c r="BN88" s="340"/>
      <c r="BO88" s="340"/>
      <c r="BP88" s="296"/>
      <c r="BQ88" s="341"/>
      <c r="BR88" s="344"/>
      <c r="BS88" s="344"/>
      <c r="BT88" s="344"/>
      <c r="BU88" s="243"/>
      <c r="BV88" s="341"/>
      <c r="BW88" s="344"/>
      <c r="BX88" s="344"/>
      <c r="BY88" s="344"/>
      <c r="BZ88" s="243"/>
      <c r="CA88" s="341"/>
      <c r="CB88" s="344"/>
      <c r="CC88" s="344"/>
      <c r="CD88" s="344"/>
      <c r="CE88" s="243"/>
      <c r="CF88" s="341"/>
      <c r="CG88" s="344"/>
      <c r="CH88" s="344"/>
      <c r="CI88" s="344"/>
      <c r="CJ88" s="243"/>
      <c r="CK88" s="341"/>
      <c r="CL88" s="344"/>
      <c r="CM88" s="344"/>
      <c r="CN88" s="344"/>
      <c r="CO88" s="243"/>
      <c r="CP88" s="341"/>
      <c r="CQ88" s="344"/>
      <c r="CR88" s="344"/>
      <c r="CS88" s="344"/>
      <c r="CT88" s="243"/>
      <c r="CU88" s="341"/>
      <c r="CV88" s="341"/>
      <c r="CW88" s="341"/>
      <c r="CX88" s="341"/>
      <c r="CY88" s="243"/>
      <c r="CZ88" s="341"/>
      <c r="DA88" s="341"/>
      <c r="DB88" s="341"/>
      <c r="DC88" s="341"/>
      <c r="DD88" s="243"/>
      <c r="DE88" s="341"/>
      <c r="DF88" s="341"/>
      <c r="DG88" s="341"/>
      <c r="DH88" s="360"/>
      <c r="DI88" s="243"/>
      <c r="DJ88" s="360"/>
      <c r="DK88" s="360"/>
      <c r="DL88" s="360"/>
      <c r="DM88" s="360"/>
      <c r="DN88" s="243"/>
      <c r="DO88" s="1214"/>
      <c r="DP88" s="360"/>
      <c r="DQ88" s="360"/>
      <c r="DR88" s="1214"/>
      <c r="DS88" s="243"/>
      <c r="DT88" s="1214"/>
      <c r="DU88" s="360"/>
      <c r="DV88" s="633"/>
      <c r="DW88" s="633"/>
      <c r="DX88" s="243"/>
      <c r="DY88" s="633"/>
      <c r="DZ88" s="633"/>
      <c r="EA88" s="633"/>
      <c r="EB88" s="633"/>
      <c r="EC88" s="243"/>
      <c r="ED88" s="633"/>
      <c r="EE88" s="633"/>
      <c r="EF88" s="633"/>
      <c r="EG88" s="633"/>
      <c r="EH88" s="243"/>
      <c r="EI88" s="633"/>
      <c r="EJ88" s="633"/>
      <c r="EK88" s="633"/>
      <c r="EL88" s="633"/>
      <c r="EM88" s="243"/>
      <c r="EN88" s="633"/>
      <c r="EO88" s="633"/>
      <c r="EP88" s="633"/>
      <c r="EQ88" s="633"/>
      <c r="ER88" s="243"/>
      <c r="ES88" s="244"/>
      <c r="ET88" s="133"/>
    </row>
    <row r="89" spans="1:150" s="253" customFormat="1" ht="12" customHeight="1">
      <c r="A89" s="792"/>
      <c r="B89" s="792"/>
      <c r="C89" s="265" t="s">
        <v>143</v>
      </c>
      <c r="D89" s="296"/>
      <c r="E89" s="296"/>
      <c r="F89" s="296"/>
      <c r="G89" s="296"/>
      <c r="H89" s="296"/>
      <c r="I89" s="256"/>
      <c r="J89" s="256"/>
      <c r="K89" s="256"/>
      <c r="L89" s="256"/>
      <c r="M89" s="296"/>
      <c r="N89" s="256"/>
      <c r="O89" s="256"/>
      <c r="P89" s="256"/>
      <c r="Q89" s="256"/>
      <c r="R89" s="296"/>
      <c r="S89" s="256"/>
      <c r="T89" s="256"/>
      <c r="U89" s="256"/>
      <c r="V89" s="256"/>
      <c r="W89" s="296"/>
      <c r="X89" s="256"/>
      <c r="Y89" s="256"/>
      <c r="Z89" s="256"/>
      <c r="AA89" s="256"/>
      <c r="AB89" s="296"/>
      <c r="AC89" s="256"/>
      <c r="AD89" s="256"/>
      <c r="AE89" s="256"/>
      <c r="AF89" s="256"/>
      <c r="AG89" s="296"/>
      <c r="AH89" s="256"/>
      <c r="AI89" s="256"/>
      <c r="AJ89" s="256"/>
      <c r="AK89" s="256"/>
      <c r="AL89" s="296"/>
      <c r="AM89" s="256"/>
      <c r="AN89" s="256"/>
      <c r="AO89" s="256"/>
      <c r="AP89" s="256"/>
      <c r="AQ89" s="296"/>
      <c r="AR89" s="256"/>
      <c r="AS89" s="256"/>
      <c r="AT89" s="256"/>
      <c r="AU89" s="256"/>
      <c r="AV89" s="296"/>
      <c r="AW89" s="256"/>
      <c r="AX89" s="256"/>
      <c r="AY89" s="256"/>
      <c r="AZ89" s="256"/>
      <c r="BA89" s="296"/>
      <c r="BB89" s="256"/>
      <c r="BC89" s="256"/>
      <c r="BD89" s="256"/>
      <c r="BE89" s="256"/>
      <c r="BF89" s="296"/>
      <c r="BG89" s="340"/>
      <c r="BH89" s="340"/>
      <c r="BI89" s="340"/>
      <c r="BJ89" s="340"/>
      <c r="BK89" s="296"/>
      <c r="BL89" s="340"/>
      <c r="BM89" s="340"/>
      <c r="BN89" s="340"/>
      <c r="BO89" s="340"/>
      <c r="BP89" s="296"/>
      <c r="BQ89" s="239">
        <v>0</v>
      </c>
      <c r="BR89" s="318">
        <v>0</v>
      </c>
      <c r="BS89" s="318">
        <v>0</v>
      </c>
      <c r="BT89" s="318">
        <v>6.3E-2</v>
      </c>
      <c r="BU89" s="257">
        <f>SUM(BQ89:BT89)</f>
        <v>6.3E-2</v>
      </c>
      <c r="BV89" s="239">
        <v>0.01</v>
      </c>
      <c r="BW89" s="318">
        <v>2.3E-2</v>
      </c>
      <c r="BX89" s="318">
        <v>4.5999999999999999E-2</v>
      </c>
      <c r="BY89" s="318">
        <v>0.01</v>
      </c>
      <c r="BZ89" s="257">
        <f>SUM(BV89:BY89)</f>
        <v>8.8999999999999996E-2</v>
      </c>
      <c r="CA89" s="239">
        <v>3.5000000000000003E-2</v>
      </c>
      <c r="CB89" s="318">
        <v>4.5999999999999999E-2</v>
      </c>
      <c r="CC89" s="318">
        <v>3.6999999999999998E-2</v>
      </c>
      <c r="CD89" s="318">
        <v>6.0999999999999999E-2</v>
      </c>
      <c r="CE89" s="257">
        <f>SUM(CA89:CD89)</f>
        <v>0.17899999999999999</v>
      </c>
      <c r="CF89" s="239">
        <v>6.3E-2</v>
      </c>
      <c r="CG89" s="318">
        <v>5.2999999999999999E-2</v>
      </c>
      <c r="CH89" s="318">
        <v>3.6999999999999998E-2</v>
      </c>
      <c r="CI89" s="318">
        <v>5.6000000000000001E-2</v>
      </c>
      <c r="CJ89" s="257">
        <f>SUM(CF89:CI89)</f>
        <v>0.20899999999999999</v>
      </c>
      <c r="CK89" s="239">
        <v>0.1</v>
      </c>
      <c r="CL89" s="318">
        <v>0.13200000000000001</v>
      </c>
      <c r="CM89" s="318">
        <v>0.113</v>
      </c>
      <c r="CN89" s="318">
        <v>0.17299999999999999</v>
      </c>
      <c r="CO89" s="257">
        <f>SUM(CK89:CN89)</f>
        <v>0.51800000000000002</v>
      </c>
      <c r="CP89" s="239">
        <v>0.17599999999999999</v>
      </c>
      <c r="CQ89" s="318">
        <v>0.34100000000000003</v>
      </c>
      <c r="CR89" s="318">
        <v>0.247</v>
      </c>
      <c r="CS89" s="318">
        <v>0.22500000000000001</v>
      </c>
      <c r="CT89" s="257">
        <f>SUM(CP89:CS89)</f>
        <v>0.98899999999999999</v>
      </c>
      <c r="CU89" s="239">
        <v>0.33600000000000002</v>
      </c>
      <c r="CV89" s="239">
        <v>0.17199999999999999</v>
      </c>
      <c r="CW89" s="239">
        <v>0.28799999999999998</v>
      </c>
      <c r="CX89" s="239">
        <v>0.17</v>
      </c>
      <c r="CY89" s="257">
        <f>SUM(CU89:CX89)</f>
        <v>0.96600000000000008</v>
      </c>
      <c r="CZ89" s="239">
        <v>0.11600000000000001</v>
      </c>
      <c r="DA89" s="239">
        <v>0.05</v>
      </c>
      <c r="DB89" s="239">
        <v>6.7000000000000004E-2</v>
      </c>
      <c r="DC89" s="239">
        <v>7.1999999999999995E-2</v>
      </c>
      <c r="DD89" s="257">
        <f>SUM(CZ89:DC89)</f>
        <v>0.30499999999999999</v>
      </c>
      <c r="DE89" s="239">
        <v>0</v>
      </c>
      <c r="DF89" s="239">
        <v>0</v>
      </c>
      <c r="DG89" s="160">
        <f>+DG96-DG82</f>
        <v>0</v>
      </c>
      <c r="DH89" s="160">
        <f>+DH93-DH92-DH91-DH90</f>
        <v>0</v>
      </c>
      <c r="DI89" s="257">
        <f>SUM(DE89:DH89)</f>
        <v>0</v>
      </c>
      <c r="DJ89" s="160">
        <f>+DJ96-DJ82</f>
        <v>0</v>
      </c>
      <c r="DK89" s="160">
        <f>+DK96-DK82</f>
        <v>0</v>
      </c>
      <c r="DL89" s="160">
        <f>+DL96-DL82</f>
        <v>0</v>
      </c>
      <c r="DM89" s="160">
        <f ca="1">+DM93-DM92-DM91-DM90</f>
        <v>0</v>
      </c>
      <c r="DN89" s="257">
        <f ca="1">SUM(DJ89:DM89)</f>
        <v>0</v>
      </c>
      <c r="DO89" s="160">
        <f>+DO96-DO82</f>
        <v>0</v>
      </c>
      <c r="DP89" s="160">
        <f>+DP96-DP82</f>
        <v>0</v>
      </c>
      <c r="DQ89" s="160">
        <f>+DQ96-DQ82</f>
        <v>0</v>
      </c>
      <c r="DR89" s="160">
        <f>+DR93-DR92-DR91-DR90</f>
        <v>2</v>
      </c>
      <c r="DS89" s="257">
        <f>SUM(DO89:DR89)</f>
        <v>2</v>
      </c>
      <c r="DT89" s="160">
        <f>+DT96-DT82</f>
        <v>0</v>
      </c>
      <c r="DU89" s="160">
        <f>+DU96-DU82</f>
        <v>0</v>
      </c>
      <c r="DV89" s="120">
        <f t="shared" ref="DV89:DW92" ca="1" si="418">+$DN89/$DN$93*DV$93</f>
        <v>0</v>
      </c>
      <c r="DW89" s="120">
        <f t="shared" ca="1" si="418"/>
        <v>0</v>
      </c>
      <c r="DX89" s="257">
        <f ca="1">SUM(DT89:DW89)</f>
        <v>0</v>
      </c>
      <c r="DY89" s="120">
        <f t="shared" ref="DY89:EB92" ca="1" si="419">+$DN89/$DN$93*DY$93</f>
        <v>0</v>
      </c>
      <c r="DZ89" s="120">
        <f t="shared" ca="1" si="419"/>
        <v>0</v>
      </c>
      <c r="EA89" s="120">
        <f t="shared" ca="1" si="419"/>
        <v>0</v>
      </c>
      <c r="EB89" s="120">
        <f t="shared" ca="1" si="419"/>
        <v>0</v>
      </c>
      <c r="EC89" s="257">
        <f ca="1">SUM(DY89:EB89)</f>
        <v>0</v>
      </c>
      <c r="ED89" s="120">
        <f t="shared" ref="ED89:EG92" ca="1" si="420">+$DN89/$DN$93*ED$93</f>
        <v>0</v>
      </c>
      <c r="EE89" s="120">
        <f t="shared" ca="1" si="420"/>
        <v>0</v>
      </c>
      <c r="EF89" s="120">
        <f t="shared" ca="1" si="420"/>
        <v>0</v>
      </c>
      <c r="EG89" s="120">
        <f t="shared" ca="1" si="420"/>
        <v>0</v>
      </c>
      <c r="EH89" s="257">
        <f ca="1">SUM(ED89:EG89)</f>
        <v>0</v>
      </c>
      <c r="EI89" s="120">
        <f t="shared" ref="EI89:EL92" ca="1" si="421">+$DN89/$DN$93*EI$93</f>
        <v>0</v>
      </c>
      <c r="EJ89" s="120">
        <f t="shared" ca="1" si="421"/>
        <v>0</v>
      </c>
      <c r="EK89" s="120">
        <f t="shared" ca="1" si="421"/>
        <v>0</v>
      </c>
      <c r="EL89" s="120">
        <f t="shared" ca="1" si="421"/>
        <v>0</v>
      </c>
      <c r="EM89" s="257">
        <f ca="1">SUM(EI89:EL89)</f>
        <v>0</v>
      </c>
      <c r="EN89" s="120">
        <f t="shared" ref="EN89:EQ92" ca="1" si="422">+$DN89/$DN$93*EN$93</f>
        <v>0</v>
      </c>
      <c r="EO89" s="120">
        <f t="shared" ca="1" si="422"/>
        <v>0</v>
      </c>
      <c r="EP89" s="120">
        <f t="shared" ca="1" si="422"/>
        <v>0</v>
      </c>
      <c r="EQ89" s="120">
        <f t="shared" ca="1" si="422"/>
        <v>0</v>
      </c>
      <c r="ER89" s="257">
        <f ca="1">SUM(EN89:EQ89)</f>
        <v>0</v>
      </c>
      <c r="ES89" s="417"/>
      <c r="ET89" s="133"/>
    </row>
    <row r="90" spans="1:150" s="253" customFormat="1" ht="12" customHeight="1">
      <c r="A90" s="792"/>
      <c r="B90" s="792"/>
      <c r="C90" s="265" t="s">
        <v>141</v>
      </c>
      <c r="D90" s="296"/>
      <c r="E90" s="296"/>
      <c r="F90" s="296"/>
      <c r="G90" s="296"/>
      <c r="H90" s="296"/>
      <c r="I90" s="256"/>
      <c r="J90" s="256"/>
      <c r="K90" s="256"/>
      <c r="L90" s="256"/>
      <c r="M90" s="296"/>
      <c r="N90" s="256"/>
      <c r="O90" s="256"/>
      <c r="P90" s="256"/>
      <c r="Q90" s="256"/>
      <c r="R90" s="296"/>
      <c r="S90" s="256"/>
      <c r="T90" s="256"/>
      <c r="U90" s="256"/>
      <c r="V90" s="256"/>
      <c r="W90" s="296"/>
      <c r="X90" s="256"/>
      <c r="Y90" s="256"/>
      <c r="Z90" s="256"/>
      <c r="AA90" s="256"/>
      <c r="AB90" s="296"/>
      <c r="AC90" s="256"/>
      <c r="AD90" s="256"/>
      <c r="AE90" s="256"/>
      <c r="AF90" s="256"/>
      <c r="AG90" s="296"/>
      <c r="AH90" s="256"/>
      <c r="AI90" s="256"/>
      <c r="AJ90" s="256"/>
      <c r="AK90" s="256"/>
      <c r="AL90" s="296"/>
      <c r="AM90" s="256"/>
      <c r="AN90" s="256"/>
      <c r="AO90" s="256"/>
      <c r="AP90" s="256"/>
      <c r="AQ90" s="296"/>
      <c r="AR90" s="256"/>
      <c r="AS90" s="256"/>
      <c r="AT90" s="256"/>
      <c r="AU90" s="256"/>
      <c r="AV90" s="296"/>
      <c r="AW90" s="256"/>
      <c r="AX90" s="256"/>
      <c r="AY90" s="256"/>
      <c r="AZ90" s="256"/>
      <c r="BA90" s="296"/>
      <c r="BB90" s="256"/>
      <c r="BC90" s="256"/>
      <c r="BD90" s="256"/>
      <c r="BE90" s="256"/>
      <c r="BF90" s="296"/>
      <c r="BG90" s="340"/>
      <c r="BH90" s="340"/>
      <c r="BI90" s="340"/>
      <c r="BJ90" s="340"/>
      <c r="BK90" s="296"/>
      <c r="BL90" s="340"/>
      <c r="BM90" s="340"/>
      <c r="BN90" s="340"/>
      <c r="BO90" s="340"/>
      <c r="BP90" s="296"/>
      <c r="BQ90" s="239">
        <v>0</v>
      </c>
      <c r="BR90" s="318">
        <v>0</v>
      </c>
      <c r="BS90" s="318">
        <v>0</v>
      </c>
      <c r="BT90" s="318">
        <v>0.252</v>
      </c>
      <c r="BU90" s="257">
        <f>SUM(BQ90:BT90)</f>
        <v>0.252</v>
      </c>
      <c r="BV90" s="239">
        <v>4.1000000000000002E-2</v>
      </c>
      <c r="BW90" s="318">
        <v>8.3000000000000004E-2</v>
      </c>
      <c r="BX90" s="318">
        <v>0.245</v>
      </c>
      <c r="BY90" s="318">
        <v>0.124</v>
      </c>
      <c r="BZ90" s="257">
        <f>SUM(BV90:BY90)</f>
        <v>0.49299999999999999</v>
      </c>
      <c r="CA90" s="239">
        <v>0.17899999999999999</v>
      </c>
      <c r="CB90" s="318">
        <v>0.30099999999999999</v>
      </c>
      <c r="CC90" s="318">
        <v>0.16400000000000001</v>
      </c>
      <c r="CD90" s="318">
        <v>0.246</v>
      </c>
      <c r="CE90" s="257">
        <f>SUM(CA90:CD90)</f>
        <v>0.89</v>
      </c>
      <c r="CF90" s="239">
        <v>0.73099999999999998</v>
      </c>
      <c r="CG90" s="318">
        <v>0.52700000000000002</v>
      </c>
      <c r="CH90" s="318">
        <v>0.38200000000000001</v>
      </c>
      <c r="CI90" s="318">
        <v>0.48799999999999999</v>
      </c>
      <c r="CJ90" s="257">
        <f>SUM(CF90:CI90)</f>
        <v>2.1280000000000001</v>
      </c>
      <c r="CK90" s="239">
        <v>0.81</v>
      </c>
      <c r="CL90" s="318">
        <v>1.1020000000000001</v>
      </c>
      <c r="CM90" s="318">
        <v>0.98499999999999999</v>
      </c>
      <c r="CN90" s="318">
        <v>1.353</v>
      </c>
      <c r="CO90" s="257">
        <f>SUM(CK90:CN90)</f>
        <v>4.25</v>
      </c>
      <c r="CP90" s="239">
        <v>1.2270000000000001</v>
      </c>
      <c r="CQ90" s="318">
        <v>1.8180000000000001</v>
      </c>
      <c r="CR90" s="318">
        <v>1.387</v>
      </c>
      <c r="CS90" s="318">
        <v>1.278</v>
      </c>
      <c r="CT90" s="257">
        <f>SUM(CP90:CS90)</f>
        <v>5.7100000000000009</v>
      </c>
      <c r="CU90" s="239">
        <v>2.032</v>
      </c>
      <c r="CV90" s="239">
        <v>1.319</v>
      </c>
      <c r="CW90" s="239">
        <v>1.3440000000000001</v>
      </c>
      <c r="CX90" s="239">
        <v>1.042</v>
      </c>
      <c r="CY90" s="257">
        <f>SUM(CU90:CX90)</f>
        <v>5.7370000000000001</v>
      </c>
      <c r="CZ90" s="239">
        <v>0.48</v>
      </c>
      <c r="DA90" s="239">
        <v>0.20200000000000001</v>
      </c>
      <c r="DB90" s="239">
        <v>0.45200000000000001</v>
      </c>
      <c r="DC90" s="239">
        <v>0.307</v>
      </c>
      <c r="DD90" s="257">
        <f>SUM(CZ90:DC90)</f>
        <v>1.4409999999999998</v>
      </c>
      <c r="DE90" s="239">
        <v>1</v>
      </c>
      <c r="DF90" s="239">
        <v>1</v>
      </c>
      <c r="DG90" s="160">
        <f t="shared" ref="DG90:DG92" si="423">+DG97-DG83</f>
        <v>1</v>
      </c>
      <c r="DH90" s="1206">
        <v>1</v>
      </c>
      <c r="DI90" s="257">
        <f>SUM(DE90:DH90)</f>
        <v>4</v>
      </c>
      <c r="DJ90" s="160">
        <f t="shared" ref="DJ90:DK90" si="424">+DJ97-DJ83</f>
        <v>1</v>
      </c>
      <c r="DK90" s="160">
        <f t="shared" si="424"/>
        <v>0</v>
      </c>
      <c r="DL90" s="160">
        <f t="shared" ref="DL90" si="425">+DL97-DL83</f>
        <v>1</v>
      </c>
      <c r="DM90" s="1206">
        <v>1</v>
      </c>
      <c r="DN90" s="257">
        <f>SUM(DJ90:DM90)</f>
        <v>3</v>
      </c>
      <c r="DO90" s="160">
        <f t="shared" ref="DO90:DP92" si="426">+DO97-DO83</f>
        <v>1</v>
      </c>
      <c r="DP90" s="160">
        <f t="shared" si="426"/>
        <v>1</v>
      </c>
      <c r="DQ90" s="160">
        <f t="shared" ref="DQ90" si="427">+DQ97-DQ83</f>
        <v>1</v>
      </c>
      <c r="DR90" s="160">
        <v>1</v>
      </c>
      <c r="DS90" s="257">
        <f>SUM(DO90:DR90)</f>
        <v>4</v>
      </c>
      <c r="DT90" s="160">
        <f t="shared" ref="DT90:DU90" si="428">+DT97-DT83</f>
        <v>1</v>
      </c>
      <c r="DU90" s="160">
        <f t="shared" si="428"/>
        <v>0</v>
      </c>
      <c r="DV90" s="120">
        <f t="shared" ca="1" si="418"/>
        <v>1.2272727272727271</v>
      </c>
      <c r="DW90" s="120">
        <f t="shared" ca="1" si="418"/>
        <v>1.3636363636363635</v>
      </c>
      <c r="DX90" s="257">
        <f ca="1">SUM(DT90:DW90)</f>
        <v>3.5909090909090908</v>
      </c>
      <c r="DY90" s="120">
        <f t="shared" ca="1" si="419"/>
        <v>0.81818181818181812</v>
      </c>
      <c r="DZ90" s="120">
        <f t="shared" ca="1" si="419"/>
        <v>0.68181818181818177</v>
      </c>
      <c r="EA90" s="120">
        <f t="shared" ca="1" si="419"/>
        <v>1.2272727272727271</v>
      </c>
      <c r="EB90" s="120">
        <f t="shared" ca="1" si="419"/>
        <v>1.3636363636363635</v>
      </c>
      <c r="EC90" s="257">
        <f ca="1">SUM(DY90:EB90)</f>
        <v>4.0909090909090908</v>
      </c>
      <c r="ED90" s="120">
        <f t="shared" ca="1" si="420"/>
        <v>0.81818181818181812</v>
      </c>
      <c r="EE90" s="120">
        <f t="shared" ca="1" si="420"/>
        <v>0.68181818181818177</v>
      </c>
      <c r="EF90" s="120">
        <f t="shared" ca="1" si="420"/>
        <v>1.2272727272727271</v>
      </c>
      <c r="EG90" s="120">
        <f t="shared" ca="1" si="420"/>
        <v>1.3636363636363635</v>
      </c>
      <c r="EH90" s="257">
        <f ca="1">SUM(ED90:EG90)</f>
        <v>4.0909090909090908</v>
      </c>
      <c r="EI90" s="120">
        <f t="shared" ca="1" si="421"/>
        <v>0.81818181818181812</v>
      </c>
      <c r="EJ90" s="120">
        <f t="shared" ca="1" si="421"/>
        <v>0.68181818181818177</v>
      </c>
      <c r="EK90" s="120">
        <f t="shared" ca="1" si="421"/>
        <v>1.2272727272727271</v>
      </c>
      <c r="EL90" s="120">
        <f t="shared" ca="1" si="421"/>
        <v>1.3636363636363635</v>
      </c>
      <c r="EM90" s="257">
        <f ca="1">SUM(EI90:EL90)</f>
        <v>4.0909090909090908</v>
      </c>
      <c r="EN90" s="120">
        <f t="shared" ca="1" si="422"/>
        <v>0.81818181818181812</v>
      </c>
      <c r="EO90" s="120">
        <f t="shared" ca="1" si="422"/>
        <v>0.68181818181818177</v>
      </c>
      <c r="EP90" s="120">
        <f t="shared" ca="1" si="422"/>
        <v>1.2272727272727271</v>
      </c>
      <c r="EQ90" s="120">
        <f t="shared" ca="1" si="422"/>
        <v>1.3636363636363635</v>
      </c>
      <c r="ER90" s="257">
        <f ca="1">SUM(EN90:EQ90)</f>
        <v>4.0909090909090908</v>
      </c>
      <c r="ES90" s="417"/>
      <c r="ET90" s="133"/>
    </row>
    <row r="91" spans="1:150" s="253" customFormat="1" ht="12" customHeight="1">
      <c r="A91" s="792"/>
      <c r="B91" s="792"/>
      <c r="C91" s="265" t="s">
        <v>222</v>
      </c>
      <c r="D91" s="296"/>
      <c r="E91" s="296"/>
      <c r="F91" s="296"/>
      <c r="G91" s="296"/>
      <c r="H91" s="296"/>
      <c r="I91" s="256"/>
      <c r="J91" s="256"/>
      <c r="K91" s="256"/>
      <c r="L91" s="256"/>
      <c r="M91" s="296"/>
      <c r="N91" s="256"/>
      <c r="O91" s="256"/>
      <c r="P91" s="256"/>
      <c r="Q91" s="256"/>
      <c r="R91" s="296"/>
      <c r="S91" s="256"/>
      <c r="T91" s="256"/>
      <c r="U91" s="256"/>
      <c r="V91" s="256"/>
      <c r="W91" s="296"/>
      <c r="X91" s="256"/>
      <c r="Y91" s="256"/>
      <c r="Z91" s="256"/>
      <c r="AA91" s="256"/>
      <c r="AB91" s="296"/>
      <c r="AC91" s="256"/>
      <c r="AD91" s="256"/>
      <c r="AE91" s="256"/>
      <c r="AF91" s="256"/>
      <c r="AG91" s="296"/>
      <c r="AH91" s="256"/>
      <c r="AI91" s="256"/>
      <c r="AJ91" s="256"/>
      <c r="AK91" s="256"/>
      <c r="AL91" s="296"/>
      <c r="AM91" s="256"/>
      <c r="AN91" s="256"/>
      <c r="AO91" s="256"/>
      <c r="AP91" s="256"/>
      <c r="AQ91" s="296"/>
      <c r="AR91" s="256"/>
      <c r="AS91" s="256"/>
      <c r="AT91" s="256"/>
      <c r="AU91" s="256"/>
      <c r="AV91" s="296"/>
      <c r="AW91" s="256"/>
      <c r="AX91" s="256"/>
      <c r="AY91" s="256"/>
      <c r="AZ91" s="256"/>
      <c r="BA91" s="296"/>
      <c r="BB91" s="256"/>
      <c r="BC91" s="256"/>
      <c r="BD91" s="256"/>
      <c r="BE91" s="256"/>
      <c r="BF91" s="296"/>
      <c r="BG91" s="340"/>
      <c r="BH91" s="340"/>
      <c r="BI91" s="340"/>
      <c r="BJ91" s="340"/>
      <c r="BK91" s="296"/>
      <c r="BL91" s="340"/>
      <c r="BM91" s="340"/>
      <c r="BN91" s="340"/>
      <c r="BO91" s="340"/>
      <c r="BP91" s="296"/>
      <c r="BQ91" s="239">
        <v>0</v>
      </c>
      <c r="BR91" s="318">
        <v>0</v>
      </c>
      <c r="BS91" s="318">
        <v>0</v>
      </c>
      <c r="BT91" s="318">
        <v>1.8640000000000001</v>
      </c>
      <c r="BU91" s="257">
        <f>SUM(BQ91:BT91)</f>
        <v>1.8640000000000001</v>
      </c>
      <c r="BV91" s="239">
        <v>0.26100000000000001</v>
      </c>
      <c r="BW91" s="318">
        <v>0.22</v>
      </c>
      <c r="BX91" s="318">
        <v>0.33900000000000002</v>
      </c>
      <c r="BY91" s="318">
        <v>0.23</v>
      </c>
      <c r="BZ91" s="257">
        <f>SUM(BV91:BY91)</f>
        <v>1.05</v>
      </c>
      <c r="CA91" s="239">
        <v>0.48499999999999999</v>
      </c>
      <c r="CB91" s="318">
        <v>0.82</v>
      </c>
      <c r="CC91" s="318">
        <v>0.72899999999999998</v>
      </c>
      <c r="CD91" s="318">
        <v>1.19</v>
      </c>
      <c r="CE91" s="257">
        <f>SUM(CA91:CD91)</f>
        <v>3.2239999999999998</v>
      </c>
      <c r="CF91" s="239">
        <v>1.0509999999999999</v>
      </c>
      <c r="CG91" s="318">
        <v>1.5820000000000001</v>
      </c>
      <c r="CH91" s="318">
        <v>0.95</v>
      </c>
      <c r="CI91" s="318">
        <v>0.82799999999999996</v>
      </c>
      <c r="CJ91" s="257">
        <f>SUM(CF91:CI91)</f>
        <v>4.4110000000000005</v>
      </c>
      <c r="CK91" s="239">
        <v>1.8080000000000001</v>
      </c>
      <c r="CL91" s="318">
        <v>3.4649999999999999</v>
      </c>
      <c r="CM91" s="318">
        <v>2.7770000000000001</v>
      </c>
      <c r="CN91" s="318">
        <v>3.0459999999999998</v>
      </c>
      <c r="CO91" s="257">
        <f>SUM(CK91:CN91)</f>
        <v>11.096</v>
      </c>
      <c r="CP91" s="239">
        <v>3.8170000000000002</v>
      </c>
      <c r="CQ91" s="318">
        <v>10.464</v>
      </c>
      <c r="CR91" s="318">
        <v>8.3339999999999996</v>
      </c>
      <c r="CS91" s="318">
        <v>11.515000000000001</v>
      </c>
      <c r="CT91" s="257">
        <f>SUM(CP91:CS91)</f>
        <v>34.130000000000003</v>
      </c>
      <c r="CU91" s="239">
        <v>11.738</v>
      </c>
      <c r="CV91" s="239">
        <v>7.2409999999999997</v>
      </c>
      <c r="CW91" s="239">
        <v>9.6460000000000008</v>
      </c>
      <c r="CX91" s="239">
        <v>6.9690000000000003</v>
      </c>
      <c r="CY91" s="257">
        <f>SUM(CU91:CX91)</f>
        <v>35.594000000000001</v>
      </c>
      <c r="CZ91" s="239">
        <v>3.2730000000000001</v>
      </c>
      <c r="DA91" s="239">
        <v>1.1950000000000001</v>
      </c>
      <c r="DB91" s="239">
        <v>2.8479999999999999</v>
      </c>
      <c r="DC91" s="239">
        <v>2.1509999999999998</v>
      </c>
      <c r="DD91" s="257">
        <f>SUM(CZ91:DC91)</f>
        <v>9.4669999999999987</v>
      </c>
      <c r="DE91" s="239">
        <v>5</v>
      </c>
      <c r="DF91" s="239">
        <v>4</v>
      </c>
      <c r="DG91" s="160">
        <f t="shared" si="423"/>
        <v>3</v>
      </c>
      <c r="DH91" s="1206">
        <v>3</v>
      </c>
      <c r="DI91" s="257">
        <f>SUM(DE91:DH91)</f>
        <v>15</v>
      </c>
      <c r="DJ91" s="160">
        <f t="shared" ref="DJ91:DK91" si="429">+DJ98-DJ84</f>
        <v>4</v>
      </c>
      <c r="DK91" s="160">
        <f t="shared" si="429"/>
        <v>3</v>
      </c>
      <c r="DL91" s="160">
        <f t="shared" ref="DL91" si="430">+DL98-DL84</f>
        <v>3</v>
      </c>
      <c r="DM91" s="1206">
        <v>6</v>
      </c>
      <c r="DN91" s="257">
        <f>SUM(DJ91:DM91)</f>
        <v>16</v>
      </c>
      <c r="DO91" s="160">
        <f t="shared" si="426"/>
        <v>5</v>
      </c>
      <c r="DP91" s="160">
        <f t="shared" si="426"/>
        <v>5</v>
      </c>
      <c r="DQ91" s="160">
        <f t="shared" ref="DQ91" si="431">+DQ98-DQ84</f>
        <v>5</v>
      </c>
      <c r="DR91" s="160">
        <v>6</v>
      </c>
      <c r="DS91" s="257">
        <f>SUM(DO91:DR91)</f>
        <v>21</v>
      </c>
      <c r="DT91" s="160">
        <f t="shared" ref="DT91:DU91" si="432">+DT98-DT84</f>
        <v>4</v>
      </c>
      <c r="DU91" s="160">
        <f t="shared" si="432"/>
        <v>4</v>
      </c>
      <c r="DV91" s="120">
        <f t="shared" ca="1" si="418"/>
        <v>6.5454545454545459</v>
      </c>
      <c r="DW91" s="120">
        <f t="shared" ca="1" si="418"/>
        <v>7.2727272727272734</v>
      </c>
      <c r="DX91" s="257">
        <f ca="1">SUM(DT91:DW91)</f>
        <v>21.81818181818182</v>
      </c>
      <c r="DY91" s="120">
        <f t="shared" ca="1" si="419"/>
        <v>4.3636363636363633</v>
      </c>
      <c r="DZ91" s="120">
        <f t="shared" ca="1" si="419"/>
        <v>3.6363636363636367</v>
      </c>
      <c r="EA91" s="120">
        <f t="shared" ca="1" si="419"/>
        <v>6.5454545454545459</v>
      </c>
      <c r="EB91" s="120">
        <f t="shared" ca="1" si="419"/>
        <v>7.2727272727272734</v>
      </c>
      <c r="EC91" s="257">
        <f ca="1">SUM(DY91:EB91)</f>
        <v>21.81818181818182</v>
      </c>
      <c r="ED91" s="120">
        <f t="shared" ca="1" si="420"/>
        <v>4.3636363636363633</v>
      </c>
      <c r="EE91" s="120">
        <f t="shared" ca="1" si="420"/>
        <v>3.6363636363636367</v>
      </c>
      <c r="EF91" s="120">
        <f t="shared" ca="1" si="420"/>
        <v>6.5454545454545459</v>
      </c>
      <c r="EG91" s="120">
        <f t="shared" ca="1" si="420"/>
        <v>7.2727272727272734</v>
      </c>
      <c r="EH91" s="257">
        <f ca="1">SUM(ED91:EG91)</f>
        <v>21.81818181818182</v>
      </c>
      <c r="EI91" s="120">
        <f t="shared" ca="1" si="421"/>
        <v>4.3636363636363633</v>
      </c>
      <c r="EJ91" s="120">
        <f t="shared" ca="1" si="421"/>
        <v>3.6363636363636367</v>
      </c>
      <c r="EK91" s="120">
        <f t="shared" ca="1" si="421"/>
        <v>6.5454545454545459</v>
      </c>
      <c r="EL91" s="120">
        <f t="shared" ca="1" si="421"/>
        <v>7.2727272727272734</v>
      </c>
      <c r="EM91" s="257">
        <f ca="1">SUM(EI91:EL91)</f>
        <v>21.81818181818182</v>
      </c>
      <c r="EN91" s="120">
        <f t="shared" ca="1" si="422"/>
        <v>4.3636363636363633</v>
      </c>
      <c r="EO91" s="120">
        <f t="shared" ca="1" si="422"/>
        <v>3.6363636363636367</v>
      </c>
      <c r="EP91" s="120">
        <f t="shared" ca="1" si="422"/>
        <v>6.5454545454545459</v>
      </c>
      <c r="EQ91" s="120">
        <f t="shared" ca="1" si="422"/>
        <v>7.2727272727272734</v>
      </c>
      <c r="ER91" s="257">
        <f ca="1">SUM(EN91:EQ91)</f>
        <v>21.81818181818182</v>
      </c>
      <c r="ES91" s="417"/>
      <c r="ET91" s="133"/>
    </row>
    <row r="92" spans="1:150" s="253" customFormat="1" ht="12" customHeight="1">
      <c r="A92" s="792"/>
      <c r="B92" s="792"/>
      <c r="C92" s="331" t="s">
        <v>142</v>
      </c>
      <c r="D92" s="296"/>
      <c r="E92" s="296"/>
      <c r="F92" s="296"/>
      <c r="G92" s="296"/>
      <c r="H92" s="296"/>
      <c r="I92" s="256"/>
      <c r="J92" s="256"/>
      <c r="K92" s="256"/>
      <c r="L92" s="256"/>
      <c r="M92" s="296"/>
      <c r="N92" s="256"/>
      <c r="O92" s="256"/>
      <c r="P92" s="256"/>
      <c r="Q92" s="256"/>
      <c r="R92" s="296"/>
      <c r="S92" s="256"/>
      <c r="T92" s="256"/>
      <c r="U92" s="256"/>
      <c r="V92" s="256"/>
      <c r="W92" s="296"/>
      <c r="X92" s="256"/>
      <c r="Y92" s="256"/>
      <c r="Z92" s="256"/>
      <c r="AA92" s="256"/>
      <c r="AB92" s="296"/>
      <c r="AC92" s="256"/>
      <c r="AD92" s="256"/>
      <c r="AE92" s="256"/>
      <c r="AF92" s="256"/>
      <c r="AG92" s="296"/>
      <c r="AH92" s="256"/>
      <c r="AI92" s="256"/>
      <c r="AJ92" s="256"/>
      <c r="AK92" s="256"/>
      <c r="AL92" s="296"/>
      <c r="AM92" s="256"/>
      <c r="AN92" s="256"/>
      <c r="AO92" s="256"/>
      <c r="AP92" s="256"/>
      <c r="AQ92" s="296"/>
      <c r="AR92" s="256"/>
      <c r="AS92" s="256"/>
      <c r="AT92" s="256"/>
      <c r="AU92" s="256"/>
      <c r="AV92" s="296"/>
      <c r="AW92" s="256"/>
      <c r="AX92" s="256"/>
      <c r="AY92" s="256"/>
      <c r="AZ92" s="256"/>
      <c r="BA92" s="296"/>
      <c r="BB92" s="256"/>
      <c r="BC92" s="256"/>
      <c r="BD92" s="256"/>
      <c r="BE92" s="256"/>
      <c r="BF92" s="296"/>
      <c r="BG92" s="340"/>
      <c r="BH92" s="340"/>
      <c r="BI92" s="340"/>
      <c r="BJ92" s="340"/>
      <c r="BK92" s="296"/>
      <c r="BL92" s="340"/>
      <c r="BM92" s="340"/>
      <c r="BN92" s="340"/>
      <c r="BO92" s="340"/>
      <c r="BP92" s="296"/>
      <c r="BQ92" s="334">
        <v>0</v>
      </c>
      <c r="BR92" s="342">
        <v>0</v>
      </c>
      <c r="BS92" s="342">
        <v>0</v>
      </c>
      <c r="BT92" s="342">
        <v>0.151</v>
      </c>
      <c r="BU92" s="335">
        <f>SUM(BQ92:BT92)</f>
        <v>0.151</v>
      </c>
      <c r="BV92" s="334">
        <v>0.02</v>
      </c>
      <c r="BW92" s="342">
        <v>3.5999999999999997E-2</v>
      </c>
      <c r="BX92" s="342">
        <v>0.16600000000000001</v>
      </c>
      <c r="BY92" s="342">
        <v>7.1999999999999995E-2</v>
      </c>
      <c r="BZ92" s="335">
        <f>SUM(BV92:BY92)</f>
        <v>0.29399999999999998</v>
      </c>
      <c r="CA92" s="334">
        <v>0.24099999999999999</v>
      </c>
      <c r="CB92" s="342">
        <v>0.20100000000000001</v>
      </c>
      <c r="CC92" s="342">
        <v>8.3000000000000004E-2</v>
      </c>
      <c r="CD92" s="342">
        <v>1.222</v>
      </c>
      <c r="CE92" s="335">
        <f>SUM(CA92:CD92)</f>
        <v>1.7469999999999999</v>
      </c>
      <c r="CF92" s="334">
        <v>0.34499999999999997</v>
      </c>
      <c r="CG92" s="342">
        <v>0.14000000000000001</v>
      </c>
      <c r="CH92" s="342">
        <v>0.17399999999999999</v>
      </c>
      <c r="CI92" s="342">
        <v>0.63500000000000001</v>
      </c>
      <c r="CJ92" s="335">
        <f>SUM(CF92:CI92)</f>
        <v>1.294</v>
      </c>
      <c r="CK92" s="334">
        <v>0.53100000000000003</v>
      </c>
      <c r="CL92" s="342">
        <v>0.46200000000000002</v>
      </c>
      <c r="CM92" s="342">
        <v>0.59199999999999997</v>
      </c>
      <c r="CN92" s="342">
        <v>0.85799999999999998</v>
      </c>
      <c r="CO92" s="335">
        <f>SUM(CK92:CN92)</f>
        <v>2.4430000000000001</v>
      </c>
      <c r="CP92" s="334">
        <v>0.97399999999999998</v>
      </c>
      <c r="CQ92" s="342">
        <v>1.52</v>
      </c>
      <c r="CR92" s="342">
        <v>1.627</v>
      </c>
      <c r="CS92" s="342">
        <v>2.4159999999999999</v>
      </c>
      <c r="CT92" s="335">
        <f>SUM(CP92:CS92)</f>
        <v>6.536999999999999</v>
      </c>
      <c r="CU92" s="334">
        <v>3.706</v>
      </c>
      <c r="CV92" s="334">
        <v>1.8560000000000001</v>
      </c>
      <c r="CW92" s="334">
        <v>15.52</v>
      </c>
      <c r="CX92" s="334">
        <v>2.907</v>
      </c>
      <c r="CY92" s="335">
        <f>SUM(CU92:CX92)</f>
        <v>23.989000000000001</v>
      </c>
      <c r="CZ92" s="334">
        <v>1.3360000000000001</v>
      </c>
      <c r="DA92" s="334">
        <v>0.245</v>
      </c>
      <c r="DB92" s="334">
        <v>0.29399999999999998</v>
      </c>
      <c r="DC92" s="334">
        <v>0.63100000000000001</v>
      </c>
      <c r="DD92" s="335">
        <f>SUM(CZ92:DC92)</f>
        <v>2.5060000000000002</v>
      </c>
      <c r="DE92" s="334">
        <v>6</v>
      </c>
      <c r="DF92" s="334">
        <v>1</v>
      </c>
      <c r="DG92" s="160">
        <f t="shared" si="423"/>
        <v>1</v>
      </c>
      <c r="DH92" s="1206">
        <v>1</v>
      </c>
      <c r="DI92" s="335">
        <f>SUM(DE92:DH92)</f>
        <v>9</v>
      </c>
      <c r="DJ92" s="160">
        <f t="shared" ref="DJ92:DK92" si="433">+DJ99-DJ85</f>
        <v>1</v>
      </c>
      <c r="DK92" s="160">
        <f t="shared" si="433"/>
        <v>0</v>
      </c>
      <c r="DL92" s="160">
        <f t="shared" ref="DL92" si="434">+DL99-DL85</f>
        <v>1</v>
      </c>
      <c r="DM92" s="1206">
        <v>1</v>
      </c>
      <c r="DN92" s="335">
        <f>SUM(DJ92:DM92)</f>
        <v>3</v>
      </c>
      <c r="DO92" s="160">
        <f t="shared" si="426"/>
        <v>3</v>
      </c>
      <c r="DP92" s="160">
        <f t="shared" si="426"/>
        <v>1</v>
      </c>
      <c r="DQ92" s="160">
        <f t="shared" ref="DQ92" si="435">+DQ99-DQ85</f>
        <v>3</v>
      </c>
      <c r="DR92" s="160">
        <v>1</v>
      </c>
      <c r="DS92" s="335">
        <f>SUM(DO92:DR92)</f>
        <v>8</v>
      </c>
      <c r="DT92" s="160">
        <f t="shared" ref="DT92:DU92" si="436">+DT99-DT85</f>
        <v>1</v>
      </c>
      <c r="DU92" s="160">
        <f t="shared" si="436"/>
        <v>1</v>
      </c>
      <c r="DV92" s="120">
        <f t="shared" ca="1" si="418"/>
        <v>1.2272727272727271</v>
      </c>
      <c r="DW92" s="120">
        <f t="shared" ca="1" si="418"/>
        <v>1.3636363636363635</v>
      </c>
      <c r="DX92" s="335">
        <f ca="1">SUM(DT92:DW92)</f>
        <v>4.5909090909090908</v>
      </c>
      <c r="DY92" s="120">
        <f t="shared" ca="1" si="419"/>
        <v>0.81818181818181812</v>
      </c>
      <c r="DZ92" s="120">
        <f t="shared" ca="1" si="419"/>
        <v>0.68181818181818177</v>
      </c>
      <c r="EA92" s="120">
        <f t="shared" ca="1" si="419"/>
        <v>1.2272727272727271</v>
      </c>
      <c r="EB92" s="120">
        <f t="shared" ca="1" si="419"/>
        <v>1.3636363636363635</v>
      </c>
      <c r="EC92" s="335">
        <f ca="1">SUM(DY92:EB92)</f>
        <v>4.0909090909090908</v>
      </c>
      <c r="ED92" s="120">
        <f t="shared" ca="1" si="420"/>
        <v>0.81818181818181812</v>
      </c>
      <c r="EE92" s="120">
        <f t="shared" ca="1" si="420"/>
        <v>0.68181818181818177</v>
      </c>
      <c r="EF92" s="120">
        <f t="shared" ca="1" si="420"/>
        <v>1.2272727272727271</v>
      </c>
      <c r="EG92" s="120">
        <f t="shared" ca="1" si="420"/>
        <v>1.3636363636363635</v>
      </c>
      <c r="EH92" s="335">
        <f ca="1">SUM(ED92:EG92)</f>
        <v>4.0909090909090908</v>
      </c>
      <c r="EI92" s="120">
        <f t="shared" ca="1" si="421"/>
        <v>0.81818181818181812</v>
      </c>
      <c r="EJ92" s="120">
        <f t="shared" ca="1" si="421"/>
        <v>0.68181818181818177</v>
      </c>
      <c r="EK92" s="120">
        <f t="shared" ca="1" si="421"/>
        <v>1.2272727272727271</v>
      </c>
      <c r="EL92" s="120">
        <f t="shared" ca="1" si="421"/>
        <v>1.3636363636363635</v>
      </c>
      <c r="EM92" s="335">
        <f ca="1">SUM(EI92:EL92)</f>
        <v>4.0909090909090908</v>
      </c>
      <c r="EN92" s="120">
        <f t="shared" ca="1" si="422"/>
        <v>0.81818181818181812</v>
      </c>
      <c r="EO92" s="120">
        <f t="shared" ca="1" si="422"/>
        <v>0.68181818181818177</v>
      </c>
      <c r="EP92" s="120">
        <f t="shared" ca="1" si="422"/>
        <v>1.2272727272727271</v>
      </c>
      <c r="EQ92" s="120">
        <f t="shared" ca="1" si="422"/>
        <v>1.3636363636363635</v>
      </c>
      <c r="ER92" s="335">
        <f ca="1">SUM(EN92:EQ92)</f>
        <v>4.0909090909090908</v>
      </c>
      <c r="ES92" s="918"/>
      <c r="ET92" s="133"/>
    </row>
    <row r="93" spans="1:150" s="253" customFormat="1" ht="12" customHeight="1">
      <c r="A93" s="792"/>
      <c r="B93" s="792"/>
      <c r="C93" s="1363" t="s">
        <v>227</v>
      </c>
      <c r="D93" s="1209"/>
      <c r="E93" s="1209"/>
      <c r="F93" s="1209"/>
      <c r="G93" s="1209"/>
      <c r="H93" s="1209"/>
      <c r="I93" s="1364"/>
      <c r="J93" s="1364"/>
      <c r="K93" s="1364"/>
      <c r="L93" s="1364"/>
      <c r="M93" s="1209"/>
      <c r="N93" s="1364"/>
      <c r="O93" s="1364"/>
      <c r="P93" s="1364"/>
      <c r="Q93" s="1364"/>
      <c r="R93" s="1209"/>
      <c r="S93" s="1364"/>
      <c r="T93" s="1364"/>
      <c r="U93" s="1364"/>
      <c r="V93" s="1364"/>
      <c r="W93" s="1209"/>
      <c r="X93" s="1364"/>
      <c r="Y93" s="1364"/>
      <c r="Z93" s="1364"/>
      <c r="AA93" s="1364"/>
      <c r="AB93" s="1209"/>
      <c r="AC93" s="1364"/>
      <c r="AD93" s="1364"/>
      <c r="AE93" s="1364"/>
      <c r="AF93" s="1364"/>
      <c r="AG93" s="1209"/>
      <c r="AH93" s="1364"/>
      <c r="AI93" s="1364"/>
      <c r="AJ93" s="1364"/>
      <c r="AK93" s="1364"/>
      <c r="AL93" s="1209"/>
      <c r="AM93" s="1364"/>
      <c r="AN93" s="1364"/>
      <c r="AO93" s="1364"/>
      <c r="AP93" s="1364"/>
      <c r="AQ93" s="1209"/>
      <c r="AR93" s="1364"/>
      <c r="AS93" s="1364"/>
      <c r="AT93" s="1364"/>
      <c r="AU93" s="1364"/>
      <c r="AV93" s="1209"/>
      <c r="AW93" s="1364"/>
      <c r="AX93" s="1364"/>
      <c r="AY93" s="1364"/>
      <c r="AZ93" s="1364"/>
      <c r="BA93" s="1209"/>
      <c r="BB93" s="1364"/>
      <c r="BC93" s="1364"/>
      <c r="BD93" s="1364"/>
      <c r="BE93" s="1364"/>
      <c r="BF93" s="1209"/>
      <c r="BG93" s="1365"/>
      <c r="BH93" s="1365"/>
      <c r="BI93" s="1365"/>
      <c r="BJ93" s="1365"/>
      <c r="BK93" s="1209"/>
      <c r="BL93" s="1365"/>
      <c r="BM93" s="1365"/>
      <c r="BN93" s="1365"/>
      <c r="BO93" s="1365"/>
      <c r="BP93" s="1209"/>
      <c r="BQ93" s="1366">
        <f>SUM(BQ89:BQ92)</f>
        <v>0</v>
      </c>
      <c r="BR93" s="1367">
        <f>SUM(BR89:BR92)</f>
        <v>0</v>
      </c>
      <c r="BS93" s="1367">
        <f>SUM(BS89:BS92)</f>
        <v>0</v>
      </c>
      <c r="BT93" s="1367">
        <f>SUM(BT89:BT92)</f>
        <v>2.33</v>
      </c>
      <c r="BU93" s="272">
        <f>SUM(BQ93:BT93)</f>
        <v>2.33</v>
      </c>
      <c r="BV93" s="1366">
        <f>SUM(BV89:BV92)</f>
        <v>0.33200000000000002</v>
      </c>
      <c r="BW93" s="1367">
        <f>SUM(BW89:BW92)</f>
        <v>0.36199999999999999</v>
      </c>
      <c r="BX93" s="1367">
        <f>SUM(BX89:BX92)</f>
        <v>0.79600000000000004</v>
      </c>
      <c r="BY93" s="1367">
        <f>SUM(BY89:BY92)</f>
        <v>0.436</v>
      </c>
      <c r="BZ93" s="272">
        <f>SUM(BV93:BY93)</f>
        <v>1.9259999999999999</v>
      </c>
      <c r="CA93" s="1366">
        <f>SUM(CA89:CA92)</f>
        <v>0.94</v>
      </c>
      <c r="CB93" s="1367">
        <f>SUM(CB89:CB92)</f>
        <v>1.3679999999999999</v>
      </c>
      <c r="CC93" s="1367">
        <f>SUM(CC89:CC92)</f>
        <v>1.0129999999999999</v>
      </c>
      <c r="CD93" s="1367">
        <f>SUM(CD89:CD92)</f>
        <v>2.7189999999999999</v>
      </c>
      <c r="CE93" s="272">
        <f>SUM(CA93:CD93)</f>
        <v>6.0399999999999991</v>
      </c>
      <c r="CF93" s="1366">
        <f>SUM(CF89:CF92)</f>
        <v>2.19</v>
      </c>
      <c r="CG93" s="1367">
        <f>SUM(CG89:CG92)</f>
        <v>2.302</v>
      </c>
      <c r="CH93" s="1367">
        <f>SUM(CH89:CH92)</f>
        <v>1.5429999999999999</v>
      </c>
      <c r="CI93" s="1367">
        <f>SUM(CI89:CI92)</f>
        <v>2.0069999999999997</v>
      </c>
      <c r="CJ93" s="272">
        <f>SUM(CF93:CI93)</f>
        <v>8.0419999999999998</v>
      </c>
      <c r="CK93" s="1366">
        <f>SUM(CK89:CK92)</f>
        <v>3.2490000000000001</v>
      </c>
      <c r="CL93" s="1367">
        <f>SUM(CL89:CL92)</f>
        <v>5.1609999999999996</v>
      </c>
      <c r="CM93" s="1367">
        <f>SUM(CM89:CM92)</f>
        <v>4.4669999999999996</v>
      </c>
      <c r="CN93" s="1367">
        <f>SUM(CN89:CN92)</f>
        <v>5.43</v>
      </c>
      <c r="CO93" s="272">
        <f>SUM(CK93:CN93)</f>
        <v>18.306999999999999</v>
      </c>
      <c r="CP93" s="1366">
        <f>SUM(CP89:CP92)</f>
        <v>6.1940000000000008</v>
      </c>
      <c r="CQ93" s="1367">
        <f>SUM(CQ89:CQ92)</f>
        <v>14.143000000000001</v>
      </c>
      <c r="CR93" s="1367">
        <f>SUM(CR89:CR92)</f>
        <v>11.595000000000001</v>
      </c>
      <c r="CS93" s="1367">
        <f>SUM(CS89:CS92)</f>
        <v>15.434000000000001</v>
      </c>
      <c r="CT93" s="272">
        <f>SUM(CP93:CS93)</f>
        <v>47.366</v>
      </c>
      <c r="CU93" s="1366">
        <f>SUM(CU89:CU92)</f>
        <v>17.812000000000001</v>
      </c>
      <c r="CV93" s="1366">
        <f>SUM(CV89:CV92)</f>
        <v>10.587999999999999</v>
      </c>
      <c r="CW93" s="1366">
        <f>SUM(CW89:CW92)</f>
        <v>26.798000000000002</v>
      </c>
      <c r="CX93" s="1366">
        <f>SUM(CX89:CX92)</f>
        <v>11.088000000000001</v>
      </c>
      <c r="CY93" s="272">
        <f>SUM(CU93:CX93)</f>
        <v>66.286000000000001</v>
      </c>
      <c r="CZ93" s="1366">
        <f>SUM(CZ89:CZ92)</f>
        <v>5.2050000000000001</v>
      </c>
      <c r="DA93" s="1366">
        <f>SUM(DA89:DA92)</f>
        <v>1.6920000000000002</v>
      </c>
      <c r="DB93" s="1366">
        <f>SUM(DB89:DB92)</f>
        <v>3.661</v>
      </c>
      <c r="DC93" s="1366">
        <f>SUM(DC89:DC92)</f>
        <v>3.1609999999999996</v>
      </c>
      <c r="DD93" s="272">
        <f>SUM(CZ93:DC93)</f>
        <v>13.718999999999999</v>
      </c>
      <c r="DE93" s="1366">
        <f>SUM(DE89:DE92)</f>
        <v>12</v>
      </c>
      <c r="DF93" s="1366">
        <f>SUM(DF89:DF92)</f>
        <v>6</v>
      </c>
      <c r="DG93" s="1366">
        <f>+DG100-DG86</f>
        <v>5</v>
      </c>
      <c r="DH93" s="1366">
        <f>+DH100-DH86</f>
        <v>5</v>
      </c>
      <c r="DI93" s="272">
        <f>+SUM(DE93:DH93)</f>
        <v>28</v>
      </c>
      <c r="DJ93" s="1366">
        <f t="shared" ref="DJ93:DP93" si="437">+DJ100-DJ86</f>
        <v>6</v>
      </c>
      <c r="DK93" s="1366">
        <f t="shared" si="437"/>
        <v>3</v>
      </c>
      <c r="DL93" s="1366">
        <f t="shared" si="437"/>
        <v>5</v>
      </c>
      <c r="DM93" s="1366">
        <f ca="1">+DM100-DM86</f>
        <v>8</v>
      </c>
      <c r="DN93" s="272">
        <f ca="1">+DN100-DN86</f>
        <v>22</v>
      </c>
      <c r="DO93" s="1366">
        <f ca="1">+DO100-DO86</f>
        <v>9</v>
      </c>
      <c r="DP93" s="1366">
        <f t="shared" si="437"/>
        <v>7</v>
      </c>
      <c r="DQ93" s="1366">
        <f t="shared" ref="DQ93" si="438">+DQ100-DQ86</f>
        <v>9</v>
      </c>
      <c r="DR93" s="1430">
        <f>+DR100-DR86</f>
        <v>10</v>
      </c>
      <c r="DS93" s="272">
        <f ca="1">SUM(DO93:DR93)</f>
        <v>35</v>
      </c>
      <c r="DT93" s="1366">
        <f>+DT100-DT86</f>
        <v>6</v>
      </c>
      <c r="DU93" s="1366">
        <f t="shared" ref="DU93" si="439">+DU100-DU86</f>
        <v>5</v>
      </c>
      <c r="DV93" s="1366">
        <f>+DQ93</f>
        <v>9</v>
      </c>
      <c r="DW93" s="1366">
        <f>+DR93</f>
        <v>10</v>
      </c>
      <c r="DX93" s="272">
        <f>SUM(DT93:DW93)</f>
        <v>30</v>
      </c>
      <c r="DY93" s="1366">
        <f>+DT93</f>
        <v>6</v>
      </c>
      <c r="DZ93" s="1366">
        <f>+DU93</f>
        <v>5</v>
      </c>
      <c r="EA93" s="1366">
        <f>+DV93</f>
        <v>9</v>
      </c>
      <c r="EB93" s="1366">
        <f>+DW93</f>
        <v>10</v>
      </c>
      <c r="EC93" s="272">
        <f>SUM(DY93:EB93)</f>
        <v>30</v>
      </c>
      <c r="ED93" s="1366">
        <f>+DY93</f>
        <v>6</v>
      </c>
      <c r="EE93" s="1366">
        <f>+DZ93</f>
        <v>5</v>
      </c>
      <c r="EF93" s="1366">
        <f>+EA93</f>
        <v>9</v>
      </c>
      <c r="EG93" s="1366">
        <f>+EB93</f>
        <v>10</v>
      </c>
      <c r="EH93" s="272">
        <f>SUM(ED93:EG93)</f>
        <v>30</v>
      </c>
      <c r="EI93" s="1366">
        <f>+ED93</f>
        <v>6</v>
      </c>
      <c r="EJ93" s="1366">
        <f>+EE93</f>
        <v>5</v>
      </c>
      <c r="EK93" s="1366">
        <f>+EF93</f>
        <v>9</v>
      </c>
      <c r="EL93" s="1366">
        <f>+EG93</f>
        <v>10</v>
      </c>
      <c r="EM93" s="272">
        <f>SUM(EI93:EL93)</f>
        <v>30</v>
      </c>
      <c r="EN93" s="1366">
        <f>+EI93</f>
        <v>6</v>
      </c>
      <c r="EO93" s="1366">
        <f>+EJ93</f>
        <v>5</v>
      </c>
      <c r="EP93" s="1366">
        <f>+EK93</f>
        <v>9</v>
      </c>
      <c r="EQ93" s="1366">
        <f>+EL93</f>
        <v>10</v>
      </c>
      <c r="ER93" s="272">
        <f>SUM(EN93:EQ93)</f>
        <v>30</v>
      </c>
      <c r="ES93" s="417"/>
      <c r="ET93" s="133"/>
    </row>
    <row r="94" spans="1:150" s="253" customFormat="1" ht="12" customHeight="1">
      <c r="A94" s="792"/>
      <c r="B94" s="792"/>
      <c r="C94" s="343" t="s">
        <v>193</v>
      </c>
      <c r="D94" s="296"/>
      <c r="E94" s="296"/>
      <c r="F94" s="296"/>
      <c r="G94" s="296"/>
      <c r="H94" s="296"/>
      <c r="I94" s="256"/>
      <c r="J94" s="256"/>
      <c r="K94" s="256"/>
      <c r="L94" s="256"/>
      <c r="M94" s="296"/>
      <c r="N94" s="256"/>
      <c r="O94" s="256"/>
      <c r="P94" s="256"/>
      <c r="Q94" s="256"/>
      <c r="R94" s="296"/>
      <c r="S94" s="256"/>
      <c r="T94" s="256"/>
      <c r="U94" s="256"/>
      <c r="V94" s="256"/>
      <c r="W94" s="296"/>
      <c r="X94" s="256"/>
      <c r="Y94" s="256"/>
      <c r="Z94" s="256"/>
      <c r="AA94" s="256"/>
      <c r="AB94" s="296"/>
      <c r="AC94" s="256"/>
      <c r="AD94" s="256"/>
      <c r="AE94" s="256"/>
      <c r="AF94" s="256"/>
      <c r="AG94" s="296"/>
      <c r="AH94" s="256"/>
      <c r="AI94" s="256"/>
      <c r="AJ94" s="256"/>
      <c r="AK94" s="256"/>
      <c r="AL94" s="296"/>
      <c r="AM94" s="256"/>
      <c r="AN94" s="256"/>
      <c r="AO94" s="256"/>
      <c r="AP94" s="256"/>
      <c r="AQ94" s="296"/>
      <c r="AR94" s="256"/>
      <c r="AS94" s="256"/>
      <c r="AT94" s="256"/>
      <c r="AU94" s="256"/>
      <c r="AV94" s="296"/>
      <c r="AW94" s="256"/>
      <c r="AX94" s="256"/>
      <c r="AY94" s="256"/>
      <c r="AZ94" s="256"/>
      <c r="BA94" s="296"/>
      <c r="BB94" s="256"/>
      <c r="BC94" s="256"/>
      <c r="BD94" s="256"/>
      <c r="BE94" s="256"/>
      <c r="BF94" s="296"/>
      <c r="BG94" s="340"/>
      <c r="BH94" s="340"/>
      <c r="BI94" s="340"/>
      <c r="BJ94" s="340"/>
      <c r="BK94" s="296"/>
      <c r="BL94" s="340"/>
      <c r="BM94" s="340"/>
      <c r="BN94" s="340"/>
      <c r="BO94" s="340"/>
      <c r="BP94" s="296"/>
      <c r="BQ94" s="341">
        <f t="shared" ref="BQ94:DG94" si="440">BQ93/BQ$10</f>
        <v>0</v>
      </c>
      <c r="BR94" s="344">
        <f t="shared" si="440"/>
        <v>0</v>
      </c>
      <c r="BS94" s="344">
        <f t="shared" si="440"/>
        <v>0</v>
      </c>
      <c r="BT94" s="344">
        <f t="shared" si="440"/>
        <v>3.3203653826970485E-2</v>
      </c>
      <c r="BU94" s="243">
        <f t="shared" si="440"/>
        <v>1.1352950061637262E-2</v>
      </c>
      <c r="BV94" s="341">
        <f t="shared" si="440"/>
        <v>4.565330986496521E-3</v>
      </c>
      <c r="BW94" s="344">
        <f t="shared" si="440"/>
        <v>4.1778711322954061E-3</v>
      </c>
      <c r="BX94" s="344">
        <f t="shared" si="440"/>
        <v>7.993733555604652E-3</v>
      </c>
      <c r="BY94" s="344">
        <f t="shared" si="440"/>
        <v>3.343994232376921E-3</v>
      </c>
      <c r="BZ94" s="243">
        <f t="shared" si="440"/>
        <v>4.9469601623301574E-3</v>
      </c>
      <c r="CA94" s="341">
        <f t="shared" si="440"/>
        <v>7.3795523594941074E-3</v>
      </c>
      <c r="CB94" s="344">
        <f t="shared" si="440"/>
        <v>9.0204741024034803E-3</v>
      </c>
      <c r="CC94" s="344">
        <f t="shared" si="440"/>
        <v>5.9082213512504653E-3</v>
      </c>
      <c r="CD94" s="344">
        <f t="shared" si="440"/>
        <v>1.2203003401940632E-2</v>
      </c>
      <c r="CE94" s="243">
        <f t="shared" si="440"/>
        <v>8.9706878319451532E-3</v>
      </c>
      <c r="CF94" s="341">
        <f t="shared" si="440"/>
        <v>1.0217411589064104E-2</v>
      </c>
      <c r="CG94" s="344">
        <f t="shared" si="440"/>
        <v>9.3973375571004599E-3</v>
      </c>
      <c r="CH94" s="344">
        <f t="shared" si="440"/>
        <v>5.7134605130635709E-3</v>
      </c>
      <c r="CI94" s="344">
        <f t="shared" si="440"/>
        <v>5.8366437698844304E-3</v>
      </c>
      <c r="CJ94" s="243">
        <f t="shared" si="440"/>
        <v>7.4932749674114299E-3</v>
      </c>
      <c r="CK94" s="341">
        <f t="shared" si="440"/>
        <v>1.0137854856122966E-2</v>
      </c>
      <c r="CL94" s="344">
        <f t="shared" si="440"/>
        <v>1.4257733183416717E-2</v>
      </c>
      <c r="CM94" s="344">
        <f t="shared" si="440"/>
        <v>1.1437657469427886E-2</v>
      </c>
      <c r="CN94" s="344">
        <f t="shared" si="440"/>
        <v>1.0749069601710348E-2</v>
      </c>
      <c r="CO94" s="243">
        <f t="shared" si="440"/>
        <v>1.1600122420038867E-2</v>
      </c>
      <c r="CP94" s="341">
        <f t="shared" si="440"/>
        <v>1.317869536447795E-2</v>
      </c>
      <c r="CQ94" s="344">
        <f t="shared" si="440"/>
        <v>1.9798667583129065E-2</v>
      </c>
      <c r="CR94" s="344">
        <f t="shared" si="440"/>
        <v>1.5109362070875224E-2</v>
      </c>
      <c r="CS94" s="344">
        <f t="shared" si="440"/>
        <v>1.5785318038259506E-2</v>
      </c>
      <c r="CT94" s="243">
        <f t="shared" si="440"/>
        <v>1.6168679132313429E-2</v>
      </c>
      <c r="CU94" s="341">
        <f t="shared" si="440"/>
        <v>1.8016541799044557E-2</v>
      </c>
      <c r="CV94" s="341">
        <f t="shared" si="440"/>
        <v>9.458258333370554E-3</v>
      </c>
      <c r="CW94" s="341">
        <f t="shared" si="440"/>
        <v>2.3847153256091269E-2</v>
      </c>
      <c r="CX94" s="341">
        <f t="shared" si="440"/>
        <v>8.034642875776073E-3</v>
      </c>
      <c r="CY94" s="243">
        <f t="shared" si="440"/>
        <v>1.4372955270069144E-2</v>
      </c>
      <c r="CZ94" s="341">
        <f t="shared" si="440"/>
        <v>4.3244437834770522E-3</v>
      </c>
      <c r="DA94" s="341">
        <f t="shared" si="440"/>
        <v>1.306500147097091E-3</v>
      </c>
      <c r="DB94" s="341">
        <f t="shared" si="440"/>
        <v>2.6796955057824621E-3</v>
      </c>
      <c r="DC94" s="341">
        <f t="shared" si="440"/>
        <v>1.8219251195116016E-3</v>
      </c>
      <c r="DD94" s="243">
        <f t="shared" si="440"/>
        <v>2.4498809256796234E-3</v>
      </c>
      <c r="DE94" s="341">
        <f t="shared" si="440"/>
        <v>7.9575596816976128E-3</v>
      </c>
      <c r="DF94" s="341">
        <f t="shared" si="440"/>
        <v>3.5419126328217238E-3</v>
      </c>
      <c r="DG94" s="341">
        <f t="shared" si="440"/>
        <v>2.9171528588098016E-3</v>
      </c>
      <c r="DH94" s="341"/>
      <c r="DI94" s="243"/>
      <c r="DJ94" s="341"/>
      <c r="DK94" s="341"/>
      <c r="DL94" s="341"/>
      <c r="DM94" s="341"/>
      <c r="DN94" s="243"/>
      <c r="DO94" s="341"/>
      <c r="DP94" s="341"/>
      <c r="DQ94" s="341"/>
      <c r="DR94" s="629"/>
      <c r="DS94" s="243"/>
      <c r="DT94" s="341"/>
      <c r="DU94" s="341"/>
      <c r="DV94" s="341"/>
      <c r="DW94" s="341"/>
      <c r="DX94" s="243"/>
      <c r="DY94" s="341"/>
      <c r="DZ94" s="341"/>
      <c r="EA94" s="341"/>
      <c r="EB94" s="341"/>
      <c r="EC94" s="243"/>
      <c r="ED94" s="341"/>
      <c r="EE94" s="341"/>
      <c r="EF94" s="341"/>
      <c r="EG94" s="341"/>
      <c r="EH94" s="243"/>
      <c r="EI94" s="341"/>
      <c r="EJ94" s="341"/>
      <c r="EK94" s="341"/>
      <c r="EL94" s="341"/>
      <c r="EM94" s="243"/>
      <c r="EN94" s="341"/>
      <c r="EO94" s="341"/>
      <c r="EP94" s="341"/>
      <c r="EQ94" s="341"/>
      <c r="ER94" s="243"/>
      <c r="ES94" s="244"/>
      <c r="ET94" s="133"/>
    </row>
    <row r="95" spans="1:150" s="253" customFormat="1" ht="12" customHeight="1">
      <c r="A95" s="792"/>
      <c r="B95" s="792"/>
      <c r="C95" s="328" t="s">
        <v>740</v>
      </c>
      <c r="D95" s="296"/>
      <c r="E95" s="296"/>
      <c r="F95" s="296"/>
      <c r="G95" s="296"/>
      <c r="H95" s="296"/>
      <c r="I95" s="256"/>
      <c r="J95" s="256"/>
      <c r="K95" s="256"/>
      <c r="L95" s="256"/>
      <c r="M95" s="296"/>
      <c r="N95" s="256"/>
      <c r="O95" s="256"/>
      <c r="P95" s="256"/>
      <c r="Q95" s="256"/>
      <c r="R95" s="296"/>
      <c r="S95" s="256"/>
      <c r="T95" s="256"/>
      <c r="U95" s="256"/>
      <c r="V95" s="256"/>
      <c r="W95" s="296"/>
      <c r="X95" s="256"/>
      <c r="Y95" s="256"/>
      <c r="Z95" s="256"/>
      <c r="AA95" s="256"/>
      <c r="AB95" s="296"/>
      <c r="AC95" s="256"/>
      <c r="AD95" s="256"/>
      <c r="AE95" s="256"/>
      <c r="AF95" s="256"/>
      <c r="AG95" s="296"/>
      <c r="AH95" s="256"/>
      <c r="AI95" s="256"/>
      <c r="AJ95" s="256"/>
      <c r="AK95" s="256"/>
      <c r="AL95" s="296"/>
      <c r="AM95" s="256"/>
      <c r="AN95" s="256"/>
      <c r="AO95" s="256"/>
      <c r="AP95" s="256"/>
      <c r="AQ95" s="296"/>
      <c r="AR95" s="256"/>
      <c r="AS95" s="256"/>
      <c r="AT95" s="256"/>
      <c r="AU95" s="256"/>
      <c r="AV95" s="296"/>
      <c r="AW95" s="256"/>
      <c r="AX95" s="256"/>
      <c r="AY95" s="256"/>
      <c r="AZ95" s="256"/>
      <c r="BA95" s="296"/>
      <c r="BB95" s="256"/>
      <c r="BC95" s="256"/>
      <c r="BD95" s="256"/>
      <c r="BE95" s="256"/>
      <c r="BF95" s="296"/>
      <c r="BG95" s="340"/>
      <c r="BH95" s="340"/>
      <c r="BI95" s="340"/>
      <c r="BJ95" s="340"/>
      <c r="BK95" s="296"/>
      <c r="BL95" s="340"/>
      <c r="BM95" s="340"/>
      <c r="BN95" s="340"/>
      <c r="BO95" s="340"/>
      <c r="BP95" s="296"/>
      <c r="BQ95" s="341"/>
      <c r="BR95" s="344"/>
      <c r="BS95" s="344"/>
      <c r="BT95" s="344"/>
      <c r="BU95" s="243"/>
      <c r="BV95" s="341"/>
      <c r="BW95" s="344"/>
      <c r="BX95" s="344"/>
      <c r="BY95" s="344"/>
      <c r="BZ95" s="243"/>
      <c r="CA95" s="341"/>
      <c r="CB95" s="344"/>
      <c r="CC95" s="344"/>
      <c r="CD95" s="344"/>
      <c r="CE95" s="243"/>
      <c r="CF95" s="341"/>
      <c r="CG95" s="344"/>
      <c r="CH95" s="344"/>
      <c r="CI95" s="344"/>
      <c r="CJ95" s="243"/>
      <c r="CK95" s="341"/>
      <c r="CL95" s="344"/>
      <c r="CM95" s="344"/>
      <c r="CN95" s="344"/>
      <c r="CO95" s="243"/>
      <c r="CP95" s="341"/>
      <c r="CQ95" s="344"/>
      <c r="CR95" s="344"/>
      <c r="CS95" s="344"/>
      <c r="CT95" s="243"/>
      <c r="CU95" s="341"/>
      <c r="CV95" s="341"/>
      <c r="CW95" s="341"/>
      <c r="CX95" s="341"/>
      <c r="CY95" s="243"/>
      <c r="CZ95" s="341"/>
      <c r="DA95" s="341"/>
      <c r="DB95" s="341"/>
      <c r="DC95" s="341"/>
      <c r="DD95" s="243"/>
      <c r="DE95" s="341"/>
      <c r="DF95" s="341"/>
      <c r="DG95" s="341"/>
      <c r="DH95" s="341"/>
      <c r="DI95" s="243"/>
      <c r="DJ95" s="341"/>
      <c r="DK95" s="341"/>
      <c r="DL95" s="341"/>
      <c r="DM95" s="341"/>
      <c r="DN95" s="243"/>
      <c r="DO95" s="341"/>
      <c r="DP95" s="341"/>
      <c r="DQ95" s="341"/>
      <c r="DR95" s="629"/>
      <c r="DS95" s="243"/>
      <c r="DT95" s="341"/>
      <c r="DU95" s="341"/>
      <c r="DV95" s="341"/>
      <c r="DW95" s="341"/>
      <c r="DX95" s="243"/>
      <c r="DY95" s="341"/>
      <c r="DZ95" s="341"/>
      <c r="EA95" s="341"/>
      <c r="EB95" s="341"/>
      <c r="EC95" s="243"/>
      <c r="ED95" s="341"/>
      <c r="EE95" s="341"/>
      <c r="EF95" s="341"/>
      <c r="EG95" s="341"/>
      <c r="EH95" s="243"/>
      <c r="EI95" s="341"/>
      <c r="EJ95" s="341"/>
      <c r="EK95" s="341"/>
      <c r="EL95" s="341"/>
      <c r="EM95" s="243"/>
      <c r="EN95" s="341"/>
      <c r="EO95" s="341"/>
      <c r="EP95" s="341"/>
      <c r="EQ95" s="341"/>
      <c r="ER95" s="243"/>
      <c r="ES95" s="244"/>
      <c r="ET95" s="133"/>
    </row>
    <row r="96" spans="1:150" s="253" customFormat="1" ht="12" customHeight="1">
      <c r="A96" s="792"/>
      <c r="B96" s="792"/>
      <c r="C96" s="265" t="s">
        <v>143</v>
      </c>
      <c r="D96" s="296"/>
      <c r="E96" s="296"/>
      <c r="F96" s="296"/>
      <c r="G96" s="296"/>
      <c r="H96" s="296"/>
      <c r="I96" s="256"/>
      <c r="J96" s="256"/>
      <c r="K96" s="256"/>
      <c r="L96" s="256"/>
      <c r="M96" s="296"/>
      <c r="N96" s="256"/>
      <c r="O96" s="256"/>
      <c r="P96" s="256"/>
      <c r="Q96" s="256"/>
      <c r="R96" s="296"/>
      <c r="S96" s="256"/>
      <c r="T96" s="256"/>
      <c r="U96" s="256"/>
      <c r="V96" s="256"/>
      <c r="W96" s="296"/>
      <c r="X96" s="256"/>
      <c r="Y96" s="256"/>
      <c r="Z96" s="256"/>
      <c r="AA96" s="256"/>
      <c r="AB96" s="296"/>
      <c r="AC96" s="256"/>
      <c r="AD96" s="256"/>
      <c r="AE96" s="256"/>
      <c r="AF96" s="256"/>
      <c r="AG96" s="296"/>
      <c r="AH96" s="256"/>
      <c r="AI96" s="256"/>
      <c r="AJ96" s="256"/>
      <c r="AK96" s="256"/>
      <c r="AL96" s="296"/>
      <c r="AM96" s="256"/>
      <c r="AN96" s="256"/>
      <c r="AO96" s="256"/>
      <c r="AP96" s="256"/>
      <c r="AQ96" s="296"/>
      <c r="AR96" s="256"/>
      <c r="AS96" s="256"/>
      <c r="AT96" s="256"/>
      <c r="AU96" s="256"/>
      <c r="AV96" s="296"/>
      <c r="AW96" s="256"/>
      <c r="AX96" s="256"/>
      <c r="AY96" s="256"/>
      <c r="AZ96" s="256"/>
      <c r="BA96" s="296"/>
      <c r="BB96" s="256"/>
      <c r="BC96" s="256"/>
      <c r="BD96" s="256"/>
      <c r="BE96" s="256"/>
      <c r="BF96" s="296"/>
      <c r="BG96" s="340"/>
      <c r="BH96" s="340"/>
      <c r="BI96" s="340"/>
      <c r="BJ96" s="340"/>
      <c r="BK96" s="296"/>
      <c r="BL96" s="340"/>
      <c r="BM96" s="340"/>
      <c r="BN96" s="340"/>
      <c r="BO96" s="340"/>
      <c r="BP96" s="296"/>
      <c r="BQ96" s="160">
        <f>+BQ82+BQ89</f>
        <v>5.8999999999999997E-2</v>
      </c>
      <c r="BR96" s="160">
        <f t="shared" ref="BR96:BT96" si="441">+BR82+BR89</f>
        <v>7.1999999999999995E-2</v>
      </c>
      <c r="BS96" s="160">
        <f t="shared" si="441"/>
        <v>6.7000000000000004E-2</v>
      </c>
      <c r="BT96" s="160">
        <f t="shared" si="441"/>
        <v>0.14700000000000002</v>
      </c>
      <c r="BU96" s="257">
        <f>SUM(BQ96:BT96)</f>
        <v>0.34500000000000003</v>
      </c>
      <c r="BV96" s="160">
        <f t="shared" ref="BV96:BY96" si="442">+BV82+BV89</f>
        <v>0.11499999999999999</v>
      </c>
      <c r="BW96" s="160">
        <f t="shared" si="442"/>
        <v>0.152</v>
      </c>
      <c r="BX96" s="160">
        <f t="shared" si="442"/>
        <v>0.23399999999999999</v>
      </c>
      <c r="BY96" s="160">
        <f t="shared" si="442"/>
        <v>0.216</v>
      </c>
      <c r="BZ96" s="257">
        <f t="shared" ref="BZ96:BZ100" si="443">SUM(BV96:BY96)</f>
        <v>0.71699999999999997</v>
      </c>
      <c r="CA96" s="160">
        <f t="shared" ref="CA96:CD96" si="444">+CA82+CA89</f>
        <v>0.249</v>
      </c>
      <c r="CB96" s="160">
        <f t="shared" si="444"/>
        <v>0.307</v>
      </c>
      <c r="CC96" s="160">
        <f t="shared" si="444"/>
        <v>0.35499999999999998</v>
      </c>
      <c r="CD96" s="160">
        <f t="shared" si="444"/>
        <v>0.37</v>
      </c>
      <c r="CE96" s="257">
        <f t="shared" ref="CE96:CE100" si="445">SUM(CA96:CD96)</f>
        <v>1.2810000000000001</v>
      </c>
      <c r="CF96" s="160">
        <f t="shared" ref="CF96:CI96" si="446">+CF82+CF89</f>
        <v>0.48899999999999999</v>
      </c>
      <c r="CG96" s="160">
        <f t="shared" si="446"/>
        <v>0.63700000000000001</v>
      </c>
      <c r="CH96" s="160">
        <f t="shared" si="446"/>
        <v>0.65500000000000003</v>
      </c>
      <c r="CI96" s="160">
        <f t="shared" si="446"/>
        <v>0.66</v>
      </c>
      <c r="CJ96" s="257">
        <f t="shared" ref="CJ96:CJ100" si="447">SUM(CF96:CI96)</f>
        <v>2.4409999999999998</v>
      </c>
      <c r="CK96" s="160">
        <f t="shared" ref="CK96:CN96" si="448">+CK82+CK89</f>
        <v>0.81399999999999995</v>
      </c>
      <c r="CL96" s="160">
        <f t="shared" si="448"/>
        <v>1.026</v>
      </c>
      <c r="CM96" s="160">
        <f t="shared" si="448"/>
        <v>1.0410000000000001</v>
      </c>
      <c r="CN96" s="160">
        <f t="shared" si="448"/>
        <v>1.2090000000000001</v>
      </c>
      <c r="CO96" s="257">
        <f t="shared" ref="CO96:CO100" si="449">SUM(CK96:CN96)</f>
        <v>4.09</v>
      </c>
      <c r="CP96" s="160">
        <f t="shared" ref="CP96:CS96" si="450">+CP82+CP89</f>
        <v>1.3239999999999998</v>
      </c>
      <c r="CQ96" s="160">
        <f t="shared" si="450"/>
        <v>1.5289999999999999</v>
      </c>
      <c r="CR96" s="160">
        <f t="shared" si="450"/>
        <v>2.9139999999999997</v>
      </c>
      <c r="CS96" s="160">
        <f t="shared" si="450"/>
        <v>1.7050000000000001</v>
      </c>
      <c r="CT96" s="257">
        <f t="shared" ref="CT96:CT100" si="451">SUM(CP96:CS96)</f>
        <v>7.4719999999999995</v>
      </c>
      <c r="CU96" s="160">
        <f t="shared" ref="CU96:CX96" si="452">+CU82+CU89</f>
        <v>1.851</v>
      </c>
      <c r="CV96" s="160">
        <f t="shared" si="452"/>
        <v>1.8089999999999999</v>
      </c>
      <c r="CW96" s="160">
        <f t="shared" si="452"/>
        <v>1.9870000000000001</v>
      </c>
      <c r="CX96" s="160">
        <f t="shared" si="452"/>
        <v>1.9949999999999999</v>
      </c>
      <c r="CY96" s="257">
        <f t="shared" ref="CY96:CY100" si="453">SUM(CU96:CX96)</f>
        <v>7.6420000000000003</v>
      </c>
      <c r="CZ96" s="160">
        <f t="shared" ref="CZ96:DC96" si="454">+CZ82+CZ89</f>
        <v>2.1830000000000003</v>
      </c>
      <c r="DA96" s="160">
        <f t="shared" si="454"/>
        <v>2.4089999999999998</v>
      </c>
      <c r="DB96" s="160">
        <f t="shared" si="454"/>
        <v>2.327</v>
      </c>
      <c r="DC96" s="160">
        <f t="shared" si="454"/>
        <v>1.9770000000000001</v>
      </c>
      <c r="DD96" s="257">
        <f t="shared" ref="DD96:DD100" si="455">SUM(CZ96:DC96)</f>
        <v>8.8960000000000008</v>
      </c>
      <c r="DE96" s="239">
        <v>2</v>
      </c>
      <c r="DF96" s="239">
        <v>1</v>
      </c>
      <c r="DG96" s="239">
        <v>0</v>
      </c>
      <c r="DH96" s="239">
        <v>1</v>
      </c>
      <c r="DI96" s="257">
        <f t="shared" ref="DI96:DI99" si="456">SUM(DE96:DH96)</f>
        <v>4</v>
      </c>
      <c r="DJ96" s="239">
        <v>1</v>
      </c>
      <c r="DK96" s="239">
        <v>3</v>
      </c>
      <c r="DL96" s="239">
        <v>0</v>
      </c>
      <c r="DM96" s="239">
        <v>0</v>
      </c>
      <c r="DN96" s="257">
        <f t="shared" ref="DN96:DN99" si="457">SUM(DJ96:DM96)</f>
        <v>4</v>
      </c>
      <c r="DO96" s="239">
        <v>1</v>
      </c>
      <c r="DP96" s="239">
        <v>1</v>
      </c>
      <c r="DQ96" s="239">
        <v>1</v>
      </c>
      <c r="DR96" s="239">
        <v>1</v>
      </c>
      <c r="DS96" s="257">
        <f t="shared" ref="DS96:DS99" si="458">SUM(DO96:DR96)</f>
        <v>4</v>
      </c>
      <c r="DT96" s="239">
        <v>1</v>
      </c>
      <c r="DU96" s="239">
        <v>2</v>
      </c>
      <c r="DV96" s="160">
        <f t="shared" ref="DV96:DW99" ca="1" si="459">+DV82+DV89</f>
        <v>1.3041222141498552</v>
      </c>
      <c r="DW96" s="160">
        <f t="shared" ca="1" si="459"/>
        <v>1.2935081554268792</v>
      </c>
      <c r="DX96" s="257">
        <f ca="1">SUM(DT96:DW96)</f>
        <v>5.5976303695767342</v>
      </c>
      <c r="DY96" s="160">
        <f t="shared" ref="DY96:EB99" ca="1" si="460">+DY82+DY89</f>
        <v>1.2729090110212937</v>
      </c>
      <c r="DZ96" s="160">
        <f t="shared" ca="1" si="460"/>
        <v>2.5351633587571314</v>
      </c>
      <c r="EA96" s="160">
        <f t="shared" ca="1" si="460"/>
        <v>1.63209419867462</v>
      </c>
      <c r="EB96" s="160">
        <f t="shared" ca="1" si="460"/>
        <v>1.6110394821379768</v>
      </c>
      <c r="EC96" s="257">
        <f ca="1">SUM(DY96:EB96)</f>
        <v>7.0512060505910217</v>
      </c>
      <c r="ED96" s="160">
        <f t="shared" ref="ED96:EG99" ca="1" si="461">+ED82+ED89</f>
        <v>1.5385193026847921</v>
      </c>
      <c r="EE96" s="160">
        <f t="shared" ca="1" si="461"/>
        <v>3.0617071608894255</v>
      </c>
      <c r="EF96" s="160">
        <f t="shared" ca="1" si="461"/>
        <v>1.9686020802989692</v>
      </c>
      <c r="EG96" s="160">
        <f t="shared" ca="1" si="461"/>
        <v>1.9434785796073333</v>
      </c>
      <c r="EH96" s="257">
        <f ca="1">SUM(ED96:EG96)</f>
        <v>8.5123071234805199</v>
      </c>
      <c r="EI96" s="160">
        <f t="shared" ref="EI96:EL99" ca="1" si="462">+EI82+EI89</f>
        <v>1.8232980494761226</v>
      </c>
      <c r="EJ96" s="160">
        <f t="shared" ca="1" si="462"/>
        <v>3.6290022258555057</v>
      </c>
      <c r="EK96" s="160">
        <f t="shared" ca="1" si="462"/>
        <v>2.3332218167069096</v>
      </c>
      <c r="EL96" s="160">
        <f t="shared" ca="1" si="462"/>
        <v>2.3046275722172589</v>
      </c>
      <c r="EM96" s="257">
        <f ca="1">SUM(EI96:EL96)</f>
        <v>10.090149664255797</v>
      </c>
      <c r="EN96" s="160">
        <f t="shared" ref="EN96:EQ99" ca="1" si="463">+EN82+EN89</f>
        <v>2.1389411056964738</v>
      </c>
      <c r="EO96" s="160">
        <f t="shared" ca="1" si="463"/>
        <v>4.2573257925883157</v>
      </c>
      <c r="EP96" s="160">
        <f t="shared" ca="1" si="463"/>
        <v>2.7373686713271428</v>
      </c>
      <c r="EQ96" s="160">
        <f t="shared" ca="1" si="463"/>
        <v>2.7040560723007863</v>
      </c>
      <c r="ER96" s="257">
        <f ca="1">SUM(EN96:EQ96)</f>
        <v>11.83769164191272</v>
      </c>
      <c r="ES96" s="244"/>
      <c r="ET96" s="133"/>
    </row>
    <row r="97" spans="1:150" s="253" customFormat="1" ht="12" customHeight="1">
      <c r="A97" s="792"/>
      <c r="B97" s="792"/>
      <c r="C97" s="265" t="s">
        <v>141</v>
      </c>
      <c r="D97" s="296"/>
      <c r="E97" s="296"/>
      <c r="F97" s="296"/>
      <c r="G97" s="296"/>
      <c r="H97" s="296"/>
      <c r="I97" s="256"/>
      <c r="J97" s="256"/>
      <c r="K97" s="256"/>
      <c r="L97" s="256"/>
      <c r="M97" s="296"/>
      <c r="N97" s="256"/>
      <c r="O97" s="256"/>
      <c r="P97" s="256"/>
      <c r="Q97" s="256"/>
      <c r="R97" s="296"/>
      <c r="S97" s="256"/>
      <c r="T97" s="256"/>
      <c r="U97" s="256"/>
      <c r="V97" s="256"/>
      <c r="W97" s="296"/>
      <c r="X97" s="256"/>
      <c r="Y97" s="256"/>
      <c r="Z97" s="256"/>
      <c r="AA97" s="256"/>
      <c r="AB97" s="296"/>
      <c r="AC97" s="256"/>
      <c r="AD97" s="256"/>
      <c r="AE97" s="256"/>
      <c r="AF97" s="256"/>
      <c r="AG97" s="296"/>
      <c r="AH97" s="256"/>
      <c r="AI97" s="256"/>
      <c r="AJ97" s="256"/>
      <c r="AK97" s="256"/>
      <c r="AL97" s="296"/>
      <c r="AM97" s="256"/>
      <c r="AN97" s="256"/>
      <c r="AO97" s="256"/>
      <c r="AP97" s="256"/>
      <c r="AQ97" s="296"/>
      <c r="AR97" s="256"/>
      <c r="AS97" s="256"/>
      <c r="AT97" s="256"/>
      <c r="AU97" s="256"/>
      <c r="AV97" s="296"/>
      <c r="AW97" s="256"/>
      <c r="AX97" s="256"/>
      <c r="AY97" s="256"/>
      <c r="AZ97" s="256"/>
      <c r="BA97" s="296"/>
      <c r="BB97" s="256"/>
      <c r="BC97" s="256"/>
      <c r="BD97" s="256"/>
      <c r="BE97" s="256"/>
      <c r="BF97" s="296"/>
      <c r="BG97" s="340"/>
      <c r="BH97" s="340"/>
      <c r="BI97" s="340"/>
      <c r="BJ97" s="340"/>
      <c r="BK97" s="296"/>
      <c r="BL97" s="340"/>
      <c r="BM97" s="340"/>
      <c r="BN97" s="340"/>
      <c r="BO97" s="340"/>
      <c r="BP97" s="296"/>
      <c r="BQ97" s="160">
        <f t="shared" ref="BQ97:BT100" si="464">+BQ83+BQ90</f>
        <v>0.17399999999999999</v>
      </c>
      <c r="BR97" s="160">
        <f t="shared" si="464"/>
        <v>0.182</v>
      </c>
      <c r="BS97" s="160">
        <f t="shared" si="464"/>
        <v>0.32500000000000001</v>
      </c>
      <c r="BT97" s="160">
        <f t="shared" si="464"/>
        <v>0.66999999999999993</v>
      </c>
      <c r="BU97" s="257">
        <f>SUM(BQ97:BT97)</f>
        <v>1.351</v>
      </c>
      <c r="BV97" s="160">
        <f t="shared" ref="BV97:BY97" si="465">+BV83+BV90</f>
        <v>0.60499999999999998</v>
      </c>
      <c r="BW97" s="160">
        <f t="shared" si="465"/>
        <v>1.0249999999999999</v>
      </c>
      <c r="BX97" s="160">
        <f t="shared" si="465"/>
        <v>1.3900000000000001</v>
      </c>
      <c r="BY97" s="160">
        <f t="shared" si="465"/>
        <v>1.4239999999999999</v>
      </c>
      <c r="BZ97" s="257">
        <f t="shared" si="443"/>
        <v>4.444</v>
      </c>
      <c r="CA97" s="160">
        <f t="shared" ref="CA97:CD97" si="466">+CA83+CA90</f>
        <v>1.6600000000000001</v>
      </c>
      <c r="CB97" s="160">
        <f t="shared" si="466"/>
        <v>2.3050000000000002</v>
      </c>
      <c r="CC97" s="160">
        <f t="shared" si="466"/>
        <v>2.7290000000000001</v>
      </c>
      <c r="CD97" s="160">
        <f t="shared" si="466"/>
        <v>3.1819999999999999</v>
      </c>
      <c r="CE97" s="257">
        <f t="shared" si="445"/>
        <v>9.8760000000000012</v>
      </c>
      <c r="CF97" s="160">
        <f t="shared" ref="CF97:CI97" si="467">+CF83+CF90</f>
        <v>4.7690000000000001</v>
      </c>
      <c r="CG97" s="160">
        <f t="shared" si="467"/>
        <v>6.2490000000000006</v>
      </c>
      <c r="CH97" s="160">
        <f t="shared" si="467"/>
        <v>6.3969999999999994</v>
      </c>
      <c r="CI97" s="160">
        <f t="shared" si="467"/>
        <v>6.641</v>
      </c>
      <c r="CJ97" s="257">
        <f t="shared" si="447"/>
        <v>24.055999999999997</v>
      </c>
      <c r="CK97" s="160">
        <f t="shared" ref="CK97:CN97" si="468">+CK83+CK90</f>
        <v>7.6449999999999996</v>
      </c>
      <c r="CL97" s="160">
        <f t="shared" si="468"/>
        <v>9.511000000000001</v>
      </c>
      <c r="CM97" s="160">
        <f t="shared" si="468"/>
        <v>9.6920000000000002</v>
      </c>
      <c r="CN97" s="160">
        <f t="shared" si="468"/>
        <v>11.318999999999999</v>
      </c>
      <c r="CO97" s="257">
        <f t="shared" si="449"/>
        <v>38.167000000000002</v>
      </c>
      <c r="CP97" s="160">
        <f t="shared" ref="CP97:CS97" si="469">+CP83+CP90</f>
        <v>12.434000000000001</v>
      </c>
      <c r="CQ97" s="160">
        <f t="shared" si="469"/>
        <v>12.430999999999999</v>
      </c>
      <c r="CR97" s="160">
        <f t="shared" si="469"/>
        <v>11.481</v>
      </c>
      <c r="CS97" s="160">
        <f t="shared" si="469"/>
        <v>10.044</v>
      </c>
      <c r="CT97" s="257">
        <f t="shared" si="451"/>
        <v>46.39</v>
      </c>
      <c r="CU97" s="160">
        <f t="shared" ref="CU97:CX97" si="470">+CU83+CU90</f>
        <v>10.885</v>
      </c>
      <c r="CV97" s="160">
        <f t="shared" si="470"/>
        <v>10.989999999999998</v>
      </c>
      <c r="CW97" s="160">
        <f t="shared" si="470"/>
        <v>11.673</v>
      </c>
      <c r="CX97" s="160">
        <f t="shared" si="470"/>
        <v>13.7403</v>
      </c>
      <c r="CY97" s="257">
        <f t="shared" si="453"/>
        <v>47.2883</v>
      </c>
      <c r="CZ97" s="160">
        <f t="shared" ref="CZ97:DC97" si="471">+CZ83+CZ90</f>
        <v>15.203000000000001</v>
      </c>
      <c r="DA97" s="160">
        <f t="shared" si="471"/>
        <v>17.375</v>
      </c>
      <c r="DB97" s="160">
        <f t="shared" si="471"/>
        <v>17.224</v>
      </c>
      <c r="DC97" s="160">
        <f t="shared" si="471"/>
        <v>14.894</v>
      </c>
      <c r="DD97" s="257">
        <f t="shared" si="455"/>
        <v>64.696000000000012</v>
      </c>
      <c r="DE97" s="239">
        <v>15</v>
      </c>
      <c r="DF97" s="239">
        <v>13</v>
      </c>
      <c r="DG97" s="239">
        <v>17</v>
      </c>
      <c r="DH97" s="239">
        <v>14</v>
      </c>
      <c r="DI97" s="257">
        <f t="shared" si="456"/>
        <v>59</v>
      </c>
      <c r="DJ97" s="239">
        <v>12</v>
      </c>
      <c r="DK97" s="239">
        <v>10</v>
      </c>
      <c r="DL97" s="239">
        <v>15</v>
      </c>
      <c r="DM97" s="239">
        <v>13</v>
      </c>
      <c r="DN97" s="257">
        <f t="shared" si="457"/>
        <v>50</v>
      </c>
      <c r="DO97" s="239">
        <v>13</v>
      </c>
      <c r="DP97" s="239">
        <v>12</v>
      </c>
      <c r="DQ97" s="239">
        <v>13</v>
      </c>
      <c r="DR97" s="239">
        <v>10</v>
      </c>
      <c r="DS97" s="257">
        <f t="shared" si="458"/>
        <v>48</v>
      </c>
      <c r="DT97" s="239">
        <v>11</v>
      </c>
      <c r="DU97" s="239">
        <v>9</v>
      </c>
      <c r="DV97" s="160">
        <f t="shared" ca="1" si="459"/>
        <v>11.612258742990852</v>
      </c>
      <c r="DW97" s="160">
        <f t="shared" ca="1" si="459"/>
        <v>14.662969814473362</v>
      </c>
      <c r="DX97" s="257">
        <f ca="1">SUM(DT97:DW97)</f>
        <v>46.275228557464217</v>
      </c>
      <c r="DY97" s="160">
        <f t="shared" ca="1" si="460"/>
        <v>8.5033699722228775</v>
      </c>
      <c r="DZ97" s="160">
        <f t="shared" ca="1" si="460"/>
        <v>6.4128718497085204</v>
      </c>
      <c r="EA97" s="160">
        <f t="shared" ca="1" si="460"/>
        <v>8.4218703738701866</v>
      </c>
      <c r="EB97" s="160">
        <f t="shared" ca="1" si="460"/>
        <v>10.533028680172871</v>
      </c>
      <c r="EC97" s="257">
        <f ca="1">SUM(DY97:EB97)</f>
        <v>33.871140875974454</v>
      </c>
      <c r="ED97" s="160">
        <f t="shared" ca="1" si="461"/>
        <v>8.1338411024480042</v>
      </c>
      <c r="EE97" s="160">
        <f t="shared" ca="1" si="461"/>
        <v>8.9093907499182894</v>
      </c>
      <c r="EF97" s="160">
        <f t="shared" ca="1" si="461"/>
        <v>9.62532920182813</v>
      </c>
      <c r="EG97" s="160">
        <f t="shared" ca="1" si="461"/>
        <v>12.068316380113554</v>
      </c>
      <c r="EH97" s="257">
        <f ca="1">SUM(ED97:EG97)</f>
        <v>38.736877434307978</v>
      </c>
      <c r="EI97" s="160">
        <f t="shared" ca="1" si="462"/>
        <v>9.4879640434407815</v>
      </c>
      <c r="EJ97" s="160">
        <f t="shared" ca="1" si="462"/>
        <v>10.433854413248389</v>
      </c>
      <c r="EK97" s="160">
        <f t="shared" ca="1" si="462"/>
        <v>11.180796997344403</v>
      </c>
      <c r="EL97" s="160">
        <f t="shared" ca="1" si="462"/>
        <v>14.057525031409025</v>
      </c>
      <c r="EM97" s="257">
        <f ca="1">SUM(EI97:EL97)</f>
        <v>45.160140485442597</v>
      </c>
      <c r="EN97" s="160">
        <f t="shared" ca="1" si="463"/>
        <v>10.98884677576855</v>
      </c>
      <c r="EO97" s="160">
        <f t="shared" ca="1" si="463"/>
        <v>12.122316917951132</v>
      </c>
      <c r="EP97" s="160">
        <f t="shared" ca="1" si="463"/>
        <v>12.904887479154318</v>
      </c>
      <c r="EQ97" s="160">
        <f t="shared" ca="1" si="463"/>
        <v>16.257577209869094</v>
      </c>
      <c r="ER97" s="257">
        <f ca="1">SUM(EN97:EQ97)</f>
        <v>52.273628382743098</v>
      </c>
      <c r="ES97" s="244"/>
      <c r="ET97" s="133"/>
    </row>
    <row r="98" spans="1:150" s="253" customFormat="1" ht="12" customHeight="1">
      <c r="A98" s="792"/>
      <c r="B98" s="792"/>
      <c r="C98" s="265" t="s">
        <v>222</v>
      </c>
      <c r="D98" s="296"/>
      <c r="E98" s="296"/>
      <c r="F98" s="296"/>
      <c r="G98" s="296"/>
      <c r="H98" s="296"/>
      <c r="I98" s="256"/>
      <c r="J98" s="256"/>
      <c r="K98" s="256"/>
      <c r="L98" s="256"/>
      <c r="M98" s="296"/>
      <c r="N98" s="256"/>
      <c r="O98" s="256"/>
      <c r="P98" s="256"/>
      <c r="Q98" s="256"/>
      <c r="R98" s="296"/>
      <c r="S98" s="256"/>
      <c r="T98" s="256"/>
      <c r="U98" s="256"/>
      <c r="V98" s="256"/>
      <c r="W98" s="296"/>
      <c r="X98" s="256"/>
      <c r="Y98" s="256"/>
      <c r="Z98" s="256"/>
      <c r="AA98" s="256"/>
      <c r="AB98" s="296"/>
      <c r="AC98" s="256"/>
      <c r="AD98" s="256"/>
      <c r="AE98" s="256"/>
      <c r="AF98" s="256"/>
      <c r="AG98" s="296"/>
      <c r="AH98" s="256"/>
      <c r="AI98" s="256"/>
      <c r="AJ98" s="256"/>
      <c r="AK98" s="256"/>
      <c r="AL98" s="296"/>
      <c r="AM98" s="256"/>
      <c r="AN98" s="256"/>
      <c r="AO98" s="256"/>
      <c r="AP98" s="256"/>
      <c r="AQ98" s="296"/>
      <c r="AR98" s="256"/>
      <c r="AS98" s="256"/>
      <c r="AT98" s="256"/>
      <c r="AU98" s="256"/>
      <c r="AV98" s="296"/>
      <c r="AW98" s="256"/>
      <c r="AX98" s="256"/>
      <c r="AY98" s="256"/>
      <c r="AZ98" s="256"/>
      <c r="BA98" s="296"/>
      <c r="BB98" s="256"/>
      <c r="BC98" s="256"/>
      <c r="BD98" s="256"/>
      <c r="BE98" s="256"/>
      <c r="BF98" s="296"/>
      <c r="BG98" s="340"/>
      <c r="BH98" s="340"/>
      <c r="BI98" s="340"/>
      <c r="BJ98" s="340"/>
      <c r="BK98" s="296"/>
      <c r="BL98" s="340"/>
      <c r="BM98" s="340"/>
      <c r="BN98" s="340"/>
      <c r="BO98" s="340"/>
      <c r="BP98" s="296"/>
      <c r="BQ98" s="160">
        <f t="shared" si="464"/>
        <v>0.77900000000000003</v>
      </c>
      <c r="BR98" s="160">
        <f t="shared" si="464"/>
        <v>0.82599999999999996</v>
      </c>
      <c r="BS98" s="160">
        <f t="shared" si="464"/>
        <v>1.248</v>
      </c>
      <c r="BT98" s="160">
        <f t="shared" si="464"/>
        <v>3.52</v>
      </c>
      <c r="BU98" s="257">
        <f>SUM(BQ98:BT98)</f>
        <v>6.3729999999999993</v>
      </c>
      <c r="BV98" s="160">
        <f t="shared" ref="BV98:BY98" si="472">+BV84+BV91</f>
        <v>2.2909999999999999</v>
      </c>
      <c r="BW98" s="160">
        <f t="shared" si="472"/>
        <v>3.2550000000000003</v>
      </c>
      <c r="BX98" s="160">
        <f t="shared" si="472"/>
        <v>4.3580000000000005</v>
      </c>
      <c r="BY98" s="160">
        <f t="shared" si="472"/>
        <v>5.4620000000000006</v>
      </c>
      <c r="BZ98" s="257">
        <f t="shared" si="443"/>
        <v>15.366</v>
      </c>
      <c r="CA98" s="160">
        <f t="shared" ref="CA98:CD98" si="473">+CA84+CA91</f>
        <v>6.3180000000000005</v>
      </c>
      <c r="CB98" s="160">
        <f t="shared" si="473"/>
        <v>8.0749999999999993</v>
      </c>
      <c r="CC98" s="160">
        <f t="shared" si="473"/>
        <v>9.3239999999999998</v>
      </c>
      <c r="CD98" s="160">
        <f t="shared" si="473"/>
        <v>10.843</v>
      </c>
      <c r="CE98" s="257">
        <f t="shared" si="445"/>
        <v>34.56</v>
      </c>
      <c r="CF98" s="160">
        <f t="shared" ref="CF98:CI98" si="474">+CF84+CF91</f>
        <v>11.916</v>
      </c>
      <c r="CG98" s="160">
        <f t="shared" si="474"/>
        <v>15.221</v>
      </c>
      <c r="CH98" s="160">
        <f t="shared" si="474"/>
        <v>15.668999999999999</v>
      </c>
      <c r="CI98" s="160">
        <f t="shared" si="474"/>
        <v>16.769000000000002</v>
      </c>
      <c r="CJ98" s="257">
        <f t="shared" si="447"/>
        <v>59.575000000000003</v>
      </c>
      <c r="CK98" s="160">
        <f t="shared" ref="CK98:CN98" si="475">+CK84+CK91</f>
        <v>19.922999999999998</v>
      </c>
      <c r="CL98" s="160">
        <f t="shared" si="475"/>
        <v>26.448</v>
      </c>
      <c r="CM98" s="160">
        <f t="shared" si="475"/>
        <v>25.913</v>
      </c>
      <c r="CN98" s="160">
        <f t="shared" si="475"/>
        <v>32.361000000000004</v>
      </c>
      <c r="CO98" s="257">
        <f t="shared" si="449"/>
        <v>104.645</v>
      </c>
      <c r="CP98" s="160">
        <f t="shared" ref="CP98:CS98" si="476">+CP84+CP91</f>
        <v>36.420999999999999</v>
      </c>
      <c r="CQ98" s="160">
        <f t="shared" si="476"/>
        <v>49.824999999999996</v>
      </c>
      <c r="CR98" s="160">
        <f t="shared" si="476"/>
        <v>47.741</v>
      </c>
      <c r="CS98" s="160">
        <f t="shared" si="476"/>
        <v>54.262</v>
      </c>
      <c r="CT98" s="257">
        <f t="shared" si="451"/>
        <v>188.249</v>
      </c>
      <c r="CU98" s="160">
        <f t="shared" ref="CU98:CX98" si="477">+CU84+CU91</f>
        <v>56.027000000000001</v>
      </c>
      <c r="CV98" s="160">
        <f t="shared" si="477"/>
        <v>55.988</v>
      </c>
      <c r="CW98" s="160">
        <f t="shared" si="477"/>
        <v>63.84</v>
      </c>
      <c r="CX98" s="160">
        <f t="shared" si="477"/>
        <v>74.931999999999988</v>
      </c>
      <c r="CY98" s="257">
        <f t="shared" si="453"/>
        <v>250.78700000000001</v>
      </c>
      <c r="CZ98" s="160">
        <f t="shared" ref="CZ98:DC98" si="478">+CZ84+CZ91</f>
        <v>85.736999999999995</v>
      </c>
      <c r="DA98" s="160">
        <f t="shared" si="478"/>
        <v>98.766999999999996</v>
      </c>
      <c r="DB98" s="160">
        <f t="shared" si="478"/>
        <v>107.97199999999999</v>
      </c>
      <c r="DC98" s="160">
        <f t="shared" si="478"/>
        <v>103.587</v>
      </c>
      <c r="DD98" s="257">
        <f t="shared" si="455"/>
        <v>396.06299999999999</v>
      </c>
      <c r="DE98" s="239">
        <v>106</v>
      </c>
      <c r="DF98" s="239">
        <v>252</v>
      </c>
      <c r="DG98" s="239">
        <v>70</v>
      </c>
      <c r="DH98" s="239">
        <v>69</v>
      </c>
      <c r="DI98" s="257">
        <f t="shared" si="456"/>
        <v>497</v>
      </c>
      <c r="DJ98" s="239">
        <v>72</v>
      </c>
      <c r="DK98" s="239">
        <v>73</v>
      </c>
      <c r="DL98" s="239">
        <v>77</v>
      </c>
      <c r="DM98" s="239">
        <v>81</v>
      </c>
      <c r="DN98" s="257">
        <f t="shared" si="457"/>
        <v>303</v>
      </c>
      <c r="DO98" s="239">
        <v>84</v>
      </c>
      <c r="DP98" s="239">
        <v>85</v>
      </c>
      <c r="DQ98" s="239">
        <v>78</v>
      </c>
      <c r="DR98" s="239">
        <v>87</v>
      </c>
      <c r="DS98" s="257">
        <f t="shared" si="458"/>
        <v>334</v>
      </c>
      <c r="DT98" s="239">
        <v>97</v>
      </c>
      <c r="DU98" s="239">
        <v>94</v>
      </c>
      <c r="DV98" s="160">
        <f t="shared" ca="1" si="459"/>
        <v>110.39531470263582</v>
      </c>
      <c r="DW98" s="160">
        <f t="shared" ca="1" si="459"/>
        <v>140.26606178109728</v>
      </c>
      <c r="DX98" s="257">
        <f ca="1">SUM(DT98:DW98)</f>
        <v>441.66137648373308</v>
      </c>
      <c r="DY98" s="160">
        <f t="shared" ca="1" si="460"/>
        <v>117.70027243244478</v>
      </c>
      <c r="DZ98" s="160">
        <f t="shared" ca="1" si="460"/>
        <v>112.04153333391778</v>
      </c>
      <c r="EA98" s="160">
        <f t="shared" ca="1" si="460"/>
        <v>130.71028489802362</v>
      </c>
      <c r="EB98" s="160">
        <f t="shared" ca="1" si="460"/>
        <v>165.51869144521217</v>
      </c>
      <c r="EC98" s="257">
        <f ca="1">SUM(DY98:EB98)</f>
        <v>525.97078210959842</v>
      </c>
      <c r="ED98" s="160">
        <f t="shared" ca="1" si="461"/>
        <v>145.67572163429222</v>
      </c>
      <c r="EE98" s="160">
        <f t="shared" ca="1" si="461"/>
        <v>142.68643335694105</v>
      </c>
      <c r="EF98" s="160">
        <f t="shared" ca="1" si="461"/>
        <v>125.05923698361309</v>
      </c>
      <c r="EG98" s="160">
        <f t="shared" ca="1" si="461"/>
        <v>132.5804521714897</v>
      </c>
      <c r="EH98" s="257">
        <f ca="1">SUM(ED98:EG98)</f>
        <v>546.00184414633611</v>
      </c>
      <c r="EI98" s="160">
        <f t="shared" ca="1" si="462"/>
        <v>171.83248059053122</v>
      </c>
      <c r="EJ98" s="160">
        <f t="shared" ca="1" si="462"/>
        <v>168.45062770685325</v>
      </c>
      <c r="EK98" s="160">
        <f t="shared" ca="1" si="462"/>
        <v>147.01007435484391</v>
      </c>
      <c r="EL98" s="160">
        <f t="shared" ca="1" si="462"/>
        <v>155.86589461900726</v>
      </c>
      <c r="EM98" s="257">
        <f ca="1">SUM(EI98:EL98)</f>
        <v>643.15907727123567</v>
      </c>
      <c r="EN98" s="160">
        <f t="shared" ca="1" si="463"/>
        <v>200.82410805848968</v>
      </c>
      <c r="EO98" s="160">
        <f t="shared" ca="1" si="463"/>
        <v>196.98648406742646</v>
      </c>
      <c r="EP98" s="160">
        <f t="shared" ca="1" si="463"/>
        <v>171.34052329669117</v>
      </c>
      <c r="EQ98" s="160">
        <f t="shared" ca="1" si="463"/>
        <v>181.61944659039276</v>
      </c>
      <c r="ER98" s="257">
        <f ca="1">SUM(EN98:EQ98)</f>
        <v>750.77056201300002</v>
      </c>
      <c r="ES98" s="244"/>
      <c r="ET98" s="133"/>
    </row>
    <row r="99" spans="1:150" s="253" customFormat="1" ht="12" customHeight="1">
      <c r="A99" s="792"/>
      <c r="B99" s="792"/>
      <c r="C99" s="331" t="s">
        <v>142</v>
      </c>
      <c r="D99" s="296"/>
      <c r="E99" s="296"/>
      <c r="F99" s="296"/>
      <c r="G99" s="296"/>
      <c r="H99" s="296"/>
      <c r="I99" s="256"/>
      <c r="J99" s="256"/>
      <c r="K99" s="256"/>
      <c r="L99" s="256"/>
      <c r="M99" s="296"/>
      <c r="N99" s="256"/>
      <c r="O99" s="256"/>
      <c r="P99" s="256"/>
      <c r="Q99" s="256"/>
      <c r="R99" s="296"/>
      <c r="S99" s="256"/>
      <c r="T99" s="256"/>
      <c r="U99" s="256"/>
      <c r="V99" s="256"/>
      <c r="W99" s="296"/>
      <c r="X99" s="256"/>
      <c r="Y99" s="256"/>
      <c r="Z99" s="256"/>
      <c r="AA99" s="256"/>
      <c r="AB99" s="296"/>
      <c r="AC99" s="256"/>
      <c r="AD99" s="256"/>
      <c r="AE99" s="256"/>
      <c r="AF99" s="256"/>
      <c r="AG99" s="296"/>
      <c r="AH99" s="256"/>
      <c r="AI99" s="256"/>
      <c r="AJ99" s="256"/>
      <c r="AK99" s="256"/>
      <c r="AL99" s="296"/>
      <c r="AM99" s="256"/>
      <c r="AN99" s="256"/>
      <c r="AO99" s="256"/>
      <c r="AP99" s="256"/>
      <c r="AQ99" s="296"/>
      <c r="AR99" s="256"/>
      <c r="AS99" s="256"/>
      <c r="AT99" s="256"/>
      <c r="AU99" s="256"/>
      <c r="AV99" s="296"/>
      <c r="AW99" s="256"/>
      <c r="AX99" s="256"/>
      <c r="AY99" s="256"/>
      <c r="AZ99" s="256"/>
      <c r="BA99" s="296"/>
      <c r="BB99" s="256"/>
      <c r="BC99" s="256"/>
      <c r="BD99" s="256"/>
      <c r="BE99" s="256"/>
      <c r="BF99" s="296"/>
      <c r="BG99" s="340"/>
      <c r="BH99" s="340"/>
      <c r="BI99" s="340"/>
      <c r="BJ99" s="340"/>
      <c r="BK99" s="296"/>
      <c r="BL99" s="340"/>
      <c r="BM99" s="340"/>
      <c r="BN99" s="340"/>
      <c r="BO99" s="340"/>
      <c r="BP99" s="296"/>
      <c r="BQ99" s="160">
        <f t="shared" si="464"/>
        <v>0.42799999999999999</v>
      </c>
      <c r="BR99" s="160">
        <f t="shared" si="464"/>
        <v>0.49099999999999999</v>
      </c>
      <c r="BS99" s="160">
        <f t="shared" si="464"/>
        <v>0.628</v>
      </c>
      <c r="BT99" s="160">
        <f t="shared" si="464"/>
        <v>0.872</v>
      </c>
      <c r="BU99" s="257">
        <f>SUM(BQ99:BT99)</f>
        <v>2.419</v>
      </c>
      <c r="BV99" s="160">
        <f t="shared" ref="BV99:BY99" si="479">+BV85+BV92</f>
        <v>0.78100000000000003</v>
      </c>
      <c r="BW99" s="160">
        <f t="shared" si="479"/>
        <v>1.016</v>
      </c>
      <c r="BX99" s="160">
        <f t="shared" si="479"/>
        <v>1.3009999999999999</v>
      </c>
      <c r="BY99" s="160">
        <f t="shared" si="479"/>
        <v>1.3960000000000001</v>
      </c>
      <c r="BZ99" s="257">
        <f t="shared" si="443"/>
        <v>4.4939999999999998</v>
      </c>
      <c r="CA99" s="160">
        <f t="shared" ref="CA99:CD99" si="480">+CA85+CA92</f>
        <v>1.92</v>
      </c>
      <c r="CB99" s="160">
        <f t="shared" si="480"/>
        <v>2.282</v>
      </c>
      <c r="CC99" s="160">
        <f t="shared" si="480"/>
        <v>1.9809999999999999</v>
      </c>
      <c r="CD99" s="160">
        <f t="shared" si="480"/>
        <v>3.302</v>
      </c>
      <c r="CE99" s="257">
        <f t="shared" si="445"/>
        <v>9.4849999999999994</v>
      </c>
      <c r="CF99" s="160">
        <f t="shared" ref="CF99:CI99" si="481">+CF85+CF92</f>
        <v>2.9409999999999998</v>
      </c>
      <c r="CG99" s="160">
        <f t="shared" si="481"/>
        <v>4.3860000000000001</v>
      </c>
      <c r="CH99" s="160">
        <f t="shared" si="481"/>
        <v>5.0070000000000006</v>
      </c>
      <c r="CI99" s="160">
        <f t="shared" si="481"/>
        <v>5.3559999999999999</v>
      </c>
      <c r="CJ99" s="257">
        <f t="shared" si="447"/>
        <v>17.689999999999998</v>
      </c>
      <c r="CK99" s="160">
        <f t="shared" ref="CK99:CN99" si="482">+CK85+CK92</f>
        <v>6.0309999999999997</v>
      </c>
      <c r="CL99" s="160">
        <f t="shared" si="482"/>
        <v>7.444</v>
      </c>
      <c r="CM99" s="160">
        <f t="shared" si="482"/>
        <v>7.8529999999999998</v>
      </c>
      <c r="CN99" s="160">
        <f t="shared" si="482"/>
        <v>8.5329999999999995</v>
      </c>
      <c r="CO99" s="257">
        <f t="shared" si="449"/>
        <v>29.860999999999997</v>
      </c>
      <c r="CP99" s="160">
        <f t="shared" ref="CP99:CS99" si="483">+CP85+CP92</f>
        <v>9.7669999999999995</v>
      </c>
      <c r="CQ99" s="160">
        <f t="shared" si="483"/>
        <v>12.682</v>
      </c>
      <c r="CR99" s="160">
        <f t="shared" si="483"/>
        <v>13.266</v>
      </c>
      <c r="CS99" s="160">
        <f t="shared" si="483"/>
        <v>16.48</v>
      </c>
      <c r="CT99" s="257">
        <f t="shared" si="451"/>
        <v>52.194999999999993</v>
      </c>
      <c r="CU99" s="160">
        <f t="shared" ref="CU99:CX99" si="484">+CU85+CU92</f>
        <v>18.205000000000002</v>
      </c>
      <c r="CV99" s="160">
        <f t="shared" si="484"/>
        <v>23.759</v>
      </c>
      <c r="CW99" s="160">
        <f t="shared" si="484"/>
        <v>30.637999999999998</v>
      </c>
      <c r="CX99" s="160">
        <f t="shared" si="484"/>
        <v>18.734999999999999</v>
      </c>
      <c r="CY99" s="257">
        <f t="shared" si="453"/>
        <v>91.337000000000003</v>
      </c>
      <c r="CZ99" s="160">
        <f t="shared" ref="CZ99:DC99" si="485">+CZ85+CZ92</f>
        <v>20.070999999999998</v>
      </c>
      <c r="DA99" s="160">
        <f t="shared" si="485"/>
        <v>22.560000000000002</v>
      </c>
      <c r="DB99" s="160">
        <f t="shared" si="485"/>
        <v>26.128</v>
      </c>
      <c r="DC99" s="160">
        <f t="shared" si="485"/>
        <v>24.446999999999999</v>
      </c>
      <c r="DD99" s="257">
        <f t="shared" si="455"/>
        <v>93.206000000000003</v>
      </c>
      <c r="DE99" s="239">
        <v>18</v>
      </c>
      <c r="DF99" s="239">
        <v>19</v>
      </c>
      <c r="DG99" s="334">
        <v>20</v>
      </c>
      <c r="DH99" s="334">
        <v>19</v>
      </c>
      <c r="DI99" s="257">
        <f t="shared" si="456"/>
        <v>76</v>
      </c>
      <c r="DJ99" s="239">
        <v>26</v>
      </c>
      <c r="DK99" s="239">
        <v>23</v>
      </c>
      <c r="DL99" s="239">
        <v>23</v>
      </c>
      <c r="DM99" s="239">
        <v>24</v>
      </c>
      <c r="DN99" s="257">
        <f t="shared" si="457"/>
        <v>96</v>
      </c>
      <c r="DO99" s="239">
        <v>25</v>
      </c>
      <c r="DP99" s="239">
        <v>22</v>
      </c>
      <c r="DQ99" s="239">
        <v>24</v>
      </c>
      <c r="DR99" s="239">
        <v>27</v>
      </c>
      <c r="DS99" s="257">
        <f t="shared" si="458"/>
        <v>98</v>
      </c>
      <c r="DT99" s="239">
        <v>29</v>
      </c>
      <c r="DU99" s="239">
        <v>28</v>
      </c>
      <c r="DV99" s="160">
        <f t="shared" ca="1" si="459"/>
        <v>32.753123132131329</v>
      </c>
      <c r="DW99" s="160">
        <f t="shared" ca="1" si="459"/>
        <v>41.736612910820121</v>
      </c>
      <c r="DX99" s="257">
        <f ca="1">SUM(DT99:DW99)</f>
        <v>131.48973604295145</v>
      </c>
      <c r="DY99" s="160">
        <f t="shared" ca="1" si="460"/>
        <v>31.415732170606159</v>
      </c>
      <c r="DZ99" s="160">
        <f t="shared" ca="1" si="460"/>
        <v>29.229342078522702</v>
      </c>
      <c r="EA99" s="160">
        <f t="shared" ca="1" si="460"/>
        <v>34.87942300974472</v>
      </c>
      <c r="EB99" s="160">
        <f t="shared" ca="1" si="460"/>
        <v>44.252729457113581</v>
      </c>
      <c r="EC99" s="257">
        <f ca="1">SUM(DY99:EB99)</f>
        <v>139.77722671598715</v>
      </c>
      <c r="ED99" s="160">
        <f t="shared" ca="1" si="461"/>
        <v>13.010947291958795</v>
      </c>
      <c r="EE99" s="160">
        <f t="shared" ca="1" si="461"/>
        <v>14.394439128651694</v>
      </c>
      <c r="EF99" s="160">
        <f t="shared" ca="1" si="461"/>
        <v>15.224033518198398</v>
      </c>
      <c r="EG99" s="160">
        <f t="shared" ca="1" si="461"/>
        <v>19.204769724431682</v>
      </c>
      <c r="EH99" s="257">
        <f ca="1">SUM(ED99:EG99)</f>
        <v>61.834189663240565</v>
      </c>
      <c r="EI99" s="160">
        <f t="shared" ca="1" si="462"/>
        <v>15.267818860280089</v>
      </c>
      <c r="EJ99" s="160">
        <f t="shared" ca="1" si="462"/>
        <v>16.935211900868531</v>
      </c>
      <c r="EK99" s="160">
        <f t="shared" ca="1" si="462"/>
        <v>17.816479844058854</v>
      </c>
      <c r="EL99" s="160">
        <f t="shared" ca="1" si="462"/>
        <v>22.520117476590798</v>
      </c>
      <c r="EM99" s="257">
        <f ca="1">SUM(EI99:EL99)</f>
        <v>72.53962808179827</v>
      </c>
      <c r="EN99" s="160">
        <f t="shared" ca="1" si="463"/>
        <v>17.769290080826373</v>
      </c>
      <c r="EO99" s="160">
        <f t="shared" ca="1" si="463"/>
        <v>19.749316075373102</v>
      </c>
      <c r="EP99" s="160">
        <f t="shared" ca="1" si="463"/>
        <v>20.689963980408713</v>
      </c>
      <c r="EQ99" s="160">
        <f t="shared" ca="1" si="463"/>
        <v>26.186871107357579</v>
      </c>
      <c r="ER99" s="257">
        <f ca="1">SUM(EN99:EQ99)</f>
        <v>84.395441243965763</v>
      </c>
      <c r="ES99" s="244"/>
      <c r="ET99" s="133"/>
    </row>
    <row r="100" spans="1:150" s="253" customFormat="1" ht="12" customHeight="1">
      <c r="A100" s="792" t="s">
        <v>500</v>
      </c>
      <c r="B100" s="792"/>
      <c r="C100" s="1358" t="s">
        <v>358</v>
      </c>
      <c r="D100" s="296"/>
      <c r="E100" s="296"/>
      <c r="F100" s="296"/>
      <c r="G100" s="296"/>
      <c r="H100" s="296"/>
      <c r="I100" s="256"/>
      <c r="J100" s="256"/>
      <c r="K100" s="256"/>
      <c r="L100" s="256"/>
      <c r="M100" s="296"/>
      <c r="N100" s="256"/>
      <c r="O100" s="256"/>
      <c r="P100" s="256"/>
      <c r="Q100" s="256"/>
      <c r="R100" s="296"/>
      <c r="S100" s="256"/>
      <c r="T100" s="256"/>
      <c r="U100" s="256"/>
      <c r="V100" s="256"/>
      <c r="W100" s="296"/>
      <c r="X100" s="256"/>
      <c r="Y100" s="256"/>
      <c r="Z100" s="256"/>
      <c r="AA100" s="256"/>
      <c r="AB100" s="296"/>
      <c r="AC100" s="256"/>
      <c r="AD100" s="256"/>
      <c r="AE100" s="256"/>
      <c r="AF100" s="256"/>
      <c r="AG100" s="296"/>
      <c r="AH100" s="256"/>
      <c r="AI100" s="256"/>
      <c r="AJ100" s="256"/>
      <c r="AK100" s="256"/>
      <c r="AL100" s="296"/>
      <c r="AM100" s="256"/>
      <c r="AN100" s="256"/>
      <c r="AO100" s="256"/>
      <c r="AP100" s="256"/>
      <c r="AQ100" s="296"/>
      <c r="AR100" s="256"/>
      <c r="AS100" s="256"/>
      <c r="AT100" s="256"/>
      <c r="AU100" s="256"/>
      <c r="AV100" s="296"/>
      <c r="AW100" s="256"/>
      <c r="AX100" s="256"/>
      <c r="AY100" s="256"/>
      <c r="AZ100" s="256"/>
      <c r="BA100" s="296"/>
      <c r="BB100" s="256"/>
      <c r="BC100" s="256"/>
      <c r="BD100" s="256"/>
      <c r="BE100" s="256"/>
      <c r="BF100" s="296"/>
      <c r="BG100" s="340"/>
      <c r="BH100" s="340"/>
      <c r="BI100" s="340"/>
      <c r="BJ100" s="340"/>
      <c r="BK100" s="296"/>
      <c r="BL100" s="340"/>
      <c r="BM100" s="340"/>
      <c r="BN100" s="340"/>
      <c r="BO100" s="340"/>
      <c r="BP100" s="296"/>
      <c r="BQ100" s="1359">
        <f t="shared" si="464"/>
        <v>1.44</v>
      </c>
      <c r="BR100" s="1360">
        <f t="shared" si="464"/>
        <v>1.5710000000000002</v>
      </c>
      <c r="BS100" s="1360">
        <f t="shared" si="464"/>
        <v>2.2680000000000002</v>
      </c>
      <c r="BT100" s="1360">
        <f t="shared" si="464"/>
        <v>5.2089999999999996</v>
      </c>
      <c r="BU100" s="272">
        <f>SUM(BQ100:BT100)</f>
        <v>10.488</v>
      </c>
      <c r="BV100" s="1359">
        <f t="shared" ref="BV100:BY100" si="486">+BV86+BV93</f>
        <v>3.7919999999999998</v>
      </c>
      <c r="BW100" s="1360">
        <f t="shared" si="486"/>
        <v>5.4480000000000004</v>
      </c>
      <c r="BX100" s="1360">
        <f t="shared" si="486"/>
        <v>7.2830000000000004</v>
      </c>
      <c r="BY100" s="1360">
        <f t="shared" si="486"/>
        <v>8.4980000000000011</v>
      </c>
      <c r="BZ100" s="272">
        <f t="shared" si="443"/>
        <v>25.021000000000001</v>
      </c>
      <c r="CA100" s="1359">
        <f t="shared" ref="CA100:CD100" si="487">+CA86+CA93</f>
        <v>10.147</v>
      </c>
      <c r="CB100" s="1360">
        <f t="shared" si="487"/>
        <v>12.968999999999999</v>
      </c>
      <c r="CC100" s="1360">
        <f t="shared" si="487"/>
        <v>14.389000000000001</v>
      </c>
      <c r="CD100" s="1360">
        <f t="shared" si="487"/>
        <v>17.696999999999999</v>
      </c>
      <c r="CE100" s="272">
        <f t="shared" si="445"/>
        <v>55.201999999999998</v>
      </c>
      <c r="CF100" s="1359">
        <f t="shared" ref="CF100:CI100" si="488">+CF86+CF93</f>
        <v>20.115000000000002</v>
      </c>
      <c r="CG100" s="1360">
        <f t="shared" si="488"/>
        <v>26.493000000000002</v>
      </c>
      <c r="CH100" s="1360">
        <f t="shared" si="488"/>
        <v>27.728000000000002</v>
      </c>
      <c r="CI100" s="1360">
        <f t="shared" si="488"/>
        <v>29.426000000000002</v>
      </c>
      <c r="CJ100" s="272">
        <f t="shared" si="447"/>
        <v>103.76200000000001</v>
      </c>
      <c r="CK100" s="1359">
        <f t="shared" ref="CK100:CN100" si="489">+CK86+CK93</f>
        <v>34.412999999999997</v>
      </c>
      <c r="CL100" s="1360">
        <f t="shared" si="489"/>
        <v>44.429000000000002</v>
      </c>
      <c r="CM100" s="1360">
        <f t="shared" si="489"/>
        <v>44.499000000000002</v>
      </c>
      <c r="CN100" s="1360">
        <f t="shared" si="489"/>
        <v>53.421999999999997</v>
      </c>
      <c r="CO100" s="272">
        <f t="shared" si="449"/>
        <v>176.76300000000001</v>
      </c>
      <c r="CP100" s="1359">
        <f t="shared" ref="CP100:CS100" si="490">+CP86+CP93</f>
        <v>59.946000000000005</v>
      </c>
      <c r="CQ100" s="1360">
        <f t="shared" si="490"/>
        <v>76.466999999999999</v>
      </c>
      <c r="CR100" s="1360">
        <f t="shared" si="490"/>
        <v>75.401999999999987</v>
      </c>
      <c r="CS100" s="1360">
        <f t="shared" si="490"/>
        <v>82.491</v>
      </c>
      <c r="CT100" s="272">
        <f t="shared" si="451"/>
        <v>294.30599999999998</v>
      </c>
      <c r="CU100" s="1359">
        <f t="shared" ref="CU100:CX100" si="491">+CU86+CU93</f>
        <v>86.968000000000004</v>
      </c>
      <c r="CV100" s="1360">
        <f t="shared" si="491"/>
        <v>92.545999999999992</v>
      </c>
      <c r="CW100" s="1360">
        <f t="shared" si="491"/>
        <v>108.13800000000001</v>
      </c>
      <c r="CX100" s="1360">
        <f t="shared" si="491"/>
        <v>109.4023</v>
      </c>
      <c r="CY100" s="272">
        <f t="shared" si="453"/>
        <v>397.05430000000001</v>
      </c>
      <c r="CZ100" s="1359">
        <f t="shared" ref="CZ100:DC100" si="492">+CZ86+CZ93</f>
        <v>123.19399999999999</v>
      </c>
      <c r="DA100" s="1360">
        <f t="shared" si="492"/>
        <v>141.11100000000002</v>
      </c>
      <c r="DB100" s="1360">
        <f t="shared" si="492"/>
        <v>153.65099999999998</v>
      </c>
      <c r="DC100" s="1360">
        <f t="shared" si="492"/>
        <v>144.905</v>
      </c>
      <c r="DD100" s="272">
        <f t="shared" si="455"/>
        <v>562.86099999999999</v>
      </c>
      <c r="DE100" s="1359">
        <f t="shared" ref="DE100:DF100" si="493">+DE86+DE93</f>
        <v>147</v>
      </c>
      <c r="DF100" s="1360">
        <f t="shared" si="493"/>
        <v>286</v>
      </c>
      <c r="DG100" s="1360">
        <f>+SUM(DG96:DG99)</f>
        <v>107</v>
      </c>
      <c r="DH100" s="1360">
        <f>+SUM(DH96:DH99)</f>
        <v>103</v>
      </c>
      <c r="DI100" s="272">
        <f t="shared" ref="DI100" si="494">SUM(DE100:DH100)</f>
        <v>643</v>
      </c>
      <c r="DJ100" s="1360">
        <f>+SUM(DJ96:DJ99)</f>
        <v>111</v>
      </c>
      <c r="DK100" s="1360">
        <f>+SUM(DK96:DK99)</f>
        <v>109</v>
      </c>
      <c r="DL100" s="1360">
        <f>+SUM(DL96:DL99)</f>
        <v>115</v>
      </c>
      <c r="DM100" s="1360">
        <f ca="1">+DM86+DM93</f>
        <v>117</v>
      </c>
      <c r="DN100" s="272">
        <f ca="1">SUM(DJ100:DM100)</f>
        <v>452</v>
      </c>
      <c r="DO100" s="1359">
        <f ca="1">+DO86+DO93</f>
        <v>123</v>
      </c>
      <c r="DP100" s="1360">
        <f>SUM(DP96:DP99)</f>
        <v>120</v>
      </c>
      <c r="DQ100" s="1360">
        <f>SUM(DQ96:DQ99)</f>
        <v>116</v>
      </c>
      <c r="DR100" s="1430">
        <f>SUM(DR96:DR99)</f>
        <v>125</v>
      </c>
      <c r="DS100" s="272">
        <f ca="1">SUM(DO100:DR100)</f>
        <v>484</v>
      </c>
      <c r="DT100" s="1359">
        <f>SUM(DT96:DT99)</f>
        <v>138</v>
      </c>
      <c r="DU100" s="1360">
        <f>SUM(DU96:DU99)</f>
        <v>133</v>
      </c>
      <c r="DV100" s="1360">
        <f t="shared" ref="DV100:DW100" si="495">+DV86+DV93</f>
        <v>156.06481879190784</v>
      </c>
      <c r="DW100" s="1360">
        <f t="shared" si="495"/>
        <v>197.95915266181763</v>
      </c>
      <c r="DX100" s="272">
        <f>SUM(DT100:DW100)</f>
        <v>625.02397145372549</v>
      </c>
      <c r="DY100" s="1359">
        <f>+DY86+DY93</f>
        <v>158.89228358629512</v>
      </c>
      <c r="DZ100" s="1360">
        <f t="shared" ref="DZ100:EB100" si="496">+DZ86+DZ93</f>
        <v>150.21891062090612</v>
      </c>
      <c r="EA100" s="1360">
        <f t="shared" si="496"/>
        <v>175.64367248031317</v>
      </c>
      <c r="EB100" s="1360">
        <f t="shared" si="496"/>
        <v>221.9154890646366</v>
      </c>
      <c r="EC100" s="272">
        <f>SUM(DY100:EB100)</f>
        <v>706.67035575215107</v>
      </c>
      <c r="ED100" s="1359">
        <f>+ED86+ED93</f>
        <v>168.35902933138379</v>
      </c>
      <c r="EE100" s="1360">
        <f t="shared" ref="EE100:EG100" si="497">+EE86+EE93</f>
        <v>169.05197039640046</v>
      </c>
      <c r="EF100" s="1360">
        <f t="shared" si="497"/>
        <v>151.87720178393857</v>
      </c>
      <c r="EG100" s="1360">
        <f t="shared" si="497"/>
        <v>165.79701685564225</v>
      </c>
      <c r="EH100" s="272">
        <f>SUM(ED100:EG100)</f>
        <v>655.08521836736509</v>
      </c>
      <c r="EI100" s="1359">
        <f>+EI86+EI93</f>
        <v>198.4115615437282</v>
      </c>
      <c r="EJ100" s="1360">
        <f t="shared" ref="EJ100:EL100" si="498">+EJ86+EJ93</f>
        <v>199.44869624682568</v>
      </c>
      <c r="EK100" s="1360">
        <f t="shared" si="498"/>
        <v>178.34057301295408</v>
      </c>
      <c r="EL100" s="1360">
        <f t="shared" si="498"/>
        <v>194.74816469922433</v>
      </c>
      <c r="EM100" s="272">
        <f>SUM(EI100:EL100)</f>
        <v>770.94899550273226</v>
      </c>
      <c r="EN100" s="1359">
        <f>+EN86+EN93</f>
        <v>231.72118602078109</v>
      </c>
      <c r="EO100" s="1360">
        <f t="shared" ref="EO100:EQ100" si="499">+EO86+EO93</f>
        <v>233.11544285333903</v>
      </c>
      <c r="EP100" s="1360">
        <f t="shared" si="499"/>
        <v>207.67274342758134</v>
      </c>
      <c r="EQ100" s="1360">
        <f t="shared" si="499"/>
        <v>226.76795097992022</v>
      </c>
      <c r="ER100" s="272">
        <f>SUM(EN100:EQ100)</f>
        <v>899.27732328162165</v>
      </c>
      <c r="ES100" s="244"/>
      <c r="ET100" s="133"/>
    </row>
    <row r="101" spans="1:150" s="253" customFormat="1" ht="12" customHeight="1">
      <c r="A101" s="792" t="s">
        <v>714</v>
      </c>
      <c r="B101" s="792"/>
      <c r="C101" s="240" t="s">
        <v>129</v>
      </c>
      <c r="D101" s="314"/>
      <c r="E101" s="314"/>
      <c r="F101" s="314"/>
      <c r="G101" s="314"/>
      <c r="H101" s="314"/>
      <c r="I101" s="99"/>
      <c r="J101" s="99"/>
      <c r="K101" s="99"/>
      <c r="L101" s="99"/>
      <c r="M101" s="314"/>
      <c r="N101" s="622"/>
      <c r="O101" s="622"/>
      <c r="P101" s="622"/>
      <c r="Q101" s="622"/>
      <c r="R101" s="314"/>
      <c r="S101" s="622"/>
      <c r="T101" s="622"/>
      <c r="U101" s="622"/>
      <c r="V101" s="622"/>
      <c r="W101" s="314"/>
      <c r="X101" s="622"/>
      <c r="Y101" s="622"/>
      <c r="Z101" s="622"/>
      <c r="AA101" s="622"/>
      <c r="AB101" s="314"/>
      <c r="AC101" s="622"/>
      <c r="AD101" s="622"/>
      <c r="AE101" s="622"/>
      <c r="AF101" s="622"/>
      <c r="AG101" s="314"/>
      <c r="AH101" s="622"/>
      <c r="AI101" s="622"/>
      <c r="AJ101" s="622"/>
      <c r="AK101" s="622"/>
      <c r="AL101" s="314"/>
      <c r="AM101" s="622"/>
      <c r="AN101" s="622"/>
      <c r="AO101" s="622"/>
      <c r="AP101" s="622"/>
      <c r="AQ101" s="314"/>
      <c r="AR101" s="622"/>
      <c r="AS101" s="622"/>
      <c r="AT101" s="622"/>
      <c r="AU101" s="622"/>
      <c r="AV101" s="314"/>
      <c r="AW101" s="622"/>
      <c r="AX101" s="622"/>
      <c r="AY101" s="622"/>
      <c r="AZ101" s="622"/>
      <c r="BA101" s="314"/>
      <c r="BB101" s="622"/>
      <c r="BC101" s="622"/>
      <c r="BD101" s="622"/>
      <c r="BE101" s="622"/>
      <c r="BF101" s="314"/>
      <c r="BG101" s="622"/>
      <c r="BH101" s="622"/>
      <c r="BI101" s="622"/>
      <c r="BJ101" s="622"/>
      <c r="BK101" s="314"/>
      <c r="BL101" s="622"/>
      <c r="BM101" s="622"/>
      <c r="BN101" s="622"/>
      <c r="BO101" s="622"/>
      <c r="BP101" s="314"/>
      <c r="BQ101" s="244"/>
      <c r="BR101" s="244"/>
      <c r="BS101" s="244"/>
      <c r="BT101" s="244"/>
      <c r="BU101" s="243"/>
      <c r="BV101" s="244">
        <f t="shared" ref="BV101" si="500">+IF(BQ100&lt;=0,"nm",BV100/BQ100-1)</f>
        <v>1.6333333333333333</v>
      </c>
      <c r="BW101" s="244">
        <f t="shared" ref="BW101" si="501">+IF(BR100&lt;=0,"nm",BW100/BR100-1)</f>
        <v>2.4678548695098663</v>
      </c>
      <c r="BX101" s="244">
        <f t="shared" ref="BX101" si="502">+IF(BS100&lt;=0,"nm",BX100/BS100-1)</f>
        <v>2.2111992945326278</v>
      </c>
      <c r="BY101" s="244">
        <f t="shared" ref="BY101" si="503">+IF(BT100&lt;=0,"nm",BY100/BT100-1)</f>
        <v>0.6314071798809755</v>
      </c>
      <c r="BZ101" s="243">
        <f t="shared" ref="BZ101" si="504">+IF(BU100&lt;=0,"nm",BZ100/BU100-1)</f>
        <v>1.3856788710907706</v>
      </c>
      <c r="CA101" s="244">
        <f t="shared" ref="CA101" si="505">+IF(BV100&lt;=0,"nm",CA100/BV100-1)</f>
        <v>1.6758966244725739</v>
      </c>
      <c r="CB101" s="244">
        <f t="shared" ref="CB101" si="506">+IF(BW100&lt;=0,"nm",CB100/BW100-1)</f>
        <v>1.3805066079295152</v>
      </c>
      <c r="CC101" s="244">
        <f t="shared" ref="CC101" si="507">+IF(BX100&lt;=0,"nm",CC100/BX100-1)</f>
        <v>0.97569682823012505</v>
      </c>
      <c r="CD101" s="244">
        <f t="shared" ref="CD101" si="508">+IF(BY100&lt;=0,"nm",CD100/BY100-1)</f>
        <v>1.0824899976465048</v>
      </c>
      <c r="CE101" s="243">
        <f t="shared" ref="CE101" si="509">+IF(BZ100&lt;=0,"nm",CE100/BZ100-1)</f>
        <v>1.2062267695136084</v>
      </c>
      <c r="CF101" s="244">
        <f t="shared" ref="CF101" si="510">+IF(CA100&lt;=0,"nm",CF100/CA100-1)</f>
        <v>0.98235931802503207</v>
      </c>
      <c r="CG101" s="244">
        <f t="shared" ref="CG101" si="511">+IF(CB100&lt;=0,"nm",CG100/CB100-1)</f>
        <v>1.0427943557714552</v>
      </c>
      <c r="CH101" s="244">
        <f t="shared" ref="CH101" si="512">+IF(CC100&lt;=0,"nm",CH100/CC100-1)</f>
        <v>0.92702759052053652</v>
      </c>
      <c r="CI101" s="244">
        <f t="shared" ref="CI101" si="513">+IF(CD100&lt;=0,"nm",CI100/CD100-1)</f>
        <v>0.66276770074023861</v>
      </c>
      <c r="CJ101" s="243">
        <f t="shared" ref="CJ101" si="514">+IF(CE100&lt;=0,"nm",CJ100/CE100-1)</f>
        <v>0.87967827252635811</v>
      </c>
      <c r="CK101" s="244">
        <f t="shared" ref="CK101" si="515">+IF(CF100&lt;=0,"nm",CK100/CF100-1)</f>
        <v>0.71081282624906761</v>
      </c>
      <c r="CL101" s="244">
        <f t="shared" ref="CL101" si="516">+IF(CG100&lt;=0,"nm",CL100/CG100-1)</f>
        <v>0.67700902125089635</v>
      </c>
      <c r="CM101" s="244">
        <f t="shared" ref="CM101" si="517">+IF(CH100&lt;=0,"nm",CM100/CH100-1)</f>
        <v>0.60483987305251019</v>
      </c>
      <c r="CN101" s="244">
        <f t="shared" ref="CN101" si="518">+IF(CI100&lt;=0,"nm",CN100/CI100-1)</f>
        <v>0.81546931285257918</v>
      </c>
      <c r="CO101" s="243">
        <f t="shared" ref="CO101" si="519">+IF(CJ100&lt;=0,"nm",CO100/CJ100-1)</f>
        <v>0.70354272276941443</v>
      </c>
      <c r="CP101" s="244">
        <f t="shared" ref="CP101" si="520">+IF(CK100&lt;=0,"nm",CP100/CK100-1)</f>
        <v>0.74195798099555432</v>
      </c>
      <c r="CQ101" s="244">
        <f t="shared" ref="CQ101" si="521">+IF(CL100&lt;=0,"nm",CQ100/CL100-1)</f>
        <v>0.72110558419050608</v>
      </c>
      <c r="CR101" s="244">
        <f t="shared" ref="CR101" si="522">+IF(CM100&lt;=0,"nm",CR100/CM100-1)</f>
        <v>0.69446504415829535</v>
      </c>
      <c r="CS101" s="244">
        <f t="shared" ref="CS101" si="523">+IF(CN100&lt;=0,"nm",CS100/CN100-1)</f>
        <v>0.54413911871513609</v>
      </c>
      <c r="CT101" s="243">
        <f t="shared" ref="CT101" si="524">+IF(CO100&lt;=0,"nm",CT100/CO100-1)</f>
        <v>0.6649751361993177</v>
      </c>
      <c r="CU101" s="244">
        <f t="shared" ref="CU101" si="525">+IF(CP100&lt;=0,"nm",CU100/CP100-1)</f>
        <v>0.45077236179227964</v>
      </c>
      <c r="CV101" s="244">
        <f t="shared" ref="CV101" si="526">+IF(CQ100&lt;=0,"nm",CV100/CQ100-1)</f>
        <v>0.21027371284344865</v>
      </c>
      <c r="CW101" s="244">
        <f t="shared" ref="CW101" si="527">+IF(CR100&lt;=0,"nm",CW100/CR100-1)</f>
        <v>0.43415294024031215</v>
      </c>
      <c r="CX101" s="245">
        <f t="shared" ref="CX101" si="528">+IF(CS100&lt;=0,"nm",CX100/CS100-1)</f>
        <v>0.32623316483010267</v>
      </c>
      <c r="CY101" s="243">
        <f t="shared" ref="CY101" si="529">+IF(CT100&lt;=0,"nm",CY100/CT100-1)</f>
        <v>0.34912064314013325</v>
      </c>
      <c r="CZ101" s="244">
        <f t="shared" ref="CZ101" si="530">+IF(CU100&lt;=0,"nm",CZ100/CU100-1)</f>
        <v>0.41654401618986281</v>
      </c>
      <c r="DA101" s="244">
        <f t="shared" ref="DA101" si="531">+IF(CV100&lt;=0,"nm",DA100/CV100-1)</f>
        <v>0.52476606228254097</v>
      </c>
      <c r="DB101" s="244">
        <f t="shared" ref="DB101" si="532">+IF(CW100&lt;=0,"nm",DB100/CW100-1)</f>
        <v>0.42087887699051185</v>
      </c>
      <c r="DC101" s="244">
        <f t="shared" ref="DC101" si="533">+IF(CX100&lt;=0,"nm",DC100/CX100-1)</f>
        <v>0.3245151153129322</v>
      </c>
      <c r="DD101" s="243">
        <f t="shared" ref="DD101" si="534">+IF(CY100&lt;=0,"nm",DD100/CY100-1)</f>
        <v>0.4175920018999919</v>
      </c>
      <c r="DE101" s="244">
        <f t="shared" ref="DE101" si="535">+IF(CZ100&lt;=0,"nm",DE100/CZ100-1)</f>
        <v>0.19323993051609678</v>
      </c>
      <c r="DF101" s="244">
        <f t="shared" ref="DF101" si="536">+IF(DA100&lt;=0,"nm",DF100/DA100-1)</f>
        <v>1.0267732494277553</v>
      </c>
      <c r="DG101" s="244">
        <f t="shared" ref="DG101" si="537">+IF(DB100&lt;=0,"nm",DG100/DB100-1)</f>
        <v>-0.30361663770492864</v>
      </c>
      <c r="DH101" s="244">
        <f t="shared" ref="DH101" si="538">+IF(DC100&lt;=0,"nm",DH100/DC100-1)</f>
        <v>-0.2891894689624237</v>
      </c>
      <c r="DI101" s="243">
        <f t="shared" ref="DI101" si="539">+IF(DD100&lt;=0,"nm",DI100/DD100-1)</f>
        <v>0.14237795832363598</v>
      </c>
      <c r="DJ101" s="244">
        <f t="shared" ref="DJ101" si="540">+IF(DE100&lt;=0,"nm",DJ100/DE100-1)</f>
        <v>-0.24489795918367352</v>
      </c>
      <c r="DK101" s="244">
        <f t="shared" ref="DK101" si="541">+IF(DF100&lt;=0,"nm",DK100/DF100-1)</f>
        <v>-0.61888111888111896</v>
      </c>
      <c r="DL101" s="244">
        <f t="shared" ref="DL101" si="542">+IF(DG100&lt;=0,"nm",DL100/DG100-1)</f>
        <v>7.4766355140186924E-2</v>
      </c>
      <c r="DM101" s="244">
        <f ca="1">+IF(DH100&lt;=0,"nm",DM100/DH100-1)</f>
        <v>0.13592233009708732</v>
      </c>
      <c r="DN101" s="243">
        <f ca="1">+IF(DI100&lt;=0,"nm",DN100/DI100-1)</f>
        <v>-0.29704510108864701</v>
      </c>
      <c r="DO101" s="244">
        <f ca="1">+IF(DJ100&lt;=0,"nm",DO100/DJ100-1)</f>
        <v>0.10810810810810811</v>
      </c>
      <c r="DP101" s="244">
        <f t="shared" ref="DP101:DQ101" si="543">+IF(DK100&lt;=0,"nm",DP100/DK100-1)</f>
        <v>0.10091743119266061</v>
      </c>
      <c r="DQ101" s="244">
        <f t="shared" si="543"/>
        <v>8.6956521739129933E-3</v>
      </c>
      <c r="DR101" s="629">
        <f ca="1">+IF(DM100&lt;=0,"nm",DR100/DM100-1)</f>
        <v>6.8376068376068355E-2</v>
      </c>
      <c r="DS101" s="243">
        <f ca="1">+IF(DN100&lt;=0,"nm",DS100/DN100-1)</f>
        <v>7.079646017699126E-2</v>
      </c>
      <c r="DT101" s="244">
        <f ca="1">+IF(DO100&lt;=0,"nm",DT100/DO100-1)</f>
        <v>0.12195121951219523</v>
      </c>
      <c r="DU101" s="244">
        <f t="shared" ref="DU101" si="544">+IF(DP100&lt;=0,"nm",DU100/DP100-1)</f>
        <v>0.10833333333333339</v>
      </c>
      <c r="DV101" s="244">
        <f t="shared" ref="DV101" si="545">+IF(DQ100&lt;=0,"nm",DV100/DQ100-1)</f>
        <v>0.34538636889575725</v>
      </c>
      <c r="DW101" s="244">
        <f t="shared" ref="DW101" si="546">+IF(DR100&lt;=0,"nm",DW100/DR100-1)</f>
        <v>0.58367322129454102</v>
      </c>
      <c r="DX101" s="243">
        <f ca="1">+IF(DS100&lt;=0,"nm",DX100/DS100-1)</f>
        <v>0.2913718418465403</v>
      </c>
      <c r="DY101" s="244">
        <f>+IF(DT100&lt;=0,"nm",DY100/DT100-1)</f>
        <v>0.15139335932097908</v>
      </c>
      <c r="DZ101" s="244">
        <f t="shared" ref="DZ101" si="547">+IF(DU100&lt;=0,"nm",DZ100/DU100-1)</f>
        <v>0.12946549339027147</v>
      </c>
      <c r="EA101" s="244">
        <f t="shared" ref="EA101" si="548">+IF(DV100&lt;=0,"nm",EA100/DV100-1)</f>
        <v>0.12545334585952506</v>
      </c>
      <c r="EB101" s="244">
        <f t="shared" ref="EB101" si="549">+IF(DW100&lt;=0,"nm",EB100/DW100-1)</f>
        <v>0.12101656367333846</v>
      </c>
      <c r="EC101" s="243">
        <f>+IF(DX100&lt;=0,"nm",EC100/DX100-1)</f>
        <v>0.13062920468238448</v>
      </c>
      <c r="ED101" s="244">
        <f>+IF(DY100&lt;=0,"nm",ED100/DY100-1)</f>
        <v>5.9579644344070593E-2</v>
      </c>
      <c r="EE101" s="244">
        <f t="shared" ref="EE101" si="550">+IF(DZ100&lt;=0,"nm",EE100/DZ100-1)</f>
        <v>0.12537076522290613</v>
      </c>
      <c r="EF101" s="244">
        <f t="shared" ref="EF101" si="551">+IF(EA100&lt;=0,"nm",EF100/EA100-1)</f>
        <v>-0.13531071379208626</v>
      </c>
      <c r="EG101" s="244">
        <f t="shared" ref="EG101" si="552">+IF(EB100&lt;=0,"nm",EG100/EB100-1)</f>
        <v>-0.25288217801078727</v>
      </c>
      <c r="EH101" s="243">
        <f>+IF(EC100&lt;=0,"nm",EH100/EC100-1)</f>
        <v>-7.2997454845662557E-2</v>
      </c>
      <c r="EI101" s="244">
        <f>+IF(ED100&lt;=0,"nm",EI100/ED100-1)</f>
        <v>0.17850264599228316</v>
      </c>
      <c r="EJ101" s="244">
        <f t="shared" ref="EJ101" si="553">+IF(EE100&lt;=0,"nm",EJ100/EE100-1)</f>
        <v>0.17980698940775208</v>
      </c>
      <c r="EK101" s="244">
        <f t="shared" ref="EK101" si="554">+IF(EF100&lt;=0,"nm",EK100/EF100-1)</f>
        <v>0.17424189357045483</v>
      </c>
      <c r="EL101" s="244">
        <f t="shared" ref="EL101" si="555">+IF(EG100&lt;=0,"nm",EL100/EG100-1)</f>
        <v>0.17461802626273748</v>
      </c>
      <c r="EM101" s="243">
        <f>+IF(EH100&lt;=0,"nm",EM100/EH100-1)</f>
        <v>0.17686825146830287</v>
      </c>
      <c r="EN101" s="244">
        <f>+IF(EI100&lt;=0,"nm",EN100/EI100-1)</f>
        <v>0.16788146929488157</v>
      </c>
      <c r="EO101" s="244">
        <f t="shared" ref="EO101" si="556">+IF(EJ100&lt;=0,"nm",EO100/EJ100-1)</f>
        <v>0.16879903072843061</v>
      </c>
      <c r="EP101" s="244">
        <f t="shared" ref="EP101" si="557">+IF(EK100&lt;=0,"nm",EP100/EK100-1)</f>
        <v>0.16447278327684112</v>
      </c>
      <c r="EQ101" s="244">
        <f t="shared" ref="EQ101" si="558">+IF(EL100&lt;=0,"nm",EQ100/EL100-1)</f>
        <v>0.16441636988029296</v>
      </c>
      <c r="ER101" s="243">
        <f>+IF(EM100&lt;=0,"nm",ER100/EM100-1)</f>
        <v>0.16645501651533645</v>
      </c>
      <c r="ES101" s="244"/>
      <c r="ET101" s="133"/>
    </row>
    <row r="102" spans="1:150" s="253" customFormat="1" ht="12" customHeight="1">
      <c r="A102" s="792"/>
      <c r="B102" s="792"/>
      <c r="C102" s="343" t="s">
        <v>193</v>
      </c>
      <c r="D102" s="296"/>
      <c r="E102" s="296"/>
      <c r="F102" s="296"/>
      <c r="G102" s="296"/>
      <c r="H102" s="296"/>
      <c r="I102" s="256"/>
      <c r="J102" s="256"/>
      <c r="K102" s="256"/>
      <c r="L102" s="256"/>
      <c r="M102" s="296"/>
      <c r="N102" s="256"/>
      <c r="O102" s="256"/>
      <c r="P102" s="256"/>
      <c r="Q102" s="256"/>
      <c r="R102" s="296"/>
      <c r="S102" s="256"/>
      <c r="T102" s="256"/>
      <c r="U102" s="256"/>
      <c r="V102" s="256"/>
      <c r="W102" s="296"/>
      <c r="X102" s="256"/>
      <c r="Y102" s="256"/>
      <c r="Z102" s="256"/>
      <c r="AA102" s="256"/>
      <c r="AB102" s="296"/>
      <c r="AC102" s="256"/>
      <c r="AD102" s="256"/>
      <c r="AE102" s="256"/>
      <c r="AF102" s="256"/>
      <c r="AG102" s="296"/>
      <c r="AH102" s="256"/>
      <c r="AI102" s="256"/>
      <c r="AJ102" s="256"/>
      <c r="AK102" s="256"/>
      <c r="AL102" s="296"/>
      <c r="AM102" s="256"/>
      <c r="AN102" s="256"/>
      <c r="AO102" s="256"/>
      <c r="AP102" s="256"/>
      <c r="AQ102" s="296"/>
      <c r="AR102" s="256"/>
      <c r="AS102" s="256"/>
      <c r="AT102" s="256"/>
      <c r="AU102" s="256"/>
      <c r="AV102" s="296"/>
      <c r="AW102" s="256"/>
      <c r="AX102" s="256"/>
      <c r="AY102" s="256"/>
      <c r="AZ102" s="256"/>
      <c r="BA102" s="296"/>
      <c r="BB102" s="256"/>
      <c r="BC102" s="256"/>
      <c r="BD102" s="256"/>
      <c r="BE102" s="256"/>
      <c r="BF102" s="296"/>
      <c r="BG102" s="340"/>
      <c r="BH102" s="340"/>
      <c r="BI102" s="340"/>
      <c r="BJ102" s="340"/>
      <c r="BK102" s="296"/>
      <c r="BL102" s="340"/>
      <c r="BM102" s="340"/>
      <c r="BN102" s="340"/>
      <c r="BO102" s="340"/>
      <c r="BP102" s="296"/>
      <c r="BQ102" s="341">
        <f t="shared" ref="BQ102:BT102" si="559">BQ100/BQ$10</f>
        <v>3.8556281460854665E-2</v>
      </c>
      <c r="BR102" s="344">
        <f t="shared" si="559"/>
        <v>3.4968615055869658E-2</v>
      </c>
      <c r="BS102" s="344">
        <f t="shared" si="559"/>
        <v>4.296593793808965E-2</v>
      </c>
      <c r="BT102" s="344">
        <f t="shared" si="559"/>
        <v>7.4230829521325856E-2</v>
      </c>
      <c r="BU102" s="243">
        <f>BU100/BU$10</f>
        <v>5.1102892809635876E-2</v>
      </c>
      <c r="BV102" s="341">
        <f t="shared" ref="BV102" si="560">BV100/BV$10</f>
        <v>5.2143780424080736E-2</v>
      </c>
      <c r="BW102" s="344">
        <f t="shared" ref="BW102" si="561">BW100/BW$10</f>
        <v>6.2875806432998269E-2</v>
      </c>
      <c r="BX102" s="344">
        <f t="shared" ref="BX102" si="562">BX100/BX$10</f>
        <v>7.3138645082247086E-2</v>
      </c>
      <c r="BY102" s="344">
        <f t="shared" ref="BY102:BZ102" si="563">BY100/BY$10</f>
        <v>6.517720868518137E-2</v>
      </c>
      <c r="BZ102" s="243">
        <f t="shared" si="563"/>
        <v>6.4266817352888306E-2</v>
      </c>
      <c r="CA102" s="341">
        <f t="shared" ref="CA102" si="564">CA100/CA$10</f>
        <v>7.9659912544453954E-2</v>
      </c>
      <c r="CB102" s="344">
        <f t="shared" ref="CB102" si="565">CB100/CB$10</f>
        <v>8.5516468299759313E-2</v>
      </c>
      <c r="CC102" s="344">
        <f t="shared" ref="CC102" si="566">CC100/CC$10</f>
        <v>8.3922405748413587E-2</v>
      </c>
      <c r="CD102" s="344">
        <f t="shared" ref="CD102:CE102" si="567">CD100/CD$10</f>
        <v>7.9424991248305765E-2</v>
      </c>
      <c r="CE102" s="243">
        <f t="shared" si="567"/>
        <v>8.1986740016396761E-2</v>
      </c>
      <c r="CF102" s="341">
        <f t="shared" ref="CF102" si="568">CF100/CF$10</f>
        <v>9.3846225622842228E-2</v>
      </c>
      <c r="CG102" s="344">
        <f t="shared" ref="CG102" si="569">CG100/CG$10</f>
        <v>0.1081510268897752</v>
      </c>
      <c r="CH102" s="344">
        <f t="shared" ref="CH102" si="570">CH100/CH$10</f>
        <v>0.10267195923929144</v>
      </c>
      <c r="CI102" s="344">
        <f t="shared" ref="CI102:CJ102" si="571">CI100/CI$10</f>
        <v>8.5575027191140643E-2</v>
      </c>
      <c r="CJ102" s="243">
        <f t="shared" si="571"/>
        <v>9.6682068784947145E-2</v>
      </c>
      <c r="CK102" s="341">
        <f t="shared" ref="CK102" si="572">CK100/CK$10</f>
        <v>0.10737888555363484</v>
      </c>
      <c r="CL102" s="344">
        <f t="shared" ref="CL102" si="573">CL100/CL$10</f>
        <v>0.12273916442666565</v>
      </c>
      <c r="CM102" s="344">
        <f t="shared" ref="CM102" si="574">CM100/CM$10</f>
        <v>0.11393873287039882</v>
      </c>
      <c r="CN102" s="344">
        <f t="shared" ref="CN102:CO102" si="575">CN100/CN$10</f>
        <v>0.10575263282920262</v>
      </c>
      <c r="CO102" s="243">
        <f t="shared" si="575"/>
        <v>0.11200483090256899</v>
      </c>
      <c r="CP102" s="341">
        <f t="shared" ref="CP102" si="576">CP100/CP$10</f>
        <v>0.12754440947997986</v>
      </c>
      <c r="CQ102" s="344">
        <f t="shared" ref="CQ102" si="577">CQ100/CQ$10</f>
        <v>0.10704551467716399</v>
      </c>
      <c r="CR102" s="344">
        <f t="shared" ref="CR102" si="578">CR100/CR$10</f>
        <v>9.8255810165427629E-2</v>
      </c>
      <c r="CS102" s="344">
        <f t="shared" ref="CS102:CT102" si="579">CS100/CS$10</f>
        <v>8.4368710009982167E-2</v>
      </c>
      <c r="CT102" s="243">
        <f t="shared" si="579"/>
        <v>0.10046318626682928</v>
      </c>
      <c r="CU102" s="341">
        <f t="shared" ref="CU102" si="580">CU100/CU$10</f>
        <v>8.7966685783702384E-2</v>
      </c>
      <c r="CV102" s="344">
        <f t="shared" ref="CV102" si="581">CV100/CV$10</f>
        <v>8.2671323736315763E-2</v>
      </c>
      <c r="CW102" s="344">
        <f t="shared" ref="CW102" si="582">CW100/CW$10</f>
        <v>9.6230444764803247E-2</v>
      </c>
      <c r="CX102" s="344">
        <f t="shared" ref="CX102:CY102" si="583">CX100/CX$10</f>
        <v>7.927565027854587E-2</v>
      </c>
      <c r="CY102" s="243">
        <f t="shared" si="583"/>
        <v>8.6094253593347242E-2</v>
      </c>
      <c r="CZ102" s="341">
        <f t="shared" ref="CZ102" si="584">CZ100/CZ$10</f>
        <v>0.1023526469666997</v>
      </c>
      <c r="DA102" s="344">
        <f t="shared" ref="DA102" si="585">DA100/DA$10</f>
        <v>0.10896072237412389</v>
      </c>
      <c r="DB102" s="344">
        <f t="shared" ref="DB102" si="586">DB100/DB$10</f>
        <v>0.1124659639877031</v>
      </c>
      <c r="DC102" s="344">
        <f t="shared" ref="DC102:DD102" si="587">DC100/DC$10</f>
        <v>8.3519791029050508E-2</v>
      </c>
      <c r="DD102" s="243">
        <f t="shared" si="587"/>
        <v>0.10051333389525173</v>
      </c>
      <c r="DE102" s="341">
        <f t="shared" ref="DE102" si="588">DE100/DE$10</f>
        <v>9.7480106100795758E-2</v>
      </c>
      <c r="DF102" s="344">
        <f t="shared" ref="DF102" si="589">DF100/DF$10</f>
        <v>0.16883116883116883</v>
      </c>
      <c r="DG102" s="344">
        <f t="shared" ref="DG102" si="590">DG100/DG$10</f>
        <v>6.2427071178529754E-2</v>
      </c>
      <c r="DH102" s="344">
        <f t="shared" ref="DH102:DI102" si="591">DH100/DH$10</f>
        <v>4.8041044776119403E-2</v>
      </c>
      <c r="DI102" s="243">
        <f t="shared" si="591"/>
        <v>9.1076487252124652E-2</v>
      </c>
      <c r="DJ102" s="341">
        <f t="shared" ref="DJ102" si="592">DJ100/DJ$10</f>
        <v>5.964535196131112E-2</v>
      </c>
      <c r="DK102" s="344">
        <f t="shared" ref="DK102" si="593">DK100/DK$10</f>
        <v>5.330073349633252E-2</v>
      </c>
      <c r="DL102" s="344">
        <f t="shared" ref="DL102" si="594">DL100/DL$10</f>
        <v>5.3191489361702128E-2</v>
      </c>
      <c r="DM102" s="344">
        <f ca="1">DM100/DM$10</f>
        <v>4.1607396870554765E-2</v>
      </c>
      <c r="DN102" s="243">
        <f ca="1">DN100/DN$10</f>
        <v>5.0900900900900901E-2</v>
      </c>
      <c r="DO102" s="341">
        <f ca="1">DO100/DO$10</f>
        <v>5.2118644067796607E-2</v>
      </c>
      <c r="DP102" s="344">
        <f t="shared" ref="DP102:DQ102" si="595">DP100/DP$10</f>
        <v>4.4776119402985072E-2</v>
      </c>
      <c r="DQ102" s="344">
        <f t="shared" si="595"/>
        <v>4.0787623066104076E-2</v>
      </c>
      <c r="DR102" s="1530">
        <f>DR100/DR$10</f>
        <v>3.4041394335511982E-2</v>
      </c>
      <c r="DS102" s="243">
        <f ca="1">DS100/DS$10</f>
        <v>4.1883004499826931E-2</v>
      </c>
      <c r="DT102" s="341">
        <f>DT100/DT$10</f>
        <v>4.3533123028391164E-2</v>
      </c>
      <c r="DU102" s="344">
        <f t="shared" ref="DU102" si="596">DU100/DU$10</f>
        <v>3.7119732068099355E-2</v>
      </c>
      <c r="DV102" s="344">
        <f t="shared" ref="DV102" si="597">DV100/DV$10</f>
        <v>4.207819750127266E-2</v>
      </c>
      <c r="DW102" s="344">
        <f t="shared" ref="DW102" si="598">DW100/DW$10</f>
        <v>4.1677699826242427E-2</v>
      </c>
      <c r="DX102" s="243">
        <f>DX100/DX$10</f>
        <v>4.1088409990928804E-2</v>
      </c>
      <c r="DY102" s="341">
        <f>DY100/DY$10</f>
        <v>3.9377322598397643E-2</v>
      </c>
      <c r="DZ102" s="344">
        <f t="shared" ref="DZ102" si="599">DZ100/DZ$10</f>
        <v>3.3075151824034379E-2</v>
      </c>
      <c r="EA102" s="344">
        <f t="shared" ref="EA102" si="600">EA100/EA$10</f>
        <v>3.7840572290132095E-2</v>
      </c>
      <c r="EB102" s="344">
        <f t="shared" ref="EB102:EF102" si="601">EB100/EB$10</f>
        <v>3.7512737614013643E-2</v>
      </c>
      <c r="EC102" s="243">
        <f>EC100/EC$10</f>
        <v>3.6932164182096973E-2</v>
      </c>
      <c r="ED102" s="341">
        <f>ED100/ED$10</f>
        <v>3.4520271404685457E-2</v>
      </c>
      <c r="EE102" s="344">
        <f t="shared" si="601"/>
        <v>3.0820506716376046E-2</v>
      </c>
      <c r="EF102" s="344">
        <f t="shared" si="601"/>
        <v>2.712720536783108E-2</v>
      </c>
      <c r="EG102" s="344">
        <f t="shared" ref="EG102:EK102" si="602">EG100/EG$10</f>
        <v>2.3232410954896223E-2</v>
      </c>
      <c r="EH102" s="243">
        <f>EH100/EH$10</f>
        <v>2.8361967482380044E-2</v>
      </c>
      <c r="EI102" s="341">
        <f>EI100/EI$10</f>
        <v>3.4328122043077343E-2</v>
      </c>
      <c r="EJ102" s="344">
        <f t="shared" si="602"/>
        <v>3.0678007881679351E-2</v>
      </c>
      <c r="EK102" s="344">
        <f t="shared" si="602"/>
        <v>2.6875994096260413E-2</v>
      </c>
      <c r="EL102" s="344">
        <f t="shared" ref="EL102:EQ102" si="603">EL100/EL$10</f>
        <v>2.301282567496268E-2</v>
      </c>
      <c r="EM102" s="243">
        <f>EM100/EM$10</f>
        <v>2.8157904445419529E-2</v>
      </c>
      <c r="EN102" s="341">
        <f>EN100/EN$10</f>
        <v>3.4174931578283441E-2</v>
      </c>
      <c r="EO102" s="344">
        <f t="shared" si="603"/>
        <v>3.0564503553994798E-2</v>
      </c>
      <c r="EP102" s="344">
        <f t="shared" si="603"/>
        <v>2.667574858052062E-2</v>
      </c>
      <c r="EQ102" s="344">
        <f t="shared" si="603"/>
        <v>2.2838275643878251E-2</v>
      </c>
      <c r="ER102" s="243">
        <f>ER100/ER$10</f>
        <v>2.7995845912147314E-2</v>
      </c>
      <c r="ES102" s="244"/>
      <c r="ET102" s="133"/>
    </row>
    <row r="103" spans="1:150" s="253" customFormat="1" ht="12" customHeight="1">
      <c r="A103" s="792"/>
      <c r="B103" s="792"/>
      <c r="C103" s="328" t="s">
        <v>223</v>
      </c>
      <c r="D103" s="296"/>
      <c r="E103" s="296"/>
      <c r="F103" s="296"/>
      <c r="G103" s="296"/>
      <c r="H103" s="296"/>
      <c r="I103" s="256"/>
      <c r="J103" s="256"/>
      <c r="K103" s="256"/>
      <c r="L103" s="256"/>
      <c r="M103" s="296"/>
      <c r="N103" s="256"/>
      <c r="O103" s="256"/>
      <c r="P103" s="256"/>
      <c r="Q103" s="256"/>
      <c r="R103" s="296"/>
      <c r="S103" s="256"/>
      <c r="T103" s="256"/>
      <c r="U103" s="256"/>
      <c r="V103" s="256"/>
      <c r="W103" s="296"/>
      <c r="X103" s="256"/>
      <c r="Y103" s="256"/>
      <c r="Z103" s="256"/>
      <c r="AA103" s="256"/>
      <c r="AB103" s="296"/>
      <c r="AC103" s="256"/>
      <c r="AD103" s="256"/>
      <c r="AE103" s="256"/>
      <c r="AF103" s="256"/>
      <c r="AG103" s="296"/>
      <c r="AH103" s="256"/>
      <c r="AI103" s="256"/>
      <c r="AJ103" s="256"/>
      <c r="AK103" s="256"/>
      <c r="AL103" s="296"/>
      <c r="AM103" s="256"/>
      <c r="AN103" s="256"/>
      <c r="AO103" s="256"/>
      <c r="AP103" s="256"/>
      <c r="AQ103" s="296"/>
      <c r="AR103" s="256"/>
      <c r="AS103" s="256"/>
      <c r="AT103" s="256"/>
      <c r="AU103" s="256"/>
      <c r="AV103" s="296"/>
      <c r="AW103" s="256"/>
      <c r="AX103" s="256"/>
      <c r="AY103" s="256"/>
      <c r="AZ103" s="256"/>
      <c r="BA103" s="296"/>
      <c r="BB103" s="256"/>
      <c r="BC103" s="256"/>
      <c r="BD103" s="256"/>
      <c r="BE103" s="256"/>
      <c r="BF103" s="296"/>
      <c r="BG103" s="340"/>
      <c r="BH103" s="340"/>
      <c r="BI103" s="340"/>
      <c r="BJ103" s="340"/>
      <c r="BK103" s="296"/>
      <c r="BL103" s="340"/>
      <c r="BM103" s="340"/>
      <c r="BN103" s="340"/>
      <c r="BO103" s="340"/>
      <c r="BP103" s="296"/>
      <c r="BQ103" s="341"/>
      <c r="BR103" s="341"/>
      <c r="BS103" s="341"/>
      <c r="BT103" s="341"/>
      <c r="BU103" s="243"/>
      <c r="BV103" s="341"/>
      <c r="BW103" s="341"/>
      <c r="BX103" s="341"/>
      <c r="BY103" s="341"/>
      <c r="BZ103" s="243"/>
      <c r="CA103" s="341"/>
      <c r="CB103" s="341"/>
      <c r="CC103" s="341"/>
      <c r="CD103" s="341"/>
      <c r="CE103" s="243"/>
      <c r="CF103" s="341"/>
      <c r="CG103" s="341"/>
      <c r="CH103" s="341"/>
      <c r="CI103" s="341"/>
      <c r="CJ103" s="243"/>
      <c r="CK103" s="341"/>
      <c r="CL103" s="341"/>
      <c r="CM103" s="341"/>
      <c r="CN103" s="341"/>
      <c r="CO103" s="243"/>
      <c r="CP103" s="341"/>
      <c r="CQ103" s="341"/>
      <c r="CR103" s="341"/>
      <c r="CS103" s="341"/>
      <c r="CT103" s="243"/>
      <c r="CU103" s="341"/>
      <c r="CV103" s="341"/>
      <c r="CW103" s="341"/>
      <c r="CX103" s="341"/>
      <c r="CY103" s="243"/>
      <c r="CZ103" s="341"/>
      <c r="DA103" s="341"/>
      <c r="DB103" s="341"/>
      <c r="DC103" s="341"/>
      <c r="DD103" s="243"/>
      <c r="DE103" s="341"/>
      <c r="DF103" s="341"/>
      <c r="DG103" s="341"/>
      <c r="DH103" s="633"/>
      <c r="DI103" s="243"/>
      <c r="DJ103" s="633"/>
      <c r="DK103" s="633"/>
      <c r="DL103" s="633"/>
      <c r="DM103" s="633"/>
      <c r="DN103" s="243"/>
      <c r="DO103" s="633"/>
      <c r="DP103" s="633"/>
      <c r="DQ103" s="633"/>
      <c r="DR103" s="1214"/>
      <c r="DS103" s="243"/>
      <c r="DT103" s="633"/>
      <c r="DU103" s="633"/>
      <c r="DV103" s="633"/>
      <c r="DW103" s="633"/>
      <c r="DX103" s="243"/>
      <c r="DY103" s="633"/>
      <c r="DZ103" s="633"/>
      <c r="EA103" s="633"/>
      <c r="EB103" s="633"/>
      <c r="EC103" s="243"/>
      <c r="ED103" s="633"/>
      <c r="EE103" s="633"/>
      <c r="EF103" s="633"/>
      <c r="EG103" s="633"/>
      <c r="EH103" s="243"/>
      <c r="EI103" s="633"/>
      <c r="EJ103" s="633"/>
      <c r="EK103" s="633"/>
      <c r="EL103" s="633"/>
      <c r="EM103" s="243"/>
      <c r="EN103" s="633"/>
      <c r="EO103" s="633"/>
      <c r="EP103" s="633"/>
      <c r="EQ103" s="633"/>
      <c r="ER103" s="243"/>
      <c r="ES103" s="244"/>
      <c r="ET103" s="133"/>
    </row>
    <row r="104" spans="1:150" s="253" customFormat="1" ht="12" customHeight="1">
      <c r="A104" s="792"/>
      <c r="B104" s="792"/>
      <c r="C104" s="265" t="s">
        <v>143</v>
      </c>
      <c r="D104" s="296"/>
      <c r="E104" s="296"/>
      <c r="F104" s="296"/>
      <c r="G104" s="296"/>
      <c r="H104" s="296"/>
      <c r="I104" s="256"/>
      <c r="J104" s="256"/>
      <c r="K104" s="256"/>
      <c r="L104" s="256"/>
      <c r="M104" s="296"/>
      <c r="N104" s="256"/>
      <c r="O104" s="256"/>
      <c r="P104" s="256"/>
      <c r="Q104" s="256"/>
      <c r="R104" s="296"/>
      <c r="S104" s="256"/>
      <c r="T104" s="256"/>
      <c r="U104" s="256"/>
      <c r="V104" s="256"/>
      <c r="W104" s="296"/>
      <c r="X104" s="256"/>
      <c r="Y104" s="256"/>
      <c r="Z104" s="256"/>
      <c r="AA104" s="256"/>
      <c r="AB104" s="296"/>
      <c r="AC104" s="256"/>
      <c r="AD104" s="256"/>
      <c r="AE104" s="256"/>
      <c r="AF104" s="256"/>
      <c r="AG104" s="296"/>
      <c r="AH104" s="256"/>
      <c r="AI104" s="256"/>
      <c r="AJ104" s="256"/>
      <c r="AK104" s="256"/>
      <c r="AL104" s="296"/>
      <c r="AM104" s="256"/>
      <c r="AN104" s="256"/>
      <c r="AO104" s="256"/>
      <c r="AP104" s="256"/>
      <c r="AQ104" s="296"/>
      <c r="AR104" s="256"/>
      <c r="AS104" s="256"/>
      <c r="AT104" s="256"/>
      <c r="AU104" s="256"/>
      <c r="AV104" s="296"/>
      <c r="AW104" s="256"/>
      <c r="AX104" s="256"/>
      <c r="AY104" s="256"/>
      <c r="AZ104" s="256"/>
      <c r="BA104" s="296"/>
      <c r="BB104" s="256"/>
      <c r="BC104" s="256"/>
      <c r="BD104" s="256"/>
      <c r="BE104" s="256"/>
      <c r="BF104" s="296"/>
      <c r="BG104" s="340"/>
      <c r="BH104" s="340"/>
      <c r="BI104" s="340"/>
      <c r="BJ104" s="340"/>
      <c r="BK104" s="296"/>
      <c r="BL104" s="340"/>
      <c r="BM104" s="340"/>
      <c r="BN104" s="340"/>
      <c r="BO104" s="340"/>
      <c r="BP104" s="296"/>
      <c r="BQ104" s="239">
        <v>0</v>
      </c>
      <c r="BR104" s="318">
        <v>0</v>
      </c>
      <c r="BS104" s="318">
        <v>0</v>
      </c>
      <c r="BT104" s="318">
        <v>0</v>
      </c>
      <c r="BU104" s="257">
        <f>SUM(BQ104:BT104)</f>
        <v>0</v>
      </c>
      <c r="BV104" s="239">
        <v>0</v>
      </c>
      <c r="BW104" s="318">
        <v>0</v>
      </c>
      <c r="BX104" s="318">
        <v>0</v>
      </c>
      <c r="BY104" s="318">
        <v>0</v>
      </c>
      <c r="BZ104" s="257">
        <f>SUM(BV104:BY104)</f>
        <v>0</v>
      </c>
      <c r="CA104" s="239">
        <v>0</v>
      </c>
      <c r="CB104" s="318">
        <v>0</v>
      </c>
      <c r="CC104" s="318">
        <v>0</v>
      </c>
      <c r="CD104" s="318">
        <v>0</v>
      </c>
      <c r="CE104" s="257">
        <f>SUM(CA104:CD104)</f>
        <v>0</v>
      </c>
      <c r="CF104" s="239">
        <v>0</v>
      </c>
      <c r="CG104" s="318">
        <v>0</v>
      </c>
      <c r="CH104" s="318">
        <v>1.2410000000000001</v>
      </c>
      <c r="CI104" s="318">
        <v>1.4470000000000001</v>
      </c>
      <c r="CJ104" s="257">
        <f>SUM(CF104:CI104)</f>
        <v>2.6880000000000002</v>
      </c>
      <c r="CK104" s="239">
        <v>1.625</v>
      </c>
      <c r="CL104" s="318">
        <v>1.53</v>
      </c>
      <c r="CM104" s="318">
        <v>1.649</v>
      </c>
      <c r="CN104" s="318">
        <v>4.82</v>
      </c>
      <c r="CO104" s="257">
        <f>SUM(CK104:CN104)</f>
        <v>9.6240000000000006</v>
      </c>
      <c r="CP104" s="239">
        <v>5.569</v>
      </c>
      <c r="CQ104" s="318">
        <v>4.8559999999999999</v>
      </c>
      <c r="CR104" s="318">
        <v>4.5309999999999997</v>
      </c>
      <c r="CS104" s="318">
        <v>4.532</v>
      </c>
      <c r="CT104" s="257">
        <f>SUM(CP104:CS104)</f>
        <v>19.488</v>
      </c>
      <c r="CU104" s="239">
        <v>4.5309999999999997</v>
      </c>
      <c r="CV104" s="239">
        <v>4.3719999999999999</v>
      </c>
      <c r="CW104" s="239">
        <v>5.5359999999999996</v>
      </c>
      <c r="CX104" s="239">
        <v>5.96</v>
      </c>
      <c r="CY104" s="257">
        <f>SUM(CU104:CX104)</f>
        <v>20.398999999999997</v>
      </c>
      <c r="CZ104" s="239">
        <v>6.234</v>
      </c>
      <c r="DA104" s="239">
        <v>6.9420000000000002</v>
      </c>
      <c r="DB104" s="239">
        <v>17.132999999999999</v>
      </c>
      <c r="DC104" s="239">
        <v>18.359000000000002</v>
      </c>
      <c r="DD104" s="257">
        <f>SUM(CZ104:DC104)</f>
        <v>48.667999999999999</v>
      </c>
      <c r="DE104" s="239">
        <v>19</v>
      </c>
      <c r="DF104" s="239">
        <v>8</v>
      </c>
      <c r="DG104" s="239">
        <v>4</v>
      </c>
      <c r="DH104" s="239">
        <v>4</v>
      </c>
      <c r="DI104" s="257">
        <f>SUM(DE104:DH104)</f>
        <v>35</v>
      </c>
      <c r="DJ104" s="239">
        <v>4</v>
      </c>
      <c r="DK104" s="239">
        <v>4</v>
      </c>
      <c r="DL104" s="239">
        <v>3</v>
      </c>
      <c r="DM104" s="1206">
        <v>1</v>
      </c>
      <c r="DN104" s="257">
        <f>SUM(DJ104:DM104)</f>
        <v>12</v>
      </c>
      <c r="DO104" s="239">
        <v>2</v>
      </c>
      <c r="DP104" s="239">
        <v>2</v>
      </c>
      <c r="DQ104" s="239">
        <v>2</v>
      </c>
      <c r="DR104" s="239">
        <v>3</v>
      </c>
      <c r="DS104" s="257">
        <f>SUM(DO104:DR104)</f>
        <v>9</v>
      </c>
      <c r="DT104" s="239">
        <v>2</v>
      </c>
      <c r="DU104" s="239">
        <v>2</v>
      </c>
      <c r="DV104" s="120">
        <f t="shared" ref="DV104:DW107" si="604">DV$10*DV142</f>
        <v>1.8544617885210939</v>
      </c>
      <c r="DW104" s="120">
        <f t="shared" si="604"/>
        <v>2.3748809733637501</v>
      </c>
      <c r="DX104" s="257">
        <f>SUM(DT104:DW104)</f>
        <v>8.229342761884844</v>
      </c>
      <c r="DY104" s="120">
        <f t="shared" ref="DY104:EB107" si="605">DY$10*DY142</f>
        <v>2.0175607824687503</v>
      </c>
      <c r="DZ104" s="120">
        <f t="shared" si="605"/>
        <v>2.2708725786067001</v>
      </c>
      <c r="EA104" s="120">
        <f t="shared" si="605"/>
        <v>2.3208379505153101</v>
      </c>
      <c r="EB104" s="120">
        <f t="shared" si="605"/>
        <v>2.9578684892053251</v>
      </c>
      <c r="EC104" s="257">
        <f>SUM(DY104:EB104)</f>
        <v>9.5671398007960846</v>
      </c>
      <c r="ED104" s="120">
        <f t="shared" ref="ED104:EG104" si="606">ED$10*ED142</f>
        <v>2.4385530947553953</v>
      </c>
      <c r="EE104" s="120">
        <f t="shared" si="606"/>
        <v>2.7425241893667027</v>
      </c>
      <c r="EF104" s="120">
        <f t="shared" si="606"/>
        <v>2.7993521581851342</v>
      </c>
      <c r="EG104" s="120">
        <f t="shared" si="606"/>
        <v>3.5682266721590636</v>
      </c>
      <c r="EH104" s="257">
        <f>SUM(ED104:EG104)</f>
        <v>11.548656114466297</v>
      </c>
      <c r="EI104" s="120">
        <f t="shared" ref="EI104:EL104" si="607">EI$10*EI142</f>
        <v>2.8899274084196542</v>
      </c>
      <c r="EJ104" s="120">
        <f t="shared" si="607"/>
        <v>3.2506787438100693</v>
      </c>
      <c r="EK104" s="120">
        <f t="shared" si="607"/>
        <v>3.3178414233572258</v>
      </c>
      <c r="EL104" s="120">
        <f t="shared" si="607"/>
        <v>4.2312962225908866</v>
      </c>
      <c r="EM104" s="257">
        <f>SUM(EI104:EL104)</f>
        <v>13.689743798177837</v>
      </c>
      <c r="EN104" s="120">
        <f t="shared" ref="EN104:EQ104" si="608">EN$10*EN142</f>
        <v>3.3902216525289108</v>
      </c>
      <c r="EO104" s="120">
        <f t="shared" si="608"/>
        <v>3.8134995787109833</v>
      </c>
      <c r="EP104" s="120">
        <f t="shared" si="608"/>
        <v>3.8925382506271973</v>
      </c>
      <c r="EQ104" s="120">
        <f t="shared" si="608"/>
        <v>4.9646469487442433</v>
      </c>
      <c r="ER104" s="257">
        <f>SUM(EN104:EQ104)</f>
        <v>16.060906430611336</v>
      </c>
      <c r="ES104" s="417"/>
      <c r="ET104" s="133"/>
    </row>
    <row r="105" spans="1:150" s="253" customFormat="1" ht="12" customHeight="1">
      <c r="A105" s="792"/>
      <c r="B105" s="792"/>
      <c r="C105" s="265" t="s">
        <v>141</v>
      </c>
      <c r="D105" s="296"/>
      <c r="E105" s="296"/>
      <c r="F105" s="296"/>
      <c r="G105" s="296"/>
      <c r="H105" s="296"/>
      <c r="I105" s="256"/>
      <c r="J105" s="256"/>
      <c r="K105" s="256"/>
      <c r="L105" s="256"/>
      <c r="M105" s="296"/>
      <c r="N105" s="256"/>
      <c r="O105" s="256"/>
      <c r="P105" s="256"/>
      <c r="Q105" s="256"/>
      <c r="R105" s="296"/>
      <c r="S105" s="256"/>
      <c r="T105" s="256"/>
      <c r="U105" s="256"/>
      <c r="V105" s="256"/>
      <c r="W105" s="296"/>
      <c r="X105" s="256"/>
      <c r="Y105" s="256"/>
      <c r="Z105" s="256"/>
      <c r="AA105" s="256"/>
      <c r="AB105" s="296"/>
      <c r="AC105" s="256"/>
      <c r="AD105" s="256"/>
      <c r="AE105" s="256"/>
      <c r="AF105" s="256"/>
      <c r="AG105" s="296"/>
      <c r="AH105" s="256"/>
      <c r="AI105" s="256"/>
      <c r="AJ105" s="256"/>
      <c r="AK105" s="256"/>
      <c r="AL105" s="296"/>
      <c r="AM105" s="256"/>
      <c r="AN105" s="256"/>
      <c r="AO105" s="256"/>
      <c r="AP105" s="256"/>
      <c r="AQ105" s="296"/>
      <c r="AR105" s="256"/>
      <c r="AS105" s="256"/>
      <c r="AT105" s="256"/>
      <c r="AU105" s="256"/>
      <c r="AV105" s="296"/>
      <c r="AW105" s="256"/>
      <c r="AX105" s="256"/>
      <c r="AY105" s="256"/>
      <c r="AZ105" s="256"/>
      <c r="BA105" s="296"/>
      <c r="BB105" s="256"/>
      <c r="BC105" s="256"/>
      <c r="BD105" s="256"/>
      <c r="BE105" s="256"/>
      <c r="BF105" s="296"/>
      <c r="BG105" s="340"/>
      <c r="BH105" s="340"/>
      <c r="BI105" s="340"/>
      <c r="BJ105" s="340"/>
      <c r="BK105" s="296"/>
      <c r="BL105" s="340"/>
      <c r="BM105" s="340"/>
      <c r="BN105" s="340"/>
      <c r="BO105" s="340"/>
      <c r="BP105" s="296"/>
      <c r="BQ105" s="239">
        <v>0</v>
      </c>
      <c r="BR105" s="318">
        <v>0</v>
      </c>
      <c r="BS105" s="318">
        <v>0</v>
      </c>
      <c r="BT105" s="318">
        <v>0</v>
      </c>
      <c r="BU105" s="257">
        <f>SUM(BQ105:BT105)</f>
        <v>0</v>
      </c>
      <c r="BV105" s="239">
        <v>0</v>
      </c>
      <c r="BW105" s="318">
        <v>0</v>
      </c>
      <c r="BX105" s="318">
        <v>0</v>
      </c>
      <c r="BY105" s="318">
        <v>0</v>
      </c>
      <c r="BZ105" s="257">
        <f>SUM(BV105:BY105)</f>
        <v>0</v>
      </c>
      <c r="CA105" s="239">
        <v>0</v>
      </c>
      <c r="CB105" s="318">
        <v>0</v>
      </c>
      <c r="CC105" s="318">
        <v>0</v>
      </c>
      <c r="CD105" s="318">
        <v>0</v>
      </c>
      <c r="CE105" s="257">
        <f>SUM(CA105:CD105)</f>
        <v>0</v>
      </c>
      <c r="CF105" s="239">
        <v>0</v>
      </c>
      <c r="CG105" s="318">
        <v>0</v>
      </c>
      <c r="CH105" s="318">
        <v>0</v>
      </c>
      <c r="CI105" s="318">
        <v>0</v>
      </c>
      <c r="CJ105" s="257">
        <f>SUM(CF105:CI105)</f>
        <v>0</v>
      </c>
      <c r="CK105" s="239">
        <v>0</v>
      </c>
      <c r="CL105" s="318">
        <v>0</v>
      </c>
      <c r="CM105" s="318">
        <v>0</v>
      </c>
      <c r="CN105" s="318">
        <v>0.28299999999999997</v>
      </c>
      <c r="CO105" s="257">
        <f>SUM(CK105:CN105)</f>
        <v>0.28299999999999997</v>
      </c>
      <c r="CP105" s="239">
        <v>0.38800000000000001</v>
      </c>
      <c r="CQ105" s="318">
        <v>0.38800000000000001</v>
      </c>
      <c r="CR105" s="318">
        <v>0.38800000000000001</v>
      </c>
      <c r="CS105" s="318">
        <v>0.38400000000000001</v>
      </c>
      <c r="CT105" s="257">
        <f>SUM(CP105:CS105)</f>
        <v>1.548</v>
      </c>
      <c r="CU105" s="239">
        <v>0.38600000000000001</v>
      </c>
      <c r="CV105" s="239">
        <v>0.38600000000000001</v>
      </c>
      <c r="CW105" s="239">
        <v>0.38600000000000001</v>
      </c>
      <c r="CX105" s="239">
        <v>0.38600000000000001</v>
      </c>
      <c r="CY105" s="257">
        <f>SUM(CU105:CX105)</f>
        <v>1.544</v>
      </c>
      <c r="CZ105" s="239">
        <v>0.38600000000000001</v>
      </c>
      <c r="DA105" s="239">
        <v>0.38400000000000001</v>
      </c>
      <c r="DB105" s="239">
        <v>2.0249999999999999</v>
      </c>
      <c r="DC105" s="239">
        <v>2.1629999999999998</v>
      </c>
      <c r="DD105" s="257">
        <f>SUM(CZ105:DC105)</f>
        <v>4.9580000000000002</v>
      </c>
      <c r="DE105" s="239">
        <v>2</v>
      </c>
      <c r="DF105" s="239">
        <v>1</v>
      </c>
      <c r="DG105" s="239">
        <v>0</v>
      </c>
      <c r="DH105" s="239">
        <v>0</v>
      </c>
      <c r="DI105" s="257">
        <f>SUM(DE105:DH105)</f>
        <v>3</v>
      </c>
      <c r="DJ105" s="239">
        <v>0</v>
      </c>
      <c r="DK105" s="239">
        <v>0</v>
      </c>
      <c r="DL105" s="239">
        <v>0</v>
      </c>
      <c r="DM105" s="1206">
        <v>0</v>
      </c>
      <c r="DN105" s="257">
        <f>SUM(DJ105:DM105)</f>
        <v>0</v>
      </c>
      <c r="DO105" s="239">
        <v>0</v>
      </c>
      <c r="DP105" s="239">
        <v>0</v>
      </c>
      <c r="DQ105" s="239">
        <v>0</v>
      </c>
      <c r="DR105" s="239">
        <v>0</v>
      </c>
      <c r="DS105" s="257">
        <f>SUM(DO105:DR105)</f>
        <v>0</v>
      </c>
      <c r="DT105" s="239">
        <v>0</v>
      </c>
      <c r="DU105" s="239">
        <v>0</v>
      </c>
      <c r="DV105" s="120">
        <f t="shared" si="604"/>
        <v>0</v>
      </c>
      <c r="DW105" s="120">
        <f t="shared" si="604"/>
        <v>0</v>
      </c>
      <c r="DX105" s="257">
        <f>SUM(DT105:DW105)</f>
        <v>0</v>
      </c>
      <c r="DY105" s="120">
        <f t="shared" si="605"/>
        <v>0</v>
      </c>
      <c r="DZ105" s="120">
        <f t="shared" si="605"/>
        <v>0</v>
      </c>
      <c r="EA105" s="120">
        <f t="shared" si="605"/>
        <v>0</v>
      </c>
      <c r="EB105" s="120">
        <f t="shared" si="605"/>
        <v>0</v>
      </c>
      <c r="EC105" s="257">
        <f>SUM(DY105:EB105)</f>
        <v>0</v>
      </c>
      <c r="ED105" s="120">
        <f t="shared" ref="ED105:EG105" si="609">ED$10*ED143</f>
        <v>0</v>
      </c>
      <c r="EE105" s="120">
        <f t="shared" si="609"/>
        <v>0</v>
      </c>
      <c r="EF105" s="120">
        <f t="shared" si="609"/>
        <v>0</v>
      </c>
      <c r="EG105" s="120">
        <f t="shared" si="609"/>
        <v>0</v>
      </c>
      <c r="EH105" s="257">
        <f>SUM(ED105:EG105)</f>
        <v>0</v>
      </c>
      <c r="EI105" s="120">
        <f t="shared" ref="EI105:EL105" si="610">EI$10*EI143</f>
        <v>0</v>
      </c>
      <c r="EJ105" s="120">
        <f t="shared" si="610"/>
        <v>0</v>
      </c>
      <c r="EK105" s="120">
        <f t="shared" si="610"/>
        <v>0</v>
      </c>
      <c r="EL105" s="120">
        <f t="shared" si="610"/>
        <v>0</v>
      </c>
      <c r="EM105" s="257">
        <f>SUM(EI105:EL105)</f>
        <v>0</v>
      </c>
      <c r="EN105" s="120">
        <f t="shared" ref="EN105:EQ105" si="611">EN$10*EN143</f>
        <v>0</v>
      </c>
      <c r="EO105" s="120">
        <f t="shared" si="611"/>
        <v>0</v>
      </c>
      <c r="EP105" s="120">
        <f t="shared" si="611"/>
        <v>0</v>
      </c>
      <c r="EQ105" s="120">
        <f t="shared" si="611"/>
        <v>0</v>
      </c>
      <c r="ER105" s="257">
        <f>SUM(EN105:EQ105)</f>
        <v>0</v>
      </c>
      <c r="ES105" s="417"/>
      <c r="ET105" s="133"/>
    </row>
    <row r="106" spans="1:150" s="253" customFormat="1" ht="12" customHeight="1">
      <c r="A106" s="792"/>
      <c r="B106" s="792"/>
      <c r="C106" s="265" t="s">
        <v>222</v>
      </c>
      <c r="D106" s="296"/>
      <c r="E106" s="296"/>
      <c r="F106" s="296"/>
      <c r="G106" s="296"/>
      <c r="H106" s="296"/>
      <c r="I106" s="256"/>
      <c r="J106" s="256"/>
      <c r="K106" s="256"/>
      <c r="L106" s="256"/>
      <c r="M106" s="296"/>
      <c r="N106" s="256"/>
      <c r="O106" s="256"/>
      <c r="P106" s="256"/>
      <c r="Q106" s="256"/>
      <c r="R106" s="296"/>
      <c r="S106" s="256"/>
      <c r="T106" s="256"/>
      <c r="U106" s="256"/>
      <c r="V106" s="256"/>
      <c r="W106" s="296"/>
      <c r="X106" s="256"/>
      <c r="Y106" s="256"/>
      <c r="Z106" s="256"/>
      <c r="AA106" s="256"/>
      <c r="AB106" s="296"/>
      <c r="AC106" s="256"/>
      <c r="AD106" s="256"/>
      <c r="AE106" s="256"/>
      <c r="AF106" s="256"/>
      <c r="AG106" s="296"/>
      <c r="AH106" s="256"/>
      <c r="AI106" s="256"/>
      <c r="AJ106" s="256"/>
      <c r="AK106" s="256"/>
      <c r="AL106" s="296"/>
      <c r="AM106" s="256"/>
      <c r="AN106" s="256"/>
      <c r="AO106" s="256"/>
      <c r="AP106" s="256"/>
      <c r="AQ106" s="296"/>
      <c r="AR106" s="256"/>
      <c r="AS106" s="256"/>
      <c r="AT106" s="256"/>
      <c r="AU106" s="256"/>
      <c r="AV106" s="296"/>
      <c r="AW106" s="256"/>
      <c r="AX106" s="256"/>
      <c r="AY106" s="256"/>
      <c r="AZ106" s="256"/>
      <c r="BA106" s="296"/>
      <c r="BB106" s="256"/>
      <c r="BC106" s="256"/>
      <c r="BD106" s="256"/>
      <c r="BE106" s="256"/>
      <c r="BF106" s="296"/>
      <c r="BG106" s="340"/>
      <c r="BH106" s="340"/>
      <c r="BI106" s="340"/>
      <c r="BJ106" s="340"/>
      <c r="BK106" s="296"/>
      <c r="BL106" s="340"/>
      <c r="BM106" s="340"/>
      <c r="BN106" s="340"/>
      <c r="BO106" s="340"/>
      <c r="BP106" s="296"/>
      <c r="BQ106" s="239">
        <v>0</v>
      </c>
      <c r="BR106" s="318">
        <v>0</v>
      </c>
      <c r="BS106" s="318">
        <v>0</v>
      </c>
      <c r="BT106" s="318">
        <v>0</v>
      </c>
      <c r="BU106" s="257">
        <f>SUM(BQ106:BT106)</f>
        <v>0</v>
      </c>
      <c r="BV106" s="239">
        <v>0</v>
      </c>
      <c r="BW106" s="318">
        <v>0</v>
      </c>
      <c r="BX106" s="318">
        <v>0</v>
      </c>
      <c r="BY106" s="318">
        <v>0</v>
      </c>
      <c r="BZ106" s="257">
        <f>SUM(BV106:BY106)</f>
        <v>0</v>
      </c>
      <c r="CA106" s="239">
        <v>0</v>
      </c>
      <c r="CB106" s="318">
        <v>0</v>
      </c>
      <c r="CC106" s="318">
        <v>0</v>
      </c>
      <c r="CD106" s="318">
        <v>0</v>
      </c>
      <c r="CE106" s="257">
        <f>SUM(CA106:CD106)</f>
        <v>0</v>
      </c>
      <c r="CF106" s="239">
        <v>0</v>
      </c>
      <c r="CG106" s="318">
        <v>0</v>
      </c>
      <c r="CH106" s="318">
        <v>0</v>
      </c>
      <c r="CI106" s="318">
        <v>0</v>
      </c>
      <c r="CJ106" s="257">
        <f>SUM(CF106:CI106)</f>
        <v>0</v>
      </c>
      <c r="CK106" s="239">
        <v>5.8000000000000003E-2</v>
      </c>
      <c r="CL106" s="318">
        <v>5.8000000000000003E-2</v>
      </c>
      <c r="CM106" s="318">
        <v>5.8000000000000003E-2</v>
      </c>
      <c r="CN106" s="318">
        <v>5.8000000000000003E-2</v>
      </c>
      <c r="CO106" s="257">
        <f>SUM(CK106:CN106)</f>
        <v>0.23200000000000001</v>
      </c>
      <c r="CP106" s="239">
        <v>5.8000000000000003E-2</v>
      </c>
      <c r="CQ106" s="318">
        <v>5.8000000000000003E-2</v>
      </c>
      <c r="CR106" s="318">
        <v>5.8000000000000003E-2</v>
      </c>
      <c r="CS106" s="318">
        <v>5.8999999999999997E-2</v>
      </c>
      <c r="CT106" s="257">
        <f>SUM(CP106:CS106)</f>
        <v>0.23300000000000001</v>
      </c>
      <c r="CU106" s="239">
        <v>5.8000000000000003E-2</v>
      </c>
      <c r="CV106" s="239">
        <v>5.8000000000000003E-2</v>
      </c>
      <c r="CW106" s="239">
        <v>5.8000000000000003E-2</v>
      </c>
      <c r="CX106" s="239">
        <v>3.2000000000000001E-2</v>
      </c>
      <c r="CY106" s="257">
        <f>SUM(CU106:CX106)</f>
        <v>0.20600000000000002</v>
      </c>
      <c r="CZ106" s="239">
        <v>7.5999999999999998E-2</v>
      </c>
      <c r="DA106" s="239">
        <v>0</v>
      </c>
      <c r="DB106" s="239">
        <v>0</v>
      </c>
      <c r="DC106" s="239">
        <v>0</v>
      </c>
      <c r="DD106" s="257">
        <f>SUM(CZ106:DC106)</f>
        <v>7.5999999999999998E-2</v>
      </c>
      <c r="DE106" s="239">
        <v>0</v>
      </c>
      <c r="DF106" s="239">
        <v>0</v>
      </c>
      <c r="DG106" s="239">
        <v>0</v>
      </c>
      <c r="DH106" s="239">
        <v>0</v>
      </c>
      <c r="DI106" s="257">
        <f>SUM(DE106:DH106)</f>
        <v>0</v>
      </c>
      <c r="DJ106" s="239">
        <v>0</v>
      </c>
      <c r="DK106" s="239">
        <v>0</v>
      </c>
      <c r="DL106" s="239">
        <v>1</v>
      </c>
      <c r="DM106" s="1206">
        <v>1</v>
      </c>
      <c r="DN106" s="257">
        <f>SUM(DJ106:DM106)</f>
        <v>2</v>
      </c>
      <c r="DO106" s="239">
        <v>1</v>
      </c>
      <c r="DP106" s="239">
        <v>1</v>
      </c>
      <c r="DQ106" s="239">
        <v>1</v>
      </c>
      <c r="DR106" s="239">
        <v>1</v>
      </c>
      <c r="DS106" s="257">
        <f>SUM(DO106:DR106)</f>
        <v>4</v>
      </c>
      <c r="DT106" s="239">
        <v>1</v>
      </c>
      <c r="DU106" s="239">
        <v>0</v>
      </c>
      <c r="DV106" s="120">
        <f t="shared" si="604"/>
        <v>0</v>
      </c>
      <c r="DW106" s="120">
        <f t="shared" si="604"/>
        <v>0</v>
      </c>
      <c r="DX106" s="257">
        <f>SUM(DT106:DW106)</f>
        <v>1</v>
      </c>
      <c r="DY106" s="120">
        <f t="shared" si="605"/>
        <v>0</v>
      </c>
      <c r="DZ106" s="120">
        <f t="shared" si="605"/>
        <v>0</v>
      </c>
      <c r="EA106" s="120">
        <f t="shared" si="605"/>
        <v>0</v>
      </c>
      <c r="EB106" s="120">
        <f t="shared" si="605"/>
        <v>0</v>
      </c>
      <c r="EC106" s="257">
        <f>SUM(DY106:EB106)</f>
        <v>0</v>
      </c>
      <c r="ED106" s="120">
        <f t="shared" ref="ED106:EG106" si="612">ED$10*ED144</f>
        <v>0</v>
      </c>
      <c r="EE106" s="120">
        <f t="shared" si="612"/>
        <v>0</v>
      </c>
      <c r="EF106" s="120">
        <f t="shared" si="612"/>
        <v>0</v>
      </c>
      <c r="EG106" s="120">
        <f t="shared" si="612"/>
        <v>0</v>
      </c>
      <c r="EH106" s="257">
        <f>SUM(ED106:EG106)</f>
        <v>0</v>
      </c>
      <c r="EI106" s="120">
        <f t="shared" ref="EI106:EL106" si="613">EI$10*EI144</f>
        <v>0</v>
      </c>
      <c r="EJ106" s="120">
        <f t="shared" si="613"/>
        <v>0</v>
      </c>
      <c r="EK106" s="120">
        <f t="shared" si="613"/>
        <v>0</v>
      </c>
      <c r="EL106" s="120">
        <f t="shared" si="613"/>
        <v>0</v>
      </c>
      <c r="EM106" s="257">
        <f>SUM(EI106:EL106)</f>
        <v>0</v>
      </c>
      <c r="EN106" s="120">
        <f t="shared" ref="EN106:EQ106" si="614">EN$10*EN144</f>
        <v>0</v>
      </c>
      <c r="EO106" s="120">
        <f t="shared" si="614"/>
        <v>0</v>
      </c>
      <c r="EP106" s="120">
        <f t="shared" si="614"/>
        <v>0</v>
      </c>
      <c r="EQ106" s="120">
        <f t="shared" si="614"/>
        <v>0</v>
      </c>
      <c r="ER106" s="257">
        <f>SUM(EN106:EQ106)</f>
        <v>0</v>
      </c>
      <c r="ES106" s="417"/>
      <c r="ET106" s="133"/>
    </row>
    <row r="107" spans="1:150" s="253" customFormat="1" ht="12" customHeight="1">
      <c r="A107" s="792"/>
      <c r="B107" s="792"/>
      <c r="C107" s="331" t="s">
        <v>142</v>
      </c>
      <c r="D107" s="296"/>
      <c r="E107" s="296"/>
      <c r="F107" s="296"/>
      <c r="G107" s="296"/>
      <c r="H107" s="296"/>
      <c r="I107" s="256"/>
      <c r="J107" s="256"/>
      <c r="K107" s="256"/>
      <c r="L107" s="256"/>
      <c r="M107" s="296"/>
      <c r="N107" s="256"/>
      <c r="O107" s="256"/>
      <c r="P107" s="256"/>
      <c r="Q107" s="256"/>
      <c r="R107" s="296"/>
      <c r="S107" s="256"/>
      <c r="T107" s="256"/>
      <c r="U107" s="256"/>
      <c r="V107" s="256"/>
      <c r="W107" s="296"/>
      <c r="X107" s="256"/>
      <c r="Y107" s="256"/>
      <c r="Z107" s="256"/>
      <c r="AA107" s="256"/>
      <c r="AB107" s="296"/>
      <c r="AC107" s="256"/>
      <c r="AD107" s="256"/>
      <c r="AE107" s="256"/>
      <c r="AF107" s="256"/>
      <c r="AG107" s="296"/>
      <c r="AH107" s="256"/>
      <c r="AI107" s="256"/>
      <c r="AJ107" s="256"/>
      <c r="AK107" s="256"/>
      <c r="AL107" s="296"/>
      <c r="AM107" s="256"/>
      <c r="AN107" s="256"/>
      <c r="AO107" s="256"/>
      <c r="AP107" s="256"/>
      <c r="AQ107" s="296"/>
      <c r="AR107" s="256"/>
      <c r="AS107" s="256"/>
      <c r="AT107" s="256"/>
      <c r="AU107" s="256"/>
      <c r="AV107" s="296"/>
      <c r="AW107" s="256"/>
      <c r="AX107" s="256"/>
      <c r="AY107" s="256"/>
      <c r="AZ107" s="256"/>
      <c r="BA107" s="296"/>
      <c r="BB107" s="256"/>
      <c r="BC107" s="256"/>
      <c r="BD107" s="256"/>
      <c r="BE107" s="256"/>
      <c r="BF107" s="296"/>
      <c r="BG107" s="340"/>
      <c r="BH107" s="340"/>
      <c r="BI107" s="340"/>
      <c r="BJ107" s="340"/>
      <c r="BK107" s="296"/>
      <c r="BL107" s="340"/>
      <c r="BM107" s="340"/>
      <c r="BN107" s="340"/>
      <c r="BO107" s="340"/>
      <c r="BP107" s="296"/>
      <c r="BQ107" s="334">
        <v>0</v>
      </c>
      <c r="BR107" s="342">
        <v>0</v>
      </c>
      <c r="BS107" s="342">
        <v>0</v>
      </c>
      <c r="BT107" s="342">
        <v>0</v>
      </c>
      <c r="BU107" s="257">
        <f>SUM(BQ107:BT107)</f>
        <v>0</v>
      </c>
      <c r="BV107" s="334">
        <v>0</v>
      </c>
      <c r="BW107" s="342">
        <v>0</v>
      </c>
      <c r="BX107" s="342">
        <v>0</v>
      </c>
      <c r="BY107" s="342">
        <v>0</v>
      </c>
      <c r="BZ107" s="257">
        <f>SUM(BV107:BY107)</f>
        <v>0</v>
      </c>
      <c r="CA107" s="334">
        <v>0</v>
      </c>
      <c r="CB107" s="342">
        <v>0</v>
      </c>
      <c r="CC107" s="342">
        <v>0</v>
      </c>
      <c r="CD107" s="342">
        <v>0</v>
      </c>
      <c r="CE107" s="257">
        <f>SUM(CA107:CD107)</f>
        <v>0</v>
      </c>
      <c r="CF107" s="334">
        <v>0</v>
      </c>
      <c r="CG107" s="342">
        <v>0</v>
      </c>
      <c r="CH107" s="342">
        <v>0</v>
      </c>
      <c r="CI107" s="342">
        <v>0</v>
      </c>
      <c r="CJ107" s="257">
        <f>SUM(CF107:CI107)</f>
        <v>0</v>
      </c>
      <c r="CK107" s="334">
        <v>0</v>
      </c>
      <c r="CL107" s="342">
        <v>0</v>
      </c>
      <c r="CM107" s="342">
        <v>0</v>
      </c>
      <c r="CN107" s="342">
        <v>0</v>
      </c>
      <c r="CO107" s="257">
        <f>SUM(CK107:CN107)</f>
        <v>0</v>
      </c>
      <c r="CP107" s="334">
        <v>0</v>
      </c>
      <c r="CQ107" s="342">
        <v>0</v>
      </c>
      <c r="CR107" s="342">
        <v>0</v>
      </c>
      <c r="CS107" s="342">
        <v>0</v>
      </c>
      <c r="CT107" s="335">
        <f>SUM(CP107:CS107)</f>
        <v>0</v>
      </c>
      <c r="CU107" s="334">
        <v>0</v>
      </c>
      <c r="CV107" s="334">
        <v>0</v>
      </c>
      <c r="CW107" s="334">
        <v>0</v>
      </c>
      <c r="CX107" s="334">
        <v>0</v>
      </c>
      <c r="CY107" s="335">
        <f>SUM(CU107:CX107)</f>
        <v>0</v>
      </c>
      <c r="CZ107" s="334">
        <v>0</v>
      </c>
      <c r="DA107" s="334">
        <v>0</v>
      </c>
      <c r="DB107" s="334">
        <v>0</v>
      </c>
      <c r="DC107" s="334">
        <v>0</v>
      </c>
      <c r="DD107" s="335">
        <f>SUM(CZ107:DC107)</f>
        <v>0</v>
      </c>
      <c r="DE107" s="334">
        <v>0</v>
      </c>
      <c r="DF107" s="334">
        <v>0</v>
      </c>
      <c r="DG107" s="334">
        <v>0</v>
      </c>
      <c r="DH107" s="334">
        <v>0</v>
      </c>
      <c r="DI107" s="335">
        <f>SUM(DE107:DH107)</f>
        <v>0</v>
      </c>
      <c r="DJ107" s="334">
        <v>0</v>
      </c>
      <c r="DK107" s="334">
        <v>0</v>
      </c>
      <c r="DL107" s="334">
        <v>0</v>
      </c>
      <c r="DM107" s="1206">
        <v>0</v>
      </c>
      <c r="DN107" s="335">
        <f>SUM(DJ107:DM107)</f>
        <v>0</v>
      </c>
      <c r="DO107" s="334">
        <v>0</v>
      </c>
      <c r="DP107" s="334">
        <v>0</v>
      </c>
      <c r="DQ107" s="334">
        <v>0</v>
      </c>
      <c r="DR107" s="334">
        <v>0</v>
      </c>
      <c r="DS107" s="335">
        <f>SUM(DO107:DR107)</f>
        <v>0</v>
      </c>
      <c r="DT107" s="334">
        <v>0</v>
      </c>
      <c r="DU107" s="334">
        <v>0</v>
      </c>
      <c r="DV107" s="336">
        <f t="shared" si="604"/>
        <v>0</v>
      </c>
      <c r="DW107" s="336">
        <f t="shared" si="604"/>
        <v>0</v>
      </c>
      <c r="DX107" s="335">
        <f>SUM(DT107:DW107)</f>
        <v>0</v>
      </c>
      <c r="DY107" s="336">
        <f t="shared" si="605"/>
        <v>0</v>
      </c>
      <c r="DZ107" s="336">
        <f t="shared" si="605"/>
        <v>0</v>
      </c>
      <c r="EA107" s="336">
        <f t="shared" si="605"/>
        <v>0</v>
      </c>
      <c r="EB107" s="336">
        <f t="shared" si="605"/>
        <v>0</v>
      </c>
      <c r="EC107" s="335">
        <f>SUM(DY107:EB107)</f>
        <v>0</v>
      </c>
      <c r="ED107" s="336">
        <f t="shared" ref="ED107:EG107" si="615">ED$10*ED145</f>
        <v>0</v>
      </c>
      <c r="EE107" s="336">
        <f t="shared" si="615"/>
        <v>0</v>
      </c>
      <c r="EF107" s="336">
        <f t="shared" si="615"/>
        <v>0</v>
      </c>
      <c r="EG107" s="336">
        <f t="shared" si="615"/>
        <v>0</v>
      </c>
      <c r="EH107" s="335">
        <f>SUM(ED107:EG107)</f>
        <v>0</v>
      </c>
      <c r="EI107" s="336">
        <f t="shared" ref="EI107:EL107" si="616">EI$10*EI145</f>
        <v>0</v>
      </c>
      <c r="EJ107" s="336">
        <f t="shared" si="616"/>
        <v>0</v>
      </c>
      <c r="EK107" s="336">
        <f t="shared" si="616"/>
        <v>0</v>
      </c>
      <c r="EL107" s="336">
        <f t="shared" si="616"/>
        <v>0</v>
      </c>
      <c r="EM107" s="335">
        <f>SUM(EI107:EL107)</f>
        <v>0</v>
      </c>
      <c r="EN107" s="336">
        <f t="shared" ref="EN107:EQ107" si="617">EN$10*EN145</f>
        <v>0</v>
      </c>
      <c r="EO107" s="336">
        <f t="shared" si="617"/>
        <v>0</v>
      </c>
      <c r="EP107" s="336">
        <f t="shared" si="617"/>
        <v>0</v>
      </c>
      <c r="EQ107" s="336">
        <f t="shared" si="617"/>
        <v>0</v>
      </c>
      <c r="ER107" s="335">
        <f>SUM(EN107:EQ107)</f>
        <v>0</v>
      </c>
      <c r="ES107" s="918"/>
      <c r="ET107" s="133"/>
    </row>
    <row r="108" spans="1:150" s="253" customFormat="1" ht="12" customHeight="1">
      <c r="A108" s="792"/>
      <c r="B108" s="792"/>
      <c r="C108" s="265" t="s">
        <v>224</v>
      </c>
      <c r="D108" s="296"/>
      <c r="E108" s="296"/>
      <c r="F108" s="296"/>
      <c r="G108" s="296"/>
      <c r="H108" s="296"/>
      <c r="I108" s="256"/>
      <c r="J108" s="256"/>
      <c r="K108" s="256"/>
      <c r="L108" s="256"/>
      <c r="M108" s="296"/>
      <c r="N108" s="256"/>
      <c r="O108" s="256"/>
      <c r="P108" s="256"/>
      <c r="Q108" s="256"/>
      <c r="R108" s="296"/>
      <c r="S108" s="256"/>
      <c r="T108" s="256"/>
      <c r="U108" s="256"/>
      <c r="V108" s="256"/>
      <c r="W108" s="296"/>
      <c r="X108" s="256"/>
      <c r="Y108" s="256"/>
      <c r="Z108" s="256"/>
      <c r="AA108" s="256"/>
      <c r="AB108" s="296"/>
      <c r="AC108" s="256"/>
      <c r="AD108" s="256"/>
      <c r="AE108" s="256"/>
      <c r="AF108" s="256"/>
      <c r="AG108" s="296"/>
      <c r="AH108" s="256"/>
      <c r="AI108" s="256"/>
      <c r="AJ108" s="256"/>
      <c r="AK108" s="256"/>
      <c r="AL108" s="296"/>
      <c r="AM108" s="256"/>
      <c r="AN108" s="256"/>
      <c r="AO108" s="256"/>
      <c r="AP108" s="256"/>
      <c r="AQ108" s="296"/>
      <c r="AR108" s="256"/>
      <c r="AS108" s="256"/>
      <c r="AT108" s="256"/>
      <c r="AU108" s="256"/>
      <c r="AV108" s="296"/>
      <c r="AW108" s="256"/>
      <c r="AX108" s="256"/>
      <c r="AY108" s="256"/>
      <c r="AZ108" s="256"/>
      <c r="BA108" s="296"/>
      <c r="BB108" s="256"/>
      <c r="BC108" s="256"/>
      <c r="BD108" s="256"/>
      <c r="BE108" s="256"/>
      <c r="BF108" s="296"/>
      <c r="BG108" s="340"/>
      <c r="BH108" s="340"/>
      <c r="BI108" s="340"/>
      <c r="BJ108" s="340"/>
      <c r="BK108" s="296"/>
      <c r="BL108" s="340"/>
      <c r="BM108" s="340"/>
      <c r="BN108" s="340"/>
      <c r="BO108" s="340"/>
      <c r="BP108" s="296"/>
      <c r="BQ108" s="120">
        <f>SUM(BQ104:BQ107)</f>
        <v>0</v>
      </c>
      <c r="BR108" s="297">
        <f>SUM(BR104:BR107)</f>
        <v>0</v>
      </c>
      <c r="BS108" s="297">
        <f>SUM(BS104:BS107)</f>
        <v>0</v>
      </c>
      <c r="BT108" s="297">
        <f>SUM(BT104:BT107)</f>
        <v>0</v>
      </c>
      <c r="BU108" s="257">
        <f>SUM(BQ108:BT108)</f>
        <v>0</v>
      </c>
      <c r="BV108" s="120">
        <f>SUM(BV104:BV107)</f>
        <v>0</v>
      </c>
      <c r="BW108" s="297">
        <f>SUM(BW104:BW107)</f>
        <v>0</v>
      </c>
      <c r="BX108" s="297">
        <f>SUM(BX104:BX107)</f>
        <v>0</v>
      </c>
      <c r="BY108" s="297">
        <f>SUM(BY104:BY107)</f>
        <v>0</v>
      </c>
      <c r="BZ108" s="257">
        <f>SUM(BV108:BY108)</f>
        <v>0</v>
      </c>
      <c r="CA108" s="120">
        <f>SUM(CA104:CA107)</f>
        <v>0</v>
      </c>
      <c r="CB108" s="297">
        <f>SUM(CB104:CB107)</f>
        <v>0</v>
      </c>
      <c r="CC108" s="297">
        <f>SUM(CC104:CC107)</f>
        <v>0</v>
      </c>
      <c r="CD108" s="297">
        <f>SUM(CD104:CD107)</f>
        <v>0</v>
      </c>
      <c r="CE108" s="257">
        <f>SUM(CA108:CD108)</f>
        <v>0</v>
      </c>
      <c r="CF108" s="120">
        <f>SUM(CF104:CF107)</f>
        <v>0</v>
      </c>
      <c r="CG108" s="297">
        <f>SUM(CG104:CG107)</f>
        <v>0</v>
      </c>
      <c r="CH108" s="297">
        <f>SUM(CH104:CH107)</f>
        <v>1.2410000000000001</v>
      </c>
      <c r="CI108" s="297">
        <f>SUM(CI104:CI107)</f>
        <v>1.4470000000000001</v>
      </c>
      <c r="CJ108" s="257">
        <f>SUM(CF108:CI108)</f>
        <v>2.6880000000000002</v>
      </c>
      <c r="CK108" s="120">
        <f>SUM(CK104:CK107)</f>
        <v>1.6830000000000001</v>
      </c>
      <c r="CL108" s="297">
        <f>SUM(CL104:CL107)</f>
        <v>1.5880000000000001</v>
      </c>
      <c r="CM108" s="297">
        <f>SUM(CM104:CM107)</f>
        <v>1.7070000000000001</v>
      </c>
      <c r="CN108" s="297">
        <f>SUM(CN104:CN107)</f>
        <v>5.1610000000000005</v>
      </c>
      <c r="CO108" s="257">
        <f>SUM(CK108:CN108)</f>
        <v>10.138999999999999</v>
      </c>
      <c r="CP108" s="120">
        <f>SUM(CP104:CP107)</f>
        <v>6.0149999999999997</v>
      </c>
      <c r="CQ108" s="297">
        <f>SUM(CQ104:CQ107)</f>
        <v>5.3019999999999996</v>
      </c>
      <c r="CR108" s="297">
        <f>SUM(CR104:CR107)</f>
        <v>4.9769999999999994</v>
      </c>
      <c r="CS108" s="297">
        <f>SUM(CS104:CS107)</f>
        <v>4.9750000000000005</v>
      </c>
      <c r="CT108" s="257">
        <f>SUM(CP108:CS108)</f>
        <v>21.269000000000002</v>
      </c>
      <c r="CU108" s="120">
        <f>SUM(CU104:CU107)</f>
        <v>4.9749999999999996</v>
      </c>
      <c r="CV108" s="120">
        <f>SUM(CV104:CV107)</f>
        <v>4.8159999999999998</v>
      </c>
      <c r="CW108" s="120">
        <f>SUM(CW104:CW107)</f>
        <v>5.9799999999999995</v>
      </c>
      <c r="CX108" s="120">
        <f>SUM(CX104:CX107)</f>
        <v>6.3780000000000001</v>
      </c>
      <c r="CY108" s="272">
        <f>SUM(CU108:CX108)</f>
        <v>22.149000000000001</v>
      </c>
      <c r="CZ108" s="1207">
        <f>SUM(CZ104:CZ107)</f>
        <v>6.6959999999999997</v>
      </c>
      <c r="DA108" s="1207">
        <f>SUM(DA104:DA107)</f>
        <v>7.3260000000000005</v>
      </c>
      <c r="DB108" s="1207">
        <f>SUM(DB104:DB107)</f>
        <v>19.157999999999998</v>
      </c>
      <c r="DC108" s="1207">
        <f>SUM(DC104:DC107)</f>
        <v>20.522000000000002</v>
      </c>
      <c r="DD108" s="272">
        <f>SUM(CZ108:DC108)</f>
        <v>53.701999999999998</v>
      </c>
      <c r="DE108" s="1207">
        <f>SUM(DE104:DE107)</f>
        <v>21</v>
      </c>
      <c r="DF108" s="1207">
        <f>SUM(DF104:DF107)</f>
        <v>9</v>
      </c>
      <c r="DG108" s="1207">
        <f>SUM(DG104:DG107)</f>
        <v>4</v>
      </c>
      <c r="DH108" s="1207">
        <f>SUM(DH104:DH107)</f>
        <v>4</v>
      </c>
      <c r="DI108" s="272">
        <f>SUM(DE108:DH108)</f>
        <v>38</v>
      </c>
      <c r="DJ108" s="1207">
        <f>SUM(DJ104:DJ107)</f>
        <v>4</v>
      </c>
      <c r="DK108" s="1207">
        <f>SUM(DK104:DK107)</f>
        <v>4</v>
      </c>
      <c r="DL108" s="1207">
        <f>SUM(DL104:DL107)</f>
        <v>4</v>
      </c>
      <c r="DM108" s="1208">
        <v>2</v>
      </c>
      <c r="DN108" s="272">
        <f>SUM(DJ108:DM108)</f>
        <v>14</v>
      </c>
      <c r="DO108" s="1207">
        <f>SUM(DO104:DO107)</f>
        <v>3</v>
      </c>
      <c r="DP108" s="1207">
        <f>SUM(DP104:DP107)</f>
        <v>3</v>
      </c>
      <c r="DQ108" s="1207">
        <f>SUM(DQ104:DQ107)</f>
        <v>3</v>
      </c>
      <c r="DR108" s="1430">
        <f>SUM(DR104:DR107)</f>
        <v>4</v>
      </c>
      <c r="DS108" s="272">
        <f>SUM(DO108:DR108)</f>
        <v>13</v>
      </c>
      <c r="DT108" s="1207">
        <f>SUM(DT104:DT107)</f>
        <v>3</v>
      </c>
      <c r="DU108" s="1207">
        <f>SUM(DU104:DU107)</f>
        <v>2</v>
      </c>
      <c r="DV108" s="1207">
        <f>SUM(DV104:DV107)</f>
        <v>1.8544617885210939</v>
      </c>
      <c r="DW108" s="1207">
        <f>SUM(DW104:DW107)</f>
        <v>2.3748809733637501</v>
      </c>
      <c r="DX108" s="272">
        <f>SUM(DT108:DW108)</f>
        <v>9.229342761884844</v>
      </c>
      <c r="DY108" s="1207">
        <f>SUM(DY104:DY107)</f>
        <v>2.0175607824687503</v>
      </c>
      <c r="DZ108" s="1207">
        <f>SUM(DZ104:DZ107)</f>
        <v>2.2708725786067001</v>
      </c>
      <c r="EA108" s="1207">
        <f>SUM(EA104:EA107)</f>
        <v>2.3208379505153101</v>
      </c>
      <c r="EB108" s="1207">
        <f>SUM(EB104:EB107)</f>
        <v>2.9578684892053251</v>
      </c>
      <c r="EC108" s="272">
        <f>SUM(DY108:EB108)</f>
        <v>9.5671398007960846</v>
      </c>
      <c r="ED108" s="1207">
        <f>SUM(ED104:ED107)</f>
        <v>2.4385530947553953</v>
      </c>
      <c r="EE108" s="1207">
        <f>SUM(EE104:EE107)</f>
        <v>2.7425241893667027</v>
      </c>
      <c r="EF108" s="1207">
        <f>SUM(EF104:EF107)</f>
        <v>2.7993521581851342</v>
      </c>
      <c r="EG108" s="1207">
        <f>SUM(EG104:EG107)</f>
        <v>3.5682266721590636</v>
      </c>
      <c r="EH108" s="272">
        <f>SUM(ED108:EG108)</f>
        <v>11.548656114466297</v>
      </c>
      <c r="EI108" s="1207">
        <f>SUM(EI104:EI107)</f>
        <v>2.8899274084196542</v>
      </c>
      <c r="EJ108" s="1207">
        <f>SUM(EJ104:EJ107)</f>
        <v>3.2506787438100693</v>
      </c>
      <c r="EK108" s="1207">
        <f>SUM(EK104:EK107)</f>
        <v>3.3178414233572258</v>
      </c>
      <c r="EL108" s="1207">
        <f>SUM(EL104:EL107)</f>
        <v>4.2312962225908866</v>
      </c>
      <c r="EM108" s="272">
        <f>SUM(EI108:EL108)</f>
        <v>13.689743798177837</v>
      </c>
      <c r="EN108" s="1207">
        <f>SUM(EN104:EN107)</f>
        <v>3.3902216525289108</v>
      </c>
      <c r="EO108" s="1207">
        <f>SUM(EO104:EO107)</f>
        <v>3.8134995787109833</v>
      </c>
      <c r="EP108" s="1207">
        <f>SUM(EP104:EP107)</f>
        <v>3.8925382506271973</v>
      </c>
      <c r="EQ108" s="1207">
        <f>SUM(EQ104:EQ107)</f>
        <v>4.9646469487442433</v>
      </c>
      <c r="ER108" s="272">
        <f>SUM(EN108:EQ108)</f>
        <v>16.060906430611336</v>
      </c>
      <c r="ES108" s="417"/>
      <c r="ET108" s="133"/>
    </row>
    <row r="109" spans="1:150" s="253" customFormat="1" ht="12" customHeight="1">
      <c r="A109" s="792"/>
      <c r="B109" s="792"/>
      <c r="C109" s="343" t="s">
        <v>193</v>
      </c>
      <c r="D109" s="296"/>
      <c r="E109" s="296"/>
      <c r="F109" s="296"/>
      <c r="G109" s="296"/>
      <c r="H109" s="296"/>
      <c r="I109" s="256"/>
      <c r="J109" s="256"/>
      <c r="K109" s="256"/>
      <c r="L109" s="256"/>
      <c r="M109" s="296"/>
      <c r="N109" s="256"/>
      <c r="O109" s="256"/>
      <c r="P109" s="256"/>
      <c r="Q109" s="256"/>
      <c r="R109" s="296"/>
      <c r="S109" s="256"/>
      <c r="T109" s="256"/>
      <c r="U109" s="256"/>
      <c r="V109" s="256"/>
      <c r="W109" s="296"/>
      <c r="X109" s="256"/>
      <c r="Y109" s="256"/>
      <c r="Z109" s="256"/>
      <c r="AA109" s="256"/>
      <c r="AB109" s="296"/>
      <c r="AC109" s="256"/>
      <c r="AD109" s="256"/>
      <c r="AE109" s="256"/>
      <c r="AF109" s="256"/>
      <c r="AG109" s="296"/>
      <c r="AH109" s="256"/>
      <c r="AI109" s="256"/>
      <c r="AJ109" s="256"/>
      <c r="AK109" s="256"/>
      <c r="AL109" s="296"/>
      <c r="AM109" s="256"/>
      <c r="AN109" s="256"/>
      <c r="AO109" s="256"/>
      <c r="AP109" s="256"/>
      <c r="AQ109" s="296"/>
      <c r="AR109" s="256"/>
      <c r="AS109" s="256"/>
      <c r="AT109" s="256"/>
      <c r="AU109" s="256"/>
      <c r="AV109" s="296"/>
      <c r="AW109" s="256"/>
      <c r="AX109" s="256"/>
      <c r="AY109" s="256"/>
      <c r="AZ109" s="256"/>
      <c r="BA109" s="296"/>
      <c r="BB109" s="256"/>
      <c r="BC109" s="256"/>
      <c r="BD109" s="256"/>
      <c r="BE109" s="256"/>
      <c r="BF109" s="296"/>
      <c r="BG109" s="340"/>
      <c r="BH109" s="340"/>
      <c r="BI109" s="340"/>
      <c r="BJ109" s="340"/>
      <c r="BK109" s="296"/>
      <c r="BL109" s="340"/>
      <c r="BM109" s="340"/>
      <c r="BN109" s="340"/>
      <c r="BO109" s="340"/>
      <c r="BP109" s="296"/>
      <c r="BQ109" s="341">
        <f t="shared" ref="BQ109:BZ109" si="618">BQ108/BQ$10</f>
        <v>0</v>
      </c>
      <c r="BR109" s="344">
        <f t="shared" si="618"/>
        <v>0</v>
      </c>
      <c r="BS109" s="344">
        <f t="shared" si="618"/>
        <v>0</v>
      </c>
      <c r="BT109" s="344">
        <f t="shared" si="618"/>
        <v>0</v>
      </c>
      <c r="BU109" s="243">
        <f t="shared" si="618"/>
        <v>0</v>
      </c>
      <c r="BV109" s="341">
        <f t="shared" si="618"/>
        <v>0</v>
      </c>
      <c r="BW109" s="344">
        <f t="shared" si="618"/>
        <v>0</v>
      </c>
      <c r="BX109" s="344">
        <f t="shared" si="618"/>
        <v>0</v>
      </c>
      <c r="BY109" s="344">
        <f t="shared" si="618"/>
        <v>0</v>
      </c>
      <c r="BZ109" s="243">
        <f t="shared" si="618"/>
        <v>0</v>
      </c>
      <c r="CA109" s="341">
        <f t="shared" ref="CA109:CX109" si="619">CA108/CA$10</f>
        <v>0</v>
      </c>
      <c r="CB109" s="344">
        <f t="shared" si="619"/>
        <v>0</v>
      </c>
      <c r="CC109" s="344">
        <f t="shared" si="619"/>
        <v>0</v>
      </c>
      <c r="CD109" s="344">
        <f t="shared" si="619"/>
        <v>0</v>
      </c>
      <c r="CE109" s="243">
        <f t="shared" si="619"/>
        <v>0</v>
      </c>
      <c r="CF109" s="341">
        <f t="shared" si="619"/>
        <v>0</v>
      </c>
      <c r="CG109" s="344">
        <f t="shared" si="619"/>
        <v>0</v>
      </c>
      <c r="CH109" s="344">
        <f t="shared" si="619"/>
        <v>4.595207062029742E-3</v>
      </c>
      <c r="CI109" s="344">
        <f t="shared" si="619"/>
        <v>4.2080834753476688E-3</v>
      </c>
      <c r="CJ109" s="243">
        <f t="shared" si="619"/>
        <v>2.5045912848050142E-3</v>
      </c>
      <c r="CK109" s="341">
        <f t="shared" si="619"/>
        <v>5.2514649808725611E-3</v>
      </c>
      <c r="CL109" s="344">
        <f t="shared" si="619"/>
        <v>4.3869948256666826E-3</v>
      </c>
      <c r="CM109" s="344">
        <f t="shared" si="619"/>
        <v>4.3707368032937996E-3</v>
      </c>
      <c r="CN109" s="344">
        <f t="shared" si="619"/>
        <v>1.0216565048697442E-2</v>
      </c>
      <c r="CO109" s="243">
        <f t="shared" si="619"/>
        <v>6.4245174641816829E-3</v>
      </c>
      <c r="CP109" s="341">
        <f t="shared" si="619"/>
        <v>1.2797845110967848E-2</v>
      </c>
      <c r="CQ109" s="344">
        <f t="shared" si="619"/>
        <v>7.4222255197447708E-3</v>
      </c>
      <c r="CR109" s="344">
        <f t="shared" si="619"/>
        <v>6.4854933183912007E-3</v>
      </c>
      <c r="CS109" s="344">
        <f t="shared" si="619"/>
        <v>5.0882439575185333E-3</v>
      </c>
      <c r="CT109" s="243">
        <f t="shared" si="619"/>
        <v>7.2603056298858751E-3</v>
      </c>
      <c r="CU109" s="341">
        <f t="shared" si="619"/>
        <v>5.0321297692705281E-3</v>
      </c>
      <c r="CV109" s="341">
        <f t="shared" si="619"/>
        <v>4.3021318599841887E-3</v>
      </c>
      <c r="CW109" s="341">
        <f t="shared" si="619"/>
        <v>5.3215156530870122E-3</v>
      </c>
      <c r="CX109" s="341">
        <f t="shared" si="619"/>
        <v>4.6216587537608036E-3</v>
      </c>
      <c r="CY109" s="243">
        <f t="shared" ref="CY109:DS109" si="620">CY108/CY$10</f>
        <v>4.8026217644262965E-3</v>
      </c>
      <c r="CZ109" s="341">
        <f t="shared" si="620"/>
        <v>5.5632037606459829E-3</v>
      </c>
      <c r="DA109" s="341">
        <f t="shared" si="620"/>
        <v>5.6568676581757026E-3</v>
      </c>
      <c r="DB109" s="341">
        <f t="shared" si="620"/>
        <v>1.4022837066315325E-2</v>
      </c>
      <c r="DC109" s="341">
        <f t="shared" si="620"/>
        <v>1.1828392060302782E-2</v>
      </c>
      <c r="DD109" s="243">
        <f t="shared" si="620"/>
        <v>9.589875754125456E-3</v>
      </c>
      <c r="DE109" s="341">
        <f t="shared" si="620"/>
        <v>1.3925729442970823E-2</v>
      </c>
      <c r="DF109" s="341">
        <f t="shared" si="620"/>
        <v>5.3128689492325859E-3</v>
      </c>
      <c r="DG109" s="341">
        <f t="shared" si="620"/>
        <v>2.3337222870478411E-3</v>
      </c>
      <c r="DH109" s="341">
        <f t="shared" si="620"/>
        <v>1.8656716417910447E-3</v>
      </c>
      <c r="DI109" s="243">
        <f t="shared" si="620"/>
        <v>5.3824362606232296E-3</v>
      </c>
      <c r="DJ109" s="341">
        <f t="shared" si="620"/>
        <v>2.1493820526598604E-3</v>
      </c>
      <c r="DK109" s="341">
        <f t="shared" si="620"/>
        <v>1.9559902200488996E-3</v>
      </c>
      <c r="DL109" s="341">
        <f t="shared" si="620"/>
        <v>1.8501387604070306E-3</v>
      </c>
      <c r="DM109" s="341">
        <f t="shared" si="620"/>
        <v>7.1123755334281653E-4</v>
      </c>
      <c r="DN109" s="243">
        <f t="shared" si="620"/>
        <v>1.5765765765765765E-3</v>
      </c>
      <c r="DO109" s="341">
        <f>DO108/DO$10</f>
        <v>1.271186440677966E-3</v>
      </c>
      <c r="DP109" s="341">
        <f t="shared" ref="DP109:DQ109" si="621">DP108/DP$10</f>
        <v>1.1194029850746269E-3</v>
      </c>
      <c r="DQ109" s="341">
        <f t="shared" si="621"/>
        <v>1.0548523206751054E-3</v>
      </c>
      <c r="DR109" s="629">
        <f>DR108/DR$10</f>
        <v>1.0893246187363835E-3</v>
      </c>
      <c r="DS109" s="243">
        <f t="shared" si="620"/>
        <v>1.124956732433368E-3</v>
      </c>
      <c r="DT109" s="341">
        <f>DT108/DT$10</f>
        <v>9.4637223974763408E-4</v>
      </c>
      <c r="DU109" s="341">
        <f t="shared" ref="DU109" si="622">DU108/DU$10</f>
        <v>5.5819145967066707E-4</v>
      </c>
      <c r="DV109" s="341">
        <f t="shared" ref="DV109:EC109" si="623">DV108/DV$10</f>
        <v>5.0000000000000001E-4</v>
      </c>
      <c r="DW109" s="341">
        <f t="shared" si="623"/>
        <v>5.0000000000000001E-4</v>
      </c>
      <c r="DX109" s="243">
        <f t="shared" si="623"/>
        <v>6.0672716034414003E-4</v>
      </c>
      <c r="DY109" s="341">
        <f t="shared" si="623"/>
        <v>5.0000000000000001E-4</v>
      </c>
      <c r="DZ109" s="341">
        <f t="shared" si="623"/>
        <v>5.0000000000000001E-4</v>
      </c>
      <c r="EA109" s="341">
        <f t="shared" si="623"/>
        <v>5.0000000000000001E-4</v>
      </c>
      <c r="EB109" s="341">
        <f t="shared" si="623"/>
        <v>5.0000000000000001E-4</v>
      </c>
      <c r="EC109" s="243">
        <f t="shared" si="623"/>
        <v>5.0000000000000001E-4</v>
      </c>
      <c r="ED109" s="341">
        <f t="shared" ref="ED109:EH109" si="624">ED108/ED$10</f>
        <v>5.0000000000000001E-4</v>
      </c>
      <c r="EE109" s="341">
        <f t="shared" si="624"/>
        <v>5.0000000000000001E-4</v>
      </c>
      <c r="EF109" s="341">
        <f t="shared" si="624"/>
        <v>5.0000000000000001E-4</v>
      </c>
      <c r="EG109" s="341">
        <f t="shared" si="624"/>
        <v>5.0000000000000001E-4</v>
      </c>
      <c r="EH109" s="243">
        <f t="shared" si="624"/>
        <v>5.0000000000000012E-4</v>
      </c>
      <c r="EI109" s="341">
        <f t="shared" ref="EI109:ER109" si="625">EI108/EI$10</f>
        <v>5.0000000000000001E-4</v>
      </c>
      <c r="EJ109" s="341">
        <f t="shared" si="625"/>
        <v>5.0000000000000001E-4</v>
      </c>
      <c r="EK109" s="341">
        <f t="shared" si="625"/>
        <v>5.0000000000000001E-4</v>
      </c>
      <c r="EL109" s="341">
        <f t="shared" si="625"/>
        <v>5.0000000000000001E-4</v>
      </c>
      <c r="EM109" s="243">
        <f t="shared" si="625"/>
        <v>5.0000000000000001E-4</v>
      </c>
      <c r="EN109" s="341">
        <f t="shared" si="625"/>
        <v>5.0000000000000001E-4</v>
      </c>
      <c r="EO109" s="341">
        <f t="shared" si="625"/>
        <v>5.0000000000000001E-4</v>
      </c>
      <c r="EP109" s="341">
        <f t="shared" si="625"/>
        <v>5.0000000000000001E-4</v>
      </c>
      <c r="EQ109" s="341">
        <f t="shared" si="625"/>
        <v>5.0000000000000001E-4</v>
      </c>
      <c r="ER109" s="243">
        <f t="shared" si="625"/>
        <v>5.0000000000000001E-4</v>
      </c>
      <c r="ES109" s="244"/>
      <c r="ET109" s="133"/>
    </row>
    <row r="110" spans="1:150" s="253" customFormat="1" ht="12" customHeight="1">
      <c r="A110" s="792"/>
      <c r="B110" s="792"/>
      <c r="C110" s="265" t="s">
        <v>68</v>
      </c>
      <c r="D110" s="296"/>
      <c r="E110" s="296"/>
      <c r="F110" s="296"/>
      <c r="G110" s="296"/>
      <c r="H110" s="296"/>
      <c r="I110" s="256"/>
      <c r="J110" s="256"/>
      <c r="K110" s="256"/>
      <c r="L110" s="256"/>
      <c r="M110" s="296"/>
      <c r="N110" s="256"/>
      <c r="O110" s="256"/>
      <c r="P110" s="256"/>
      <c r="Q110" s="256"/>
      <c r="R110" s="296"/>
      <c r="S110" s="256"/>
      <c r="T110" s="256"/>
      <c r="U110" s="256"/>
      <c r="V110" s="256"/>
      <c r="W110" s="296"/>
      <c r="X110" s="256"/>
      <c r="Y110" s="256"/>
      <c r="Z110" s="256"/>
      <c r="AA110" s="256"/>
      <c r="AB110" s="296"/>
      <c r="AC110" s="256"/>
      <c r="AD110" s="256"/>
      <c r="AE110" s="256"/>
      <c r="AF110" s="256"/>
      <c r="AG110" s="296"/>
      <c r="AH110" s="256"/>
      <c r="AI110" s="256"/>
      <c r="AJ110" s="256"/>
      <c r="AK110" s="256"/>
      <c r="AL110" s="296"/>
      <c r="AM110" s="256"/>
      <c r="AN110" s="256"/>
      <c r="AO110" s="256"/>
      <c r="AP110" s="256"/>
      <c r="AQ110" s="296"/>
      <c r="AR110" s="256"/>
      <c r="AS110" s="256"/>
      <c r="AT110" s="256"/>
      <c r="AU110" s="256"/>
      <c r="AV110" s="296"/>
      <c r="AW110" s="256"/>
      <c r="AX110" s="256"/>
      <c r="AY110" s="256"/>
      <c r="AZ110" s="256"/>
      <c r="BA110" s="296"/>
      <c r="BB110" s="256"/>
      <c r="BC110" s="256"/>
      <c r="BD110" s="256"/>
      <c r="BE110" s="256"/>
      <c r="BF110" s="296"/>
      <c r="BG110" s="256"/>
      <c r="BH110" s="256"/>
      <c r="BI110" s="256"/>
      <c r="BJ110" s="256"/>
      <c r="BK110" s="296"/>
      <c r="BL110" s="256"/>
      <c r="BM110" s="256"/>
      <c r="BN110" s="256"/>
      <c r="BO110" s="256"/>
      <c r="BP110" s="296"/>
      <c r="BQ110" s="239">
        <v>0.56599999999999995</v>
      </c>
      <c r="BR110" s="318">
        <v>0</v>
      </c>
      <c r="BS110" s="318">
        <v>0</v>
      </c>
      <c r="BT110" s="318">
        <v>0</v>
      </c>
      <c r="BU110" s="313">
        <f>SUM(BQ110:BT110)</f>
        <v>0.56599999999999995</v>
      </c>
      <c r="BV110" s="239">
        <v>0</v>
      </c>
      <c r="BW110" s="318">
        <v>0</v>
      </c>
      <c r="BX110" s="318">
        <v>0</v>
      </c>
      <c r="BY110" s="318">
        <v>0</v>
      </c>
      <c r="BZ110" s="313">
        <f>SUM(BV110:BY110)</f>
        <v>0</v>
      </c>
      <c r="CA110" s="239">
        <v>0</v>
      </c>
      <c r="CB110" s="318">
        <v>0</v>
      </c>
      <c r="CC110" s="318">
        <v>0</v>
      </c>
      <c r="CD110" s="318">
        <v>0</v>
      </c>
      <c r="CE110" s="313">
        <f>SUM(CA110:CD110)</f>
        <v>0</v>
      </c>
      <c r="CF110" s="239">
        <v>0</v>
      </c>
      <c r="CG110" s="318">
        <v>0</v>
      </c>
      <c r="CH110" s="318">
        <v>0</v>
      </c>
      <c r="CI110" s="318">
        <v>0</v>
      </c>
      <c r="CJ110" s="313">
        <f>SUM(CF110:CI110)</f>
        <v>0</v>
      </c>
      <c r="CK110" s="239">
        <v>0</v>
      </c>
      <c r="CL110" s="318">
        <v>0</v>
      </c>
      <c r="CM110" s="318">
        <v>0</v>
      </c>
      <c r="CN110" s="318">
        <v>0</v>
      </c>
      <c r="CO110" s="313">
        <f>SUM(CK110:CN110)</f>
        <v>0</v>
      </c>
      <c r="CP110" s="239">
        <v>0</v>
      </c>
      <c r="CQ110" s="318">
        <v>31.623000000000001</v>
      </c>
      <c r="CR110" s="318">
        <v>0</v>
      </c>
      <c r="CS110" s="318">
        <v>0</v>
      </c>
      <c r="CT110" s="313">
        <f>SUM(CP110:CS110)</f>
        <v>31.623000000000001</v>
      </c>
      <c r="CU110" s="239">
        <v>0</v>
      </c>
      <c r="CV110" s="239">
        <v>0</v>
      </c>
      <c r="CW110" s="239">
        <v>30.145</v>
      </c>
      <c r="CX110" s="239">
        <v>0</v>
      </c>
      <c r="CY110" s="257">
        <f>SUM(CU110:CX110)</f>
        <v>30.145</v>
      </c>
      <c r="CZ110" s="239">
        <v>0</v>
      </c>
      <c r="DA110" s="239">
        <v>0</v>
      </c>
      <c r="DB110" s="239">
        <f>10.845+8.402+11.234+97</f>
        <v>127.48099999999999</v>
      </c>
      <c r="DC110" s="239">
        <v>84.313999999999993</v>
      </c>
      <c r="DD110" s="257">
        <f>SUM(CZ110:DC110)</f>
        <v>211.79499999999999</v>
      </c>
      <c r="DE110" s="239">
        <v>0</v>
      </c>
      <c r="DF110" s="239">
        <f>164+102+18+28+1340</f>
        <v>1652</v>
      </c>
      <c r="DG110" s="239">
        <f>4+38</f>
        <v>42</v>
      </c>
      <c r="DH110" s="345">
        <v>0</v>
      </c>
      <c r="DI110" s="257">
        <f>SUM(DE110:DH110)</f>
        <v>1694</v>
      </c>
      <c r="DJ110" s="345">
        <v>0</v>
      </c>
      <c r="DK110" s="346">
        <v>-55</v>
      </c>
      <c r="DL110" s="891">
        <v>0</v>
      </c>
      <c r="DM110" s="891">
        <v>0</v>
      </c>
      <c r="DN110" s="257">
        <f>SUM(DJ110:DM110)</f>
        <v>-55</v>
      </c>
      <c r="DO110" s="1275">
        <v>0</v>
      </c>
      <c r="DP110" s="346">
        <v>10</v>
      </c>
      <c r="DQ110" s="346">
        <v>3</v>
      </c>
      <c r="DR110" s="1531">
        <v>0</v>
      </c>
      <c r="DS110" s="257">
        <f>SUM(DO110:DR110)</f>
        <v>13</v>
      </c>
      <c r="DT110" s="1275">
        <v>0</v>
      </c>
      <c r="DU110" s="346">
        <v>0</v>
      </c>
      <c r="DV110" s="347">
        <v>0</v>
      </c>
      <c r="DW110" s="347">
        <v>0</v>
      </c>
      <c r="DX110" s="257">
        <f>SUM(DT110:DW110)</f>
        <v>0</v>
      </c>
      <c r="DY110" s="347">
        <v>0</v>
      </c>
      <c r="DZ110" s="347">
        <v>0</v>
      </c>
      <c r="EA110" s="347">
        <v>0</v>
      </c>
      <c r="EB110" s="347">
        <v>0</v>
      </c>
      <c r="EC110" s="257">
        <f>SUM(DY110:EB110)</f>
        <v>0</v>
      </c>
      <c r="ED110" s="347">
        <v>0</v>
      </c>
      <c r="EE110" s="347">
        <v>0</v>
      </c>
      <c r="EF110" s="347">
        <v>0</v>
      </c>
      <c r="EG110" s="347">
        <v>0</v>
      </c>
      <c r="EH110" s="257">
        <f>SUM(ED110:EG110)</f>
        <v>0</v>
      </c>
      <c r="EI110" s="347">
        <v>0</v>
      </c>
      <c r="EJ110" s="347">
        <v>0</v>
      </c>
      <c r="EK110" s="347">
        <v>0</v>
      </c>
      <c r="EL110" s="347">
        <v>0</v>
      </c>
      <c r="EM110" s="257">
        <f>SUM(EI110:EL110)</f>
        <v>0</v>
      </c>
      <c r="EN110" s="347">
        <v>0</v>
      </c>
      <c r="EO110" s="347">
        <v>0</v>
      </c>
      <c r="EP110" s="347">
        <v>0</v>
      </c>
      <c r="EQ110" s="347">
        <v>0</v>
      </c>
      <c r="ER110" s="257">
        <f>SUM(EN110:EQ110)</f>
        <v>0</v>
      </c>
      <c r="ES110" s="916"/>
      <c r="ET110" s="133"/>
    </row>
    <row r="111" spans="1:150" s="253" customFormat="1">
      <c r="A111" s="792"/>
      <c r="B111" s="792"/>
      <c r="C111" s="248" t="s">
        <v>742</v>
      </c>
      <c r="D111" s="292"/>
      <c r="E111" s="292"/>
      <c r="F111" s="292"/>
      <c r="G111" s="292"/>
      <c r="H111" s="292"/>
      <c r="I111" s="293"/>
      <c r="J111" s="293"/>
      <c r="K111" s="293"/>
      <c r="L111" s="293"/>
      <c r="M111" s="292"/>
      <c r="N111" s="293"/>
      <c r="O111" s="293"/>
      <c r="P111" s="293"/>
      <c r="Q111" s="293"/>
      <c r="R111" s="292"/>
      <c r="S111" s="293"/>
      <c r="T111" s="293"/>
      <c r="U111" s="293"/>
      <c r="V111" s="293"/>
      <c r="W111" s="292"/>
      <c r="X111" s="293"/>
      <c r="Y111" s="293"/>
      <c r="Z111" s="293"/>
      <c r="AA111" s="293"/>
      <c r="AB111" s="292"/>
      <c r="AC111" s="293"/>
      <c r="AD111" s="293"/>
      <c r="AE111" s="293"/>
      <c r="AF111" s="293"/>
      <c r="AG111" s="292"/>
      <c r="AH111" s="293"/>
      <c r="AI111" s="293"/>
      <c r="AJ111" s="293"/>
      <c r="AK111" s="293"/>
      <c r="AL111" s="292"/>
      <c r="AM111" s="293"/>
      <c r="AN111" s="293"/>
      <c r="AO111" s="293"/>
      <c r="AP111" s="293"/>
      <c r="AQ111" s="292"/>
      <c r="AR111" s="293"/>
      <c r="AS111" s="293"/>
      <c r="AT111" s="293"/>
      <c r="AU111" s="293"/>
      <c r="AV111" s="292"/>
      <c r="AW111" s="293"/>
      <c r="AX111" s="293"/>
      <c r="AY111" s="293"/>
      <c r="AZ111" s="293"/>
      <c r="BA111" s="292"/>
      <c r="BB111" s="293"/>
      <c r="BC111" s="293"/>
      <c r="BD111" s="293"/>
      <c r="BE111" s="293"/>
      <c r="BF111" s="292"/>
      <c r="BG111" s="293"/>
      <c r="BH111" s="293"/>
      <c r="BI111" s="293"/>
      <c r="BJ111" s="293"/>
      <c r="BK111" s="292"/>
      <c r="BL111" s="293"/>
      <c r="BM111" s="293"/>
      <c r="BN111" s="293"/>
      <c r="BO111" s="293"/>
      <c r="BP111" s="292"/>
      <c r="BQ111" s="295">
        <f t="shared" ref="BQ111" si="626">BQ74+BQ100+BQ108+BQ110</f>
        <v>-1.4699999999999993</v>
      </c>
      <c r="BR111" s="295">
        <f t="shared" ref="BR111:BS111" si="627">BR74+BR100+BR108+BR110</f>
        <v>-1.8899999999999983</v>
      </c>
      <c r="BS111" s="295">
        <f t="shared" si="627"/>
        <v>-2.0319999999999969</v>
      </c>
      <c r="BT111" s="295">
        <f t="shared" ref="BT111" si="628">BT74+BT100+BT108+BT110</f>
        <v>-1.3099999999999987</v>
      </c>
      <c r="BU111" s="348">
        <f t="shared" ref="BU111" si="629">SUM(BQ111:BT111)</f>
        <v>-6.7019999999999929</v>
      </c>
      <c r="BV111" s="295">
        <f t="shared" ref="BV111" si="630">BV74+BV100+BV108+BV110</f>
        <v>-5.9199999999999893</v>
      </c>
      <c r="BW111" s="295">
        <f t="shared" ref="BW111:BX111" si="631">BW74+BW100+BW108+BW110</f>
        <v>-3.2110000000000056</v>
      </c>
      <c r="BX111" s="295">
        <f t="shared" si="631"/>
        <v>-2.206000000000004</v>
      </c>
      <c r="BY111" s="295">
        <f t="shared" ref="BY111" si="632">BY74+BY100+BY108+BY110</f>
        <v>-0.80700000000001992</v>
      </c>
      <c r="BZ111" s="348">
        <f t="shared" ref="BZ111" si="633">SUM(BV111:BY111)</f>
        <v>-12.14400000000002</v>
      </c>
      <c r="CA111" s="295">
        <f t="shared" ref="CA111" si="634">CA74+CA100+CA108+CA110</f>
        <v>-4.3139999999999841</v>
      </c>
      <c r="CB111" s="295">
        <f t="shared" ref="CB111:CC111" si="635">CB74+CB100+CB108+CB110</f>
        <v>-2.9379999999999971</v>
      </c>
      <c r="CC111" s="295">
        <f t="shared" si="635"/>
        <v>1.7130000000000134</v>
      </c>
      <c r="CD111" s="295">
        <f t="shared" ref="CD111" si="636">CD74+CD100+CD108+CD110</f>
        <v>11.583999999999971</v>
      </c>
      <c r="CE111" s="348">
        <f t="shared" ref="CE111" si="637">SUM(CA111:CD111)</f>
        <v>6.0450000000000035</v>
      </c>
      <c r="CF111" s="295">
        <f t="shared" ref="CF111" si="638">CF74+CF100+CF108+CF110</f>
        <v>-0.21800000000002484</v>
      </c>
      <c r="CG111" s="295">
        <f t="shared" ref="CG111:CH111" si="639">CG74+CG100+CG108+CG110</f>
        <v>-4.268000000000022</v>
      </c>
      <c r="CH111" s="295">
        <f t="shared" si="639"/>
        <v>-2.3990000000000218</v>
      </c>
      <c r="CI111" s="295">
        <f t="shared" ref="CI111" si="640">CI74+CI100+CI108+CI110</f>
        <v>21.414999999999946</v>
      </c>
      <c r="CJ111" s="348">
        <f t="shared" ref="CJ111" si="641">SUM(CF111:CI111)</f>
        <v>14.529999999999877</v>
      </c>
      <c r="CK111" s="295">
        <f t="shared" ref="CK111" si="642">CK74+CK100+CK108+CK110</f>
        <v>0.30599999999994787</v>
      </c>
      <c r="CL111" s="295">
        <f t="shared" ref="CL111:CM111" si="643">CL74+CL100+CL108+CL110</f>
        <v>6.3969999999999976</v>
      </c>
      <c r="CM111" s="295">
        <f t="shared" si="643"/>
        <v>10.548000000000044</v>
      </c>
      <c r="CN111" s="295">
        <f t="shared" ref="CN111" si="644">CN74+CN100+CN108+CN110</f>
        <v>28.504000000000048</v>
      </c>
      <c r="CO111" s="348">
        <f t="shared" ref="CO111" si="645">SUM(CK111:CN111)</f>
        <v>45.755000000000038</v>
      </c>
      <c r="CP111" s="295">
        <f t="shared" ref="CP111" si="646">CP74+CP100+CP108+CP110</f>
        <v>-7.2719999999999994</v>
      </c>
      <c r="CQ111" s="295">
        <f t="shared" ref="CQ111:CR111" si="647">CQ74+CQ100+CQ108+CQ110</f>
        <v>113.67600000000006</v>
      </c>
      <c r="CR111" s="295">
        <f t="shared" si="647"/>
        <v>130.94000000000003</v>
      </c>
      <c r="CS111" s="295">
        <f t="shared" ref="CS111" si="648">CS74+CS100+CS108+CS110</f>
        <v>200.00699999999992</v>
      </c>
      <c r="CT111" s="348">
        <f t="shared" ref="CT111" si="649">SUM(CP111:CS111)</f>
        <v>437.351</v>
      </c>
      <c r="CU111" s="295">
        <f t="shared" ref="CU111" si="650">CU74+CU100+CU108+CU110</f>
        <v>210.8419999999999</v>
      </c>
      <c r="CV111" s="295">
        <f t="shared" ref="CV111:CW111" si="651">CV74+CV100+CV108+CV110</f>
        <v>236.80299999999991</v>
      </c>
      <c r="CW111" s="295">
        <f t="shared" si="651"/>
        <v>140.16200000000001</v>
      </c>
      <c r="CX111" s="295">
        <f t="shared" ref="CX111" si="652">CX74+CX100+CX108+CX110</f>
        <v>130.18430000000023</v>
      </c>
      <c r="CY111" s="348">
        <f t="shared" ref="CY111" si="653">SUM(CU111:CX111)</f>
        <v>717.99130000000002</v>
      </c>
      <c r="CZ111" s="295">
        <f t="shared" ref="CZ111" si="654">CZ74+CZ100+CZ108+CZ110</f>
        <v>31.914000000000101</v>
      </c>
      <c r="DA111" s="295">
        <f t="shared" ref="DA111:DB111" si="655">DA74+DA100+DA108+DA110</f>
        <v>-41.770999999999951</v>
      </c>
      <c r="DB111" s="295">
        <f t="shared" si="655"/>
        <v>-45.076000000000022</v>
      </c>
      <c r="DC111" s="295">
        <f t="shared" ref="DC111" si="656">DC74+DC100+DC108+DC110</f>
        <v>60.99200000000009</v>
      </c>
      <c r="DD111" s="348">
        <f t="shared" ref="DD111" si="657">SUM(CZ111:DC111)</f>
        <v>6.0590000000002178</v>
      </c>
      <c r="DE111" s="295">
        <f t="shared" ref="DE111" si="658">DE74+DE100+DE108+DE110</f>
        <v>-25</v>
      </c>
      <c r="DF111" s="295">
        <f t="shared" ref="DF111:DG111" si="659">DF74+DF100+DF108+DF110</f>
        <v>311</v>
      </c>
      <c r="DG111" s="295">
        <f t="shared" si="659"/>
        <v>275</v>
      </c>
      <c r="DH111" s="295">
        <f t="shared" ref="DH111" si="660">DH74+DH100+DH108+DH110</f>
        <v>396</v>
      </c>
      <c r="DI111" s="348">
        <f t="shared" ref="DI111" si="661">SUM(DE111:DH111)</f>
        <v>957</v>
      </c>
      <c r="DJ111" s="295">
        <f t="shared" ref="DJ111" si="662">DJ74+DJ100+DJ108+DJ110</f>
        <v>201</v>
      </c>
      <c r="DK111" s="295">
        <f t="shared" ref="DK111:DL111" si="663">DK74+DK100+DK108+DK110</f>
        <v>299</v>
      </c>
      <c r="DL111" s="295">
        <f t="shared" si="663"/>
        <v>402</v>
      </c>
      <c r="DM111" s="295">
        <f ca="1">DM74+DM100+DM108+DM110</f>
        <v>584</v>
      </c>
      <c r="DN111" s="348">
        <f ca="1">SUM(DJ111:DM111)</f>
        <v>1486</v>
      </c>
      <c r="DO111" s="295">
        <f ca="1">DO74+DO100+DO108+DO110</f>
        <v>329</v>
      </c>
      <c r="DP111" s="295">
        <f t="shared" ref="DP111" si="664">DP74+DP100+DP108+DP110</f>
        <v>424</v>
      </c>
      <c r="DQ111" s="295">
        <f t="shared" ref="DQ111" si="665">DQ74+DQ100+DQ108+DQ110</f>
        <v>465</v>
      </c>
      <c r="DR111" s="295">
        <f>DR74+DR100+DR108+DR110</f>
        <v>760</v>
      </c>
      <c r="DS111" s="348">
        <f ca="1">SUM(DO111:DR111)</f>
        <v>1978</v>
      </c>
      <c r="DT111" s="295">
        <f>DT74+DT100+DT108+DT110</f>
        <v>523</v>
      </c>
      <c r="DU111" s="295">
        <f t="shared" ref="DU111" si="666">DU74+DU100+DU108+DU110</f>
        <v>623</v>
      </c>
      <c r="DV111" s="295">
        <f t="shared" ref="DV111" si="667">DV74+DV100+DV108+DV110</f>
        <v>708.19016923632353</v>
      </c>
      <c r="DW111" s="295">
        <f t="shared" ref="DW111" si="668">DW74+DW100+DW108+DW110</f>
        <v>1038.9812119789015</v>
      </c>
      <c r="DX111" s="348">
        <f>SUM(DT111:DW111)</f>
        <v>2893.1713812152248</v>
      </c>
      <c r="DY111" s="295">
        <f>DY74+DY100+DY108+DY110</f>
        <v>693.90777529370177</v>
      </c>
      <c r="DZ111" s="295">
        <f t="shared" ref="DZ111:EA111" si="669">DZ74+DZ100+DZ108+DZ110</f>
        <v>841.7965496673371</v>
      </c>
      <c r="EA111" s="295">
        <f t="shared" si="669"/>
        <v>942.71253609877147</v>
      </c>
      <c r="EB111" s="295">
        <f t="shared" ref="EB111" si="670">EB74+EB100+EB108+EB110</f>
        <v>1372.083163038558</v>
      </c>
      <c r="EC111" s="348">
        <f>SUM(DY111:EB111)</f>
        <v>3850.5000240983682</v>
      </c>
      <c r="ED111" s="295">
        <f>ED74+ED100+ED108+ED110</f>
        <v>837.20990240183312</v>
      </c>
      <c r="EE111" s="295">
        <f t="shared" ref="EE111:EG111" si="671">EE74+EE100+EE108+EE110</f>
        <v>1027.8071915027804</v>
      </c>
      <c r="EF111" s="295">
        <f t="shared" si="671"/>
        <v>1098.1152700184587</v>
      </c>
      <c r="EG111" s="295">
        <f t="shared" si="671"/>
        <v>1579.8399278869304</v>
      </c>
      <c r="EH111" s="348">
        <f>SUM(ED111:EG111)</f>
        <v>4542.9722918100024</v>
      </c>
      <c r="EI111" s="295">
        <f>EI74+EI100+EI108+EI110</f>
        <v>1020.1889857509767</v>
      </c>
      <c r="EJ111" s="295">
        <f t="shared" ref="EJ111:EL111" si="672">EJ74+EJ100+EJ108+EJ110</f>
        <v>1250.4545649413419</v>
      </c>
      <c r="EK111" s="295">
        <f t="shared" si="672"/>
        <v>1332.9149482130601</v>
      </c>
      <c r="EL111" s="295">
        <f t="shared" si="672"/>
        <v>1915.1912303750505</v>
      </c>
      <c r="EM111" s="348">
        <f>SUM(EI111:EL111)</f>
        <v>5518.7497292804292</v>
      </c>
      <c r="EN111" s="295">
        <f>EN74+EN100+EN108+EN110</f>
        <v>1236.0785529838788</v>
      </c>
      <c r="EO111" s="295">
        <f t="shared" ref="EO111:EQ111" si="673">EO74+EO100+EO108+EO110</f>
        <v>1511.6371406693697</v>
      </c>
      <c r="EP111" s="295">
        <f t="shared" si="673"/>
        <v>1608.4066958555377</v>
      </c>
      <c r="EQ111" s="295">
        <f t="shared" si="673"/>
        <v>2305.0338325685034</v>
      </c>
      <c r="ER111" s="348">
        <f>SUM(EN111:EQ111)</f>
        <v>6661.1562220772894</v>
      </c>
      <c r="ES111" s="911"/>
      <c r="ET111" s="133"/>
    </row>
    <row r="112" spans="1:150" s="253" customFormat="1" ht="12" customHeight="1">
      <c r="A112" s="792"/>
      <c r="B112" s="792"/>
      <c r="C112" s="349" t="s">
        <v>129</v>
      </c>
      <c r="D112" s="350"/>
      <c r="E112" s="350"/>
      <c r="F112" s="350"/>
      <c r="G112" s="350"/>
      <c r="H112" s="350"/>
      <c r="I112" s="351"/>
      <c r="J112" s="351"/>
      <c r="K112" s="351"/>
      <c r="L112" s="351"/>
      <c r="M112" s="350"/>
      <c r="N112" s="634"/>
      <c r="O112" s="634"/>
      <c r="P112" s="634"/>
      <c r="Q112" s="634"/>
      <c r="R112" s="350"/>
      <c r="S112" s="634"/>
      <c r="T112" s="634"/>
      <c r="U112" s="634"/>
      <c r="V112" s="634"/>
      <c r="W112" s="350"/>
      <c r="X112" s="634"/>
      <c r="Y112" s="634"/>
      <c r="Z112" s="634"/>
      <c r="AA112" s="634"/>
      <c r="AB112" s="350"/>
      <c r="AC112" s="634"/>
      <c r="AD112" s="634"/>
      <c r="AE112" s="634"/>
      <c r="AF112" s="634"/>
      <c r="AG112" s="350"/>
      <c r="AH112" s="634"/>
      <c r="AI112" s="634"/>
      <c r="AJ112" s="634"/>
      <c r="AK112" s="634"/>
      <c r="AL112" s="350"/>
      <c r="AM112" s="634"/>
      <c r="AN112" s="634"/>
      <c r="AO112" s="634"/>
      <c r="AP112" s="634"/>
      <c r="AQ112" s="350"/>
      <c r="AR112" s="634"/>
      <c r="AS112" s="634"/>
      <c r="AT112" s="634"/>
      <c r="AU112" s="634"/>
      <c r="AV112" s="350"/>
      <c r="AW112" s="634"/>
      <c r="AX112" s="634"/>
      <c r="AY112" s="634"/>
      <c r="AZ112" s="634"/>
      <c r="BA112" s="350"/>
      <c r="BB112" s="634"/>
      <c r="BC112" s="634"/>
      <c r="BD112" s="634"/>
      <c r="BE112" s="634"/>
      <c r="BF112" s="350"/>
      <c r="BG112" s="634"/>
      <c r="BH112" s="634"/>
      <c r="BI112" s="634"/>
      <c r="BJ112" s="634"/>
      <c r="BK112" s="350"/>
      <c r="BL112" s="634"/>
      <c r="BM112" s="634"/>
      <c r="BN112" s="634"/>
      <c r="BO112" s="634"/>
      <c r="BP112" s="350"/>
      <c r="BQ112" s="353"/>
      <c r="BR112" s="353"/>
      <c r="BS112" s="353"/>
      <c r="BT112" s="353"/>
      <c r="BU112" s="352"/>
      <c r="BV112" s="353" t="str">
        <f t="shared" ref="BV112:DA112" si="674">+IF(BQ111&lt;=0,"nm",BV111/BQ111-1)</f>
        <v>nm</v>
      </c>
      <c r="BW112" s="353" t="str">
        <f t="shared" si="674"/>
        <v>nm</v>
      </c>
      <c r="BX112" s="353" t="str">
        <f t="shared" si="674"/>
        <v>nm</v>
      </c>
      <c r="BY112" s="353" t="str">
        <f t="shared" si="674"/>
        <v>nm</v>
      </c>
      <c r="BZ112" s="352" t="str">
        <f t="shared" si="674"/>
        <v>nm</v>
      </c>
      <c r="CA112" s="353" t="str">
        <f t="shared" si="674"/>
        <v>nm</v>
      </c>
      <c r="CB112" s="353" t="str">
        <f t="shared" si="674"/>
        <v>nm</v>
      </c>
      <c r="CC112" s="353" t="str">
        <f t="shared" si="674"/>
        <v>nm</v>
      </c>
      <c r="CD112" s="353" t="str">
        <f t="shared" si="674"/>
        <v>nm</v>
      </c>
      <c r="CE112" s="352" t="str">
        <f t="shared" si="674"/>
        <v>nm</v>
      </c>
      <c r="CF112" s="353" t="str">
        <f t="shared" si="674"/>
        <v>nm</v>
      </c>
      <c r="CG112" s="353" t="str">
        <f t="shared" si="674"/>
        <v>nm</v>
      </c>
      <c r="CH112" s="353">
        <f t="shared" si="674"/>
        <v>-2.4004670169293654</v>
      </c>
      <c r="CI112" s="353">
        <f t="shared" si="674"/>
        <v>0.84867058011049723</v>
      </c>
      <c r="CJ112" s="352">
        <f t="shared" si="674"/>
        <v>1.4036393713812849</v>
      </c>
      <c r="CK112" s="353" t="str">
        <f t="shared" si="674"/>
        <v>nm</v>
      </c>
      <c r="CL112" s="353" t="str">
        <f t="shared" si="674"/>
        <v>nm</v>
      </c>
      <c r="CM112" s="353" t="str">
        <f t="shared" si="674"/>
        <v>nm</v>
      </c>
      <c r="CN112" s="353">
        <f t="shared" si="674"/>
        <v>0.3310296521130105</v>
      </c>
      <c r="CO112" s="352">
        <f t="shared" si="674"/>
        <v>2.1490020646937662</v>
      </c>
      <c r="CP112" s="353">
        <f t="shared" si="674"/>
        <v>-24.764705882356989</v>
      </c>
      <c r="CQ112" s="353">
        <f t="shared" si="674"/>
        <v>16.770204783492279</v>
      </c>
      <c r="CR112" s="353">
        <f t="shared" si="674"/>
        <v>11.413727720894906</v>
      </c>
      <c r="CS112" s="353">
        <f t="shared" si="674"/>
        <v>6.0168046589952144</v>
      </c>
      <c r="CT112" s="352">
        <f t="shared" si="674"/>
        <v>8.5585400502677231</v>
      </c>
      <c r="CU112" s="353" t="str">
        <f t="shared" si="674"/>
        <v>nm</v>
      </c>
      <c r="CV112" s="353">
        <f t="shared" si="674"/>
        <v>1.0831398008374662</v>
      </c>
      <c r="CW112" s="353">
        <f t="shared" si="674"/>
        <v>7.0429204215671115E-2</v>
      </c>
      <c r="CX112" s="354">
        <f t="shared" si="674"/>
        <v>-0.34910128145514763</v>
      </c>
      <c r="CY112" s="352">
        <f t="shared" si="674"/>
        <v>0.64168208144030769</v>
      </c>
      <c r="CZ112" s="353">
        <f t="shared" si="674"/>
        <v>-0.84863547111106841</v>
      </c>
      <c r="DA112" s="353">
        <f t="shared" si="674"/>
        <v>-1.1763955693128887</v>
      </c>
      <c r="DB112" s="353">
        <f t="shared" ref="DB112:EB112" si="675">+IF(CW111&lt;=0,"nm",DB111/CW111-1)</f>
        <v>-1.3215992922475421</v>
      </c>
      <c r="DC112" s="353">
        <f t="shared" si="675"/>
        <v>-0.53149496521469963</v>
      </c>
      <c r="DD112" s="352">
        <f t="shared" si="675"/>
        <v>-0.99156117908392449</v>
      </c>
      <c r="DE112" s="353">
        <f t="shared" si="675"/>
        <v>-1.7833552672808146</v>
      </c>
      <c r="DF112" s="353" t="str">
        <f t="shared" si="675"/>
        <v>nm</v>
      </c>
      <c r="DG112" s="353" t="str">
        <f t="shared" si="675"/>
        <v>nm</v>
      </c>
      <c r="DH112" s="353">
        <f t="shared" si="675"/>
        <v>5.492654774396633</v>
      </c>
      <c r="DI112" s="352">
        <f t="shared" si="675"/>
        <v>156.94685591681227</v>
      </c>
      <c r="DJ112" s="353" t="str">
        <f t="shared" si="675"/>
        <v>nm</v>
      </c>
      <c r="DK112" s="353">
        <f t="shared" si="675"/>
        <v>-3.8585209003215382E-2</v>
      </c>
      <c r="DL112" s="353">
        <f t="shared" si="675"/>
        <v>0.46181818181818191</v>
      </c>
      <c r="DM112" s="353">
        <f ca="1">+IF(DH111&lt;=0,"nm",DM111/DH111-1)</f>
        <v>0.4747474747474747</v>
      </c>
      <c r="DN112" s="352">
        <f ca="1">+IF(DI111&lt;=0,"nm",DN111/DI111-1)</f>
        <v>0.55276907001044928</v>
      </c>
      <c r="DO112" s="353">
        <f ca="1">+IF(DJ111&lt;=0,"nm",DO111/DJ111-1)</f>
        <v>0.63681592039800994</v>
      </c>
      <c r="DP112" s="353">
        <f t="shared" si="675"/>
        <v>0.41806020066889626</v>
      </c>
      <c r="DQ112" s="353">
        <f t="shared" si="675"/>
        <v>0.15671641791044766</v>
      </c>
      <c r="DR112" s="354">
        <f ca="1">+IF(DM111&lt;=0,"nm",DR111/DM111-1)</f>
        <v>0.30136986301369872</v>
      </c>
      <c r="DS112" s="352">
        <f ca="1">+IF(DN111&lt;=0,"nm",DS111/DN111-1)</f>
        <v>0.33109017496635262</v>
      </c>
      <c r="DT112" s="353">
        <f ca="1">+IF(DO111&lt;=0,"nm",DT111/DO111-1)</f>
        <v>0.58966565349544076</v>
      </c>
      <c r="DU112" s="353">
        <f t="shared" si="675"/>
        <v>0.46933962264150941</v>
      </c>
      <c r="DV112" s="353">
        <f t="shared" si="675"/>
        <v>0.5229896112609107</v>
      </c>
      <c r="DW112" s="353">
        <f t="shared" si="675"/>
        <v>0.36708054207750185</v>
      </c>
      <c r="DX112" s="352">
        <f ca="1">+IF(DS111&lt;=0,"nm",DX111/DS111-1)</f>
        <v>0.46267511689344021</v>
      </c>
      <c r="DY112" s="353">
        <f>+IF(DT111&lt;=0,"nm",DY111/DT111-1)</f>
        <v>0.32678350916577781</v>
      </c>
      <c r="DZ112" s="353">
        <f t="shared" si="675"/>
        <v>0.35119831407277213</v>
      </c>
      <c r="EA112" s="353">
        <f t="shared" si="675"/>
        <v>0.33115733181575369</v>
      </c>
      <c r="EB112" s="353">
        <f t="shared" si="675"/>
        <v>0.32060440287001146</v>
      </c>
      <c r="EC112" s="352">
        <f>+IF(DX111&lt;=0,"nm",EC111/DX111-1)</f>
        <v>0.33089247636655195</v>
      </c>
      <c r="ED112" s="353">
        <f>+IF(DY111&lt;=0,"nm",ED111/DY111-1)</f>
        <v>0.20651465830236249</v>
      </c>
      <c r="EE112" s="353">
        <f t="shared" ref="EE112" si="676">+IF(DZ111&lt;=0,"nm",EE111/DZ111-1)</f>
        <v>0.22096864368112623</v>
      </c>
      <c r="EF112" s="353">
        <f t="shared" ref="EF112" si="677">+IF(EA111&lt;=0,"nm",EF111/EA111-1)</f>
        <v>0.16484636404941688</v>
      </c>
      <c r="EG112" s="353">
        <f t="shared" ref="EG112" si="678">+IF(EB111&lt;=0,"nm",EG111/EB111-1)</f>
        <v>0.15141703538456297</v>
      </c>
      <c r="EH112" s="352">
        <f>+IF(EC111&lt;=0,"nm",EH111/EC111-1)</f>
        <v>0.17983956976439264</v>
      </c>
      <c r="EI112" s="353">
        <f>+IF(ED111&lt;=0,"nm",EI111/ED111-1)</f>
        <v>0.21855819290264389</v>
      </c>
      <c r="EJ112" s="353">
        <f t="shared" ref="EJ112" si="679">+IF(EE111&lt;=0,"nm",EJ111/EE111-1)</f>
        <v>0.21662367735822485</v>
      </c>
      <c r="EK112" s="353">
        <f t="shared" ref="EK112" si="680">+IF(EF111&lt;=0,"nm",EK111/EF111-1)</f>
        <v>0.21382061119198781</v>
      </c>
      <c r="EL112" s="353">
        <f t="shared" ref="EL112" si="681">+IF(EG111&lt;=0,"nm",EL111/EG111-1)</f>
        <v>0.21226916510247951</v>
      </c>
      <c r="EM112" s="352">
        <f>+IF(EH111&lt;=0,"nm",EM111/EH111-1)</f>
        <v>0.21478833124946473</v>
      </c>
      <c r="EN112" s="353">
        <f>+IF(EI111&lt;=0,"nm",EN111/EI111-1)</f>
        <v>0.21161722999193389</v>
      </c>
      <c r="EO112" s="353">
        <f t="shared" ref="EO112" si="682">+IF(EJ111&lt;=0,"nm",EO111/EJ111-1)</f>
        <v>0.20887010456096</v>
      </c>
      <c r="EP112" s="353">
        <f t="shared" ref="EP112" si="683">+IF(EK111&lt;=0,"nm",EP111/EK111-1)</f>
        <v>0.20668366575962627</v>
      </c>
      <c r="EQ112" s="353">
        <f t="shared" ref="EQ112" si="684">+IF(EL111&lt;=0,"nm",EQ111/EL111-1)</f>
        <v>0.2035528337904462</v>
      </c>
      <c r="ER112" s="352">
        <f>+IF(EM111&lt;=0,"nm",ER111/EM111-1)</f>
        <v>0.2070045841607342</v>
      </c>
      <c r="ES112" s="244"/>
      <c r="ET112" s="133"/>
    </row>
    <row r="113" spans="1:150" s="253" customFormat="1" ht="12" customHeight="1">
      <c r="A113" s="792"/>
      <c r="B113" s="792"/>
      <c r="C113" s="349" t="s">
        <v>130</v>
      </c>
      <c r="D113" s="350"/>
      <c r="E113" s="350"/>
      <c r="F113" s="350"/>
      <c r="G113" s="350"/>
      <c r="H113" s="350"/>
      <c r="I113" s="351"/>
      <c r="J113" s="351"/>
      <c r="K113" s="351"/>
      <c r="L113" s="351"/>
      <c r="M113" s="350"/>
      <c r="N113" s="634"/>
      <c r="O113" s="634"/>
      <c r="P113" s="634"/>
      <c r="Q113" s="634"/>
      <c r="R113" s="350"/>
      <c r="S113" s="634"/>
      <c r="T113" s="634"/>
      <c r="U113" s="634"/>
      <c r="V113" s="634"/>
      <c r="W113" s="350"/>
      <c r="X113" s="634"/>
      <c r="Y113" s="634"/>
      <c r="Z113" s="634"/>
      <c r="AA113" s="634"/>
      <c r="AB113" s="350"/>
      <c r="AC113" s="634"/>
      <c r="AD113" s="634"/>
      <c r="AE113" s="634"/>
      <c r="AF113" s="634"/>
      <c r="AG113" s="350"/>
      <c r="AH113" s="634"/>
      <c r="AI113" s="634"/>
      <c r="AJ113" s="634"/>
      <c r="AK113" s="634"/>
      <c r="AL113" s="350"/>
      <c r="AM113" s="634"/>
      <c r="AN113" s="634"/>
      <c r="AO113" s="634"/>
      <c r="AP113" s="634"/>
      <c r="AQ113" s="350"/>
      <c r="AR113" s="634"/>
      <c r="AS113" s="634"/>
      <c r="AT113" s="634"/>
      <c r="AU113" s="634"/>
      <c r="AV113" s="350"/>
      <c r="AW113" s="634"/>
      <c r="AX113" s="634"/>
      <c r="AY113" s="634"/>
      <c r="AZ113" s="634"/>
      <c r="BA113" s="350"/>
      <c r="BB113" s="634"/>
      <c r="BC113" s="634"/>
      <c r="BD113" s="634"/>
      <c r="BE113" s="634"/>
      <c r="BF113" s="350"/>
      <c r="BG113" s="634"/>
      <c r="BH113" s="634"/>
      <c r="BI113" s="634"/>
      <c r="BJ113" s="634"/>
      <c r="BK113" s="350"/>
      <c r="BL113" s="634"/>
      <c r="BM113" s="634"/>
      <c r="BN113" s="634"/>
      <c r="BO113" s="634"/>
      <c r="BP113" s="350"/>
      <c r="BQ113" s="353"/>
      <c r="BR113" s="353">
        <f>IFERROR((BR111-BQ111)/ABS(BQ111),"")</f>
        <v>-0.2857142857142852</v>
      </c>
      <c r="BS113" s="353">
        <f>IFERROR((BS111-BR111)/ABS(BR111),"")</f>
        <v>-7.513227513227444E-2</v>
      </c>
      <c r="BT113" s="353">
        <f>IFERROR((BT111-BS111)/ABS(BS111),"")</f>
        <v>0.35531496062992091</v>
      </c>
      <c r="BU113" s="352"/>
      <c r="BV113" s="353">
        <f>IFERROR((BV111-BU111)/ABS(BU111),"")</f>
        <v>0.11668158758579594</v>
      </c>
      <c r="BW113" s="353">
        <f>IFERROR((BW111-BV111)/ABS(BV111),"")</f>
        <v>0.45760135135134944</v>
      </c>
      <c r="BX113" s="353">
        <f>IFERROR((BX111-BW111)/ABS(BW111),"")</f>
        <v>0.31298660853316723</v>
      </c>
      <c r="BY113" s="353">
        <f>IFERROR((BY111-BX111)/ABS(BX111),"")</f>
        <v>0.63417951042610221</v>
      </c>
      <c r="BZ113" s="352"/>
      <c r="CA113" s="353">
        <f>IFERROR((CA111-BZ111)/ABS(BZ111),"")</f>
        <v>0.64476284584980426</v>
      </c>
      <c r="CB113" s="353">
        <f>IFERROR((CB111-CA111)/ABS(CA111),"")</f>
        <v>0.31896152063050348</v>
      </c>
      <c r="CC113" s="353">
        <f>IFERROR((CC111-CB111)/ABS(CB111),"")</f>
        <v>1.5830496936691678</v>
      </c>
      <c r="CD113" s="353">
        <f>IFERROR((CD111-CC111)/ABS(CC111),"")</f>
        <v>5.7624051371861533</v>
      </c>
      <c r="CE113" s="352"/>
      <c r="CF113" s="353">
        <f>IFERROR((CF111-CD111)/ABS(CD111),"")</f>
        <v>-1.0188190607734828</v>
      </c>
      <c r="CG113" s="353">
        <f>IFERROR((CG111-CF111)/ABS(CF111),"")</f>
        <v>-18.577981651374017</v>
      </c>
      <c r="CH113" s="353">
        <f>IFERROR((CH111-CG111)/ABS(CG111),"")</f>
        <v>0.43791002811621149</v>
      </c>
      <c r="CI113" s="353">
        <f>IFERROR((CI111-CH111)/ABS(CH111),"")</f>
        <v>9.9266360983742192</v>
      </c>
      <c r="CJ113" s="352"/>
      <c r="CK113" s="353">
        <f>IFERROR((CK111-CI111)/ABS(CI111),"")</f>
        <v>-0.98571095026850575</v>
      </c>
      <c r="CL113" s="353">
        <f>IFERROR((CL111-CK111)/ABS(CK111),"")</f>
        <v>19.905228758173489</v>
      </c>
      <c r="CM113" s="353">
        <f>IFERROR((CM111-CL111)/ABS(CL111),"")</f>
        <v>0.64889792090042964</v>
      </c>
      <c r="CN113" s="353">
        <f>IFERROR((CN111-CM111)/ABS(CM111),"")</f>
        <v>1.702313234736436</v>
      </c>
      <c r="CO113" s="352"/>
      <c r="CP113" s="353">
        <f>IFERROR((CP111-CN111)/ABS(CN111),"")</f>
        <v>-1.2551220881279816</v>
      </c>
      <c r="CQ113" s="353">
        <f>IFERROR((CQ111-CP111)/ABS(CP111),"")</f>
        <v>16.632013201320142</v>
      </c>
      <c r="CR113" s="353">
        <f>IFERROR((CR111-CQ111)/ABS(CQ111),"")</f>
        <v>0.15187022766459021</v>
      </c>
      <c r="CS113" s="353">
        <f>IFERROR((CS111-CR111)/ABS(CR111),"")</f>
        <v>0.52747059722009992</v>
      </c>
      <c r="CT113" s="352"/>
      <c r="CU113" s="353">
        <f>IFERROR((CU111-CS111)/ABS(CS111),"")</f>
        <v>5.4173103941361975E-2</v>
      </c>
      <c r="CV113" s="353">
        <f>IFERROR((CV111-CU111)/ABS(CU111),"")</f>
        <v>0.12313011639047261</v>
      </c>
      <c r="CW113" s="353">
        <f>IFERROR((CW111-CV111)/ABS(CV111),"")</f>
        <v>-0.4081071608045504</v>
      </c>
      <c r="CX113" s="354">
        <f>IFERROR((CX111-CW111)/ABS(CW111),"")</f>
        <v>-7.1186912287208873E-2</v>
      </c>
      <c r="CY113" s="352"/>
      <c r="CZ113" s="353">
        <f>IFERROR((CZ111-CX111)/ABS(CX111),"")</f>
        <v>-0.7548552321593307</v>
      </c>
      <c r="DA113" s="353">
        <f>IFERROR((DA111-CY111)/ABS(CY111),"")</f>
        <v>-1.0581775851601545</v>
      </c>
      <c r="DB113" s="353">
        <f>IFERROR((DB111-CZ111)/ABS(CZ111),"")</f>
        <v>-2.4124208811180008</v>
      </c>
      <c r="DC113" s="353">
        <f>IFERROR((DC111-DA111)/ABS(DA111),"")</f>
        <v>2.4601517799430264</v>
      </c>
      <c r="DD113" s="352"/>
      <c r="DE113" s="353">
        <f>IFERROR((DE111-DC111)/ABS(DC111),"")</f>
        <v>-1.409889821615949</v>
      </c>
      <c r="DF113" s="353">
        <f>IFERROR((DF111-DD111)/ABS(DD111),"")</f>
        <v>50.328602079549242</v>
      </c>
      <c r="DG113" s="353">
        <f>IFERROR((DG111-DE111)/ABS(DE111),"")</f>
        <v>12</v>
      </c>
      <c r="DH113" s="353">
        <f>IFERROR((DH111-DG111)/ABS(DG111),"")</f>
        <v>0.44</v>
      </c>
      <c r="DI113" s="352"/>
      <c r="DJ113" s="353">
        <f>IFERROR((DJ111-DI111)/ABS(DI111),"")</f>
        <v>-0.78996865203761757</v>
      </c>
      <c r="DK113" s="353">
        <f>IFERROR((DK111-DJ111)/ABS(DJ111),"")</f>
        <v>0.48756218905472637</v>
      </c>
      <c r="DL113" s="353">
        <f>IFERROR((DL111-DK111)/ABS(DK111),"")</f>
        <v>0.34448160535117056</v>
      </c>
      <c r="DM113" s="353">
        <f ca="1">IFERROR((DM111-DL111)/ABS(DL111),"")</f>
        <v>0.45273631840796019</v>
      </c>
      <c r="DN113" s="352"/>
      <c r="DO113" s="353">
        <f ca="1">IFERROR((DO111-DN111)/ABS(DN111),"")</f>
        <v>-0.77860026917900405</v>
      </c>
      <c r="DP113" s="353">
        <f ca="1">IFERROR((DP111-DO111)/ABS(DO111),"")</f>
        <v>0.28875379939209728</v>
      </c>
      <c r="DQ113" s="353">
        <f>IFERROR((DQ111-DP111)/ABS(DP111),"")</f>
        <v>9.6698113207547176E-2</v>
      </c>
      <c r="DR113" s="354">
        <f>IFERROR((DR111-DQ111)/ABS(DQ111),"")</f>
        <v>0.63440860215053763</v>
      </c>
      <c r="DS113" s="352"/>
      <c r="DT113" s="353">
        <f ca="1">IFERROR((DT111-DS111)/ABS(DS111),"")</f>
        <v>-0.73559150657229522</v>
      </c>
      <c r="DU113" s="353">
        <f>IFERROR((DU111-DT111)/ABS(DT111),"")</f>
        <v>0.19120458891013384</v>
      </c>
      <c r="DV113" s="353">
        <f>IFERROR((DV111-DU111)/ABS(DU111),"")</f>
        <v>0.13674184468109715</v>
      </c>
      <c r="DW113" s="353">
        <f>IFERROR((DW111-DV111)/ABS(DV111),"")</f>
        <v>0.46709352531578668</v>
      </c>
      <c r="DX113" s="352"/>
      <c r="DY113" s="353">
        <f>IFERROR((DY111-DW111)/ABS(DW111),"")</f>
        <v>-0.33212673406091109</v>
      </c>
      <c r="DZ113" s="353">
        <f>IFERROR((DZ111-DY111)/ABS(DY111),"")</f>
        <v>0.21312453850375185</v>
      </c>
      <c r="EA113" s="353">
        <f>IFERROR((EA111-DZ111)/ABS(DZ111),"")</f>
        <v>0.1198816821847447</v>
      </c>
      <c r="EB113" s="353">
        <f>IFERROR((EB111-EA111)/ABS(EA111),"")</f>
        <v>0.45546294389661096</v>
      </c>
      <c r="EC113" s="352"/>
      <c r="ED113" s="353">
        <f>IFERROR((ED111-EB111)/ABS(EB111),"")</f>
        <v>-0.3898256862595828</v>
      </c>
      <c r="EE113" s="353">
        <f>IFERROR((EE111-ED111)/ABS(ED111),"")</f>
        <v>0.22765770991737128</v>
      </c>
      <c r="EF113" s="353">
        <f>IFERROR((EF111-EE111)/ABS(EE111),"")</f>
        <v>6.8405902485347711E-2</v>
      </c>
      <c r="EG113" s="353">
        <f>IFERROR((EG111-EF111)/ABS(EF111),"")</f>
        <v>0.43868314285473348</v>
      </c>
      <c r="EH113" s="352"/>
      <c r="EI113" s="353">
        <f>IFERROR((EI111-EG111)/ABS(EG111),"")</f>
        <v>-0.35424534616269554</v>
      </c>
      <c r="EJ113" s="353">
        <f>IFERROR((EJ111-EI111)/ABS(EI111),"")</f>
        <v>0.22570874848336378</v>
      </c>
      <c r="EK113" s="353">
        <f>IFERROR((EK111-EJ111)/ABS(EJ111),"")</f>
        <v>6.5944325834490752E-2</v>
      </c>
      <c r="EL113" s="353">
        <f>IFERROR((EL111-EK111)/ABS(EK111),"")</f>
        <v>0.43684428848412632</v>
      </c>
      <c r="EM113" s="352"/>
      <c r="EN113" s="353">
        <f>IFERROR((EN111-EL111)/ABS(EL111),"")</f>
        <v>-0.35459262063255248</v>
      </c>
      <c r="EO113" s="353">
        <f>IFERROR((EO111-EN111)/ABS(EN111),"")</f>
        <v>0.22292967305378431</v>
      </c>
      <c r="EP113" s="353">
        <f>IFERROR((EP111-EO111)/ABS(EO111),"")</f>
        <v>6.4016391621151442E-2</v>
      </c>
      <c r="EQ113" s="353">
        <f>IFERROR((EQ111-EP111)/ABS(EP111),"")</f>
        <v>0.43311628738427899</v>
      </c>
      <c r="ER113" s="352"/>
      <c r="ES113" s="244"/>
      <c r="ET113" s="133"/>
    </row>
    <row r="114" spans="1:150" s="253" customFormat="1" ht="12" customHeight="1">
      <c r="A114" s="792"/>
      <c r="B114" s="792"/>
      <c r="C114" s="349" t="s">
        <v>58</v>
      </c>
      <c r="D114" s="635"/>
      <c r="E114" s="635"/>
      <c r="F114" s="635"/>
      <c r="G114" s="635"/>
      <c r="H114" s="635"/>
      <c r="I114" s="634"/>
      <c r="J114" s="634"/>
      <c r="K114" s="634"/>
      <c r="L114" s="634"/>
      <c r="M114" s="635"/>
      <c r="N114" s="634"/>
      <c r="O114" s="634"/>
      <c r="P114" s="634"/>
      <c r="Q114" s="634"/>
      <c r="R114" s="635"/>
      <c r="S114" s="634"/>
      <c r="T114" s="634"/>
      <c r="U114" s="634"/>
      <c r="V114" s="634"/>
      <c r="W114" s="635"/>
      <c r="X114" s="634"/>
      <c r="Y114" s="634"/>
      <c r="Z114" s="634"/>
      <c r="AA114" s="634"/>
      <c r="AB114" s="635"/>
      <c r="AC114" s="634"/>
      <c r="AD114" s="634"/>
      <c r="AE114" s="634"/>
      <c r="AF114" s="634"/>
      <c r="AG114" s="635"/>
      <c r="AH114" s="634"/>
      <c r="AI114" s="634"/>
      <c r="AJ114" s="634"/>
      <c r="AK114" s="634"/>
      <c r="AL114" s="635"/>
      <c r="AM114" s="634"/>
      <c r="AN114" s="634"/>
      <c r="AO114" s="634"/>
      <c r="AP114" s="634"/>
      <c r="AQ114" s="635"/>
      <c r="AR114" s="634"/>
      <c r="AS114" s="634"/>
      <c r="AT114" s="634"/>
      <c r="AU114" s="634"/>
      <c r="AV114" s="635"/>
      <c r="AW114" s="634"/>
      <c r="AX114" s="634"/>
      <c r="AY114" s="634"/>
      <c r="AZ114" s="634"/>
      <c r="BA114" s="635"/>
      <c r="BB114" s="634"/>
      <c r="BC114" s="634"/>
      <c r="BD114" s="634"/>
      <c r="BE114" s="634"/>
      <c r="BF114" s="635"/>
      <c r="BG114" s="634"/>
      <c r="BH114" s="634"/>
      <c r="BI114" s="634"/>
      <c r="BJ114" s="634"/>
      <c r="BK114" s="635"/>
      <c r="BL114" s="634"/>
      <c r="BM114" s="634"/>
      <c r="BN114" s="634"/>
      <c r="BO114" s="634"/>
      <c r="BP114" s="635"/>
      <c r="BQ114" s="353">
        <f t="shared" ref="BQ114:CV114" si="685">BQ111/BQ10</f>
        <v>-3.9359537324622454E-2</v>
      </c>
      <c r="BR114" s="353">
        <f t="shared" si="685"/>
        <v>-4.2069180430040473E-2</v>
      </c>
      <c r="BS114" s="353">
        <f t="shared" si="685"/>
        <v>-3.8495055507141988E-2</v>
      </c>
      <c r="BT114" s="353">
        <f t="shared" si="685"/>
        <v>-1.8668148718167937E-2</v>
      </c>
      <c r="BU114" s="352">
        <f t="shared" si="685"/>
        <v>-3.2655567087164307E-2</v>
      </c>
      <c r="BV114" s="353">
        <f t="shared" si="685"/>
        <v>-8.1405901927889615E-2</v>
      </c>
      <c r="BW114" s="353">
        <f t="shared" si="685"/>
        <v>-3.7058409408288875E-2</v>
      </c>
      <c r="BX114" s="353">
        <f t="shared" si="685"/>
        <v>-2.215348771817072E-2</v>
      </c>
      <c r="BY114" s="353">
        <f t="shared" si="685"/>
        <v>-6.1894572145143158E-3</v>
      </c>
      <c r="BZ114" s="352">
        <f t="shared" si="685"/>
        <v>-3.1192047877122289E-2</v>
      </c>
      <c r="CA114" s="353">
        <f t="shared" si="685"/>
        <v>-3.3867434977507938E-2</v>
      </c>
      <c r="CB114" s="353">
        <f t="shared" si="685"/>
        <v>-1.9372918795951318E-2</v>
      </c>
      <c r="CC114" s="353">
        <f t="shared" si="685"/>
        <v>9.9909014557671549E-3</v>
      </c>
      <c r="CD114" s="353">
        <f t="shared" si="685"/>
        <v>5.1989551823493907E-2</v>
      </c>
      <c r="CE114" s="352">
        <f t="shared" si="685"/>
        <v>8.9781138980312061E-3</v>
      </c>
      <c r="CF114" s="353">
        <f t="shared" si="685"/>
        <v>-1.0170756741626616E-3</v>
      </c>
      <c r="CG114" s="353">
        <f t="shared" si="685"/>
        <v>-1.7423039397786694E-2</v>
      </c>
      <c r="CH114" s="353">
        <f t="shared" si="685"/>
        <v>-8.8830795663251017E-3</v>
      </c>
      <c r="CI114" s="353">
        <f t="shared" si="685"/>
        <v>6.2277890549115485E-2</v>
      </c>
      <c r="CJ114" s="352">
        <f t="shared" si="685"/>
        <v>1.3538583098294846E-2</v>
      </c>
      <c r="CK114" s="353">
        <f t="shared" si="685"/>
        <v>9.5481181470393937E-4</v>
      </c>
      <c r="CL114" s="353">
        <f t="shared" si="685"/>
        <v>1.7672295906668613E-2</v>
      </c>
      <c r="CM114" s="353">
        <f t="shared" si="685"/>
        <v>2.7007927241442992E-2</v>
      </c>
      <c r="CN114" s="353">
        <f t="shared" si="685"/>
        <v>5.6425686911077771E-2</v>
      </c>
      <c r="CO114" s="352">
        <f t="shared" si="685"/>
        <v>2.8992385498928214E-2</v>
      </c>
      <c r="CP114" s="353">
        <f t="shared" si="685"/>
        <v>-1.547230750572871E-2</v>
      </c>
      <c r="CQ114" s="353">
        <f t="shared" si="685"/>
        <v>0.15913408302197418</v>
      </c>
      <c r="CR114" s="353">
        <f t="shared" si="685"/>
        <v>0.17062698314449348</v>
      </c>
      <c r="CS114" s="353">
        <f t="shared" si="685"/>
        <v>0.20455968024349927</v>
      </c>
      <c r="CT114" s="352">
        <f t="shared" si="685"/>
        <v>0.14929248801242265</v>
      </c>
      <c r="CU114" s="353">
        <f t="shared" si="685"/>
        <v>0.21326317684674095</v>
      </c>
      <c r="CV114" s="353">
        <f t="shared" si="685"/>
        <v>0.21153607367936783</v>
      </c>
      <c r="CW114" s="353">
        <f t="shared" ref="CW114:EB114" si="686">CW111/CW10</f>
        <v>0.124728139961201</v>
      </c>
      <c r="CX114" s="353">
        <f t="shared" si="686"/>
        <v>9.4334808669994302E-2</v>
      </c>
      <c r="CY114" s="352">
        <f t="shared" si="686"/>
        <v>0.15568380712667526</v>
      </c>
      <c r="CZ114" s="353">
        <f t="shared" si="686"/>
        <v>2.6514946955982149E-2</v>
      </c>
      <c r="DA114" s="353">
        <f t="shared" si="686"/>
        <v>-3.225402934065752E-2</v>
      </c>
      <c r="DB114" s="353">
        <f t="shared" si="686"/>
        <v>-3.2993705167618223E-2</v>
      </c>
      <c r="DC114" s="353">
        <f t="shared" si="686"/>
        <v>3.515433625094963E-2</v>
      </c>
      <c r="DD114" s="352">
        <f t="shared" si="686"/>
        <v>1.0819905626279884E-3</v>
      </c>
      <c r="DE114" s="353">
        <f t="shared" si="686"/>
        <v>-1.6578249336870028E-2</v>
      </c>
      <c r="DF114" s="353">
        <f t="shared" si="686"/>
        <v>0.18358913813459268</v>
      </c>
      <c r="DG114" s="353">
        <f t="shared" si="686"/>
        <v>0.16044340723453909</v>
      </c>
      <c r="DH114" s="353">
        <f t="shared" si="686"/>
        <v>0.18470149253731344</v>
      </c>
      <c r="DI114" s="352">
        <f t="shared" si="686"/>
        <v>0.13555240793201134</v>
      </c>
      <c r="DJ114" s="353">
        <f t="shared" si="686"/>
        <v>0.10800644814615798</v>
      </c>
      <c r="DK114" s="353">
        <f t="shared" si="686"/>
        <v>0.14621026894865527</v>
      </c>
      <c r="DL114" s="353">
        <f t="shared" si="686"/>
        <v>0.18593894542090658</v>
      </c>
      <c r="DM114" s="353">
        <f ca="1">DM111/DM10</f>
        <v>0.20768136557610242</v>
      </c>
      <c r="DN114" s="352">
        <f ca="1">DN111/DN10</f>
        <v>0.16734234234234235</v>
      </c>
      <c r="DO114" s="353">
        <f ca="1">DO111/DO10</f>
        <v>0.13940677966101694</v>
      </c>
      <c r="DP114" s="353">
        <f t="shared" si="686"/>
        <v>0.15820895522388059</v>
      </c>
      <c r="DQ114" s="353">
        <f t="shared" ref="DQ114" si="687">DQ111/DQ10</f>
        <v>0.16350210970464135</v>
      </c>
      <c r="DR114" s="354">
        <f>DR111/DR10</f>
        <v>0.20697167755991286</v>
      </c>
      <c r="DS114" s="352">
        <f ca="1">DS111/DS10</f>
        <v>0.17116649359640013</v>
      </c>
      <c r="DT114" s="353">
        <f>DT111/DT10</f>
        <v>0.16498422712933755</v>
      </c>
      <c r="DU114" s="353">
        <f t="shared" ref="DU114" si="688">DU111/DU10</f>
        <v>0.17387663968741279</v>
      </c>
      <c r="DV114" s="353">
        <f t="shared" si="686"/>
        <v>0.19094223823320047</v>
      </c>
      <c r="DW114" s="353">
        <f t="shared" si="686"/>
        <v>0.2187438494038087</v>
      </c>
      <c r="DX114" s="352">
        <f>DX111/DX10</f>
        <v>0.19019400425379376</v>
      </c>
      <c r="DY114" s="353">
        <f>DY111/DY10</f>
        <v>0.1719670062293277</v>
      </c>
      <c r="DZ114" s="353">
        <f t="shared" si="686"/>
        <v>0.18534649579145995</v>
      </c>
      <c r="EA114" s="353">
        <f t="shared" si="686"/>
        <v>0.20309744932632096</v>
      </c>
      <c r="EB114" s="353">
        <f t="shared" si="686"/>
        <v>0.23193782415376898</v>
      </c>
      <c r="EC114" s="352">
        <f>EC111/EC10</f>
        <v>0.20123569343984954</v>
      </c>
      <c r="ED114" s="353">
        <f>ED111/ED10</f>
        <v>0.17166120028356641</v>
      </c>
      <c r="EE114" s="353">
        <f t="shared" ref="EE114:EG114" si="689">EE111/EE10</f>
        <v>0.18738343229346671</v>
      </c>
      <c r="EF114" s="353">
        <f t="shared" si="689"/>
        <v>0.19613739321929127</v>
      </c>
      <c r="EG114" s="353">
        <f t="shared" si="689"/>
        <v>0.22137606058123549</v>
      </c>
      <c r="EH114" s="352">
        <f>EH111/EH10</f>
        <v>0.1966883526005809</v>
      </c>
      <c r="EI114" s="353">
        <f>EI111/EI10</f>
        <v>0.17650771828709413</v>
      </c>
      <c r="EJ114" s="353">
        <f t="shared" ref="EJ114:EQ114" si="690">EJ111/EJ10</f>
        <v>0.19233745680382183</v>
      </c>
      <c r="EK114" s="353">
        <f t="shared" si="690"/>
        <v>0.20087080395547097</v>
      </c>
      <c r="EL114" s="353">
        <f t="shared" si="690"/>
        <v>0.22631259188967273</v>
      </c>
      <c r="EM114" s="352">
        <f>EM111/EM10</f>
        <v>0.20156512096358584</v>
      </c>
      <c r="EN114" s="353">
        <f>EN111/EN10</f>
        <v>0.18230055136097592</v>
      </c>
      <c r="EO114" s="353">
        <f t="shared" si="690"/>
        <v>0.19819553004648874</v>
      </c>
      <c r="EP114" s="353">
        <f t="shared" si="690"/>
        <v>0.20660127046874596</v>
      </c>
      <c r="EQ114" s="353">
        <f t="shared" si="690"/>
        <v>0.23214478857872647</v>
      </c>
      <c r="ER114" s="352">
        <f>ER111/ER10</f>
        <v>0.20737173990944366</v>
      </c>
      <c r="ES114" s="244"/>
      <c r="ET114" s="133"/>
    </row>
    <row r="115" spans="1:150" s="253" customFormat="1">
      <c r="A115" s="792" t="s">
        <v>403</v>
      </c>
      <c r="B115" s="792"/>
      <c r="C115" s="248" t="s">
        <v>88</v>
      </c>
      <c r="D115" s="292"/>
      <c r="E115" s="292"/>
      <c r="F115" s="292"/>
      <c r="G115" s="292"/>
      <c r="H115" s="292"/>
      <c r="I115" s="293"/>
      <c r="J115" s="293"/>
      <c r="K115" s="293"/>
      <c r="L115" s="293"/>
      <c r="M115" s="292"/>
      <c r="N115" s="293"/>
      <c r="O115" s="293"/>
      <c r="P115" s="293"/>
      <c r="Q115" s="293"/>
      <c r="R115" s="292"/>
      <c r="S115" s="293"/>
      <c r="T115" s="293"/>
      <c r="U115" s="293"/>
      <c r="V115" s="293"/>
      <c r="W115" s="292"/>
      <c r="X115" s="293"/>
      <c r="Y115" s="293"/>
      <c r="Z115" s="293"/>
      <c r="AA115" s="293"/>
      <c r="AB115" s="292"/>
      <c r="AC115" s="293"/>
      <c r="AD115" s="293"/>
      <c r="AE115" s="293"/>
      <c r="AF115" s="293"/>
      <c r="AG115" s="292"/>
      <c r="AH115" s="293"/>
      <c r="AI115" s="293"/>
      <c r="AJ115" s="293"/>
      <c r="AK115" s="293"/>
      <c r="AL115" s="292"/>
      <c r="AM115" s="293"/>
      <c r="AN115" s="293"/>
      <c r="AO115" s="293"/>
      <c r="AP115" s="293"/>
      <c r="AQ115" s="292"/>
      <c r="AR115" s="293"/>
      <c r="AS115" s="293"/>
      <c r="AT115" s="293"/>
      <c r="AU115" s="293"/>
      <c r="AV115" s="292"/>
      <c r="AW115" s="293"/>
      <c r="AX115" s="293"/>
      <c r="AY115" s="293"/>
      <c r="AZ115" s="293"/>
      <c r="BA115" s="292"/>
      <c r="BB115" s="293"/>
      <c r="BC115" s="293"/>
      <c r="BD115" s="293"/>
      <c r="BE115" s="293"/>
      <c r="BF115" s="292"/>
      <c r="BG115" s="293"/>
      <c r="BH115" s="293"/>
      <c r="BI115" s="293"/>
      <c r="BJ115" s="293"/>
      <c r="BK115" s="292"/>
      <c r="BL115" s="293"/>
      <c r="BM115" s="293"/>
      <c r="BN115" s="293"/>
      <c r="BO115" s="293"/>
      <c r="BP115" s="292"/>
      <c r="BQ115" s="295">
        <f>BQ77+BQ100+BQ110</f>
        <v>0</v>
      </c>
      <c r="BR115" s="295">
        <f>BR77+BR100+BR110</f>
        <v>-0.23499999999999832</v>
      </c>
      <c r="BS115" s="295">
        <f>BS77+BS100+BS110</f>
        <v>-0.12299999999999711</v>
      </c>
      <c r="BT115" s="295">
        <f>BT77+BT100+BT110</f>
        <v>0.89200000000000124</v>
      </c>
      <c r="BU115" s="348">
        <f t="shared" ref="BU115" si="691">SUM(BQ115:BT115)</f>
        <v>0.5340000000000058</v>
      </c>
      <c r="BV115" s="295">
        <f>BV77+BV100+BV110</f>
        <v>-2.8619999999999894</v>
      </c>
      <c r="BW115" s="295">
        <f>BW77+BW100+BW110</f>
        <v>-0.43500000000000583</v>
      </c>
      <c r="BX115" s="295">
        <f>BX77+BX100+BX110</f>
        <v>1.4869999999999957</v>
      </c>
      <c r="BY115" s="295">
        <f>BY77+BY100+BY110</f>
        <v>3.6329999999999814</v>
      </c>
      <c r="BZ115" s="348">
        <f t="shared" ref="BZ115" si="692">SUM(BV115:BY115)</f>
        <v>1.8229999999999817</v>
      </c>
      <c r="CA115" s="295">
        <f>CA77+CA100+CA110</f>
        <v>0.22000000000001485</v>
      </c>
      <c r="CB115" s="295">
        <f>CB77+CB100+CB110</f>
        <v>2.4150000000000045</v>
      </c>
      <c r="CC115" s="295">
        <f>CC77+CC100+CC110</f>
        <v>7.4500000000000144</v>
      </c>
      <c r="CD115" s="295">
        <f>CD77+CD100+CD110</f>
        <v>19.34199999999997</v>
      </c>
      <c r="CE115" s="348">
        <f t="shared" ref="CE115" si="693">SUM(CA115:CD115)</f>
        <v>29.427000000000003</v>
      </c>
      <c r="CF115" s="295">
        <f>CF77+CF100+CF110</f>
        <v>7.3639999999999759</v>
      </c>
      <c r="CG115" s="295">
        <f>CG77+CG100+CG110</f>
        <v>3.1579999999999764</v>
      </c>
      <c r="CH115" s="295">
        <f>CH77+CH100+CH110</f>
        <v>2.5559999999999796</v>
      </c>
      <c r="CI115" s="295">
        <f>CI77+CI100+CI110</f>
        <v>25.815999999999946</v>
      </c>
      <c r="CJ115" s="348">
        <f t="shared" ref="CJ115" si="694">SUM(CF115:CI115)</f>
        <v>38.893999999999878</v>
      </c>
      <c r="CK115" s="295">
        <f>CK77+CK100+CK110</f>
        <v>5.4549999999999486</v>
      </c>
      <c r="CL115" s="295">
        <f>CL77+CL100+CL110</f>
        <v>12.183999999999997</v>
      </c>
      <c r="CM115" s="295">
        <f>CM77+CM100+CM110</f>
        <v>17.584000000000042</v>
      </c>
      <c r="CN115" s="295">
        <f>CN77+CN100+CN110</f>
        <v>36.044000000000054</v>
      </c>
      <c r="CO115" s="348">
        <f t="shared" ref="CO115" si="695">SUM(CK115:CN115)</f>
        <v>71.267000000000039</v>
      </c>
      <c r="CP115" s="295">
        <f>CP77+CP100+CP110</f>
        <v>1.0790000000000006</v>
      </c>
      <c r="CQ115" s="295">
        <f>CQ77+CQ100+CQ110</f>
        <v>128.30500000000004</v>
      </c>
      <c r="CR115" s="295">
        <f>CR77+CR100+CR110</f>
        <v>143.83300000000003</v>
      </c>
      <c r="CS115" s="295">
        <f>CS77+CS100+CS110</f>
        <v>212.92499999999995</v>
      </c>
      <c r="CT115" s="348">
        <f t="shared" ref="CT115" si="696">SUM(CP115:CS115)</f>
        <v>486.14200000000005</v>
      </c>
      <c r="CU115" s="295">
        <f>CU77+CU100+CU110</f>
        <v>221.66699999999992</v>
      </c>
      <c r="CV115" s="295">
        <f>CV77+CV100+CV110</f>
        <v>246.64999999999992</v>
      </c>
      <c r="CW115" s="295">
        <f>CW77+CW100+CW110</f>
        <v>147.786</v>
      </c>
      <c r="CX115" s="295">
        <f>CX77+CX100+CX110</f>
        <v>146.04730000000023</v>
      </c>
      <c r="CY115" s="348">
        <f t="shared" ref="CY115" si="697">SUM(CU115:CX115)</f>
        <v>762.15030000000002</v>
      </c>
      <c r="CZ115" s="295">
        <f>CZ77+CZ100+CZ110</f>
        <v>41.888000000000105</v>
      </c>
      <c r="DA115" s="295">
        <f>DA77+DA100+DA110</f>
        <v>-32.69399999999996</v>
      </c>
      <c r="DB115" s="295">
        <f>DB77+DB100+DB110</f>
        <v>-36.609000000000009</v>
      </c>
      <c r="DC115" s="295">
        <f>DC77+DC100+DC110</f>
        <v>70.292000000000087</v>
      </c>
      <c r="DD115" s="348">
        <f t="shared" ref="DD115" si="698">SUM(CZ115:DC115)</f>
        <v>42.877000000000223</v>
      </c>
      <c r="DE115" s="295">
        <f>DE77+DE100+DE110</f>
        <v>-17</v>
      </c>
      <c r="DF115" s="295">
        <f>DF77+DF100+DF110</f>
        <v>319</v>
      </c>
      <c r="DG115" s="295">
        <f>DG77+DG100+DG110</f>
        <v>284</v>
      </c>
      <c r="DH115" s="295">
        <f>DH77+DH100+DH110</f>
        <v>402</v>
      </c>
      <c r="DI115" s="348">
        <f t="shared" ref="DI115" si="699">SUM(DE115:DH115)</f>
        <v>988</v>
      </c>
      <c r="DJ115" s="295">
        <f>DJ77+DJ100+DJ110</f>
        <v>207</v>
      </c>
      <c r="DK115" s="295">
        <f>DK77+DK100+DK110</f>
        <v>305</v>
      </c>
      <c r="DL115" s="295">
        <f>DL77+DL100+DL110</f>
        <v>406</v>
      </c>
      <c r="DM115" s="295">
        <f ca="1">DM77+DM100+DM110</f>
        <v>590</v>
      </c>
      <c r="DN115" s="348">
        <f ca="1">SUM(DJ115:DM115)</f>
        <v>1508</v>
      </c>
      <c r="DO115" s="295">
        <f ca="1">DO77+DO100+DO110</f>
        <v>334</v>
      </c>
      <c r="DP115" s="295">
        <f>DP77+DP100+DP110</f>
        <v>429</v>
      </c>
      <c r="DQ115" s="295">
        <f>DQ77+DQ100+DQ110</f>
        <v>470</v>
      </c>
      <c r="DR115" s="295">
        <f>DR77+DR100+DR110</f>
        <v>763</v>
      </c>
      <c r="DS115" s="348">
        <f ca="1">SUM(DO115:DR115)</f>
        <v>1996</v>
      </c>
      <c r="DT115" s="295">
        <f>DT77+DT100+DT110</f>
        <v>527</v>
      </c>
      <c r="DU115" s="295">
        <f>DU77+DU100+DU110</f>
        <v>628</v>
      </c>
      <c r="DV115" s="295">
        <f>DV77+DV100+DV110</f>
        <v>713.19016923632353</v>
      </c>
      <c r="DW115" s="295">
        <f>DW77+DW100+DW110</f>
        <v>1043.9812119789015</v>
      </c>
      <c r="DX115" s="348">
        <f>SUM(DT115:DW115)</f>
        <v>2912.1713812152248</v>
      </c>
      <c r="DY115" s="295">
        <f>DY77+DY100+DY110</f>
        <v>697.90777529370177</v>
      </c>
      <c r="DZ115" s="295">
        <f>DZ77+DZ100+DZ110</f>
        <v>845.7965496673371</v>
      </c>
      <c r="EA115" s="295">
        <f>EA77+EA100+EA110</f>
        <v>946.71253609877147</v>
      </c>
      <c r="EB115" s="295">
        <f>EB77+EB100+EB110</f>
        <v>1376.083163038558</v>
      </c>
      <c r="EC115" s="348">
        <f>SUM(DY115:EB115)</f>
        <v>3866.5000240983682</v>
      </c>
      <c r="ED115" s="295">
        <f>ED77+ED100+ED110</f>
        <v>841.20990240183312</v>
      </c>
      <c r="EE115" s="295">
        <f>EE77+EE100+EE110</f>
        <v>1031.8071915027801</v>
      </c>
      <c r="EF115" s="295">
        <f>EF77+EF100+EF110</f>
        <v>1102.1152700184587</v>
      </c>
      <c r="EG115" s="295">
        <f>EG77+EG100+EG110</f>
        <v>1583.8399278869306</v>
      </c>
      <c r="EH115" s="348">
        <f>SUM(ED115:EG115)</f>
        <v>4558.9722918100033</v>
      </c>
      <c r="EI115" s="295">
        <f>EI77+EI100+EI110</f>
        <v>1024.1889857509766</v>
      </c>
      <c r="EJ115" s="295">
        <f>EJ77+EJ100+EJ110</f>
        <v>1254.4545649413419</v>
      </c>
      <c r="EK115" s="295">
        <f>EK77+EK100+EK110</f>
        <v>1336.9149482130601</v>
      </c>
      <c r="EL115" s="295">
        <f>EL77+EL100+EL110</f>
        <v>1919.1912303750505</v>
      </c>
      <c r="EM115" s="348">
        <f>SUM(EI115:EL115)</f>
        <v>5534.7497292804292</v>
      </c>
      <c r="EN115" s="295">
        <f>EN77+EN100+EN110</f>
        <v>1240.0785529838788</v>
      </c>
      <c r="EO115" s="295">
        <f>EO77+EO100+EO110</f>
        <v>1515.6371406693697</v>
      </c>
      <c r="EP115" s="295">
        <f>EP77+EP100+EP110</f>
        <v>1612.4066958555377</v>
      </c>
      <c r="EQ115" s="295">
        <f>EQ77+EQ100+EQ110</f>
        <v>2309.0338325685034</v>
      </c>
      <c r="ER115" s="348">
        <f>SUM(EN115:EQ115)</f>
        <v>6677.1562220772894</v>
      </c>
      <c r="ES115" s="911"/>
      <c r="ET115" s="133"/>
    </row>
    <row r="116" spans="1:150" s="253" customFormat="1" ht="12" customHeight="1">
      <c r="A116" s="792"/>
      <c r="B116" s="792"/>
      <c r="C116" s="349" t="s">
        <v>129</v>
      </c>
      <c r="D116" s="350"/>
      <c r="E116" s="350"/>
      <c r="F116" s="350"/>
      <c r="G116" s="350"/>
      <c r="H116" s="350"/>
      <c r="I116" s="351"/>
      <c r="J116" s="351"/>
      <c r="K116" s="351"/>
      <c r="L116" s="351"/>
      <c r="M116" s="350"/>
      <c r="N116" s="634"/>
      <c r="O116" s="634"/>
      <c r="P116" s="634"/>
      <c r="Q116" s="634"/>
      <c r="R116" s="350"/>
      <c r="S116" s="634"/>
      <c r="T116" s="634"/>
      <c r="U116" s="634"/>
      <c r="V116" s="634"/>
      <c r="W116" s="350"/>
      <c r="X116" s="634"/>
      <c r="Y116" s="634"/>
      <c r="Z116" s="634"/>
      <c r="AA116" s="634"/>
      <c r="AB116" s="350"/>
      <c r="AC116" s="634"/>
      <c r="AD116" s="634"/>
      <c r="AE116" s="634"/>
      <c r="AF116" s="634"/>
      <c r="AG116" s="350"/>
      <c r="AH116" s="634"/>
      <c r="AI116" s="634"/>
      <c r="AJ116" s="634"/>
      <c r="AK116" s="634"/>
      <c r="AL116" s="350"/>
      <c r="AM116" s="634"/>
      <c r="AN116" s="634"/>
      <c r="AO116" s="634"/>
      <c r="AP116" s="634"/>
      <c r="AQ116" s="350"/>
      <c r="AR116" s="634"/>
      <c r="AS116" s="634"/>
      <c r="AT116" s="634"/>
      <c r="AU116" s="634"/>
      <c r="AV116" s="350"/>
      <c r="AW116" s="634"/>
      <c r="AX116" s="634"/>
      <c r="AY116" s="634"/>
      <c r="AZ116" s="634"/>
      <c r="BA116" s="350"/>
      <c r="BB116" s="634"/>
      <c r="BC116" s="634"/>
      <c r="BD116" s="634"/>
      <c r="BE116" s="634"/>
      <c r="BF116" s="350"/>
      <c r="BG116" s="634"/>
      <c r="BH116" s="634"/>
      <c r="BI116" s="634"/>
      <c r="BJ116" s="634"/>
      <c r="BK116" s="350"/>
      <c r="BL116" s="634"/>
      <c r="BM116" s="634"/>
      <c r="BN116" s="634"/>
      <c r="BO116" s="634"/>
      <c r="BP116" s="350"/>
      <c r="BQ116" s="353"/>
      <c r="BR116" s="353"/>
      <c r="BS116" s="353"/>
      <c r="BT116" s="353"/>
      <c r="BU116" s="352"/>
      <c r="BV116" s="353" t="str">
        <f t="shared" ref="BV116:DA116" si="700">+IF(BQ115&lt;=0,"nm",BV115/BQ115-1)</f>
        <v>nm</v>
      </c>
      <c r="BW116" s="353" t="str">
        <f t="shared" si="700"/>
        <v>nm</v>
      </c>
      <c r="BX116" s="353" t="str">
        <f t="shared" si="700"/>
        <v>nm</v>
      </c>
      <c r="BY116" s="353">
        <f t="shared" si="700"/>
        <v>3.0728699551569241</v>
      </c>
      <c r="BZ116" s="352">
        <f t="shared" si="700"/>
        <v>2.4138576779025502</v>
      </c>
      <c r="CA116" s="353" t="str">
        <f t="shared" si="700"/>
        <v>nm</v>
      </c>
      <c r="CB116" s="353" t="str">
        <f t="shared" si="700"/>
        <v>nm</v>
      </c>
      <c r="CC116" s="353">
        <f t="shared" si="700"/>
        <v>4.0100874243443414</v>
      </c>
      <c r="CD116" s="353">
        <f t="shared" si="700"/>
        <v>4.323974676575852</v>
      </c>
      <c r="CE116" s="352">
        <f t="shared" si="700"/>
        <v>15.142073505211354</v>
      </c>
      <c r="CF116" s="353">
        <f t="shared" si="700"/>
        <v>32.472727272724903</v>
      </c>
      <c r="CG116" s="353">
        <f t="shared" si="700"/>
        <v>0.30766045548653032</v>
      </c>
      <c r="CH116" s="353">
        <f t="shared" si="700"/>
        <v>-0.65691275167785568</v>
      </c>
      <c r="CI116" s="353">
        <f t="shared" si="700"/>
        <v>0.33471202564367619</v>
      </c>
      <c r="CJ116" s="352">
        <f t="shared" si="700"/>
        <v>0.32171135351887292</v>
      </c>
      <c r="CK116" s="353">
        <f t="shared" si="700"/>
        <v>-0.25923411189571344</v>
      </c>
      <c r="CL116" s="353">
        <f t="shared" si="700"/>
        <v>2.8581380620646257</v>
      </c>
      <c r="CM116" s="353">
        <f t="shared" si="700"/>
        <v>5.8794992175274583</v>
      </c>
      <c r="CN116" s="353">
        <f t="shared" si="700"/>
        <v>0.39618841028819829</v>
      </c>
      <c r="CO116" s="352">
        <f t="shared" si="700"/>
        <v>0.83233917827943293</v>
      </c>
      <c r="CP116" s="353">
        <f t="shared" si="700"/>
        <v>-0.80219981668194118</v>
      </c>
      <c r="CQ116" s="353">
        <f t="shared" si="700"/>
        <v>9.5306139198949484</v>
      </c>
      <c r="CR116" s="353">
        <f t="shared" si="700"/>
        <v>7.1797656960873333</v>
      </c>
      <c r="CS116" s="353">
        <f t="shared" si="700"/>
        <v>4.907363222727767</v>
      </c>
      <c r="CT116" s="352">
        <f t="shared" si="700"/>
        <v>5.8214180476237223</v>
      </c>
      <c r="CU116" s="353">
        <f t="shared" si="700"/>
        <v>204.4374420759961</v>
      </c>
      <c r="CV116" s="353">
        <f t="shared" si="700"/>
        <v>0.92237247184443194</v>
      </c>
      <c r="CW116" s="353">
        <f t="shared" si="700"/>
        <v>2.7483261838381789E-2</v>
      </c>
      <c r="CX116" s="354">
        <f t="shared" si="700"/>
        <v>-0.31409040742045191</v>
      </c>
      <c r="CY116" s="352">
        <f t="shared" si="700"/>
        <v>0.56775242624582933</v>
      </c>
      <c r="CZ116" s="353">
        <f t="shared" si="700"/>
        <v>-0.81103186310997977</v>
      </c>
      <c r="DA116" s="353">
        <f t="shared" si="700"/>
        <v>-1.1325521994729373</v>
      </c>
      <c r="DB116" s="353">
        <f t="shared" ref="DB116:EB116" si="701">+IF(CW115&lt;=0,"nm",DB115/CW115-1)</f>
        <v>-1.24771629247696</v>
      </c>
      <c r="DC116" s="353">
        <f t="shared" si="701"/>
        <v>-0.51870387196476775</v>
      </c>
      <c r="DD116" s="352">
        <f t="shared" si="701"/>
        <v>-0.9437420676735282</v>
      </c>
      <c r="DE116" s="353">
        <f t="shared" si="701"/>
        <v>-1.4058441558441548</v>
      </c>
      <c r="DF116" s="353" t="str">
        <f t="shared" si="701"/>
        <v>nm</v>
      </c>
      <c r="DG116" s="353" t="str">
        <f t="shared" si="701"/>
        <v>nm</v>
      </c>
      <c r="DH116" s="353">
        <f t="shared" si="701"/>
        <v>4.719000739771233</v>
      </c>
      <c r="DI116" s="352">
        <f t="shared" si="701"/>
        <v>22.042656902301815</v>
      </c>
      <c r="DJ116" s="353" t="str">
        <f t="shared" si="701"/>
        <v>nm</v>
      </c>
      <c r="DK116" s="353">
        <f t="shared" si="701"/>
        <v>-4.3887147335423204E-2</v>
      </c>
      <c r="DL116" s="353">
        <f t="shared" si="701"/>
        <v>0.42957746478873249</v>
      </c>
      <c r="DM116" s="353">
        <f ca="1">+IF(DH115&lt;=0,"nm",DM115/DH115-1)</f>
        <v>0.46766169154228865</v>
      </c>
      <c r="DN116" s="352">
        <f ca="1">+IF(DI115&lt;=0,"nm",DN115/DI115-1)</f>
        <v>0.52631578947368429</v>
      </c>
      <c r="DO116" s="353">
        <f ca="1">+IF(DJ115&lt;=0,"nm",DO115/DJ115-1)</f>
        <v>0.61352657004830924</v>
      </c>
      <c r="DP116" s="353">
        <f t="shared" si="701"/>
        <v>0.40655737704918038</v>
      </c>
      <c r="DQ116" s="353">
        <f t="shared" si="701"/>
        <v>0.1576354679802956</v>
      </c>
      <c r="DR116" s="354">
        <f ca="1">+IF(DM115&lt;=0,"nm",DR115/DM115-1)</f>
        <v>0.29322033898305078</v>
      </c>
      <c r="DS116" s="352">
        <f ca="1">+IF(DN115&lt;=0,"nm",DS115/DN115-1)</f>
        <v>0.323607427055703</v>
      </c>
      <c r="DT116" s="353">
        <f ca="1">+IF(DO115&lt;=0,"nm",DT115/DO115-1)</f>
        <v>0.57784431137724557</v>
      </c>
      <c r="DU116" s="353">
        <f t="shared" si="701"/>
        <v>0.46386946386946382</v>
      </c>
      <c r="DV116" s="353">
        <f t="shared" si="701"/>
        <v>0.5174258919921777</v>
      </c>
      <c r="DW116" s="353">
        <f t="shared" si="701"/>
        <v>0.36825846917287208</v>
      </c>
      <c r="DX116" s="352">
        <f ca="1">+IF(DS115&lt;=0,"nm",DX115/DS115-1)</f>
        <v>0.45900369800361962</v>
      </c>
      <c r="DY116" s="353">
        <f>+IF(DT115&lt;=0,"nm",DY115/DT115-1)</f>
        <v>0.32430317892543026</v>
      </c>
      <c r="DZ116" s="353">
        <f t="shared" si="701"/>
        <v>0.34680979246391264</v>
      </c>
      <c r="EA116" s="353">
        <f t="shared" si="701"/>
        <v>0.32743351904654161</v>
      </c>
      <c r="EB116" s="353">
        <f t="shared" si="701"/>
        <v>0.31811104189331729</v>
      </c>
      <c r="EC116" s="352">
        <f>+IF(DX115&lt;=0,"nm",EC115/DX115-1)</f>
        <v>0.32770346176704401</v>
      </c>
      <c r="ED116" s="353">
        <f>+IF(DY115&lt;=0,"nm",ED115/DY115-1)</f>
        <v>0.20533103682334719</v>
      </c>
      <c r="EE116" s="353">
        <f t="shared" ref="EE116" si="702">+IF(DZ115&lt;=0,"nm",EE115/DZ115-1)</f>
        <v>0.21992362336853177</v>
      </c>
      <c r="EF116" s="353">
        <f t="shared" ref="EF116" si="703">+IF(EA115&lt;=0,"nm",EF115/EA115-1)</f>
        <v>0.16414986386477293</v>
      </c>
      <c r="EG116" s="353">
        <f t="shared" ref="EG116" si="704">+IF(EB115&lt;=0,"nm",EG115/EB115-1)</f>
        <v>0.15097689618527155</v>
      </c>
      <c r="EH116" s="352">
        <f>+IF(EC115&lt;=0,"nm",EH115/EC115-1)</f>
        <v>0.17909537395466923</v>
      </c>
      <c r="EI116" s="353">
        <f>+IF(ED115&lt;=0,"nm",EI115/ED115-1)</f>
        <v>0.21751893650645249</v>
      </c>
      <c r="EJ116" s="353">
        <f t="shared" ref="EJ116" si="705">+IF(EE115&lt;=0,"nm",EJ115/EE115-1)</f>
        <v>0.21578389380508778</v>
      </c>
      <c r="EK116" s="353">
        <f t="shared" ref="EK116" si="706">+IF(EF115&lt;=0,"nm",EK115/EF115-1)</f>
        <v>0.21304457399512211</v>
      </c>
      <c r="EL116" s="353">
        <f t="shared" ref="EL116" si="707">+IF(EG115&lt;=0,"nm",EL115/EG115-1)</f>
        <v>0.21173307768262073</v>
      </c>
      <c r="EM116" s="352">
        <f>+IF(EH115&lt;=0,"nm",EM115/EH115-1)</f>
        <v>0.21403451809158125</v>
      </c>
      <c r="EN116" s="353">
        <f>+IF(EI115&lt;=0,"nm",EN115/EI115-1)</f>
        <v>0.2107907527189461</v>
      </c>
      <c r="EO116" s="353">
        <f t="shared" ref="EO116" si="708">+IF(EJ115&lt;=0,"nm",EO115/EJ115-1)</f>
        <v>0.2082040936574221</v>
      </c>
      <c r="EP116" s="353">
        <f t="shared" ref="EP116" si="709">+IF(EK115&lt;=0,"nm",EP115/EK115-1)</f>
        <v>0.20606527588812118</v>
      </c>
      <c r="EQ116" s="353">
        <f t="shared" ref="EQ116" si="710">+IF(EL115&lt;=0,"nm",EQ115/EL115-1)</f>
        <v>0.20312858667933242</v>
      </c>
      <c r="ER116" s="352">
        <f>+IF(EM115&lt;=0,"nm",ER115/EM115-1)</f>
        <v>0.20640616986766336</v>
      </c>
      <c r="ES116" s="244"/>
      <c r="ET116" s="133"/>
    </row>
    <row r="117" spans="1:150" s="253" customFormat="1" ht="12" customHeight="1">
      <c r="A117" s="792"/>
      <c r="B117" s="792"/>
      <c r="C117" s="349" t="s">
        <v>130</v>
      </c>
      <c r="D117" s="350"/>
      <c r="E117" s="350"/>
      <c r="F117" s="350"/>
      <c r="G117" s="350"/>
      <c r="H117" s="350"/>
      <c r="I117" s="351"/>
      <c r="J117" s="351"/>
      <c r="K117" s="351"/>
      <c r="L117" s="351"/>
      <c r="M117" s="350"/>
      <c r="N117" s="634"/>
      <c r="O117" s="634"/>
      <c r="P117" s="634"/>
      <c r="Q117" s="634"/>
      <c r="R117" s="350"/>
      <c r="S117" s="634"/>
      <c r="T117" s="634"/>
      <c r="U117" s="634"/>
      <c r="V117" s="634"/>
      <c r="W117" s="350"/>
      <c r="X117" s="634"/>
      <c r="Y117" s="634"/>
      <c r="Z117" s="634"/>
      <c r="AA117" s="634"/>
      <c r="AB117" s="350"/>
      <c r="AC117" s="634"/>
      <c r="AD117" s="634"/>
      <c r="AE117" s="634"/>
      <c r="AF117" s="634"/>
      <c r="AG117" s="350"/>
      <c r="AH117" s="634"/>
      <c r="AI117" s="634"/>
      <c r="AJ117" s="634"/>
      <c r="AK117" s="634"/>
      <c r="AL117" s="350"/>
      <c r="AM117" s="634"/>
      <c r="AN117" s="634"/>
      <c r="AO117" s="634"/>
      <c r="AP117" s="634"/>
      <c r="AQ117" s="350"/>
      <c r="AR117" s="634"/>
      <c r="AS117" s="634"/>
      <c r="AT117" s="634"/>
      <c r="AU117" s="634"/>
      <c r="AV117" s="350"/>
      <c r="AW117" s="634"/>
      <c r="AX117" s="634"/>
      <c r="AY117" s="634"/>
      <c r="AZ117" s="634"/>
      <c r="BA117" s="350"/>
      <c r="BB117" s="634"/>
      <c r="BC117" s="634"/>
      <c r="BD117" s="634"/>
      <c r="BE117" s="634"/>
      <c r="BF117" s="350"/>
      <c r="BG117" s="634"/>
      <c r="BH117" s="634"/>
      <c r="BI117" s="634"/>
      <c r="BJ117" s="634"/>
      <c r="BK117" s="350"/>
      <c r="BL117" s="634"/>
      <c r="BM117" s="634"/>
      <c r="BN117" s="634"/>
      <c r="BO117" s="634"/>
      <c r="BP117" s="350"/>
      <c r="BQ117" s="353"/>
      <c r="BR117" s="353"/>
      <c r="BS117" s="353">
        <f>(BS115-BR115)/ABS(BR115)</f>
        <v>0.47659574468085963</v>
      </c>
      <c r="BT117" s="353">
        <f>(BT115-BS115)/ABS(BS115)</f>
        <v>8.2520325203253844</v>
      </c>
      <c r="BU117" s="352"/>
      <c r="BV117" s="353">
        <f>(BV115-BU115)/ABS(BU115)</f>
        <v>-6.3595505617976755</v>
      </c>
      <c r="BW117" s="353">
        <f>(BW115-BV115)/ABS(BV115)</f>
        <v>0.84800838574423221</v>
      </c>
      <c r="BX117" s="353">
        <f>(BX115-BW115)/ABS(BW115)</f>
        <v>4.418390804597645</v>
      </c>
      <c r="BY117" s="353">
        <f>(BY115-BX115)/ABS(BX115)</f>
        <v>1.4431741761936732</v>
      </c>
      <c r="BZ117" s="352"/>
      <c r="CA117" s="353">
        <f>(CA115-BZ115)/ABS(BZ115)</f>
        <v>-0.87931980252330388</v>
      </c>
      <c r="CB117" s="353">
        <f>(CB115-CA115)/ABS(CA115)</f>
        <v>9.9772727272720072</v>
      </c>
      <c r="CC117" s="353">
        <f>(CC115-CB115)/ABS(CB115)</f>
        <v>2.0848861283643894</v>
      </c>
      <c r="CD117" s="353">
        <f>(CD115-CC115)/ABS(CC115)</f>
        <v>1.5962416107382462</v>
      </c>
      <c r="CE117" s="352"/>
      <c r="CF117" s="353">
        <f>(CF115-CE115)/ABS(CE115)</f>
        <v>-0.74975362762089326</v>
      </c>
      <c r="CG117" s="353">
        <f>(CG115-CF115)/ABS(CF115)</f>
        <v>-0.5711569799022288</v>
      </c>
      <c r="CH117" s="353">
        <f>(CH115-CG115)/ABS(CG115)</f>
        <v>-0.19062697910069704</v>
      </c>
      <c r="CI117" s="353">
        <f>(CI115-CH115)/ABS(CH115)</f>
        <v>9.1001564945227518</v>
      </c>
      <c r="CJ117" s="352"/>
      <c r="CK117" s="353">
        <f>(CK115-CJ115)/ABS(CJ115)</f>
        <v>-0.85974700467938592</v>
      </c>
      <c r="CL117" s="353">
        <f>(CL115-CK115)/ABS(CK115)</f>
        <v>1.233547204399654</v>
      </c>
      <c r="CM117" s="353">
        <f>(CM115-CL115)/ABS(CL115)</f>
        <v>0.44320420223243973</v>
      </c>
      <c r="CN117" s="353">
        <f>(CN115-CM115)/ABS(CM115)</f>
        <v>1.049818016378524</v>
      </c>
      <c r="CO117" s="352"/>
      <c r="CP117" s="353">
        <f>(CP115-CO115)/ABS(CO115)</f>
        <v>-0.98485975276074489</v>
      </c>
      <c r="CQ117" s="353">
        <f>(CQ115-CP115)/ABS(CP115)</f>
        <v>117.9110287303058</v>
      </c>
      <c r="CR117" s="353">
        <f>(CR115-CQ115)/ABS(CQ115)</f>
        <v>0.12102412220879924</v>
      </c>
      <c r="CS117" s="353">
        <f>(CS115-CR115)/ABS(CR115)</f>
        <v>0.4803626427871206</v>
      </c>
      <c r="CT117" s="352"/>
      <c r="CU117" s="353">
        <f>(CU115-CT115)/ABS(CT115)</f>
        <v>-0.54402828803106928</v>
      </c>
      <c r="CV117" s="353">
        <f>(CV115-CU115)/ABS(CU115)</f>
        <v>0.11270509367655092</v>
      </c>
      <c r="CW117" s="353">
        <f>(CW115-CV115)/ABS(CV115)</f>
        <v>-0.40082708291100733</v>
      </c>
      <c r="CX117" s="354">
        <f>(CX115-CW115)/ABS(CW115)</f>
        <v>-1.176498450461997E-2</v>
      </c>
      <c r="CY117" s="352"/>
      <c r="CZ117" s="353">
        <f>(CZ115-CY115)/ABS(CY115)</f>
        <v>-0.9450397119833186</v>
      </c>
      <c r="DA117" s="353">
        <f>(DA115-CZ115)/ABS(CZ115)</f>
        <v>-1.7805099312452224</v>
      </c>
      <c r="DB117" s="353">
        <f>(DB115-DA115)/ABS(DA115)</f>
        <v>-0.11974674252156522</v>
      </c>
      <c r="DC117" s="353">
        <f>(DC115-DB115)/ABS(DB115)</f>
        <v>2.9200742986697281</v>
      </c>
      <c r="DD117" s="352"/>
      <c r="DE117" s="353">
        <f>(DE115-DD115)/ABS(DD115)</f>
        <v>-1.3964829628938571</v>
      </c>
      <c r="DF117" s="353">
        <f>(DF115-DE115)/ABS(DE115)</f>
        <v>19.764705882352942</v>
      </c>
      <c r="DG117" s="353">
        <f>(DG115-DF115)/ABS(DF115)</f>
        <v>-0.109717868338558</v>
      </c>
      <c r="DH117" s="353">
        <f>(DH115-DG115)/ABS(DG115)</f>
        <v>0.41549295774647887</v>
      </c>
      <c r="DI117" s="352"/>
      <c r="DJ117" s="353">
        <f>(DJ115-DI115)/ABS(DI115)</f>
        <v>-0.79048582995951422</v>
      </c>
      <c r="DK117" s="353">
        <f>(DK115-DJ115)/ABS(DJ115)</f>
        <v>0.47342995169082125</v>
      </c>
      <c r="DL117" s="353">
        <f>(DL115-DK115)/ABS(DK115)</f>
        <v>0.33114754098360655</v>
      </c>
      <c r="DM117" s="353">
        <f ca="1">(DM115-DL115)/ABS(DL115)</f>
        <v>0.45320197044334976</v>
      </c>
      <c r="DN117" s="352"/>
      <c r="DO117" s="353">
        <f ca="1">(DO115-DN115)/ABS(DN115)</f>
        <v>-0.77851458885941649</v>
      </c>
      <c r="DP117" s="353">
        <f ca="1">(DP115-DO115)/ABS(DO115)</f>
        <v>0.28443113772455092</v>
      </c>
      <c r="DQ117" s="353">
        <f>(DQ115-DP115)/ABS(DP115)</f>
        <v>9.5571095571095568E-2</v>
      </c>
      <c r="DR117" s="354">
        <f>(DR115-DQ115)/ABS(DQ115)</f>
        <v>0.62340425531914889</v>
      </c>
      <c r="DS117" s="352"/>
      <c r="DT117" s="353">
        <f ca="1">(DT115-DS115)/ABS(DS115)</f>
        <v>-0.73597194388777554</v>
      </c>
      <c r="DU117" s="353">
        <f>(DU115-DT115)/ABS(DT115)</f>
        <v>0.19165085388994307</v>
      </c>
      <c r="DV117" s="353">
        <f>(DV115-DU115)/ABS(DU115)</f>
        <v>0.13565313572662982</v>
      </c>
      <c r="DW117" s="353">
        <f>(DW115-DV115)/ABS(DV115)</f>
        <v>0.46381884805953716</v>
      </c>
      <c r="DX117" s="352"/>
      <c r="DY117" s="353">
        <f>(DY115-DX115)/ABS(DX115)</f>
        <v>-0.76034797272045485</v>
      </c>
      <c r="DZ117" s="353">
        <f>(DZ115-DY115)/ABS(DY115)</f>
        <v>0.21190303304960176</v>
      </c>
      <c r="EA117" s="353">
        <f>(EA115-DZ115)/ABS(DZ115)</f>
        <v>0.11931472937685303</v>
      </c>
      <c r="EB117" s="353">
        <f>(EB115-EA115)/ABS(EA115)</f>
        <v>0.453538545828435</v>
      </c>
      <c r="EC117" s="352"/>
      <c r="ED117" s="353">
        <f>(ED115-EC115)/ABS(EC115)</f>
        <v>-0.78243633850797778</v>
      </c>
      <c r="EE117" s="353">
        <f>(EE115-ED115)/ABS(ED115)</f>
        <v>0.22657518481029673</v>
      </c>
      <c r="EF117" s="353">
        <f>(EF115-EE115)/ABS(EE115)</f>
        <v>6.814071378323891E-2</v>
      </c>
      <c r="EG117" s="353">
        <f>(EG115-EF115)/ABS(EF115)</f>
        <v>0.43709099308677923</v>
      </c>
      <c r="EH117" s="352"/>
      <c r="EI117" s="353">
        <f>(EI115-EH115)/ABS(EH115)</f>
        <v>-0.7753465210589483</v>
      </c>
      <c r="EJ117" s="353">
        <f>(EJ115-EI115)/ABS(EI115)</f>
        <v>0.2248272363733001</v>
      </c>
      <c r="EK117" s="353">
        <f>(EK115-EJ115)/ABS(EJ115)</f>
        <v>6.5734053329842251E-2</v>
      </c>
      <c r="EL117" s="353">
        <f>(EL115-EK115)/ABS(EK115)</f>
        <v>0.43553726655556457</v>
      </c>
      <c r="EM117" s="352"/>
      <c r="EN117" s="353">
        <f>(EN115-EM115)/ABS(EM115)</f>
        <v>-0.77594677019929126</v>
      </c>
      <c r="EO117" s="353">
        <f>(EO115-EN115)/ABS(EN115)</f>
        <v>0.22221059062947379</v>
      </c>
      <c r="EP117" s="353">
        <f>(EP115-EO115)/ABS(EO115)</f>
        <v>6.3847442497635298E-2</v>
      </c>
      <c r="EQ117" s="353">
        <f>(EQ115-EP115)/ABS(EP115)</f>
        <v>0.43204182822084947</v>
      </c>
      <c r="ER117" s="352"/>
      <c r="ES117" s="244"/>
      <c r="ET117" s="133"/>
    </row>
    <row r="118" spans="1:150" s="253" customFormat="1" ht="12" customHeight="1">
      <c r="A118" s="792" t="s">
        <v>404</v>
      </c>
      <c r="B118" s="792"/>
      <c r="C118" s="349" t="s">
        <v>58</v>
      </c>
      <c r="D118" s="635"/>
      <c r="E118" s="635"/>
      <c r="F118" s="635"/>
      <c r="G118" s="635"/>
      <c r="H118" s="635"/>
      <c r="I118" s="634"/>
      <c r="J118" s="634"/>
      <c r="K118" s="634"/>
      <c r="L118" s="634"/>
      <c r="M118" s="635"/>
      <c r="N118" s="634"/>
      <c r="O118" s="634"/>
      <c r="P118" s="634"/>
      <c r="Q118" s="634"/>
      <c r="R118" s="635"/>
      <c r="S118" s="634"/>
      <c r="T118" s="634"/>
      <c r="U118" s="634"/>
      <c r="V118" s="634"/>
      <c r="W118" s="635"/>
      <c r="X118" s="634"/>
      <c r="Y118" s="634"/>
      <c r="Z118" s="634"/>
      <c r="AA118" s="634"/>
      <c r="AB118" s="635"/>
      <c r="AC118" s="634"/>
      <c r="AD118" s="634"/>
      <c r="AE118" s="634"/>
      <c r="AF118" s="634"/>
      <c r="AG118" s="635"/>
      <c r="AH118" s="634"/>
      <c r="AI118" s="634"/>
      <c r="AJ118" s="634"/>
      <c r="AK118" s="634"/>
      <c r="AL118" s="635"/>
      <c r="AM118" s="634"/>
      <c r="AN118" s="634"/>
      <c r="AO118" s="634"/>
      <c r="AP118" s="634"/>
      <c r="AQ118" s="635"/>
      <c r="AR118" s="634"/>
      <c r="AS118" s="634"/>
      <c r="AT118" s="634"/>
      <c r="AU118" s="634"/>
      <c r="AV118" s="635"/>
      <c r="AW118" s="634"/>
      <c r="AX118" s="634"/>
      <c r="AY118" s="634"/>
      <c r="AZ118" s="634"/>
      <c r="BA118" s="635"/>
      <c r="BB118" s="634"/>
      <c r="BC118" s="634"/>
      <c r="BD118" s="634"/>
      <c r="BE118" s="634"/>
      <c r="BF118" s="635"/>
      <c r="BG118" s="634"/>
      <c r="BH118" s="634"/>
      <c r="BI118" s="634"/>
      <c r="BJ118" s="634"/>
      <c r="BK118" s="635"/>
      <c r="BL118" s="634"/>
      <c r="BM118" s="634"/>
      <c r="BN118" s="634"/>
      <c r="BO118" s="634"/>
      <c r="BP118" s="635"/>
      <c r="BQ118" s="353">
        <f t="shared" ref="BQ118:CV118" si="711">BQ115/BQ10</f>
        <v>0</v>
      </c>
      <c r="BR118" s="353">
        <f t="shared" si="711"/>
        <v>-5.2308240217245764E-3</v>
      </c>
      <c r="BS118" s="353">
        <f t="shared" si="711"/>
        <v>-2.3301633008751773E-3</v>
      </c>
      <c r="BT118" s="353">
        <f t="shared" si="711"/>
        <v>1.2711441722599878E-2</v>
      </c>
      <c r="BU118" s="352">
        <f t="shared" si="711"/>
        <v>2.6019207437400702E-3</v>
      </c>
      <c r="BV118" s="353">
        <f t="shared" si="711"/>
        <v>-3.9355353263111424E-2</v>
      </c>
      <c r="BW118" s="353">
        <f t="shared" si="711"/>
        <v>-5.0203700070401269E-3</v>
      </c>
      <c r="BX118" s="353">
        <f t="shared" si="711"/>
        <v>1.4933017333145832E-2</v>
      </c>
      <c r="BY118" s="353">
        <f t="shared" si="711"/>
        <v>2.7864062032626813E-2</v>
      </c>
      <c r="BZ118" s="352">
        <f t="shared" si="711"/>
        <v>4.6824031027662442E-3</v>
      </c>
      <c r="CA118" s="353">
        <f t="shared" si="711"/>
        <v>1.7271292756263971E-3</v>
      </c>
      <c r="CB118" s="353">
        <f t="shared" si="711"/>
        <v>1.5924301869374595E-2</v>
      </c>
      <c r="CC118" s="353">
        <f t="shared" si="711"/>
        <v>4.3451381112355435E-2</v>
      </c>
      <c r="CD118" s="353">
        <f t="shared" si="711"/>
        <v>8.6807830746721354E-2</v>
      </c>
      <c r="CE118" s="352">
        <f t="shared" si="711"/>
        <v>4.3705369342822861E-2</v>
      </c>
      <c r="CF118" s="353">
        <f t="shared" si="711"/>
        <v>3.4356629653820921E-2</v>
      </c>
      <c r="CG118" s="353">
        <f t="shared" si="711"/>
        <v>1.2891742834632073E-2</v>
      </c>
      <c r="CH118" s="353">
        <f t="shared" si="711"/>
        <v>9.4644232478226648E-3</v>
      </c>
      <c r="CI118" s="353">
        <f t="shared" si="711"/>
        <v>7.5076629578144566E-2</v>
      </c>
      <c r="CJ118" s="352">
        <f t="shared" si="711"/>
        <v>3.6240168687204581E-2</v>
      </c>
      <c r="CK118" s="353">
        <f t="shared" si="711"/>
        <v>1.7021236762126888E-2</v>
      </c>
      <c r="CL118" s="353">
        <f t="shared" si="711"/>
        <v>3.3659411181311619E-2</v>
      </c>
      <c r="CM118" s="353">
        <f t="shared" si="711"/>
        <v>4.5023453983080462E-2</v>
      </c>
      <c r="CN118" s="353">
        <f t="shared" si="711"/>
        <v>7.1351650962071522E-2</v>
      </c>
      <c r="CO118" s="352">
        <f t="shared" si="711"/>
        <v>4.5157913612766179E-2</v>
      </c>
      <c r="CP118" s="353">
        <f t="shared" si="711"/>
        <v>2.295739796298307E-3</v>
      </c>
      <c r="CQ118" s="353">
        <f t="shared" si="711"/>
        <v>0.17961309794621902</v>
      </c>
      <c r="CR118" s="353">
        <f t="shared" si="711"/>
        <v>0.18742775978785653</v>
      </c>
      <c r="CS118" s="353">
        <f t="shared" si="711"/>
        <v>0.21777172756877053</v>
      </c>
      <c r="CT118" s="352">
        <f t="shared" si="711"/>
        <v>0.16594759977074516</v>
      </c>
      <c r="CU118" s="353">
        <f t="shared" si="711"/>
        <v>0.22421248433465121</v>
      </c>
      <c r="CV118" s="353">
        <f t="shared" si="711"/>
        <v>0.22033239685737122</v>
      </c>
      <c r="CW118" s="353">
        <f t="shared" ref="CW118:EB118" si="712">CW115/CW10</f>
        <v>0.13151262747610656</v>
      </c>
      <c r="CX118" s="354">
        <f t="shared" si="712"/>
        <v>0.10582953629791962</v>
      </c>
      <c r="CY118" s="352">
        <f t="shared" si="712"/>
        <v>0.16525891094604864</v>
      </c>
      <c r="CZ118" s="353">
        <f t="shared" si="712"/>
        <v>3.4801594851544132E-2</v>
      </c>
      <c r="DA118" s="353">
        <f t="shared" si="712"/>
        <v>-2.5245103906141986E-2</v>
      </c>
      <c r="DB118" s="353">
        <f t="shared" si="712"/>
        <v>-2.6796223100570931E-2</v>
      </c>
      <c r="DC118" s="353">
        <f t="shared" si="712"/>
        <v>4.0514634767703152E-2</v>
      </c>
      <c r="DD118" s="352">
        <f t="shared" si="712"/>
        <v>7.656793093546597E-3</v>
      </c>
      <c r="DE118" s="353">
        <f t="shared" si="712"/>
        <v>-1.1273209549071617E-2</v>
      </c>
      <c r="DF118" s="353">
        <f t="shared" si="712"/>
        <v>0.18831168831168832</v>
      </c>
      <c r="DG118" s="353">
        <f t="shared" si="712"/>
        <v>0.16569428238039674</v>
      </c>
      <c r="DH118" s="353">
        <f t="shared" si="712"/>
        <v>0.1875</v>
      </c>
      <c r="DI118" s="352">
        <f t="shared" si="712"/>
        <v>0.13994334277620396</v>
      </c>
      <c r="DJ118" s="353">
        <f t="shared" si="712"/>
        <v>0.11123052122514777</v>
      </c>
      <c r="DK118" s="353">
        <f t="shared" si="712"/>
        <v>0.1491442542787286</v>
      </c>
      <c r="DL118" s="353">
        <f t="shared" si="712"/>
        <v>0.1877890841813136</v>
      </c>
      <c r="DM118" s="353">
        <f ca="1">DM115/DM10</f>
        <v>0.20981507823613088</v>
      </c>
      <c r="DN118" s="352">
        <f ca="1">DN115/DN10</f>
        <v>0.16981981981981981</v>
      </c>
      <c r="DO118" s="353">
        <f ca="1">DO115/DO10</f>
        <v>0.14152542372881355</v>
      </c>
      <c r="DP118" s="353">
        <f t="shared" si="712"/>
        <v>0.16007462686567164</v>
      </c>
      <c r="DQ118" s="353">
        <f t="shared" ref="DQ118" si="713">DQ115/DQ10</f>
        <v>0.16526019690576652</v>
      </c>
      <c r="DR118" s="354">
        <f>DR115/DR10</f>
        <v>0.20778867102396514</v>
      </c>
      <c r="DS118" s="352">
        <f ca="1">DS115/DS10</f>
        <v>0.17272412599515402</v>
      </c>
      <c r="DT118" s="353">
        <f>DT115/DT10</f>
        <v>0.16624605678233439</v>
      </c>
      <c r="DU118" s="353">
        <f t="shared" ref="DU118" si="714">DU115/DU10</f>
        <v>0.17527211833658946</v>
      </c>
      <c r="DV118" s="353">
        <f t="shared" si="712"/>
        <v>0.19229033826711583</v>
      </c>
      <c r="DW118" s="353">
        <f t="shared" si="712"/>
        <v>0.21979653373958785</v>
      </c>
      <c r="DX118" s="352">
        <f>DX115/DX10</f>
        <v>0.19144304401143999</v>
      </c>
      <c r="DY118" s="353">
        <f>DY115/DY10</f>
        <v>0.17295830226232886</v>
      </c>
      <c r="DZ118" s="353">
        <f t="shared" si="712"/>
        <v>0.1862272145155493</v>
      </c>
      <c r="EA118" s="353">
        <f t="shared" si="712"/>
        <v>0.20395920703739076</v>
      </c>
      <c r="EB118" s="353">
        <f t="shared" si="712"/>
        <v>0.23261398673750081</v>
      </c>
      <c r="EC118" s="352">
        <f>EC115/EC10</f>
        <v>0.20207188901831638</v>
      </c>
      <c r="ED118" s="353">
        <f>ED115/ED10</f>
        <v>0.17248135876373294</v>
      </c>
      <c r="EE118" s="353">
        <f t="shared" ref="EE118:EG118" si="715">EE115/EE10</f>
        <v>0.18811268748390561</v>
      </c>
      <c r="EF118" s="353">
        <f t="shared" si="715"/>
        <v>0.19685184423759283</v>
      </c>
      <c r="EG118" s="353">
        <f t="shared" si="715"/>
        <v>0.22193656308955567</v>
      </c>
      <c r="EH118" s="352">
        <f>EH115/EH10</f>
        <v>0.19738107389392509</v>
      </c>
      <c r="EI118" s="353">
        <f>EI115/EI10</f>
        <v>0.17719977719285526</v>
      </c>
      <c r="EJ118" s="353">
        <f t="shared" ref="EJ118:EQ118" si="716">EJ115/EJ10</f>
        <v>0.1929527129265034</v>
      </c>
      <c r="EK118" s="353">
        <f t="shared" si="716"/>
        <v>0.20147360551974111</v>
      </c>
      <c r="EL118" s="353">
        <f t="shared" si="716"/>
        <v>0.22678526028601947</v>
      </c>
      <c r="EM118" s="352">
        <f>EM115/EM10</f>
        <v>0.20214950005189752</v>
      </c>
      <c r="EN118" s="353">
        <f>EN115/EN10</f>
        <v>0.18289048329020779</v>
      </c>
      <c r="EO118" s="353">
        <f t="shared" si="716"/>
        <v>0.19871998270702268</v>
      </c>
      <c r="EP118" s="353">
        <f t="shared" si="716"/>
        <v>0.20711507402602064</v>
      </c>
      <c r="EQ118" s="353">
        <f t="shared" si="716"/>
        <v>0.23254763696263941</v>
      </c>
      <c r="ER118" s="352">
        <f>ER115/ER10</f>
        <v>0.20786984380131071</v>
      </c>
      <c r="ES118" s="244"/>
      <c r="ET118" s="133"/>
    </row>
    <row r="119" spans="1:150" s="1394" customFormat="1" ht="13.2" customHeight="1">
      <c r="A119" s="1391"/>
      <c r="B119" s="1391"/>
      <c r="C119" s="1392" t="s">
        <v>747</v>
      </c>
      <c r="D119" s="1393"/>
      <c r="E119" s="1393"/>
      <c r="F119" s="1393"/>
      <c r="G119" s="1393"/>
      <c r="H119" s="1393"/>
      <c r="M119" s="1393"/>
      <c r="R119" s="1393"/>
      <c r="W119" s="1393"/>
      <c r="AB119" s="1393"/>
      <c r="AG119" s="1393"/>
      <c r="AL119" s="1393"/>
      <c r="AQ119" s="1393"/>
      <c r="AV119" s="1393"/>
      <c r="BA119" s="1393"/>
      <c r="BF119" s="1393"/>
      <c r="BG119" s="1395"/>
      <c r="BK119" s="1393"/>
      <c r="BP119" s="1393"/>
      <c r="BQ119" s="725">
        <f t="shared" ref="BQ119:CV119" si="717">+BQ111+BQ75-BQ108-BQ115</f>
        <v>6.6613381477509392E-16</v>
      </c>
      <c r="BR119" s="725">
        <f>+BR111+BR75-BR108-BR115</f>
        <v>0</v>
      </c>
      <c r="BS119" s="725">
        <f t="shared" si="717"/>
        <v>-2.2204460492503131E-16</v>
      </c>
      <c r="BT119" s="725">
        <f>+BT111+BT75-BT108-BT115</f>
        <v>0</v>
      </c>
      <c r="BU119" s="1390">
        <f t="shared" si="717"/>
        <v>1.1102230246251565E-15</v>
      </c>
      <c r="BV119" s="725">
        <f t="shared" si="717"/>
        <v>0</v>
      </c>
      <c r="BW119" s="725">
        <f t="shared" si="717"/>
        <v>0</v>
      </c>
      <c r="BX119" s="725">
        <f t="shared" si="717"/>
        <v>0</v>
      </c>
      <c r="BY119" s="725">
        <f t="shared" si="717"/>
        <v>0</v>
      </c>
      <c r="BZ119" s="1390">
        <f t="shared" si="717"/>
        <v>0</v>
      </c>
      <c r="CA119" s="725">
        <f t="shared" si="717"/>
        <v>8.8817841970012523E-16</v>
      </c>
      <c r="CB119" s="725">
        <f t="shared" si="717"/>
        <v>0</v>
      </c>
      <c r="CC119" s="725">
        <f t="shared" si="717"/>
        <v>0</v>
      </c>
      <c r="CD119" s="725">
        <f t="shared" si="717"/>
        <v>0</v>
      </c>
      <c r="CE119" s="1390">
        <f t="shared" si="717"/>
        <v>0</v>
      </c>
      <c r="CF119" s="725">
        <f t="shared" si="717"/>
        <v>0</v>
      </c>
      <c r="CG119" s="725">
        <f t="shared" si="717"/>
        <v>0</v>
      </c>
      <c r="CH119" s="725">
        <f t="shared" si="717"/>
        <v>0</v>
      </c>
      <c r="CI119" s="725">
        <f t="shared" si="717"/>
        <v>0</v>
      </c>
      <c r="CJ119" s="1390">
        <f t="shared" si="717"/>
        <v>0</v>
      </c>
      <c r="CK119" s="725">
        <f t="shared" si="717"/>
        <v>0</v>
      </c>
      <c r="CL119" s="725">
        <f t="shared" si="717"/>
        <v>0</v>
      </c>
      <c r="CM119" s="725">
        <f t="shared" si="717"/>
        <v>0</v>
      </c>
      <c r="CN119" s="725">
        <f t="shared" si="717"/>
        <v>0</v>
      </c>
      <c r="CO119" s="1390">
        <f t="shared" si="717"/>
        <v>0</v>
      </c>
      <c r="CP119" s="725">
        <f t="shared" si="717"/>
        <v>0</v>
      </c>
      <c r="CQ119" s="725">
        <f t="shared" si="717"/>
        <v>0</v>
      </c>
      <c r="CR119" s="725">
        <f t="shared" si="717"/>
        <v>0</v>
      </c>
      <c r="CS119" s="725">
        <f t="shared" si="717"/>
        <v>0</v>
      </c>
      <c r="CT119" s="1390">
        <f t="shared" si="717"/>
        <v>0</v>
      </c>
      <c r="CU119" s="725">
        <f t="shared" si="717"/>
        <v>0</v>
      </c>
      <c r="CV119" s="725">
        <f t="shared" si="717"/>
        <v>0</v>
      </c>
      <c r="CW119" s="725">
        <f t="shared" ref="CW119:EB119" si="718">+CW111+CW75-CW108-CW115</f>
        <v>0</v>
      </c>
      <c r="CX119" s="725">
        <f t="shared" si="718"/>
        <v>0</v>
      </c>
      <c r="CY119" s="1390">
        <f t="shared" si="718"/>
        <v>0</v>
      </c>
      <c r="CZ119" s="725">
        <f t="shared" si="718"/>
        <v>0</v>
      </c>
      <c r="DA119" s="725">
        <f t="shared" si="718"/>
        <v>0</v>
      </c>
      <c r="DB119" s="725">
        <f t="shared" si="718"/>
        <v>0</v>
      </c>
      <c r="DC119" s="725">
        <f t="shared" si="718"/>
        <v>0</v>
      </c>
      <c r="DD119" s="1390">
        <f t="shared" si="718"/>
        <v>0</v>
      </c>
      <c r="DE119" s="725">
        <f t="shared" si="718"/>
        <v>0</v>
      </c>
      <c r="DF119" s="725">
        <f t="shared" si="718"/>
        <v>0</v>
      </c>
      <c r="DG119" s="725">
        <f t="shared" si="718"/>
        <v>0</v>
      </c>
      <c r="DH119" s="725">
        <f t="shared" si="718"/>
        <v>0</v>
      </c>
      <c r="DI119" s="1390">
        <f t="shared" si="718"/>
        <v>0</v>
      </c>
      <c r="DJ119" s="725">
        <f t="shared" si="718"/>
        <v>0</v>
      </c>
      <c r="DK119" s="725">
        <f t="shared" si="718"/>
        <v>0</v>
      </c>
      <c r="DL119" s="725">
        <f t="shared" si="718"/>
        <v>0</v>
      </c>
      <c r="DM119" s="725">
        <f ca="1">+DM111+DM75-DM108-DM115</f>
        <v>0</v>
      </c>
      <c r="DN119" s="1390">
        <f ca="1">+DN111+DN75-DN108-DN115</f>
        <v>0</v>
      </c>
      <c r="DO119" s="725">
        <f ca="1">+DO111+DO75-DO108-DO115</f>
        <v>0</v>
      </c>
      <c r="DP119" s="725">
        <f t="shared" si="718"/>
        <v>0</v>
      </c>
      <c r="DQ119" s="725">
        <f t="shared" ref="DQ119" si="719">+DQ111+DQ75-DQ108-DQ115</f>
        <v>0</v>
      </c>
      <c r="DR119" s="725">
        <f>+DR111+DR75-DR108-DR115</f>
        <v>0</v>
      </c>
      <c r="DS119" s="1390">
        <f ca="1">+DS111+DS75-DS108-DS115</f>
        <v>0</v>
      </c>
      <c r="DT119" s="725">
        <f>+DT111+DT75-DT108-DT115</f>
        <v>0</v>
      </c>
      <c r="DU119" s="725">
        <f t="shared" ref="DU119" si="720">+DU111+DU75-DU108-DU115</f>
        <v>0</v>
      </c>
      <c r="DV119" s="725">
        <f t="shared" si="718"/>
        <v>0</v>
      </c>
      <c r="DW119" s="725">
        <f t="shared" si="718"/>
        <v>0</v>
      </c>
      <c r="DX119" s="1390">
        <f>+DX111+DX75-DX108-DX115</f>
        <v>0</v>
      </c>
      <c r="DY119" s="725">
        <f>+DY111+DY75-DY108-DY115</f>
        <v>0</v>
      </c>
      <c r="DZ119" s="725">
        <f t="shared" si="718"/>
        <v>0</v>
      </c>
      <c r="EA119" s="725">
        <f t="shared" si="718"/>
        <v>0</v>
      </c>
      <c r="EB119" s="725">
        <f t="shared" si="718"/>
        <v>0</v>
      </c>
      <c r="EC119" s="1390">
        <f>+EC111+EC75-EC108-EC115</f>
        <v>0</v>
      </c>
      <c r="ED119" s="725">
        <f>+ED111+ED75-ED108-ED115</f>
        <v>0</v>
      </c>
      <c r="EE119" s="725">
        <f t="shared" ref="EE119:EG119" si="721">+EE111+EE75-EE108-EE115</f>
        <v>0</v>
      </c>
      <c r="EF119" s="725">
        <f t="shared" si="721"/>
        <v>0</v>
      </c>
      <c r="EG119" s="725">
        <f t="shared" si="721"/>
        <v>0</v>
      </c>
      <c r="EH119" s="1390">
        <f>+EH111+EH75-EH108-EH115</f>
        <v>0</v>
      </c>
      <c r="EI119" s="725">
        <f>+EI111+EI75-EI108-EI115</f>
        <v>0</v>
      </c>
      <c r="EJ119" s="725">
        <f t="shared" ref="EJ119:EQ119" si="722">+EJ111+EJ75-EJ108-EJ115</f>
        <v>0</v>
      </c>
      <c r="EK119" s="725">
        <f t="shared" si="722"/>
        <v>0</v>
      </c>
      <c r="EL119" s="725">
        <f t="shared" si="722"/>
        <v>0</v>
      </c>
      <c r="EM119" s="1390">
        <f>+EM111+EM75-EM108-EM115</f>
        <v>0</v>
      </c>
      <c r="EN119" s="725">
        <f>+EN111+EN75-EN108-EN115</f>
        <v>0</v>
      </c>
      <c r="EO119" s="725">
        <f t="shared" si="722"/>
        <v>0</v>
      </c>
      <c r="EP119" s="725">
        <f t="shared" si="722"/>
        <v>0</v>
      </c>
      <c r="EQ119" s="725">
        <f t="shared" si="722"/>
        <v>0</v>
      </c>
      <c r="ER119" s="1390">
        <f>+ER111+ER75-ER108-ER115</f>
        <v>0</v>
      </c>
      <c r="ES119" s="912"/>
      <c r="ET119" s="1396"/>
    </row>
    <row r="120" spans="1:150" s="253" customFormat="1" ht="13.2" customHeight="1">
      <c r="A120" s="792"/>
      <c r="B120" s="792"/>
      <c r="C120" s="355" t="s">
        <v>71</v>
      </c>
      <c r="D120" s="296"/>
      <c r="E120" s="296"/>
      <c r="F120" s="296"/>
      <c r="G120" s="296"/>
      <c r="H120" s="296"/>
      <c r="I120" s="256"/>
      <c r="J120" s="256"/>
      <c r="K120" s="256"/>
      <c r="L120" s="256"/>
      <c r="M120" s="296"/>
      <c r="N120" s="256"/>
      <c r="O120" s="256"/>
      <c r="P120" s="256"/>
      <c r="Q120" s="256"/>
      <c r="R120" s="296"/>
      <c r="S120" s="256"/>
      <c r="T120" s="256"/>
      <c r="U120" s="256"/>
      <c r="V120" s="256"/>
      <c r="W120" s="296"/>
      <c r="X120" s="256"/>
      <c r="Y120" s="256"/>
      <c r="Z120" s="256"/>
      <c r="AA120" s="256"/>
      <c r="AB120" s="296"/>
      <c r="AC120" s="256"/>
      <c r="AD120" s="256"/>
      <c r="AE120" s="256"/>
      <c r="AF120" s="256"/>
      <c r="AG120" s="296"/>
      <c r="AH120" s="256"/>
      <c r="AI120" s="256"/>
      <c r="AJ120" s="256"/>
      <c r="AK120" s="256"/>
      <c r="AL120" s="296"/>
      <c r="AM120" s="256"/>
      <c r="AN120" s="256"/>
      <c r="AO120" s="256"/>
      <c r="AP120" s="256"/>
      <c r="AQ120" s="296"/>
      <c r="AR120" s="256"/>
      <c r="AS120" s="256"/>
      <c r="AT120" s="256"/>
      <c r="AU120" s="256"/>
      <c r="AV120" s="296"/>
      <c r="AW120" s="256"/>
      <c r="AX120" s="256"/>
      <c r="AY120" s="256"/>
      <c r="AZ120" s="256"/>
      <c r="BA120" s="296"/>
      <c r="BB120" s="256"/>
      <c r="BC120" s="256"/>
      <c r="BD120" s="256"/>
      <c r="BE120" s="256"/>
      <c r="BF120" s="296"/>
      <c r="BG120" s="625"/>
      <c r="BH120" s="256"/>
      <c r="BI120" s="256"/>
      <c r="BJ120" s="256"/>
      <c r="BK120" s="296"/>
      <c r="BL120" s="256"/>
      <c r="BM120" s="256"/>
      <c r="BN120" s="256"/>
      <c r="BO120" s="256"/>
      <c r="BP120" s="296"/>
      <c r="BQ120" s="120"/>
      <c r="BR120" s="120"/>
      <c r="BS120" s="120"/>
      <c r="BT120" s="120"/>
      <c r="BU120" s="636"/>
      <c r="BV120" s="120"/>
      <c r="BW120" s="120"/>
      <c r="BX120" s="120"/>
      <c r="BY120" s="120"/>
      <c r="BZ120" s="636"/>
      <c r="CA120" s="120"/>
      <c r="CB120" s="120"/>
      <c r="CC120" s="120"/>
      <c r="CD120" s="120"/>
      <c r="CE120" s="636"/>
      <c r="CF120" s="120"/>
      <c r="CG120" s="120"/>
      <c r="CH120" s="120"/>
      <c r="CI120" s="120"/>
      <c r="CJ120" s="636"/>
      <c r="CK120" s="120"/>
      <c r="CL120" s="120"/>
      <c r="CM120" s="120"/>
      <c r="CN120" s="120"/>
      <c r="CO120" s="636"/>
      <c r="CP120" s="120"/>
      <c r="CQ120" s="120"/>
      <c r="CR120" s="120"/>
      <c r="CS120" s="120"/>
      <c r="CT120" s="636"/>
      <c r="CU120" s="120"/>
      <c r="CV120" s="120"/>
      <c r="CW120" s="120"/>
      <c r="CX120" s="120"/>
      <c r="CY120" s="636"/>
      <c r="CZ120" s="120"/>
      <c r="DA120" s="120"/>
      <c r="DB120" s="120"/>
      <c r="DC120" s="120"/>
      <c r="DD120" s="636"/>
      <c r="DE120" s="120"/>
      <c r="DF120" s="120"/>
      <c r="DG120" s="120"/>
      <c r="DH120" s="160"/>
      <c r="DI120" s="636"/>
      <c r="DJ120" s="160"/>
      <c r="DK120" s="160"/>
      <c r="DL120" s="160"/>
      <c r="DM120" s="160"/>
      <c r="DN120" s="636"/>
      <c r="DO120" s="160"/>
      <c r="DP120" s="160"/>
      <c r="DQ120" s="160"/>
      <c r="DR120" s="160"/>
      <c r="DS120" s="636"/>
      <c r="DT120" s="160"/>
      <c r="DU120" s="160"/>
      <c r="DV120" s="160"/>
      <c r="DW120" s="160"/>
      <c r="DX120" s="636"/>
      <c r="DY120" s="160"/>
      <c r="DZ120" s="160"/>
      <c r="EA120" s="160"/>
      <c r="EB120" s="160"/>
      <c r="EC120" s="636"/>
      <c r="ED120" s="160"/>
      <c r="EE120" s="160"/>
      <c r="EF120" s="160"/>
      <c r="EG120" s="160"/>
      <c r="EH120" s="636"/>
      <c r="EI120" s="160"/>
      <c r="EJ120" s="160"/>
      <c r="EK120" s="160"/>
      <c r="EL120" s="160"/>
      <c r="EM120" s="636"/>
      <c r="EN120" s="160"/>
      <c r="EO120" s="160"/>
      <c r="EP120" s="160"/>
      <c r="EQ120" s="160"/>
      <c r="ER120" s="636"/>
      <c r="ES120" s="586"/>
      <c r="ET120" s="133"/>
    </row>
    <row r="121" spans="1:150" s="253" customFormat="1" ht="12" customHeight="1">
      <c r="A121" s="792"/>
      <c r="B121" s="792"/>
      <c r="C121" s="258" t="s">
        <v>153</v>
      </c>
      <c r="D121" s="296"/>
      <c r="E121" s="296"/>
      <c r="F121" s="296"/>
      <c r="G121" s="296"/>
      <c r="H121" s="296"/>
      <c r="I121" s="256"/>
      <c r="J121" s="256"/>
      <c r="K121" s="256"/>
      <c r="L121" s="256"/>
      <c r="M121" s="296"/>
      <c r="N121" s="256"/>
      <c r="O121" s="256"/>
      <c r="P121" s="256"/>
      <c r="Q121" s="256"/>
      <c r="R121" s="296"/>
      <c r="S121" s="256"/>
      <c r="T121" s="256"/>
      <c r="U121" s="256"/>
      <c r="V121" s="256"/>
      <c r="W121" s="296"/>
      <c r="X121" s="256"/>
      <c r="Y121" s="256"/>
      <c r="Z121" s="256"/>
      <c r="AA121" s="256"/>
      <c r="AB121" s="296"/>
      <c r="AC121" s="256"/>
      <c r="AD121" s="256"/>
      <c r="AE121" s="256"/>
      <c r="AF121" s="256"/>
      <c r="AG121" s="296"/>
      <c r="AH121" s="256"/>
      <c r="AI121" s="256"/>
      <c r="AJ121" s="256"/>
      <c r="AK121" s="256"/>
      <c r="AL121" s="296"/>
      <c r="AM121" s="256"/>
      <c r="AN121" s="256"/>
      <c r="AO121" s="256"/>
      <c r="AP121" s="256"/>
      <c r="AQ121" s="296"/>
      <c r="AR121" s="256"/>
      <c r="AS121" s="256"/>
      <c r="AT121" s="256"/>
      <c r="AU121" s="256"/>
      <c r="AV121" s="296"/>
      <c r="AW121" s="256"/>
      <c r="AX121" s="256"/>
      <c r="AY121" s="256"/>
      <c r="AZ121" s="256"/>
      <c r="BA121" s="296"/>
      <c r="BB121" s="256"/>
      <c r="BC121" s="256"/>
      <c r="BD121" s="256"/>
      <c r="BE121" s="256"/>
      <c r="BF121" s="296"/>
      <c r="BK121" s="296"/>
      <c r="BP121" s="296"/>
      <c r="BQ121" s="120">
        <f>BQ62</f>
        <v>-4.5299999999999994</v>
      </c>
      <c r="BR121" s="120">
        <f>BR62</f>
        <v>-3.2959999999999985</v>
      </c>
      <c r="BS121" s="120">
        <f>BS62</f>
        <v>-4.6569999999999974</v>
      </c>
      <c r="BT121" s="120">
        <f>BT62</f>
        <v>-6.3069999999999986</v>
      </c>
      <c r="BU121" s="257">
        <f>SUM(BQ121:BT121)</f>
        <v>-18.789999999999992</v>
      </c>
      <c r="BV121" s="120">
        <f>BV62</f>
        <v>-8.9289999999999896</v>
      </c>
      <c r="BW121" s="120">
        <f>BW62</f>
        <v>-8.4390000000000054</v>
      </c>
      <c r="BX121" s="120">
        <f>BX62</f>
        <v>-9.1200000000000045</v>
      </c>
      <c r="BY121" s="120">
        <f>BY62</f>
        <v>-8.8670000000000204</v>
      </c>
      <c r="BZ121" s="257">
        <f>SUM(BV121:BY121)</f>
        <v>-35.355000000000018</v>
      </c>
      <c r="CA121" s="120">
        <f>CA62</f>
        <v>-13.597999999999985</v>
      </c>
      <c r="CB121" s="120">
        <f>CB62</f>
        <v>-14.029999999999996</v>
      </c>
      <c r="CC121" s="120">
        <f>CC62</f>
        <v>-9.3799999999999883</v>
      </c>
      <c r="CD121" s="120">
        <f>CD62</f>
        <v>-2.9870000000000285</v>
      </c>
      <c r="CE121" s="257">
        <f>SUM(CA121:CD121)</f>
        <v>-39.994999999999997</v>
      </c>
      <c r="CF121" s="120">
        <f>CF62</f>
        <v>-15.902000000000026</v>
      </c>
      <c r="CG121" s="120">
        <f>CG62</f>
        <v>-23.953000000000024</v>
      </c>
      <c r="CH121" s="120">
        <f>CH62</f>
        <v>-23.184000000000026</v>
      </c>
      <c r="CI121" s="120">
        <f>CI62</f>
        <v>-1.5140000000000544</v>
      </c>
      <c r="CJ121" s="257">
        <f>SUM(CF121:CI121)</f>
        <v>-64.553000000000125</v>
      </c>
      <c r="CK121" s="120">
        <f>CK62</f>
        <v>-24.15100000000005</v>
      </c>
      <c r="CL121" s="120">
        <f>CL62</f>
        <v>-28.678000000000004</v>
      </c>
      <c r="CM121" s="120">
        <f>CM62</f>
        <v>-72.783999999999963</v>
      </c>
      <c r="CN121" s="120">
        <f>CN62</f>
        <v>0.77100000000005409</v>
      </c>
      <c r="CO121" s="257">
        <f>SUM(CK121:CN121)</f>
        <v>-124.84199999999996</v>
      </c>
      <c r="CP121" s="120">
        <f>CP62</f>
        <v>-31.429000000000002</v>
      </c>
      <c r="CQ121" s="120">
        <f>CQ62</f>
        <v>35.998000000000047</v>
      </c>
      <c r="CR121" s="120">
        <f>CR62</f>
        <v>191.06800000000004</v>
      </c>
      <c r="CS121" s="120">
        <f>CS62</f>
        <v>123.87199999999994</v>
      </c>
      <c r="CT121" s="257">
        <f>SUM(CP121:CS121)</f>
        <v>319.50900000000001</v>
      </c>
      <c r="CU121" s="120">
        <f>CU62</f>
        <v>1258.4449999999999</v>
      </c>
      <c r="CV121" s="120">
        <f>CV62</f>
        <v>879.09299999999996</v>
      </c>
      <c r="CW121" s="120">
        <f>CW62</f>
        <v>1148.4320000000002</v>
      </c>
      <c r="CX121" s="120">
        <f>CX62</f>
        <v>-371.31099999999941</v>
      </c>
      <c r="CY121" s="257">
        <f>SUM(CU121:CX121)</f>
        <v>2914.659000000001</v>
      </c>
      <c r="CZ121" s="120">
        <f>CZ62</f>
        <v>-1474.4079999999997</v>
      </c>
      <c r="DA121" s="120">
        <f>DA62</f>
        <v>-1203.9069999999999</v>
      </c>
      <c r="DB121" s="120">
        <f>DB62</f>
        <v>-158.40899999999996</v>
      </c>
      <c r="DC121" s="120">
        <f>DC62</f>
        <v>-623.69400000000019</v>
      </c>
      <c r="DD121" s="257">
        <f>SUM(CZ121:DC121)</f>
        <v>-3460.4179999999997</v>
      </c>
      <c r="DE121" s="120">
        <f>DE62</f>
        <v>68</v>
      </c>
      <c r="DF121" s="120">
        <f>DF62</f>
        <v>-1311</v>
      </c>
      <c r="DG121" s="120">
        <f>DG62</f>
        <v>718</v>
      </c>
      <c r="DH121" s="120">
        <f>DH62</f>
        <v>657</v>
      </c>
      <c r="DI121" s="257">
        <f t="shared" ref="DI121:DI126" si="723">SUM(DE121:DH121)</f>
        <v>132</v>
      </c>
      <c r="DJ121" s="120">
        <f>DJ62</f>
        <v>-273</v>
      </c>
      <c r="DK121" s="120">
        <f>DK62</f>
        <v>171</v>
      </c>
      <c r="DL121" s="120">
        <f>DL62</f>
        <v>828</v>
      </c>
      <c r="DM121" s="120">
        <f>DM62</f>
        <v>1293</v>
      </c>
      <c r="DN121" s="257">
        <f t="shared" ref="DN121:DN126" si="724">SUM(DJ121:DM121)</f>
        <v>2019</v>
      </c>
      <c r="DO121" s="120">
        <f>DO62</f>
        <v>-682</v>
      </c>
      <c r="DP121" s="120">
        <f>DP62</f>
        <v>906</v>
      </c>
      <c r="DQ121" s="120">
        <f>DQ62</f>
        <v>264</v>
      </c>
      <c r="DR121" s="120">
        <f>DR62</f>
        <v>743</v>
      </c>
      <c r="DS121" s="257">
        <f t="shared" ref="DS121:DS126" si="725">SUM(DO121:DR121)</f>
        <v>1231</v>
      </c>
      <c r="DT121" s="120">
        <f>DT62</f>
        <v>-581</v>
      </c>
      <c r="DU121" s="120">
        <f>DU62</f>
        <v>1502</v>
      </c>
      <c r="DV121" s="120">
        <f>DV62</f>
        <v>503.1176933722864</v>
      </c>
      <c r="DW121" s="120">
        <f>DW62</f>
        <v>740.39713876073233</v>
      </c>
      <c r="DX121" s="257">
        <f t="shared" ref="DX121:DX126" si="726">SUM(DT121:DW121)</f>
        <v>2164.5148321330189</v>
      </c>
      <c r="DY121" s="120">
        <f>DY62</f>
        <v>482.31849134156749</v>
      </c>
      <c r="DZ121" s="120">
        <f>DZ62</f>
        <v>623.59331566438743</v>
      </c>
      <c r="EA121" s="120">
        <f>EA62</f>
        <v>690.88153560855153</v>
      </c>
      <c r="EB121" s="120">
        <f>EB62</f>
        <v>1013.8012017773117</v>
      </c>
      <c r="EC121" s="257">
        <f t="shared" ref="EC121:EC126" si="727">SUM(DY121:EB121)</f>
        <v>2810.5945443918181</v>
      </c>
      <c r="ED121" s="120">
        <f>ED62</f>
        <v>606.03408246052004</v>
      </c>
      <c r="EE121" s="120">
        <f>EE62</f>
        <v>777.08309874522024</v>
      </c>
      <c r="EF121" s="120">
        <f>EF62</f>
        <v>854.49514861729608</v>
      </c>
      <c r="EG121" s="120">
        <f>EG62</f>
        <v>1247.5275607084427</v>
      </c>
      <c r="EH121" s="257">
        <f t="shared" ref="EH121:EH126" si="728">SUM(ED121:EG121)</f>
        <v>3485.1398905314791</v>
      </c>
      <c r="EI121" s="120">
        <f>EI62</f>
        <v>745.79721747335611</v>
      </c>
      <c r="EJ121" s="120">
        <f>EJ62</f>
        <v>951.38335311866308</v>
      </c>
      <c r="EK121" s="120">
        <f>EK62</f>
        <v>1042.421829194649</v>
      </c>
      <c r="EL121" s="120">
        <f>EL62</f>
        <v>1517.0357919149944</v>
      </c>
      <c r="EM121" s="257">
        <f t="shared" ref="EM121:EM126" si="729">SUM(EI121:EL121)</f>
        <v>4256.6381917016624</v>
      </c>
      <c r="EN121" s="120">
        <f>EN62</f>
        <v>910.29322843812349</v>
      </c>
      <c r="EO121" s="120">
        <f>EO62</f>
        <v>1155.9599497362603</v>
      </c>
      <c r="EP121" s="120">
        <f>EP62</f>
        <v>1262.6918559947483</v>
      </c>
      <c r="EQ121" s="120">
        <f>EQ62</f>
        <v>1830.1990815683125</v>
      </c>
      <c r="ER121" s="257">
        <f t="shared" ref="ER121:ER126" si="730">SUM(EN121:EQ121)</f>
        <v>5159.1441157374447</v>
      </c>
      <c r="ES121" s="1408"/>
      <c r="ET121" s="133"/>
    </row>
    <row r="122" spans="1:150" s="253" customFormat="1" ht="12" customHeight="1">
      <c r="A122" s="792"/>
      <c r="B122" s="792"/>
      <c r="C122" s="258" t="s">
        <v>152</v>
      </c>
      <c r="D122" s="296"/>
      <c r="E122" s="296"/>
      <c r="F122" s="296"/>
      <c r="G122" s="296"/>
      <c r="H122" s="296"/>
      <c r="I122" s="256"/>
      <c r="J122" s="256"/>
      <c r="K122" s="256"/>
      <c r="L122" s="256"/>
      <c r="M122" s="296"/>
      <c r="N122" s="256"/>
      <c r="O122" s="256"/>
      <c r="P122" s="256"/>
      <c r="Q122" s="256"/>
      <c r="R122" s="296"/>
      <c r="S122" s="256"/>
      <c r="T122" s="256"/>
      <c r="U122" s="256"/>
      <c r="V122" s="256"/>
      <c r="W122" s="296"/>
      <c r="X122" s="256"/>
      <c r="Y122" s="256"/>
      <c r="Z122" s="256"/>
      <c r="AA122" s="256"/>
      <c r="AB122" s="296"/>
      <c r="AC122" s="256"/>
      <c r="AD122" s="256"/>
      <c r="AE122" s="256"/>
      <c r="AF122" s="256"/>
      <c r="AG122" s="296"/>
      <c r="AH122" s="256"/>
      <c r="AI122" s="256"/>
      <c r="AJ122" s="256"/>
      <c r="AK122" s="256"/>
      <c r="AL122" s="296"/>
      <c r="AM122" s="256"/>
      <c r="AN122" s="256"/>
      <c r="AO122" s="256"/>
      <c r="AP122" s="256"/>
      <c r="AQ122" s="296"/>
      <c r="AR122" s="256"/>
      <c r="AS122" s="256"/>
      <c r="AT122" s="256"/>
      <c r="AU122" s="256"/>
      <c r="AV122" s="296"/>
      <c r="AW122" s="256"/>
      <c r="AX122" s="256"/>
      <c r="AY122" s="256"/>
      <c r="AZ122" s="256"/>
      <c r="BA122" s="296"/>
      <c r="BB122" s="256"/>
      <c r="BC122" s="256"/>
      <c r="BD122" s="256"/>
      <c r="BE122" s="256"/>
      <c r="BF122" s="296"/>
      <c r="BK122" s="296"/>
      <c r="BP122" s="296"/>
      <c r="BQ122" s="120">
        <f>BQ86</f>
        <v>1.44</v>
      </c>
      <c r="BR122" s="120">
        <f>BR86</f>
        <v>1.5710000000000002</v>
      </c>
      <c r="BS122" s="120">
        <f>BS86</f>
        <v>2.2680000000000002</v>
      </c>
      <c r="BT122" s="120">
        <f>BT86</f>
        <v>2.879</v>
      </c>
      <c r="BU122" s="257">
        <f>SUM(BQ122:BT122)</f>
        <v>8.1579999999999995</v>
      </c>
      <c r="BV122" s="120">
        <f>BV86</f>
        <v>3.46</v>
      </c>
      <c r="BW122" s="120">
        <f>BW86</f>
        <v>5.0860000000000003</v>
      </c>
      <c r="BX122" s="120">
        <f>BX86</f>
        <v>6.4870000000000001</v>
      </c>
      <c r="BY122" s="120">
        <f>BY86</f>
        <v>8.0620000000000012</v>
      </c>
      <c r="BZ122" s="257">
        <f>SUM(BV122:BY122)</f>
        <v>23.094999999999999</v>
      </c>
      <c r="CA122" s="120">
        <f>CA86</f>
        <v>9.2070000000000007</v>
      </c>
      <c r="CB122" s="120">
        <f>CB86</f>
        <v>11.600999999999999</v>
      </c>
      <c r="CC122" s="120">
        <f>CC86</f>
        <v>13.376000000000001</v>
      </c>
      <c r="CD122" s="120">
        <f>CD86</f>
        <v>14.978</v>
      </c>
      <c r="CE122" s="257">
        <f>SUM(CA122:CD122)</f>
        <v>49.161999999999999</v>
      </c>
      <c r="CF122" s="120">
        <f>CF86</f>
        <v>17.925000000000001</v>
      </c>
      <c r="CG122" s="120">
        <f>CG86</f>
        <v>24.191000000000003</v>
      </c>
      <c r="CH122" s="120">
        <f>CH86</f>
        <v>26.185000000000002</v>
      </c>
      <c r="CI122" s="120">
        <f>CI86</f>
        <v>27.419</v>
      </c>
      <c r="CJ122" s="257">
        <f>SUM(CF122:CI122)</f>
        <v>95.72</v>
      </c>
      <c r="CK122" s="120">
        <f>CK86</f>
        <v>31.163999999999998</v>
      </c>
      <c r="CL122" s="120">
        <f>CL86</f>
        <v>39.268000000000001</v>
      </c>
      <c r="CM122" s="120">
        <f>CM86</f>
        <v>40.032000000000004</v>
      </c>
      <c r="CN122" s="120">
        <f>CN86</f>
        <v>47.991999999999997</v>
      </c>
      <c r="CO122" s="257">
        <f>SUM(CK122:CN122)</f>
        <v>158.45599999999999</v>
      </c>
      <c r="CP122" s="120">
        <f>CP86</f>
        <v>53.752000000000002</v>
      </c>
      <c r="CQ122" s="120">
        <f>CQ86</f>
        <v>62.323999999999998</v>
      </c>
      <c r="CR122" s="120">
        <f>CR86</f>
        <v>63.806999999999988</v>
      </c>
      <c r="CS122" s="120">
        <f>CS86</f>
        <v>67.057000000000002</v>
      </c>
      <c r="CT122" s="257">
        <f>SUM(CP122:CS122)</f>
        <v>246.94</v>
      </c>
      <c r="CU122" s="120">
        <f>CU86</f>
        <v>69.156000000000006</v>
      </c>
      <c r="CV122" s="120">
        <f>CV86</f>
        <v>81.957999999999998</v>
      </c>
      <c r="CW122" s="120">
        <f>CW86</f>
        <v>81.34</v>
      </c>
      <c r="CX122" s="120">
        <f>CX86</f>
        <v>98.314300000000003</v>
      </c>
      <c r="CY122" s="257">
        <f>SUM(CU122:CX122)</f>
        <v>330.76830000000001</v>
      </c>
      <c r="CZ122" s="120">
        <f>CZ86</f>
        <v>117.98899999999999</v>
      </c>
      <c r="DA122" s="120">
        <f>DA86</f>
        <v>139.41900000000001</v>
      </c>
      <c r="DB122" s="120">
        <f>DB86</f>
        <v>149.98999999999998</v>
      </c>
      <c r="DC122" s="120">
        <f>DC86</f>
        <v>141.744</v>
      </c>
      <c r="DD122" s="257">
        <f>SUM(CZ122:DC122)</f>
        <v>549.14200000000005</v>
      </c>
      <c r="DE122" s="120">
        <f>DE86</f>
        <v>135</v>
      </c>
      <c r="DF122" s="120">
        <f>DF86</f>
        <v>280</v>
      </c>
      <c r="DG122" s="120">
        <f>DG86</f>
        <v>102</v>
      </c>
      <c r="DH122" s="120">
        <f>DH86</f>
        <v>98</v>
      </c>
      <c r="DI122" s="257">
        <f t="shared" si="723"/>
        <v>615</v>
      </c>
      <c r="DJ122" s="120">
        <f>DJ86</f>
        <v>105</v>
      </c>
      <c r="DK122" s="120">
        <f>DK86</f>
        <v>106</v>
      </c>
      <c r="DL122" s="120">
        <f>DL86</f>
        <v>110</v>
      </c>
      <c r="DM122" s="120">
        <f>DM86</f>
        <v>109</v>
      </c>
      <c r="DN122" s="257">
        <f t="shared" si="724"/>
        <v>430</v>
      </c>
      <c r="DO122" s="120">
        <f>DO86</f>
        <v>114</v>
      </c>
      <c r="DP122" s="120">
        <f>DP86</f>
        <v>113</v>
      </c>
      <c r="DQ122" s="120">
        <f>DQ86</f>
        <v>107</v>
      </c>
      <c r="DR122" s="120">
        <f>DR86</f>
        <v>115</v>
      </c>
      <c r="DS122" s="257">
        <f t="shared" si="725"/>
        <v>449</v>
      </c>
      <c r="DT122" s="120">
        <f>DT86</f>
        <v>132</v>
      </c>
      <c r="DU122" s="120">
        <f>DU86</f>
        <v>128</v>
      </c>
      <c r="DV122" s="120">
        <f>DV86</f>
        <v>147.06481879190784</v>
      </c>
      <c r="DW122" s="120">
        <f>DW86</f>
        <v>187.95915266181763</v>
      </c>
      <c r="DX122" s="257">
        <f t="shared" si="726"/>
        <v>595.02397145372549</v>
      </c>
      <c r="DY122" s="120">
        <f>DY86</f>
        <v>152.89228358629512</v>
      </c>
      <c r="DZ122" s="120">
        <f>DZ86</f>
        <v>145.21891062090612</v>
      </c>
      <c r="EA122" s="120">
        <f>EA86</f>
        <v>166.64367248031317</v>
      </c>
      <c r="EB122" s="120">
        <f>EB86</f>
        <v>211.9154890646366</v>
      </c>
      <c r="EC122" s="257">
        <f t="shared" si="727"/>
        <v>676.67035575215107</v>
      </c>
      <c r="ED122" s="120">
        <f>ED86</f>
        <v>162.35902933138379</v>
      </c>
      <c r="EE122" s="120">
        <f>EE86</f>
        <v>164.05197039640046</v>
      </c>
      <c r="EF122" s="120">
        <f>EF86</f>
        <v>142.87720178393857</v>
      </c>
      <c r="EG122" s="120">
        <f>EG86</f>
        <v>155.79701685564225</v>
      </c>
      <c r="EH122" s="257">
        <f t="shared" si="728"/>
        <v>625.08521836736509</v>
      </c>
      <c r="EI122" s="120">
        <f>EI86</f>
        <v>192.4115615437282</v>
      </c>
      <c r="EJ122" s="120">
        <f>EJ86</f>
        <v>194.44869624682568</v>
      </c>
      <c r="EK122" s="120">
        <f>EK86</f>
        <v>169.34057301295408</v>
      </c>
      <c r="EL122" s="120">
        <f>EL86</f>
        <v>184.74816469922433</v>
      </c>
      <c r="EM122" s="257">
        <f t="shared" si="729"/>
        <v>740.94899550273226</v>
      </c>
      <c r="EN122" s="120">
        <f>EN86</f>
        <v>225.72118602078109</v>
      </c>
      <c r="EO122" s="120">
        <f>EO86</f>
        <v>228.11544285333903</v>
      </c>
      <c r="EP122" s="120">
        <f>EP86</f>
        <v>198.67274342758134</v>
      </c>
      <c r="EQ122" s="120">
        <f>EQ86</f>
        <v>216.76795097992022</v>
      </c>
      <c r="ER122" s="257">
        <f t="shared" si="730"/>
        <v>869.27732328162165</v>
      </c>
      <c r="ES122" s="1408"/>
      <c r="ET122" s="133"/>
    </row>
    <row r="123" spans="1:150" s="253" customFormat="1" ht="12" customHeight="1">
      <c r="A123" s="792"/>
      <c r="B123" s="792"/>
      <c r="C123" s="258" t="s">
        <v>263</v>
      </c>
      <c r="D123" s="296"/>
      <c r="E123" s="296"/>
      <c r="F123" s="296"/>
      <c r="G123" s="296"/>
      <c r="H123" s="296"/>
      <c r="I123" s="256"/>
      <c r="J123" s="256"/>
      <c r="K123" s="256"/>
      <c r="L123" s="256"/>
      <c r="M123" s="296"/>
      <c r="N123" s="256"/>
      <c r="O123" s="256"/>
      <c r="P123" s="256"/>
      <c r="Q123" s="256"/>
      <c r="R123" s="296"/>
      <c r="S123" s="256"/>
      <c r="T123" s="256"/>
      <c r="U123" s="256"/>
      <c r="V123" s="256"/>
      <c r="W123" s="296"/>
      <c r="X123" s="256"/>
      <c r="Y123" s="256"/>
      <c r="Z123" s="256"/>
      <c r="AA123" s="256"/>
      <c r="AB123" s="296"/>
      <c r="AC123" s="256"/>
      <c r="AD123" s="256"/>
      <c r="AE123" s="256"/>
      <c r="AF123" s="256"/>
      <c r="AG123" s="296"/>
      <c r="AH123" s="256"/>
      <c r="AI123" s="256"/>
      <c r="AJ123" s="256"/>
      <c r="AK123" s="256"/>
      <c r="AL123" s="296"/>
      <c r="AM123" s="256"/>
      <c r="AN123" s="256"/>
      <c r="AO123" s="256"/>
      <c r="AP123" s="256"/>
      <c r="AQ123" s="296"/>
      <c r="AR123" s="256"/>
      <c r="AS123" s="256"/>
      <c r="AT123" s="256"/>
      <c r="AU123" s="256"/>
      <c r="AV123" s="296"/>
      <c r="AW123" s="256"/>
      <c r="AX123" s="256"/>
      <c r="AY123" s="256"/>
      <c r="AZ123" s="256"/>
      <c r="BA123" s="296"/>
      <c r="BB123" s="256"/>
      <c r="BC123" s="256"/>
      <c r="BD123" s="256"/>
      <c r="BE123" s="256"/>
      <c r="BF123" s="296"/>
      <c r="BK123" s="296"/>
      <c r="BP123" s="296"/>
      <c r="BQ123" s="120">
        <f>+BQ93</f>
        <v>0</v>
      </c>
      <c r="BR123" s="120">
        <f>+BR93</f>
        <v>0</v>
      </c>
      <c r="BS123" s="120">
        <f>+BS93</f>
        <v>0</v>
      </c>
      <c r="BT123" s="120">
        <f>+BT93</f>
        <v>2.33</v>
      </c>
      <c r="BU123" s="257">
        <f t="shared" ref="BU123:BU128" si="731">SUM(BQ123:BT123)</f>
        <v>2.33</v>
      </c>
      <c r="BV123" s="120">
        <f>+BV93</f>
        <v>0.33200000000000002</v>
      </c>
      <c r="BW123" s="120">
        <f>+BW93</f>
        <v>0.36199999999999999</v>
      </c>
      <c r="BX123" s="120">
        <f>+BX93</f>
        <v>0.79600000000000004</v>
      </c>
      <c r="BY123" s="120">
        <f>+BY93</f>
        <v>0.436</v>
      </c>
      <c r="BZ123" s="257">
        <f t="shared" ref="BZ123:BZ128" si="732">SUM(BV123:BY123)</f>
        <v>1.9259999999999999</v>
      </c>
      <c r="CA123" s="120">
        <f>+CA93</f>
        <v>0.94</v>
      </c>
      <c r="CB123" s="120">
        <f>+CB93</f>
        <v>1.3679999999999999</v>
      </c>
      <c r="CC123" s="120">
        <f>+CC93</f>
        <v>1.0129999999999999</v>
      </c>
      <c r="CD123" s="120">
        <f>+CD93</f>
        <v>2.7189999999999999</v>
      </c>
      <c r="CE123" s="257">
        <f t="shared" ref="CE123:CE128" si="733">SUM(CA123:CD123)</f>
        <v>6.0399999999999991</v>
      </c>
      <c r="CF123" s="120">
        <f>+CF93</f>
        <v>2.19</v>
      </c>
      <c r="CG123" s="120">
        <f>+CG93</f>
        <v>2.302</v>
      </c>
      <c r="CH123" s="120">
        <f>+CH93</f>
        <v>1.5429999999999999</v>
      </c>
      <c r="CI123" s="120">
        <f>+CI93</f>
        <v>2.0069999999999997</v>
      </c>
      <c r="CJ123" s="257">
        <f t="shared" ref="CJ123:CJ128" si="734">SUM(CF123:CI123)</f>
        <v>8.0419999999999998</v>
      </c>
      <c r="CK123" s="120">
        <f>+CK93</f>
        <v>3.2490000000000001</v>
      </c>
      <c r="CL123" s="120">
        <f>+CL93</f>
        <v>5.1609999999999996</v>
      </c>
      <c r="CM123" s="120">
        <f>+CM93</f>
        <v>4.4669999999999996</v>
      </c>
      <c r="CN123" s="120">
        <f>+CN93</f>
        <v>5.43</v>
      </c>
      <c r="CO123" s="257">
        <f t="shared" ref="CO123:CO128" si="735">SUM(CK123:CN123)</f>
        <v>18.306999999999999</v>
      </c>
      <c r="CP123" s="120">
        <f>+CP93</f>
        <v>6.1940000000000008</v>
      </c>
      <c r="CQ123" s="120">
        <f>+CQ93</f>
        <v>14.143000000000001</v>
      </c>
      <c r="CR123" s="120">
        <f>+CR93</f>
        <v>11.595000000000001</v>
      </c>
      <c r="CS123" s="120">
        <f>+CS93</f>
        <v>15.434000000000001</v>
      </c>
      <c r="CT123" s="257">
        <f t="shared" ref="CT123:CT128" si="736">SUM(CP123:CS123)</f>
        <v>47.366</v>
      </c>
      <c r="CU123" s="120">
        <f>+CU93</f>
        <v>17.812000000000001</v>
      </c>
      <c r="CV123" s="120">
        <f>+CV93</f>
        <v>10.587999999999999</v>
      </c>
      <c r="CW123" s="120">
        <f>+CW93</f>
        <v>26.798000000000002</v>
      </c>
      <c r="CX123" s="120">
        <f>+CX93</f>
        <v>11.088000000000001</v>
      </c>
      <c r="CY123" s="257">
        <f t="shared" ref="CY123:CY128" si="737">SUM(CU123:CX123)</f>
        <v>66.286000000000001</v>
      </c>
      <c r="CZ123" s="120">
        <f>+CZ93</f>
        <v>5.2050000000000001</v>
      </c>
      <c r="DA123" s="120">
        <f>+DA93</f>
        <v>1.6920000000000002</v>
      </c>
      <c r="DB123" s="120">
        <f>+DB93</f>
        <v>3.661</v>
      </c>
      <c r="DC123" s="120">
        <f>+DC93</f>
        <v>3.1609999999999996</v>
      </c>
      <c r="DD123" s="257">
        <f t="shared" ref="DD123:DD128" si="738">SUM(CZ123:DC123)</f>
        <v>13.718999999999999</v>
      </c>
      <c r="DE123" s="120">
        <f>+DE93</f>
        <v>12</v>
      </c>
      <c r="DF123" s="120">
        <f>+DF93</f>
        <v>6</v>
      </c>
      <c r="DG123" s="120">
        <f>+DG93</f>
        <v>5</v>
      </c>
      <c r="DH123" s="120">
        <f>+DH93</f>
        <v>5</v>
      </c>
      <c r="DI123" s="257">
        <f t="shared" si="723"/>
        <v>28</v>
      </c>
      <c r="DJ123" s="120">
        <f>+DJ93</f>
        <v>6</v>
      </c>
      <c r="DK123" s="120">
        <f>+DK93</f>
        <v>3</v>
      </c>
      <c r="DL123" s="120">
        <f>+DL93</f>
        <v>5</v>
      </c>
      <c r="DM123" s="120">
        <f ca="1">+DM93</f>
        <v>8</v>
      </c>
      <c r="DN123" s="257">
        <f ca="1">SUM(DJ123:DM123)</f>
        <v>22</v>
      </c>
      <c r="DO123" s="120">
        <f ca="1">+DO93</f>
        <v>9</v>
      </c>
      <c r="DP123" s="120">
        <f>+DP93</f>
        <v>7</v>
      </c>
      <c r="DQ123" s="120">
        <f>+DQ93</f>
        <v>9</v>
      </c>
      <c r="DR123" s="120">
        <f>+DR93</f>
        <v>10</v>
      </c>
      <c r="DS123" s="257">
        <f ca="1">SUM(DO123:DR123)</f>
        <v>35</v>
      </c>
      <c r="DT123" s="120">
        <f>+DT93</f>
        <v>6</v>
      </c>
      <c r="DU123" s="120">
        <f>+DU93</f>
        <v>5</v>
      </c>
      <c r="DV123" s="120">
        <f>+DV93</f>
        <v>9</v>
      </c>
      <c r="DW123" s="120">
        <f>+DW93</f>
        <v>10</v>
      </c>
      <c r="DX123" s="257">
        <f>SUM(DT123:DW123)</f>
        <v>30</v>
      </c>
      <c r="DY123" s="120">
        <f>+DY93</f>
        <v>6</v>
      </c>
      <c r="DZ123" s="120">
        <f>+DZ93</f>
        <v>5</v>
      </c>
      <c r="EA123" s="120">
        <f>+EA93</f>
        <v>9</v>
      </c>
      <c r="EB123" s="120">
        <f>+EB93</f>
        <v>10</v>
      </c>
      <c r="EC123" s="257">
        <f>SUM(DY123:EB123)</f>
        <v>30</v>
      </c>
      <c r="ED123" s="120">
        <f>+ED93</f>
        <v>6</v>
      </c>
      <c r="EE123" s="120">
        <f>+EE93</f>
        <v>5</v>
      </c>
      <c r="EF123" s="120">
        <f>+EF93</f>
        <v>9</v>
      </c>
      <c r="EG123" s="120">
        <f>+EG93</f>
        <v>10</v>
      </c>
      <c r="EH123" s="257">
        <f>SUM(ED123:EG123)</f>
        <v>30</v>
      </c>
      <c r="EI123" s="120">
        <f>+EI93</f>
        <v>6</v>
      </c>
      <c r="EJ123" s="120">
        <f>+EJ93</f>
        <v>5</v>
      </c>
      <c r="EK123" s="120">
        <f>+EK93</f>
        <v>9</v>
      </c>
      <c r="EL123" s="120">
        <f>+EL93</f>
        <v>10</v>
      </c>
      <c r="EM123" s="257">
        <f>SUM(EI123:EL123)</f>
        <v>30</v>
      </c>
      <c r="EN123" s="120">
        <f>+EN93</f>
        <v>6</v>
      </c>
      <c r="EO123" s="120">
        <f>+EO93</f>
        <v>5</v>
      </c>
      <c r="EP123" s="120">
        <f>+EP93</f>
        <v>9</v>
      </c>
      <c r="EQ123" s="120">
        <f>+EQ93</f>
        <v>10</v>
      </c>
      <c r="ER123" s="257">
        <f>SUM(EN123:EQ123)</f>
        <v>30</v>
      </c>
      <c r="ES123" s="1564"/>
      <c r="ET123" s="133"/>
    </row>
    <row r="124" spans="1:150" s="253" customFormat="1" ht="12" customHeight="1">
      <c r="A124" s="792"/>
      <c r="B124" s="792"/>
      <c r="C124" s="258" t="s">
        <v>264</v>
      </c>
      <c r="D124" s="296"/>
      <c r="E124" s="296"/>
      <c r="F124" s="296"/>
      <c r="G124" s="296"/>
      <c r="H124" s="296"/>
      <c r="I124" s="256"/>
      <c r="J124" s="256"/>
      <c r="K124" s="256"/>
      <c r="L124" s="256"/>
      <c r="M124" s="296"/>
      <c r="N124" s="256"/>
      <c r="O124" s="256"/>
      <c r="P124" s="256"/>
      <c r="Q124" s="256"/>
      <c r="R124" s="296"/>
      <c r="S124" s="256"/>
      <c r="T124" s="256"/>
      <c r="U124" s="256"/>
      <c r="V124" s="256"/>
      <c r="W124" s="296"/>
      <c r="X124" s="256"/>
      <c r="Y124" s="256"/>
      <c r="Z124" s="256"/>
      <c r="AA124" s="256"/>
      <c r="AB124" s="296"/>
      <c r="AC124" s="256"/>
      <c r="AD124" s="256"/>
      <c r="AE124" s="256"/>
      <c r="AF124" s="256"/>
      <c r="AG124" s="296"/>
      <c r="AH124" s="256"/>
      <c r="AI124" s="256"/>
      <c r="AJ124" s="256"/>
      <c r="AK124" s="256"/>
      <c r="AL124" s="296"/>
      <c r="AM124" s="256"/>
      <c r="AN124" s="256"/>
      <c r="AO124" s="256"/>
      <c r="AP124" s="256"/>
      <c r="AQ124" s="296"/>
      <c r="AR124" s="256"/>
      <c r="AS124" s="256"/>
      <c r="AT124" s="256"/>
      <c r="AU124" s="256"/>
      <c r="AV124" s="296"/>
      <c r="AW124" s="256"/>
      <c r="AX124" s="256"/>
      <c r="AY124" s="256"/>
      <c r="AZ124" s="256"/>
      <c r="BA124" s="296"/>
      <c r="BB124" s="256"/>
      <c r="BC124" s="256"/>
      <c r="BD124" s="256"/>
      <c r="BE124" s="256"/>
      <c r="BF124" s="296"/>
      <c r="BK124" s="296"/>
      <c r="BP124" s="296"/>
      <c r="BQ124" s="120">
        <f>+BQ108</f>
        <v>0</v>
      </c>
      <c r="BR124" s="120">
        <f>+BR108</f>
        <v>0</v>
      </c>
      <c r="BS124" s="120">
        <f>+BS108</f>
        <v>0</v>
      </c>
      <c r="BT124" s="120">
        <f>+BT108</f>
        <v>0</v>
      </c>
      <c r="BU124" s="257">
        <f t="shared" si="731"/>
        <v>0</v>
      </c>
      <c r="BV124" s="120">
        <f>+BV108</f>
        <v>0</v>
      </c>
      <c r="BW124" s="120">
        <f>+BW108</f>
        <v>0</v>
      </c>
      <c r="BX124" s="120">
        <f>+BX108</f>
        <v>0</v>
      </c>
      <c r="BY124" s="120">
        <f>+BY108</f>
        <v>0</v>
      </c>
      <c r="BZ124" s="257">
        <f t="shared" si="732"/>
        <v>0</v>
      </c>
      <c r="CA124" s="120">
        <f>+CA108</f>
        <v>0</v>
      </c>
      <c r="CB124" s="120">
        <f>+CB108</f>
        <v>0</v>
      </c>
      <c r="CC124" s="120">
        <f>+CC108</f>
        <v>0</v>
      </c>
      <c r="CD124" s="120">
        <f>+CD108</f>
        <v>0</v>
      </c>
      <c r="CE124" s="257">
        <f t="shared" si="733"/>
        <v>0</v>
      </c>
      <c r="CF124" s="120">
        <f>+CF108</f>
        <v>0</v>
      </c>
      <c r="CG124" s="120">
        <f>+CG108</f>
        <v>0</v>
      </c>
      <c r="CH124" s="120">
        <f>+CH108</f>
        <v>1.2410000000000001</v>
      </c>
      <c r="CI124" s="120">
        <f>+CI108</f>
        <v>1.4470000000000001</v>
      </c>
      <c r="CJ124" s="257">
        <f t="shared" si="734"/>
        <v>2.6880000000000002</v>
      </c>
      <c r="CK124" s="120">
        <f>+CK108</f>
        <v>1.6830000000000001</v>
      </c>
      <c r="CL124" s="120">
        <f>+CL108</f>
        <v>1.5880000000000001</v>
      </c>
      <c r="CM124" s="120">
        <f>+CM108</f>
        <v>1.7070000000000001</v>
      </c>
      <c r="CN124" s="120">
        <f>+CN108</f>
        <v>5.1610000000000005</v>
      </c>
      <c r="CO124" s="257">
        <f t="shared" si="735"/>
        <v>10.138999999999999</v>
      </c>
      <c r="CP124" s="120">
        <f>+CP108</f>
        <v>6.0149999999999997</v>
      </c>
      <c r="CQ124" s="120">
        <f>+CQ108</f>
        <v>5.3019999999999996</v>
      </c>
      <c r="CR124" s="120">
        <f>+CR108</f>
        <v>4.9769999999999994</v>
      </c>
      <c r="CS124" s="120">
        <f>+CS108</f>
        <v>4.9750000000000005</v>
      </c>
      <c r="CT124" s="257">
        <f t="shared" si="736"/>
        <v>21.269000000000002</v>
      </c>
      <c r="CU124" s="120">
        <f>+CU108</f>
        <v>4.9749999999999996</v>
      </c>
      <c r="CV124" s="120">
        <f>+CV108</f>
        <v>4.8159999999999998</v>
      </c>
      <c r="CW124" s="120">
        <f>+CW108</f>
        <v>5.9799999999999995</v>
      </c>
      <c r="CX124" s="120">
        <f>+CX108</f>
        <v>6.3780000000000001</v>
      </c>
      <c r="CY124" s="257">
        <f t="shared" si="737"/>
        <v>22.149000000000001</v>
      </c>
      <c r="CZ124" s="120">
        <f>+CZ108</f>
        <v>6.6959999999999997</v>
      </c>
      <c r="DA124" s="120">
        <f>+DA108</f>
        <v>7.3260000000000005</v>
      </c>
      <c r="DB124" s="120">
        <f>+DB108</f>
        <v>19.157999999999998</v>
      </c>
      <c r="DC124" s="120">
        <f>+DC108</f>
        <v>20.522000000000002</v>
      </c>
      <c r="DD124" s="257">
        <f t="shared" si="738"/>
        <v>53.701999999999998</v>
      </c>
      <c r="DE124" s="120">
        <f>+DE108</f>
        <v>21</v>
      </c>
      <c r="DF124" s="120">
        <f>+DF108</f>
        <v>9</v>
      </c>
      <c r="DG124" s="120">
        <f>+DG108</f>
        <v>4</v>
      </c>
      <c r="DH124" s="120">
        <f>+DH108</f>
        <v>4</v>
      </c>
      <c r="DI124" s="257">
        <f t="shared" si="723"/>
        <v>38</v>
      </c>
      <c r="DJ124" s="120">
        <f>+DJ108</f>
        <v>4</v>
      </c>
      <c r="DK124" s="120">
        <f>+DK108</f>
        <v>4</v>
      </c>
      <c r="DL124" s="120">
        <f>+DL108</f>
        <v>4</v>
      </c>
      <c r="DM124" s="120">
        <f>+DM108</f>
        <v>2</v>
      </c>
      <c r="DN124" s="257">
        <f t="shared" si="724"/>
        <v>14</v>
      </c>
      <c r="DO124" s="120">
        <f>+DO108</f>
        <v>3</v>
      </c>
      <c r="DP124" s="120">
        <f>+DP108</f>
        <v>3</v>
      </c>
      <c r="DQ124" s="120">
        <f>+DQ108</f>
        <v>3</v>
      </c>
      <c r="DR124" s="120">
        <f>+DR108</f>
        <v>4</v>
      </c>
      <c r="DS124" s="257">
        <f t="shared" si="725"/>
        <v>13</v>
      </c>
      <c r="DT124" s="120">
        <f>+DT108</f>
        <v>3</v>
      </c>
      <c r="DU124" s="120">
        <f>+DU108</f>
        <v>2</v>
      </c>
      <c r="DV124" s="120">
        <f>+DV108</f>
        <v>1.8544617885210939</v>
      </c>
      <c r="DW124" s="120">
        <f>+DW108</f>
        <v>2.3748809733637501</v>
      </c>
      <c r="DX124" s="257">
        <f t="shared" si="726"/>
        <v>9.229342761884844</v>
      </c>
      <c r="DY124" s="120">
        <f>+DY108</f>
        <v>2.0175607824687503</v>
      </c>
      <c r="DZ124" s="120">
        <f>+DZ108</f>
        <v>2.2708725786067001</v>
      </c>
      <c r="EA124" s="120">
        <f>+EA108</f>
        <v>2.3208379505153101</v>
      </c>
      <c r="EB124" s="120">
        <f>+EB108</f>
        <v>2.9578684892053251</v>
      </c>
      <c r="EC124" s="257">
        <f t="shared" si="727"/>
        <v>9.5671398007960846</v>
      </c>
      <c r="ED124" s="120">
        <f>+ED108</f>
        <v>2.4385530947553953</v>
      </c>
      <c r="EE124" s="120">
        <f>+EE108</f>
        <v>2.7425241893667027</v>
      </c>
      <c r="EF124" s="120">
        <f>+EF108</f>
        <v>2.7993521581851342</v>
      </c>
      <c r="EG124" s="120">
        <f>+EG108</f>
        <v>3.5682266721590636</v>
      </c>
      <c r="EH124" s="257">
        <f t="shared" si="728"/>
        <v>11.548656114466297</v>
      </c>
      <c r="EI124" s="120">
        <f>+EI108</f>
        <v>2.8899274084196542</v>
      </c>
      <c r="EJ124" s="120">
        <f>+EJ108</f>
        <v>3.2506787438100693</v>
      </c>
      <c r="EK124" s="120">
        <f>+EK108</f>
        <v>3.3178414233572258</v>
      </c>
      <c r="EL124" s="120">
        <f>+EL108</f>
        <v>4.2312962225908866</v>
      </c>
      <c r="EM124" s="257">
        <f t="shared" si="729"/>
        <v>13.689743798177837</v>
      </c>
      <c r="EN124" s="120">
        <f>+EN108</f>
        <v>3.3902216525289108</v>
      </c>
      <c r="EO124" s="120">
        <f>+EO108</f>
        <v>3.8134995787109833</v>
      </c>
      <c r="EP124" s="120">
        <f>+EP108</f>
        <v>3.8925382506271973</v>
      </c>
      <c r="EQ124" s="120">
        <f>+EQ108</f>
        <v>4.9646469487442433</v>
      </c>
      <c r="ER124" s="257">
        <f t="shared" si="730"/>
        <v>16.060906430611336</v>
      </c>
      <c r="ES124" s="417"/>
      <c r="ET124" s="133"/>
    </row>
    <row r="125" spans="1:150" s="253" customFormat="1" ht="12" customHeight="1">
      <c r="A125" s="792"/>
      <c r="B125" s="792"/>
      <c r="C125" s="258" t="s">
        <v>266</v>
      </c>
      <c r="D125" s="296"/>
      <c r="E125" s="296"/>
      <c r="F125" s="296"/>
      <c r="G125" s="296"/>
      <c r="H125" s="296"/>
      <c r="I125" s="256"/>
      <c r="J125" s="256"/>
      <c r="K125" s="256"/>
      <c r="L125" s="256"/>
      <c r="M125" s="296"/>
      <c r="N125" s="256"/>
      <c r="O125" s="256"/>
      <c r="P125" s="256"/>
      <c r="Q125" s="256"/>
      <c r="R125" s="296"/>
      <c r="S125" s="256"/>
      <c r="T125" s="256"/>
      <c r="U125" s="256"/>
      <c r="V125" s="256"/>
      <c r="W125" s="296"/>
      <c r="X125" s="256"/>
      <c r="Y125" s="256"/>
      <c r="Z125" s="256"/>
      <c r="AA125" s="256"/>
      <c r="AB125" s="296"/>
      <c r="AC125" s="256"/>
      <c r="AD125" s="256"/>
      <c r="AE125" s="256"/>
      <c r="AF125" s="256"/>
      <c r="AG125" s="296"/>
      <c r="AH125" s="256"/>
      <c r="AI125" s="256"/>
      <c r="AJ125" s="256"/>
      <c r="AK125" s="256"/>
      <c r="AL125" s="296"/>
      <c r="AM125" s="256"/>
      <c r="AN125" s="256"/>
      <c r="AO125" s="256"/>
      <c r="AP125" s="256"/>
      <c r="AQ125" s="296"/>
      <c r="AR125" s="256"/>
      <c r="AS125" s="256"/>
      <c r="AT125" s="256"/>
      <c r="AU125" s="256"/>
      <c r="AV125" s="296"/>
      <c r="AW125" s="256"/>
      <c r="AX125" s="256"/>
      <c r="AY125" s="256"/>
      <c r="AZ125" s="256"/>
      <c r="BA125" s="296"/>
      <c r="BB125" s="256"/>
      <c r="BC125" s="256"/>
      <c r="BD125" s="256"/>
      <c r="BE125" s="256"/>
      <c r="BF125" s="296"/>
      <c r="BK125" s="296"/>
      <c r="BP125" s="296"/>
      <c r="BQ125" s="120">
        <f>-BQ53</f>
        <v>0</v>
      </c>
      <c r="BR125" s="120">
        <f>-BR53</f>
        <v>0</v>
      </c>
      <c r="BS125" s="120">
        <f>-BS53</f>
        <v>0</v>
      </c>
      <c r="BT125" s="120">
        <f>-BT53</f>
        <v>0</v>
      </c>
      <c r="BU125" s="257">
        <f t="shared" si="731"/>
        <v>0</v>
      </c>
      <c r="BV125" s="120">
        <f>-BV53</f>
        <v>0</v>
      </c>
      <c r="BW125" s="120">
        <f>-BW53</f>
        <v>0</v>
      </c>
      <c r="BX125" s="120">
        <f>-BX53</f>
        <v>0</v>
      </c>
      <c r="BY125" s="120">
        <f>-BY53</f>
        <v>0</v>
      </c>
      <c r="BZ125" s="257">
        <f t="shared" si="732"/>
        <v>0</v>
      </c>
      <c r="CA125" s="120">
        <f>-CA53</f>
        <v>0</v>
      </c>
      <c r="CB125" s="120">
        <f>-CB53</f>
        <v>0</v>
      </c>
      <c r="CC125" s="120">
        <f>-CC53</f>
        <v>0</v>
      </c>
      <c r="CD125" s="120">
        <f>-CD53</f>
        <v>0</v>
      </c>
      <c r="CE125" s="257">
        <f t="shared" si="733"/>
        <v>0</v>
      </c>
      <c r="CF125" s="120">
        <f>-CF53</f>
        <v>0</v>
      </c>
      <c r="CG125" s="120">
        <f>-CG53</f>
        <v>0</v>
      </c>
      <c r="CH125" s="120">
        <f>-CH53</f>
        <v>0</v>
      </c>
      <c r="CI125" s="120">
        <f>-CI53</f>
        <v>0</v>
      </c>
      <c r="CJ125" s="257">
        <f t="shared" si="734"/>
        <v>0</v>
      </c>
      <c r="CK125" s="120">
        <f>-CK53</f>
        <v>0</v>
      </c>
      <c r="CL125" s="120">
        <f>-CL53</f>
        <v>0</v>
      </c>
      <c r="CM125" s="120">
        <f>-CM53</f>
        <v>0</v>
      </c>
      <c r="CN125" s="120">
        <f>-CN53</f>
        <v>0</v>
      </c>
      <c r="CO125" s="257">
        <f t="shared" si="735"/>
        <v>0</v>
      </c>
      <c r="CP125" s="120">
        <f>-CP53</f>
        <v>0</v>
      </c>
      <c r="CQ125" s="120">
        <f>-CQ53</f>
        <v>0</v>
      </c>
      <c r="CR125" s="120">
        <f>-CR53</f>
        <v>-133.239</v>
      </c>
      <c r="CS125" s="120">
        <f>-CS53</f>
        <v>-1.9540000000000077</v>
      </c>
      <c r="CT125" s="257">
        <f t="shared" si="736"/>
        <v>-135.19300000000001</v>
      </c>
      <c r="CU125" s="120">
        <f>-CU53</f>
        <v>-1250.944</v>
      </c>
      <c r="CV125" s="120">
        <f>-CV53</f>
        <v>-777.74900000000002</v>
      </c>
      <c r="CW125" s="120">
        <f>-CW53</f>
        <v>-1340.8420000000001</v>
      </c>
      <c r="CX125" s="120">
        <f>-CX53</f>
        <v>509.73499999999967</v>
      </c>
      <c r="CY125" s="257">
        <f t="shared" si="737"/>
        <v>-2859.8</v>
      </c>
      <c r="CZ125" s="120">
        <f>-CZ53</f>
        <v>1555.12</v>
      </c>
      <c r="DA125" s="120">
        <f>-DA53</f>
        <v>1017.0169999999999</v>
      </c>
      <c r="DB125" s="120">
        <f>-DB53</f>
        <v>-171.92000000000002</v>
      </c>
      <c r="DC125" s="120">
        <f>-DC53</f>
        <v>474.07300000000032</v>
      </c>
      <c r="DD125" s="257">
        <f t="shared" si="738"/>
        <v>2874.29</v>
      </c>
      <c r="DE125" s="120">
        <f>-DE53</f>
        <v>-215</v>
      </c>
      <c r="DF125" s="120">
        <f>-DF53</f>
        <v>-281</v>
      </c>
      <c r="DG125" s="120">
        <f>-DG53</f>
        <v>-545</v>
      </c>
      <c r="DH125" s="120">
        <f>-DH53</f>
        <v>-320</v>
      </c>
      <c r="DI125" s="257">
        <f t="shared" si="723"/>
        <v>-1361</v>
      </c>
      <c r="DJ125" s="120">
        <f>-DJ53</f>
        <v>417</v>
      </c>
      <c r="DK125" s="120">
        <f>-DK53</f>
        <v>120</v>
      </c>
      <c r="DL125" s="120">
        <f>-DL53</f>
        <v>-484</v>
      </c>
      <c r="DM125" s="120">
        <f>-DM53</f>
        <v>-906</v>
      </c>
      <c r="DN125" s="257">
        <f t="shared" si="724"/>
        <v>-853</v>
      </c>
      <c r="DO125" s="120">
        <f>-DO53</f>
        <v>1044</v>
      </c>
      <c r="DP125" s="120">
        <f>-DP53</f>
        <v>-658</v>
      </c>
      <c r="DQ125" s="120">
        <f>-DQ53</f>
        <v>112</v>
      </c>
      <c r="DR125" s="120">
        <f>-DR53</f>
        <v>-182</v>
      </c>
      <c r="DS125" s="257">
        <f t="shared" si="725"/>
        <v>316</v>
      </c>
      <c r="DT125" s="120">
        <f>-DT53</f>
        <v>1082</v>
      </c>
      <c r="DU125" s="120">
        <f>-DU53</f>
        <v>-1228</v>
      </c>
      <c r="DV125" s="120">
        <f>-DV53</f>
        <v>0</v>
      </c>
      <c r="DW125" s="120">
        <f>-DW53</f>
        <v>0</v>
      </c>
      <c r="DX125" s="257">
        <f t="shared" si="726"/>
        <v>-146</v>
      </c>
      <c r="DY125" s="120">
        <f>-DY53</f>
        <v>0</v>
      </c>
      <c r="DZ125" s="120">
        <f>-DZ53</f>
        <v>0</v>
      </c>
      <c r="EA125" s="120">
        <f>-EA53</f>
        <v>0</v>
      </c>
      <c r="EB125" s="120">
        <f>-EB53</f>
        <v>0</v>
      </c>
      <c r="EC125" s="257">
        <f t="shared" si="727"/>
        <v>0</v>
      </c>
      <c r="ED125" s="120">
        <f>-ED53</f>
        <v>0</v>
      </c>
      <c r="EE125" s="120">
        <f>-EE53</f>
        <v>0</v>
      </c>
      <c r="EF125" s="120">
        <f>-EF53</f>
        <v>0</v>
      </c>
      <c r="EG125" s="120">
        <f>-EG53</f>
        <v>0</v>
      </c>
      <c r="EH125" s="257">
        <f t="shared" si="728"/>
        <v>0</v>
      </c>
      <c r="EI125" s="120">
        <f>-EI53</f>
        <v>0</v>
      </c>
      <c r="EJ125" s="120">
        <f>-EJ53</f>
        <v>0</v>
      </c>
      <c r="EK125" s="120">
        <f>-EK53</f>
        <v>0</v>
      </c>
      <c r="EL125" s="120">
        <f>-EL53</f>
        <v>0</v>
      </c>
      <c r="EM125" s="257">
        <f t="shared" si="729"/>
        <v>0</v>
      </c>
      <c r="EN125" s="120">
        <f>-EN53</f>
        <v>0</v>
      </c>
      <c r="EO125" s="120">
        <f>-EO53</f>
        <v>0</v>
      </c>
      <c r="EP125" s="120">
        <f>-EP53</f>
        <v>0</v>
      </c>
      <c r="EQ125" s="120">
        <f>-EQ53</f>
        <v>0</v>
      </c>
      <c r="ER125" s="257">
        <f t="shared" si="730"/>
        <v>0</v>
      </c>
      <c r="ES125" s="417"/>
      <c r="ET125" s="133"/>
    </row>
    <row r="126" spans="1:150" s="253" customFormat="1" ht="12" customHeight="1">
      <c r="A126" s="792"/>
      <c r="B126" s="792"/>
      <c r="C126" s="258" t="s">
        <v>68</v>
      </c>
      <c r="D126" s="296"/>
      <c r="E126" s="296"/>
      <c r="F126" s="296"/>
      <c r="G126" s="296"/>
      <c r="H126" s="296"/>
      <c r="I126" s="256"/>
      <c r="J126" s="256"/>
      <c r="K126" s="256"/>
      <c r="L126" s="256"/>
      <c r="M126" s="296"/>
      <c r="N126" s="256"/>
      <c r="O126" s="256"/>
      <c r="P126" s="256"/>
      <c r="Q126" s="256"/>
      <c r="R126" s="296"/>
      <c r="S126" s="256"/>
      <c r="T126" s="256"/>
      <c r="U126" s="256"/>
      <c r="V126" s="256"/>
      <c r="W126" s="296"/>
      <c r="X126" s="256"/>
      <c r="Y126" s="256"/>
      <c r="Z126" s="256"/>
      <c r="AA126" s="256"/>
      <c r="AB126" s="296"/>
      <c r="AC126" s="256"/>
      <c r="AD126" s="256"/>
      <c r="AE126" s="256"/>
      <c r="AF126" s="256"/>
      <c r="AG126" s="296"/>
      <c r="AH126" s="256"/>
      <c r="AI126" s="256"/>
      <c r="AJ126" s="256"/>
      <c r="AK126" s="256"/>
      <c r="AL126" s="296"/>
      <c r="AM126" s="256"/>
      <c r="AN126" s="256"/>
      <c r="AO126" s="256"/>
      <c r="AP126" s="256"/>
      <c r="AQ126" s="296"/>
      <c r="AR126" s="256"/>
      <c r="AS126" s="256"/>
      <c r="AT126" s="256"/>
      <c r="AU126" s="256"/>
      <c r="AV126" s="296"/>
      <c r="AW126" s="256"/>
      <c r="AX126" s="256"/>
      <c r="AY126" s="256"/>
      <c r="AZ126" s="256"/>
      <c r="BA126" s="296"/>
      <c r="BB126" s="256"/>
      <c r="BC126" s="256"/>
      <c r="BD126" s="256"/>
      <c r="BE126" s="256"/>
      <c r="BF126" s="296"/>
      <c r="BK126" s="296"/>
      <c r="BP126" s="296"/>
      <c r="BQ126" s="120">
        <f>+BQ110</f>
        <v>0.56599999999999995</v>
      </c>
      <c r="BR126" s="120">
        <f>+BR110</f>
        <v>0</v>
      </c>
      <c r="BS126" s="120">
        <f>+BS110</f>
        <v>0</v>
      </c>
      <c r="BT126" s="120">
        <f>+BT110</f>
        <v>0</v>
      </c>
      <c r="BU126" s="257">
        <f t="shared" si="731"/>
        <v>0.56599999999999995</v>
      </c>
      <c r="BV126" s="120">
        <f>+BV110</f>
        <v>0</v>
      </c>
      <c r="BW126" s="120">
        <f>+BW110</f>
        <v>0</v>
      </c>
      <c r="BX126" s="120">
        <f>+BX110</f>
        <v>0</v>
      </c>
      <c r="BY126" s="120">
        <f>+BY110</f>
        <v>0</v>
      </c>
      <c r="BZ126" s="257">
        <f t="shared" si="732"/>
        <v>0</v>
      </c>
      <c r="CA126" s="120">
        <f>+CA110</f>
        <v>0</v>
      </c>
      <c r="CB126" s="120">
        <f>+CB110</f>
        <v>0</v>
      </c>
      <c r="CC126" s="120">
        <f>+CC110</f>
        <v>0</v>
      </c>
      <c r="CD126" s="120">
        <f>+CD110</f>
        <v>0</v>
      </c>
      <c r="CE126" s="257">
        <f t="shared" si="733"/>
        <v>0</v>
      </c>
      <c r="CF126" s="120">
        <f>+CF110</f>
        <v>0</v>
      </c>
      <c r="CG126" s="120">
        <f>+CG110</f>
        <v>0</v>
      </c>
      <c r="CH126" s="120">
        <f>+CH110</f>
        <v>0</v>
      </c>
      <c r="CI126" s="120">
        <f>+CI110</f>
        <v>0</v>
      </c>
      <c r="CJ126" s="257">
        <f t="shared" si="734"/>
        <v>0</v>
      </c>
      <c r="CK126" s="120">
        <f>+CK110</f>
        <v>0</v>
      </c>
      <c r="CL126" s="120">
        <f>+CL110</f>
        <v>0</v>
      </c>
      <c r="CM126" s="120">
        <f>+CM110</f>
        <v>0</v>
      </c>
      <c r="CN126" s="120">
        <f>+CN110</f>
        <v>0</v>
      </c>
      <c r="CO126" s="257">
        <f t="shared" si="735"/>
        <v>0</v>
      </c>
      <c r="CP126" s="120">
        <f>+CP110</f>
        <v>0</v>
      </c>
      <c r="CQ126" s="120">
        <f>+CQ110</f>
        <v>31.623000000000001</v>
      </c>
      <c r="CR126" s="120">
        <f>+CR110+1.13</f>
        <v>1.1299999999999999</v>
      </c>
      <c r="CS126" s="120">
        <f>+CS110+7.116</f>
        <v>7.1159999999999997</v>
      </c>
      <c r="CT126" s="257">
        <f t="shared" si="736"/>
        <v>39.869</v>
      </c>
      <c r="CU126" s="120">
        <f>+CU110</f>
        <v>0</v>
      </c>
      <c r="CV126" s="120">
        <f>+CV110</f>
        <v>0</v>
      </c>
      <c r="CW126" s="120">
        <f>+CW110</f>
        <v>30.145</v>
      </c>
      <c r="CX126" s="120">
        <f>+CX110</f>
        <v>0</v>
      </c>
      <c r="CY126" s="257">
        <f t="shared" si="737"/>
        <v>30.145</v>
      </c>
      <c r="CZ126" s="120">
        <f>+CZ110</f>
        <v>0</v>
      </c>
      <c r="DA126" s="120">
        <f>+DA110</f>
        <v>0</v>
      </c>
      <c r="DB126" s="120">
        <f>+DB110</f>
        <v>127.48099999999999</v>
      </c>
      <c r="DC126" s="120">
        <f>+DC110</f>
        <v>84.313999999999993</v>
      </c>
      <c r="DD126" s="257">
        <f t="shared" si="738"/>
        <v>211.79499999999999</v>
      </c>
      <c r="DE126" s="120">
        <f>+DE110</f>
        <v>0</v>
      </c>
      <c r="DF126" s="120">
        <f>+DF110</f>
        <v>1652</v>
      </c>
      <c r="DG126" s="120">
        <f>+DG110-4</f>
        <v>38</v>
      </c>
      <c r="DH126" s="120">
        <f>+DH110</f>
        <v>0</v>
      </c>
      <c r="DI126" s="257">
        <f t="shared" si="723"/>
        <v>1690</v>
      </c>
      <c r="DJ126" s="120">
        <f>+DJ110</f>
        <v>0</v>
      </c>
      <c r="DK126" s="120">
        <f>+DK110</f>
        <v>-55</v>
      </c>
      <c r="DL126" s="120">
        <f>+DL110</f>
        <v>0</v>
      </c>
      <c r="DM126" s="120">
        <f>+DM110</f>
        <v>0</v>
      </c>
      <c r="DN126" s="257">
        <f t="shared" si="724"/>
        <v>-55</v>
      </c>
      <c r="DO126" s="120">
        <f>+DO110</f>
        <v>0</v>
      </c>
      <c r="DP126" s="120">
        <f>+DP110</f>
        <v>10</v>
      </c>
      <c r="DQ126" s="120">
        <f>+DQ110</f>
        <v>3</v>
      </c>
      <c r="DR126" s="120">
        <f>+DR110</f>
        <v>0</v>
      </c>
      <c r="DS126" s="257">
        <f t="shared" si="725"/>
        <v>13</v>
      </c>
      <c r="DT126" s="120">
        <f>+DT110</f>
        <v>0</v>
      </c>
      <c r="DU126" s="120">
        <f>+DU110</f>
        <v>0</v>
      </c>
      <c r="DV126" s="120">
        <f>+DV110</f>
        <v>0</v>
      </c>
      <c r="DW126" s="120">
        <f>+DW110</f>
        <v>0</v>
      </c>
      <c r="DX126" s="257">
        <f t="shared" si="726"/>
        <v>0</v>
      </c>
      <c r="DY126" s="120">
        <f>+DY110</f>
        <v>0</v>
      </c>
      <c r="DZ126" s="120">
        <f>+DZ110</f>
        <v>0</v>
      </c>
      <c r="EA126" s="120">
        <f>+EA110</f>
        <v>0</v>
      </c>
      <c r="EB126" s="120">
        <f>+EB110</f>
        <v>0</v>
      </c>
      <c r="EC126" s="257">
        <f t="shared" si="727"/>
        <v>0</v>
      </c>
      <c r="ED126" s="120">
        <f>+ED110</f>
        <v>0</v>
      </c>
      <c r="EE126" s="120">
        <f>+EE110</f>
        <v>0</v>
      </c>
      <c r="EF126" s="120">
        <f>+EF110</f>
        <v>0</v>
      </c>
      <c r="EG126" s="120">
        <f>+EG110</f>
        <v>0</v>
      </c>
      <c r="EH126" s="257">
        <f t="shared" si="728"/>
        <v>0</v>
      </c>
      <c r="EI126" s="120">
        <f>+EI110</f>
        <v>0</v>
      </c>
      <c r="EJ126" s="120">
        <f>+EJ110</f>
        <v>0</v>
      </c>
      <c r="EK126" s="120">
        <f>+EK110</f>
        <v>0</v>
      </c>
      <c r="EL126" s="120">
        <f>+EL110</f>
        <v>0</v>
      </c>
      <c r="EM126" s="257">
        <f t="shared" si="729"/>
        <v>0</v>
      </c>
      <c r="EN126" s="120">
        <f>+EN110</f>
        <v>0</v>
      </c>
      <c r="EO126" s="120">
        <f>+EO110</f>
        <v>0</v>
      </c>
      <c r="EP126" s="120">
        <f>+EP110</f>
        <v>0</v>
      </c>
      <c r="EQ126" s="120">
        <f>+EQ110</f>
        <v>0</v>
      </c>
      <c r="ER126" s="257">
        <f t="shared" si="730"/>
        <v>0</v>
      </c>
      <c r="ES126" s="417"/>
      <c r="ET126" s="133"/>
    </row>
    <row r="127" spans="1:150" s="275" customFormat="1" ht="12" customHeight="1">
      <c r="A127" s="792"/>
      <c r="B127" s="792"/>
      <c r="C127" s="356" t="s">
        <v>151</v>
      </c>
      <c r="D127" s="357"/>
      <c r="E127" s="357"/>
      <c r="F127" s="357"/>
      <c r="G127" s="357"/>
      <c r="H127" s="357"/>
      <c r="I127" s="358"/>
      <c r="J127" s="358"/>
      <c r="K127" s="358"/>
      <c r="L127" s="358"/>
      <c r="M127" s="357"/>
      <c r="N127" s="358"/>
      <c r="O127" s="358"/>
      <c r="P127" s="358"/>
      <c r="Q127" s="358"/>
      <c r="R127" s="357"/>
      <c r="S127" s="358"/>
      <c r="T127" s="358"/>
      <c r="U127" s="358"/>
      <c r="V127" s="358"/>
      <c r="W127" s="357"/>
      <c r="X127" s="358"/>
      <c r="Y127" s="358"/>
      <c r="Z127" s="358"/>
      <c r="AA127" s="358"/>
      <c r="AB127" s="357"/>
      <c r="AC127" s="358"/>
      <c r="AD127" s="358"/>
      <c r="AE127" s="358"/>
      <c r="AF127" s="358"/>
      <c r="AG127" s="357"/>
      <c r="AH127" s="358"/>
      <c r="AI127" s="358"/>
      <c r="AJ127" s="358"/>
      <c r="AK127" s="358"/>
      <c r="AL127" s="357"/>
      <c r="AM127" s="358"/>
      <c r="AN127" s="358"/>
      <c r="AO127" s="358"/>
      <c r="AP127" s="358"/>
      <c r="AQ127" s="357"/>
      <c r="AR127" s="358"/>
      <c r="AS127" s="358"/>
      <c r="AT127" s="358"/>
      <c r="AU127" s="358"/>
      <c r="AV127" s="357"/>
      <c r="AW127" s="358"/>
      <c r="AX127" s="358"/>
      <c r="AY127" s="358"/>
      <c r="AZ127" s="358"/>
      <c r="BA127" s="357"/>
      <c r="BB127" s="358"/>
      <c r="BC127" s="358"/>
      <c r="BD127" s="358"/>
      <c r="BE127" s="358"/>
      <c r="BF127" s="357"/>
      <c r="BG127" s="637"/>
      <c r="BH127" s="637"/>
      <c r="BI127" s="637"/>
      <c r="BJ127" s="637"/>
      <c r="BK127" s="357"/>
      <c r="BL127" s="637"/>
      <c r="BM127" s="637"/>
      <c r="BN127" s="637"/>
      <c r="BO127" s="632"/>
      <c r="BP127" s="357"/>
      <c r="BQ127" s="359">
        <f t="shared" ref="BQ127:DK127" si="739">+(BQ57+BQ128)/SUM(BQ121:BQ126,BQ57)</f>
        <v>0</v>
      </c>
      <c r="BR127" s="359">
        <f t="shared" si="739"/>
        <v>0</v>
      </c>
      <c r="BS127" s="359">
        <f t="shared" si="739"/>
        <v>0</v>
      </c>
      <c r="BT127" s="359">
        <f t="shared" si="739"/>
        <v>0</v>
      </c>
      <c r="BU127" s="243">
        <f t="shared" si="739"/>
        <v>0</v>
      </c>
      <c r="BV127" s="359">
        <f t="shared" si="739"/>
        <v>0</v>
      </c>
      <c r="BW127" s="359">
        <f t="shared" si="739"/>
        <v>0</v>
      </c>
      <c r="BX127" s="359">
        <f t="shared" si="739"/>
        <v>0</v>
      </c>
      <c r="BY127" s="359">
        <f t="shared" si="739"/>
        <v>0</v>
      </c>
      <c r="BZ127" s="243">
        <f t="shared" si="739"/>
        <v>0</v>
      </c>
      <c r="CA127" s="359">
        <f t="shared" si="739"/>
        <v>0</v>
      </c>
      <c r="CB127" s="359">
        <f t="shared" si="739"/>
        <v>0</v>
      </c>
      <c r="CC127" s="359">
        <f t="shared" si="739"/>
        <v>0</v>
      </c>
      <c r="CD127" s="359">
        <f t="shared" si="739"/>
        <v>0</v>
      </c>
      <c r="CE127" s="243">
        <f t="shared" si="739"/>
        <v>0</v>
      </c>
      <c r="CF127" s="359">
        <f t="shared" si="739"/>
        <v>0</v>
      </c>
      <c r="CG127" s="359">
        <f t="shared" si="739"/>
        <v>0</v>
      </c>
      <c r="CH127" s="359">
        <f t="shared" si="739"/>
        <v>0</v>
      </c>
      <c r="CI127" s="359">
        <f t="shared" si="739"/>
        <v>0</v>
      </c>
      <c r="CJ127" s="243">
        <f t="shared" si="739"/>
        <v>0</v>
      </c>
      <c r="CK127" s="359">
        <f t="shared" si="739"/>
        <v>-0.40552532440351791</v>
      </c>
      <c r="CL127" s="359">
        <f t="shared" si="739"/>
        <v>-0.38116385027971633</v>
      </c>
      <c r="CM127" s="359">
        <f t="shared" si="739"/>
        <v>0.7389075764856643</v>
      </c>
      <c r="CN127" s="359">
        <f t="shared" si="739"/>
        <v>0.12718489798512672</v>
      </c>
      <c r="CO127" s="243">
        <f t="shared" si="739"/>
        <v>-1.7196137196137182</v>
      </c>
      <c r="CP127" s="359">
        <f t="shared" si="739"/>
        <v>0.26088538124535404</v>
      </c>
      <c r="CQ127" s="359">
        <f t="shared" si="739"/>
        <v>6.4114462490332536E-2</v>
      </c>
      <c r="CR127" s="359">
        <f t="shared" si="739"/>
        <v>4.246766500739383E-2</v>
      </c>
      <c r="CS127" s="359">
        <f t="shared" si="739"/>
        <v>-1.535866515768433E-2</v>
      </c>
      <c r="CT127" s="243">
        <f t="shared" si="739"/>
        <v>4.9564957465200607E-2</v>
      </c>
      <c r="CU127" s="359">
        <f t="shared" si="739"/>
        <v>-3.7380523380522503</v>
      </c>
      <c r="CV127" s="359">
        <f t="shared" si="739"/>
        <v>0.28826884732843711</v>
      </c>
      <c r="CW127" s="359">
        <f t="shared" si="739"/>
        <v>0.17093522423979984</v>
      </c>
      <c r="CX127" s="359">
        <f t="shared" si="739"/>
        <v>9.7015088036644589E-2</v>
      </c>
      <c r="CY127" s="243">
        <f t="shared" si="739"/>
        <v>0.30276601180921048</v>
      </c>
      <c r="CZ127" s="359">
        <f t="shared" si="739"/>
        <v>-1.8174995052062572E-2</v>
      </c>
      <c r="DA127" s="359">
        <f t="shared" si="739"/>
        <v>0.12824756291090497</v>
      </c>
      <c r="DB127" s="359">
        <f t="shared" si="739"/>
        <v>4.0747245728883899E-2</v>
      </c>
      <c r="DC127" s="359">
        <f t="shared" si="739"/>
        <v>-0.20003515170156155</v>
      </c>
      <c r="DD127" s="243">
        <f t="shared" si="739"/>
        <v>-7.9607571788661999E-2</v>
      </c>
      <c r="DE127" s="359">
        <f t="shared" si="739"/>
        <v>-0.84615384615384615</v>
      </c>
      <c r="DF127" s="359">
        <f t="shared" si="739"/>
        <v>-6.3768115942028983E-2</v>
      </c>
      <c r="DG127" s="359">
        <f t="shared" si="739"/>
        <v>-5.128205128205128E-2</v>
      </c>
      <c r="DH127" s="359">
        <f t="shared" si="739"/>
        <v>-6.6825775656324582E-2</v>
      </c>
      <c r="DI127" s="243">
        <f t="shared" si="739"/>
        <v>-7.0707070707070704E-2</v>
      </c>
      <c r="DJ127" s="359">
        <f t="shared" si="739"/>
        <v>-8.2644628099173556E-2</v>
      </c>
      <c r="DK127" s="359">
        <f t="shared" si="739"/>
        <v>-0.11356466876971609</v>
      </c>
      <c r="DL127" s="359">
        <f>-DL58</f>
        <v>-3.7209302325581395E-2</v>
      </c>
      <c r="DM127" s="359">
        <f>-DM58</f>
        <v>-9.0077410274454608E-2</v>
      </c>
      <c r="DN127" s="243">
        <f ca="1">+(DN57+DN128)/SUM(DN121:DN126,DN57)</f>
        <v>-0.1111111111111111</v>
      </c>
      <c r="DO127" s="963">
        <f ca="1">+(DO57+DO128)/SUM(DO121:DO126,DO57)</f>
        <v>-0.11284722222222222</v>
      </c>
      <c r="DP127" s="359">
        <f>+(DP57+DP128)/SUM(DP121:DP126,DP57)</f>
        <v>-0.47596153846153844</v>
      </c>
      <c r="DQ127" s="359">
        <f>+(DQ57+DQ128)/SUM(DQ121:DQ126,DQ57)</f>
        <v>-0.22246696035242292</v>
      </c>
      <c r="DR127" s="963">
        <f>-DR58</f>
        <v>-0.16704035874439463</v>
      </c>
      <c r="DS127" s="243">
        <f ca="1">+(DS57+DS128)/SUM(DS121:DS126,DS57)</f>
        <v>-0.26475548060708265</v>
      </c>
      <c r="DT127" s="963">
        <f>+(DT57+DT128)/SUM(DT121:DT126,DT57)</f>
        <v>-0.16978417266187051</v>
      </c>
      <c r="DU127" s="359">
        <f>+(DU57+DU128)/SUM(DU121:DU126,DU57)</f>
        <v>-0.9779411764705882</v>
      </c>
      <c r="DV127" s="360">
        <f>-DV58</f>
        <v>-0.17499999999999999</v>
      </c>
      <c r="DW127" s="360">
        <f>-DW58</f>
        <v>-0.17499999999999999</v>
      </c>
      <c r="DX127" s="243">
        <f>+(DX57+DX128)/SUM(DX121:DX126,DX57)</f>
        <v>-0.25099356324339595</v>
      </c>
      <c r="DY127" s="360">
        <f>-DY58</f>
        <v>-0.185</v>
      </c>
      <c r="DZ127" s="360">
        <f>-DZ58</f>
        <v>-0.17100000000000001</v>
      </c>
      <c r="EA127" s="360">
        <f>-EA58</f>
        <v>-0.17199999999999999</v>
      </c>
      <c r="EB127" s="360">
        <f>-EB58</f>
        <v>-0.17199999999999999</v>
      </c>
      <c r="EC127" s="243">
        <f>+(EC57+EC128)/SUM(EC121:EC126,EC57)</f>
        <v>-0.22947185695181774</v>
      </c>
      <c r="ED127" s="360">
        <f>-ED58</f>
        <v>-0.185</v>
      </c>
      <c r="EE127" s="360">
        <f>-EE58</f>
        <v>-0.17100000000000001</v>
      </c>
      <c r="EF127" s="360">
        <f>-EF58</f>
        <v>-0.17199999999999999</v>
      </c>
      <c r="EG127" s="360">
        <f>-EG58</f>
        <v>-0.17199999999999999</v>
      </c>
      <c r="EH127" s="243">
        <f>+(EH57+EH128)/SUM(EH121:EH126,EH57)</f>
        <v>-0.25568013031452308</v>
      </c>
      <c r="EI127" s="360">
        <f>-EI58</f>
        <v>-0.185</v>
      </c>
      <c r="EJ127" s="360">
        <f>-EJ58</f>
        <v>-0.17100000000000001</v>
      </c>
      <c r="EK127" s="360">
        <f>-EK58</f>
        <v>-0.17199999999999999</v>
      </c>
      <c r="EL127" s="360">
        <f>-EL58</f>
        <v>-0.17199999999999999</v>
      </c>
      <c r="EM127" s="243">
        <f>+(EM57+EM128)/SUM(EM121:EM126,EM57)</f>
        <v>-0.25880085002318742</v>
      </c>
      <c r="EN127" s="360">
        <f>-EN58</f>
        <v>-0.185</v>
      </c>
      <c r="EO127" s="360">
        <f>-EO58</f>
        <v>-0.17100000000000001</v>
      </c>
      <c r="EP127" s="360">
        <f>-EP58</f>
        <v>-0.17199999999999999</v>
      </c>
      <c r="EQ127" s="360">
        <f>-EQ58</f>
        <v>-0.17199999999999999</v>
      </c>
      <c r="ER127" s="243">
        <f>+(ER57+ER128)/SUM(ER121:ER126,ER57)</f>
        <v>-0.26194833029559583</v>
      </c>
      <c r="ES127" s="244"/>
      <c r="ET127" s="133"/>
    </row>
    <row r="128" spans="1:150" s="253" customFormat="1" ht="12" customHeight="1">
      <c r="A128" s="792"/>
      <c r="B128" s="792"/>
      <c r="C128" s="361" t="s">
        <v>265</v>
      </c>
      <c r="D128" s="296"/>
      <c r="E128" s="296"/>
      <c r="F128" s="296"/>
      <c r="G128" s="296"/>
      <c r="H128" s="296"/>
      <c r="I128" s="256"/>
      <c r="J128" s="256"/>
      <c r="K128" s="256"/>
      <c r="L128" s="256"/>
      <c r="M128" s="296"/>
      <c r="N128" s="256"/>
      <c r="O128" s="256"/>
      <c r="P128" s="256"/>
      <c r="Q128" s="256"/>
      <c r="R128" s="296"/>
      <c r="S128" s="256"/>
      <c r="T128" s="256"/>
      <c r="U128" s="256"/>
      <c r="V128" s="256"/>
      <c r="W128" s="296"/>
      <c r="X128" s="256"/>
      <c r="Y128" s="256"/>
      <c r="Z128" s="256"/>
      <c r="AA128" s="256"/>
      <c r="AB128" s="296"/>
      <c r="AC128" s="256"/>
      <c r="AD128" s="256"/>
      <c r="AE128" s="256"/>
      <c r="AF128" s="256"/>
      <c r="AG128" s="296"/>
      <c r="AH128" s="256"/>
      <c r="AI128" s="256"/>
      <c r="AJ128" s="256"/>
      <c r="AK128" s="256"/>
      <c r="AL128" s="296"/>
      <c r="AM128" s="256"/>
      <c r="AN128" s="256"/>
      <c r="AO128" s="256"/>
      <c r="AP128" s="256"/>
      <c r="AQ128" s="296"/>
      <c r="AR128" s="256"/>
      <c r="AS128" s="256"/>
      <c r="AT128" s="256"/>
      <c r="AU128" s="256"/>
      <c r="AV128" s="296"/>
      <c r="AW128" s="256"/>
      <c r="AX128" s="256"/>
      <c r="AY128" s="256"/>
      <c r="AZ128" s="256"/>
      <c r="BA128" s="296"/>
      <c r="BB128" s="256"/>
      <c r="BC128" s="256"/>
      <c r="BD128" s="256"/>
      <c r="BE128" s="256"/>
      <c r="BF128" s="296"/>
      <c r="BG128" s="291"/>
      <c r="BH128" s="291"/>
      <c r="BI128" s="291"/>
      <c r="BJ128" s="291"/>
      <c r="BK128" s="296"/>
      <c r="BL128" s="291"/>
      <c r="BM128" s="291"/>
      <c r="BN128" s="291"/>
      <c r="BO128" s="332"/>
      <c r="BP128" s="296"/>
      <c r="BQ128" s="342">
        <v>0</v>
      </c>
      <c r="BR128" s="342">
        <v>0</v>
      </c>
      <c r="BS128" s="342">
        <v>0</v>
      </c>
      <c r="BT128" s="342">
        <v>0</v>
      </c>
      <c r="BU128" s="257">
        <f t="shared" si="731"/>
        <v>0</v>
      </c>
      <c r="BV128" s="342">
        <v>0</v>
      </c>
      <c r="BW128" s="342">
        <v>0</v>
      </c>
      <c r="BX128" s="342">
        <v>0</v>
      </c>
      <c r="BY128" s="342">
        <v>0</v>
      </c>
      <c r="BZ128" s="257">
        <f t="shared" si="732"/>
        <v>0</v>
      </c>
      <c r="CA128" s="342">
        <v>0</v>
      </c>
      <c r="CB128" s="342">
        <v>0</v>
      </c>
      <c r="CC128" s="342">
        <v>0</v>
      </c>
      <c r="CD128" s="342">
        <v>0</v>
      </c>
      <c r="CE128" s="257">
        <f t="shared" si="733"/>
        <v>0</v>
      </c>
      <c r="CF128" s="342">
        <v>0</v>
      </c>
      <c r="CG128" s="342">
        <v>0</v>
      </c>
      <c r="CH128" s="342">
        <v>0</v>
      </c>
      <c r="CI128" s="342">
        <v>0</v>
      </c>
      <c r="CJ128" s="257">
        <f t="shared" si="734"/>
        <v>0</v>
      </c>
      <c r="CK128" s="342">
        <v>-4.8440000000000003</v>
      </c>
      <c r="CL128" s="342">
        <v>-6.609</v>
      </c>
      <c r="CM128" s="342">
        <v>-7.0179999999999998</v>
      </c>
      <c r="CN128" s="342">
        <v>-9.3059999999999992</v>
      </c>
      <c r="CO128" s="257">
        <f t="shared" si="735"/>
        <v>-27.777000000000001</v>
      </c>
      <c r="CP128" s="342">
        <v>-12.2</v>
      </c>
      <c r="CQ128" s="342">
        <v>-20.024000000000001</v>
      </c>
      <c r="CR128" s="342">
        <v>1.4159999999999999</v>
      </c>
      <c r="CS128" s="342">
        <v>-17.661000000000001</v>
      </c>
      <c r="CT128" s="257">
        <f t="shared" si="736"/>
        <v>-48.469000000000008</v>
      </c>
      <c r="CU128" s="342">
        <v>154.666</v>
      </c>
      <c r="CV128" s="342">
        <v>85.908000000000001</v>
      </c>
      <c r="CW128" s="342">
        <v>150.96700000000001</v>
      </c>
      <c r="CX128" s="342">
        <v>-81.355999999999995</v>
      </c>
      <c r="CY128" s="257">
        <f t="shared" si="737"/>
        <v>310.18500000000006</v>
      </c>
      <c r="CZ128" s="342">
        <v>-185.52</v>
      </c>
      <c r="DA128" s="342">
        <v>0</v>
      </c>
      <c r="DB128" s="342">
        <v>0</v>
      </c>
      <c r="DC128" s="342">
        <v>-9.1240000000000006</v>
      </c>
      <c r="DD128" s="257">
        <f t="shared" si="738"/>
        <v>-194.64400000000001</v>
      </c>
      <c r="DE128" s="342">
        <v>-3</v>
      </c>
      <c r="DF128" s="342">
        <v>-12</v>
      </c>
      <c r="DG128" s="342">
        <v>-6</v>
      </c>
      <c r="DH128" s="342">
        <v>-3</v>
      </c>
      <c r="DI128" s="257">
        <f>SUM(DE128:DH128)</f>
        <v>-24</v>
      </c>
      <c r="DJ128" s="342">
        <v>-3</v>
      </c>
      <c r="DK128" s="362">
        <v>-4</v>
      </c>
      <c r="DL128" s="362">
        <v>-4</v>
      </c>
      <c r="DM128" s="362">
        <v>68</v>
      </c>
      <c r="DN128" s="257">
        <f>SUM(DJ128:DM128)</f>
        <v>57</v>
      </c>
      <c r="DO128" s="342">
        <v>-153</v>
      </c>
      <c r="DP128" s="1415">
        <v>74</v>
      </c>
      <c r="DQ128" s="1415">
        <v>-57</v>
      </c>
      <c r="DR128" s="334">
        <v>-57</v>
      </c>
      <c r="DS128" s="257">
        <f>SUM(DO128:DR128)</f>
        <v>-193</v>
      </c>
      <c r="DT128" s="342">
        <v>-171</v>
      </c>
      <c r="DU128" s="1415">
        <v>140</v>
      </c>
      <c r="DV128" s="363">
        <f>-(SUM(DV121:DV126,DV57)*DV127)+DV57</f>
        <v>-9.7168031336401413</v>
      </c>
      <c r="DW128" s="363">
        <f>-(SUM(DW121:DW126,DW57)*DW127)+DW57</f>
        <v>-19.910422597594589</v>
      </c>
      <c r="DX128" s="257">
        <f>SUM(DT128:DW128)</f>
        <v>-60.627225731234731</v>
      </c>
      <c r="DY128" s="363">
        <f>-(SUM(DY121:DY126,DY57)*DY127)+DY57</f>
        <v>-10.740514046171668</v>
      </c>
      <c r="DZ128" s="363">
        <f>-(SUM(DZ121:DZ126,DZ57)*DZ127)+DZ57</f>
        <v>-17.915784210018046</v>
      </c>
      <c r="EA128" s="363">
        <f>-(SUM(EA121:EA126,EA57)*EA127)+EA57</f>
        <v>-18.759764470253501</v>
      </c>
      <c r="EB128" s="363">
        <f>-(SUM(EB121:EB126,EB57)*EB127)+EB57</f>
        <v>-33.766938909869538</v>
      </c>
      <c r="EC128" s="257">
        <f>SUM(DY128:EB128)</f>
        <v>-81.183001636312753</v>
      </c>
      <c r="ED128" s="363">
        <f>-(SUM(ED121:ED126,ED57)*ED127)+ED57</f>
        <v>-19.301874176836094</v>
      </c>
      <c r="EE128" s="363">
        <f>-(SUM(EE121:EE126,EE57)*EE127)+EE57</f>
        <v>-25.44265141475779</v>
      </c>
      <c r="EF128" s="363">
        <f>-(SUM(EF121:EF126,EF57)*EF127)+EF57</f>
        <v>-34.456947883051555</v>
      </c>
      <c r="EG128" s="363">
        <f>-(SUM(EG121:EG126,EG57)*EG127)+EG57</f>
        <v>-60.016171726741305</v>
      </c>
      <c r="EH128" s="257">
        <f>SUM(ED128:EG128)</f>
        <v>-139.21764520138674</v>
      </c>
      <c r="EI128" s="363">
        <f>-(SUM(EI121:EI126,EI57)*EI127)+EI57</f>
        <v>-25.397039925510569</v>
      </c>
      <c r="EJ128" s="363">
        <f>-(SUM(EJ121:EJ126,EJ57)*EJ127)+EJ57</f>
        <v>-32.453969309756502</v>
      </c>
      <c r="EK128" s="363">
        <f>-(SUM(EK121:EK126,EK57)*EK127)+EK57</f>
        <v>-43.24510874326964</v>
      </c>
      <c r="EL128" s="363">
        <f>-(SUM(EL121:EL126,EL57)*EL127)+EL57</f>
        <v>-74.181298103122145</v>
      </c>
      <c r="EM128" s="257">
        <f>SUM(EI128:EL128)</f>
        <v>-175.27741608165886</v>
      </c>
      <c r="EN128" s="363">
        <f>-(SUM(EN121:EN126,EN57)*EN127)+EN57</f>
        <v>-32.95785152717329</v>
      </c>
      <c r="EO128" s="363">
        <f>-(SUM(EO121:EO126,EO57)*EO127)+EO57</f>
        <v>-41.032617406816627</v>
      </c>
      <c r="EP128" s="363">
        <f>-(SUM(EP121:EP126,EP57)*EP127)+EP57</f>
        <v>-53.841389589388342</v>
      </c>
      <c r="EQ128" s="363">
        <f>-(SUM(EQ121:EQ126,EQ57)*EQ127)+EQ57</f>
        <v>-90.926074386020787</v>
      </c>
      <c r="ER128" s="257">
        <f>SUM(EN128:EQ128)</f>
        <v>-218.75793290939905</v>
      </c>
      <c r="ES128" s="417"/>
      <c r="ET128" s="133"/>
    </row>
    <row r="129" spans="1:150" s="254" customFormat="1" ht="12" customHeight="1">
      <c r="A129" s="792"/>
      <c r="B129" s="792"/>
      <c r="C129" s="248" t="s">
        <v>754</v>
      </c>
      <c r="D129" s="364"/>
      <c r="E129" s="364"/>
      <c r="F129" s="364"/>
      <c r="G129" s="364"/>
      <c r="H129" s="364"/>
      <c r="I129" s="365"/>
      <c r="J129" s="365"/>
      <c r="K129" s="365"/>
      <c r="L129" s="365"/>
      <c r="M129" s="364"/>
      <c r="N129" s="365"/>
      <c r="O129" s="365"/>
      <c r="P129" s="365"/>
      <c r="Q129" s="365"/>
      <c r="R129" s="364"/>
      <c r="S129" s="365"/>
      <c r="T129" s="365"/>
      <c r="U129" s="365"/>
      <c r="V129" s="365"/>
      <c r="W129" s="364"/>
      <c r="X129" s="365"/>
      <c r="Y129" s="365"/>
      <c r="Z129" s="365"/>
      <c r="AA129" s="365"/>
      <c r="AB129" s="364"/>
      <c r="AC129" s="365"/>
      <c r="AD129" s="365"/>
      <c r="AE129" s="365"/>
      <c r="AF129" s="365"/>
      <c r="AG129" s="364"/>
      <c r="AH129" s="365"/>
      <c r="AI129" s="365"/>
      <c r="AJ129" s="365"/>
      <c r="AK129" s="365"/>
      <c r="AL129" s="364"/>
      <c r="AM129" s="365"/>
      <c r="AN129" s="365"/>
      <c r="AO129" s="365"/>
      <c r="AP129" s="365"/>
      <c r="AQ129" s="364"/>
      <c r="AR129" s="365"/>
      <c r="AS129" s="365"/>
      <c r="AT129" s="365"/>
      <c r="AU129" s="365"/>
      <c r="AV129" s="364"/>
      <c r="AW129" s="365"/>
      <c r="AX129" s="365"/>
      <c r="AY129" s="365"/>
      <c r="AZ129" s="365"/>
      <c r="BA129" s="364"/>
      <c r="BB129" s="365"/>
      <c r="BC129" s="365"/>
      <c r="BD129" s="365"/>
      <c r="BE129" s="365"/>
      <c r="BF129" s="364"/>
      <c r="BG129" s="293"/>
      <c r="BH129" s="293"/>
      <c r="BI129" s="293"/>
      <c r="BJ129" s="293"/>
      <c r="BK129" s="364"/>
      <c r="BL129" s="293"/>
      <c r="BM129" s="293"/>
      <c r="BN129" s="293"/>
      <c r="BO129" s="293"/>
      <c r="BP129" s="364"/>
      <c r="BQ129" s="295">
        <f>SUM(BQ121:BQ126,BQ128)</f>
        <v>-2.5239999999999996</v>
      </c>
      <c r="BR129" s="295">
        <f>SUM(BR121:BR126,BR128)</f>
        <v>-1.7249999999999983</v>
      </c>
      <c r="BS129" s="295">
        <f>SUM(BS121:BS126,BS128)</f>
        <v>-2.3889999999999971</v>
      </c>
      <c r="BT129" s="295">
        <f>SUM(BT121:BT126,BT128)</f>
        <v>-1.0979999999999985</v>
      </c>
      <c r="BU129" s="348">
        <f>SUM(BQ129:BT129)</f>
        <v>-7.7359999999999935</v>
      </c>
      <c r="BV129" s="295">
        <f>SUM(BV121:BV126,BV128)</f>
        <v>-5.1369999999999898</v>
      </c>
      <c r="BW129" s="295">
        <f>SUM(BW121:BW126,BW128)</f>
        <v>-2.991000000000005</v>
      </c>
      <c r="BX129" s="295">
        <f>SUM(BX121:BX126,BX128)</f>
        <v>-1.8370000000000044</v>
      </c>
      <c r="BY129" s="295">
        <f>SUM(BY121:BY126,BY128)</f>
        <v>-0.36900000000001926</v>
      </c>
      <c r="BZ129" s="348">
        <f>SUM(BV129:BY129)</f>
        <v>-10.334000000000019</v>
      </c>
      <c r="CA129" s="295">
        <f>SUM(CA121:CA126,CA128)</f>
        <v>-3.4509999999999841</v>
      </c>
      <c r="CB129" s="295">
        <f>SUM(CB121:CB126,CB128)</f>
        <v>-1.0609999999999968</v>
      </c>
      <c r="CC129" s="295">
        <f>SUM(CC121:CC126,CC128)</f>
        <v>5.0090000000000128</v>
      </c>
      <c r="CD129" s="295">
        <f>SUM(CD121:CD126,CD128)</f>
        <v>14.709999999999971</v>
      </c>
      <c r="CE129" s="348">
        <f>SUM(CA129:CD129)</f>
        <v>15.207000000000003</v>
      </c>
      <c r="CF129" s="295">
        <f>SUM(CF121:CF126,CF128)</f>
        <v>4.2129999999999743</v>
      </c>
      <c r="CG129" s="295">
        <f>SUM(CG121:CG126,CG128)</f>
        <v>2.5399999999999783</v>
      </c>
      <c r="CH129" s="295">
        <f>SUM(CH121:CH126,CH128)</f>
        <v>5.784999999999977</v>
      </c>
      <c r="CI129" s="295">
        <f>SUM(CI121:CI126,CI128)</f>
        <v>29.358999999999941</v>
      </c>
      <c r="CJ129" s="348">
        <f>SUM(CF129:CI129)</f>
        <v>41.896999999999871</v>
      </c>
      <c r="CK129" s="295">
        <f>SUM(CK121:CK126,CK128)</f>
        <v>7.1009999999999485</v>
      </c>
      <c r="CL129" s="295">
        <f>SUM(CL121:CL126,CL128)</f>
        <v>10.729999999999995</v>
      </c>
      <c r="CM129" s="295">
        <f>SUM(CM121:CM126,CM128)</f>
        <v>-33.595999999999961</v>
      </c>
      <c r="CN129" s="295">
        <f>SUM(CN121:CN126,CN128)</f>
        <v>50.048000000000052</v>
      </c>
      <c r="CO129" s="348">
        <f>SUM(CK129:CN129)</f>
        <v>34.28300000000003</v>
      </c>
      <c r="CP129" s="295">
        <f>SUM(CP121:CP126,CP128)</f>
        <v>22.332000000000004</v>
      </c>
      <c r="CQ129" s="295">
        <f>SUM(CQ121:CQ126,CQ128)</f>
        <v>129.36600000000004</v>
      </c>
      <c r="CR129" s="295">
        <f>SUM(CR121:CR126,CR128)</f>
        <v>140.75399999999999</v>
      </c>
      <c r="CS129" s="295">
        <f>SUM(CS121:CS126,CS128)</f>
        <v>198.83899999999994</v>
      </c>
      <c r="CT129" s="348">
        <f>SUM(CP129:CS129)</f>
        <v>491.29099999999994</v>
      </c>
      <c r="CU129" s="295">
        <f>SUM(CU121:CU126,CU128)</f>
        <v>254.10999999999973</v>
      </c>
      <c r="CV129" s="295">
        <f>SUM(CV121:CV126,CV128)</f>
        <v>284.61399999999992</v>
      </c>
      <c r="CW129" s="295">
        <f>SUM(CW121:CW126,CW128)</f>
        <v>102.82000000000009</v>
      </c>
      <c r="CX129" s="295">
        <f>SUM(CX121:CX126,CX128)</f>
        <v>172.84830000000028</v>
      </c>
      <c r="CY129" s="348">
        <f>SUM(CU129:CX129)</f>
        <v>814.39229999999998</v>
      </c>
      <c r="CZ129" s="295">
        <f>SUM(CZ121:CZ126,CZ128)</f>
        <v>25.082000000000079</v>
      </c>
      <c r="DA129" s="295">
        <f>SUM(DA121:DA126,DA128)</f>
        <v>-38.452999999999861</v>
      </c>
      <c r="DB129" s="295">
        <f>SUM(DB121:DB126,DB128)</f>
        <v>-30.039000000000016</v>
      </c>
      <c r="DC129" s="295">
        <f>SUM(DC121:DC126,DC128)</f>
        <v>90.996000000000151</v>
      </c>
      <c r="DD129" s="348">
        <f>SUM(CZ129:DC129)</f>
        <v>47.586000000000354</v>
      </c>
      <c r="DE129" s="295">
        <f>SUM(DE121:DE126,DE128)</f>
        <v>18</v>
      </c>
      <c r="DF129" s="295">
        <f>SUM(DF121:DF126,DF128)</f>
        <v>343</v>
      </c>
      <c r="DG129" s="295">
        <f>SUM(DG121:DG126,DG128)</f>
        <v>316</v>
      </c>
      <c r="DH129" s="295">
        <f>SUM(DH121:DH126,DH128)</f>
        <v>441</v>
      </c>
      <c r="DI129" s="348">
        <f>SUM(DE129:DH129)</f>
        <v>1118</v>
      </c>
      <c r="DJ129" s="295">
        <f>SUM(DJ121:DJ126,DJ128)</f>
        <v>256</v>
      </c>
      <c r="DK129" s="295">
        <f>SUM(DK121:DK126,DK128)</f>
        <v>345</v>
      </c>
      <c r="DL129" s="295">
        <f>SUM(DL121:DL126,DL128)</f>
        <v>459</v>
      </c>
      <c r="DM129" s="295">
        <f ca="1">SUM(DM121:DM126,DM128)</f>
        <v>574</v>
      </c>
      <c r="DN129" s="348">
        <f ca="1">SUM(DJ129:DM129)</f>
        <v>1634</v>
      </c>
      <c r="DO129" s="295">
        <f ca="1">SUM(DO121:DO126,DO128)</f>
        <v>335</v>
      </c>
      <c r="DP129" s="295">
        <f>SUM(DP121:DP126,DP128)</f>
        <v>455</v>
      </c>
      <c r="DQ129" s="295">
        <f>SUM(DQ121:DQ126,DQ128)</f>
        <v>441</v>
      </c>
      <c r="DR129" s="295">
        <f>SUM(DR121:DR126,DR128)</f>
        <v>633</v>
      </c>
      <c r="DS129" s="348">
        <f ca="1">SUM(DO129:DR129)</f>
        <v>1864</v>
      </c>
      <c r="DT129" s="295">
        <f>SUM(DT121:DT126,DT128)</f>
        <v>471</v>
      </c>
      <c r="DU129" s="295">
        <f>SUM(DU121:DU126,DU128)</f>
        <v>549</v>
      </c>
      <c r="DV129" s="295">
        <f>SUM(DV121:DV126,DV128)</f>
        <v>651.3201708190752</v>
      </c>
      <c r="DW129" s="295">
        <f>SUM(DW121:DW126,DW128)</f>
        <v>920.82074979831907</v>
      </c>
      <c r="DX129" s="348">
        <f>SUM(DT129:DW129)</f>
        <v>2592.1409206173944</v>
      </c>
      <c r="DY129" s="295">
        <f>SUM(DY121:DY126,DY128)</f>
        <v>632.4878216641597</v>
      </c>
      <c r="DZ129" s="295">
        <f>SUM(DZ121:DZ126,DZ128)</f>
        <v>758.16731465388216</v>
      </c>
      <c r="EA129" s="295">
        <f>SUM(EA121:EA126,EA128)</f>
        <v>850.08628156912653</v>
      </c>
      <c r="EB129" s="295">
        <f>SUM(EB121:EB126,EB128)</f>
        <v>1204.907620421284</v>
      </c>
      <c r="EC129" s="348">
        <f>SUM(DY129:EB129)</f>
        <v>3445.6490383084529</v>
      </c>
      <c r="ED129" s="295">
        <f>SUM(ED121:ED126,ED128)</f>
        <v>757.52979070982315</v>
      </c>
      <c r="EE129" s="295">
        <f>SUM(EE121:EE126,EE128)</f>
        <v>923.43494191622972</v>
      </c>
      <c r="EF129" s="295">
        <f>SUM(EF121:EF126,EF128)</f>
        <v>974.7147546763681</v>
      </c>
      <c r="EG129" s="295">
        <f>SUM(EG121:EG126,EG128)</f>
        <v>1356.8766325095025</v>
      </c>
      <c r="EH129" s="348">
        <f>SUM(ED129:EG129)</f>
        <v>4012.5561198119235</v>
      </c>
      <c r="EI129" s="295">
        <f>SUM(EI121:EI126,EI128)</f>
        <v>921.70166649999351</v>
      </c>
      <c r="EJ129" s="295">
        <f>SUM(EJ121:EJ126,EJ128)</f>
        <v>1121.6287587995423</v>
      </c>
      <c r="EK129" s="295">
        <f>SUM(EK121:EK126,EK128)</f>
        <v>1180.8351348876909</v>
      </c>
      <c r="EL129" s="295">
        <f>SUM(EL121:EL126,EL128)</f>
        <v>1641.8339547336875</v>
      </c>
      <c r="EM129" s="348">
        <f>SUM(EI129:EL129)</f>
        <v>4865.9995149209144</v>
      </c>
      <c r="EN129" s="295">
        <f>SUM(EN121:EN126,EN128)</f>
        <v>1112.4467845842603</v>
      </c>
      <c r="EO129" s="295">
        <f>SUM(EO121:EO126,EO128)</f>
        <v>1351.8562747614938</v>
      </c>
      <c r="EP129" s="295">
        <f>SUM(EP121:EP126,EP128)</f>
        <v>1420.4157480835684</v>
      </c>
      <c r="EQ129" s="295">
        <f>SUM(EQ121:EQ126,EQ128)</f>
        <v>1971.0056051109564</v>
      </c>
      <c r="ER129" s="348">
        <f>SUM(EN129:EQ129)</f>
        <v>5855.7244125402794</v>
      </c>
      <c r="ES129" s="911"/>
      <c r="ET129" s="133"/>
    </row>
    <row r="130" spans="1:150" s="253" customFormat="1" ht="12" customHeight="1">
      <c r="A130" s="792"/>
      <c r="B130" s="792"/>
      <c r="C130" s="349" t="s">
        <v>129</v>
      </c>
      <c r="D130" s="350"/>
      <c r="E130" s="350"/>
      <c r="F130" s="350"/>
      <c r="G130" s="350"/>
      <c r="H130" s="350"/>
      <c r="I130" s="351"/>
      <c r="J130" s="351"/>
      <c r="K130" s="351"/>
      <c r="L130" s="351"/>
      <c r="M130" s="350"/>
      <c r="N130" s="634"/>
      <c r="O130" s="634"/>
      <c r="P130" s="634"/>
      <c r="Q130" s="634"/>
      <c r="R130" s="350"/>
      <c r="S130" s="634"/>
      <c r="T130" s="634"/>
      <c r="U130" s="634"/>
      <c r="V130" s="634"/>
      <c r="W130" s="350"/>
      <c r="X130" s="634"/>
      <c r="Y130" s="634"/>
      <c r="Z130" s="634"/>
      <c r="AA130" s="634"/>
      <c r="AB130" s="350"/>
      <c r="AC130" s="634"/>
      <c r="AD130" s="634"/>
      <c r="AE130" s="634"/>
      <c r="AF130" s="634"/>
      <c r="AG130" s="350"/>
      <c r="AH130" s="634"/>
      <c r="AI130" s="634"/>
      <c r="AJ130" s="634"/>
      <c r="AK130" s="634"/>
      <c r="AL130" s="350"/>
      <c r="AM130" s="634"/>
      <c r="AN130" s="634"/>
      <c r="AO130" s="634"/>
      <c r="AP130" s="634"/>
      <c r="AQ130" s="350"/>
      <c r="AR130" s="634"/>
      <c r="AS130" s="634"/>
      <c r="AT130" s="634"/>
      <c r="AU130" s="634"/>
      <c r="AV130" s="350"/>
      <c r="AW130" s="634"/>
      <c r="AX130" s="634"/>
      <c r="AY130" s="634"/>
      <c r="AZ130" s="634"/>
      <c r="BA130" s="350"/>
      <c r="BB130" s="634"/>
      <c r="BC130" s="634"/>
      <c r="BD130" s="634"/>
      <c r="BE130" s="634"/>
      <c r="BF130" s="350"/>
      <c r="BG130" s="634"/>
      <c r="BH130" s="634"/>
      <c r="BI130" s="634"/>
      <c r="BJ130" s="634"/>
      <c r="BK130" s="350"/>
      <c r="BL130" s="634"/>
      <c r="BM130" s="634"/>
      <c r="BN130" s="634"/>
      <c r="BO130" s="634"/>
      <c r="BP130" s="350"/>
      <c r="BQ130" s="353"/>
      <c r="BR130" s="353"/>
      <c r="BS130" s="353"/>
      <c r="BT130" s="353"/>
      <c r="BU130" s="352"/>
      <c r="BV130" s="353" t="str">
        <f t="shared" ref="BV130" si="740">+IF(BQ129&lt;=0,"nm",BV129/BQ129-1)</f>
        <v>nm</v>
      </c>
      <c r="BW130" s="353" t="str">
        <f t="shared" ref="BW130" si="741">+IF(BR129&lt;=0,"nm",BW129/BR129-1)</f>
        <v>nm</v>
      </c>
      <c r="BX130" s="353" t="str">
        <f t="shared" ref="BX130" si="742">+IF(BS129&lt;=0,"nm",BX129/BS129-1)</f>
        <v>nm</v>
      </c>
      <c r="BY130" s="353" t="str">
        <f t="shared" ref="BY130" si="743">+IF(BT129&lt;=0,"nm",BY129/BT129-1)</f>
        <v>nm</v>
      </c>
      <c r="BZ130" s="352" t="str">
        <f t="shared" ref="BZ130" si="744">+IF(BU129&lt;=0,"nm",BZ129/BU129-1)</f>
        <v>nm</v>
      </c>
      <c r="CA130" s="353" t="str">
        <f t="shared" ref="CA130" si="745">+IF(BV129&lt;=0,"nm",CA129/BV129-1)</f>
        <v>nm</v>
      </c>
      <c r="CB130" s="353" t="str">
        <f t="shared" ref="CB130" si="746">+IF(BW129&lt;=0,"nm",CB129/BW129-1)</f>
        <v>nm</v>
      </c>
      <c r="CC130" s="353" t="str">
        <f t="shared" ref="CC130" si="747">+IF(BX129&lt;=0,"nm",CC129/BX129-1)</f>
        <v>nm</v>
      </c>
      <c r="CD130" s="353" t="str">
        <f t="shared" ref="CD130" si="748">+IF(BY129&lt;=0,"nm",CD129/BY129-1)</f>
        <v>nm</v>
      </c>
      <c r="CE130" s="352" t="str">
        <f t="shared" ref="CE130" si="749">+IF(BZ129&lt;=0,"nm",CE129/BZ129-1)</f>
        <v>nm</v>
      </c>
      <c r="CF130" s="353" t="str">
        <f t="shared" ref="CF130" si="750">+IF(CA129&lt;=0,"nm",CF129/CA129-1)</f>
        <v>nm</v>
      </c>
      <c r="CG130" s="353" t="str">
        <f t="shared" ref="CG130" si="751">+IF(CB129&lt;=0,"nm",CG129/CB129-1)</f>
        <v>nm</v>
      </c>
      <c r="CH130" s="353">
        <f t="shared" ref="CH130" si="752">+IF(CC129&lt;=0,"nm",CH129/CC129-1)</f>
        <v>0.15492114194449247</v>
      </c>
      <c r="CI130" s="353">
        <f t="shared" ref="CI130" si="753">+IF(CD129&lt;=0,"nm",CI129/CD129-1)</f>
        <v>0.99585316111488775</v>
      </c>
      <c r="CJ130" s="352">
        <f t="shared" ref="CJ130" si="754">+IF(CE129&lt;=0,"nm",CJ129/CE129-1)</f>
        <v>1.7551127770105781</v>
      </c>
      <c r="CK130" s="353">
        <f t="shared" ref="CK130" si="755">+IF(CF129&lt;=0,"nm",CK129/CF129-1)</f>
        <v>0.68549727035366526</v>
      </c>
      <c r="CL130" s="353">
        <f t="shared" ref="CL130" si="756">+IF(CG129&lt;=0,"nm",CL129/CG129-1)</f>
        <v>3.2244094488189319</v>
      </c>
      <c r="CM130" s="353">
        <f t="shared" ref="CM130" si="757">+IF(CH129&lt;=0,"nm",CM129/CH129-1)</f>
        <v>-6.8074330164217969</v>
      </c>
      <c r="CN130" s="353">
        <f t="shared" ref="CN130" si="758">+IF(CI129&lt;=0,"nm",CN129/CI129-1)</f>
        <v>0.70469021424435963</v>
      </c>
      <c r="CO130" s="352">
        <f t="shared" ref="CO130" si="759">+IF(CJ129&lt;=0,"nm",CO129/CJ129-1)</f>
        <v>-0.1817313888822556</v>
      </c>
      <c r="CP130" s="353">
        <f t="shared" ref="CP130" si="760">+IF(CK129&lt;=0,"nm",CP129/CK129-1)</f>
        <v>2.1449091677228793</v>
      </c>
      <c r="CQ130" s="353">
        <f t="shared" ref="CQ130" si="761">+IF(CL129&lt;=0,"nm",CQ129/CL129-1)</f>
        <v>11.056477166822004</v>
      </c>
      <c r="CR130" s="353" t="str">
        <f t="shared" ref="CR130" si="762">+IF(CM129&lt;=0,"nm",CR129/CM129-1)</f>
        <v>nm</v>
      </c>
      <c r="CS130" s="353">
        <f t="shared" ref="CS130" si="763">+IF(CN129&lt;=0,"nm",CS129/CN129-1)</f>
        <v>2.9729659526854166</v>
      </c>
      <c r="CT130" s="352">
        <f t="shared" ref="CT130" si="764">+IF(CO129&lt;=0,"nm",CT129/CO129-1)</f>
        <v>13.33045532771343</v>
      </c>
      <c r="CU130" s="353">
        <f t="shared" ref="CU130" si="765">+IF(CP129&lt;=0,"nm",CU129/CP129-1)</f>
        <v>10.378739029195758</v>
      </c>
      <c r="CV130" s="353">
        <f t="shared" ref="CV130" si="766">+IF(CQ129&lt;=0,"nm",CV129/CQ129-1)</f>
        <v>1.2000680240557782</v>
      </c>
      <c r="CW130" s="353">
        <f t="shared" ref="CW130" si="767">+IF(CR129&lt;=0,"nm",CW129/CR129-1)</f>
        <v>-0.26950566236128215</v>
      </c>
      <c r="CX130" s="354">
        <f t="shared" ref="CX130" si="768">+IF(CS129&lt;=0,"nm",CX129/CS129-1)</f>
        <v>-0.13071228481333974</v>
      </c>
      <c r="CY130" s="352">
        <f t="shared" ref="CY130" si="769">+IF(CT129&lt;=0,"nm",CY129/CT129-1)</f>
        <v>0.65765768149630266</v>
      </c>
      <c r="CZ130" s="353">
        <f t="shared" ref="CZ130" si="770">+IF(CU129&lt;=0,"nm",CZ129/CU129-1)</f>
        <v>-0.9012947148872531</v>
      </c>
      <c r="DA130" s="353">
        <f t="shared" ref="DA130" si="771">+IF(CV129&lt;=0,"nm",DA129/CV129-1)</f>
        <v>-1.1351057924065573</v>
      </c>
      <c r="DB130" s="353">
        <f t="shared" ref="DB130" si="772">+IF(CW129&lt;=0,"nm",DB129/CW129-1)</f>
        <v>-1.292151332425598</v>
      </c>
      <c r="DC130" s="353">
        <f t="shared" ref="DC130" si="773">+IF(CX129&lt;=0,"nm",DC129/CX129-1)</f>
        <v>-0.47354992788474048</v>
      </c>
      <c r="DD130" s="352">
        <f t="shared" ref="DD130" si="774">+IF(CY129&lt;=0,"nm",DD129/CY129-1)</f>
        <v>-0.94156870098108691</v>
      </c>
      <c r="DE130" s="353">
        <f t="shared" ref="DE130" si="775">+IF(CZ129&lt;=0,"nm",DE129/CZ129-1)</f>
        <v>-0.2823538792759771</v>
      </c>
      <c r="DF130" s="353" t="str">
        <f t="shared" ref="DF130" si="776">+IF(DA129&lt;=0,"nm",DF129/DA129-1)</f>
        <v>nm</v>
      </c>
      <c r="DG130" s="353" t="str">
        <f t="shared" ref="DG130" si="777">+IF(DB129&lt;=0,"nm",DG129/DB129-1)</f>
        <v>nm</v>
      </c>
      <c r="DH130" s="353">
        <f t="shared" ref="DH130" si="778">+IF(DC129&lt;=0,"nm",DH129/DC129-1)</f>
        <v>3.8463668732691465</v>
      </c>
      <c r="DI130" s="352">
        <f t="shared" ref="DI130" si="779">+IF(DD129&lt;=0,"nm",DI129/DD129-1)</f>
        <v>22.49430504770293</v>
      </c>
      <c r="DJ130" s="353">
        <f t="shared" ref="DJ130" si="780">+IF(DE129&lt;=0,"nm",DJ129/DE129-1)</f>
        <v>13.222222222222221</v>
      </c>
      <c r="DK130" s="353">
        <f t="shared" ref="DK130" si="781">+IF(DF129&lt;=0,"nm",DK129/DF129-1)</f>
        <v>5.8309037900874383E-3</v>
      </c>
      <c r="DL130" s="353">
        <f t="shared" ref="DL130" si="782">+IF(DG129&lt;=0,"nm",DL129/DG129-1)</f>
        <v>0.45253164556962022</v>
      </c>
      <c r="DM130" s="353">
        <f ca="1">+IF(DH129&lt;=0,"nm",DM129/DH129-1)</f>
        <v>0.30158730158730163</v>
      </c>
      <c r="DN130" s="352">
        <f ca="1">+IF(DI129&lt;=0,"nm",DN129/DI129-1)</f>
        <v>0.46153846153846145</v>
      </c>
      <c r="DO130" s="353">
        <f ca="1">+IF(DJ129&lt;=0,"nm",DO129/DJ129-1)</f>
        <v>0.30859375</v>
      </c>
      <c r="DP130" s="353">
        <f t="shared" ref="DP130:DQ130" si="783">+IF(DK129&lt;=0,"nm",DP129/DK129-1)</f>
        <v>0.31884057971014501</v>
      </c>
      <c r="DQ130" s="353">
        <f t="shared" si="783"/>
        <v>-3.9215686274509776E-2</v>
      </c>
      <c r="DR130" s="354">
        <f ca="1">+IF(DM129&lt;=0,"nm",DR129/DM129-1)</f>
        <v>0.10278745644599296</v>
      </c>
      <c r="DS130" s="352">
        <f ca="1">+IF(DN129&lt;=0,"nm",DS129/DN129-1)</f>
        <v>0.14075887392900865</v>
      </c>
      <c r="DT130" s="353">
        <f ca="1">+IF(DO129&lt;=0,"nm",DT129/DO129-1)</f>
        <v>0.40597014925373132</v>
      </c>
      <c r="DU130" s="353">
        <f t="shared" ref="DU130" si="784">+IF(DP129&lt;=0,"nm",DU129/DP129-1)</f>
        <v>0.20659340659340653</v>
      </c>
      <c r="DV130" s="353">
        <f t="shared" ref="DV130" si="785">+IF(DQ129&lt;=0,"nm",DV129/DQ129-1)</f>
        <v>0.47691648711808443</v>
      </c>
      <c r="DW130" s="353">
        <f t="shared" ref="DW130" si="786">+IF(DR129&lt;=0,"nm",DW129/DR129-1)</f>
        <v>0.45469312764347403</v>
      </c>
      <c r="DX130" s="352">
        <f ca="1">+IF(DS129&lt;=0,"nm",DX129/DS129-1)</f>
        <v>0.39063354110375226</v>
      </c>
      <c r="DY130" s="353">
        <f>+IF(DT129&lt;=0,"nm",DY129/DT129-1)</f>
        <v>0.3428616171213581</v>
      </c>
      <c r="DZ130" s="353">
        <f t="shared" ref="DZ130" si="787">+IF(DU129&lt;=0,"nm",DZ129/DU129-1)</f>
        <v>0.3809969301527909</v>
      </c>
      <c r="EA130" s="353">
        <f t="shared" ref="EA130" si="788">+IF(DV129&lt;=0,"nm",EA129/DV129-1)</f>
        <v>0.30517419796793743</v>
      </c>
      <c r="EB130" s="353">
        <f t="shared" ref="EB130" si="789">+IF(DW129&lt;=0,"nm",EB129/DW129-1)</f>
        <v>0.30851484470260537</v>
      </c>
      <c r="EC130" s="352">
        <f>+IF(DX129&lt;=0,"nm",EC129/DX129-1)</f>
        <v>0.32926763776707424</v>
      </c>
      <c r="ED130" s="353">
        <f>+IF(DY129&lt;=0,"nm",ED129/DY129-1)</f>
        <v>0.19769861926615651</v>
      </c>
      <c r="EE130" s="353">
        <f t="shared" ref="EE130" si="790">+IF(DZ129&lt;=0,"nm",EE129/DZ129-1)</f>
        <v>0.21798305475328417</v>
      </c>
      <c r="EF130" s="353">
        <f t="shared" ref="EF130" si="791">+IF(EA129&lt;=0,"nm",EF129/EA129-1)</f>
        <v>0.14660685133889806</v>
      </c>
      <c r="EG130" s="353">
        <f t="shared" ref="EG130" si="792">+IF(EB129&lt;=0,"nm",EG129/EB129-1)</f>
        <v>0.12612503192160407</v>
      </c>
      <c r="EH130" s="352">
        <f>+IF(EC129&lt;=0,"nm",EH129/EC129-1)</f>
        <v>0.1645283878887962</v>
      </c>
      <c r="EI130" s="353">
        <f>+IF(ED129&lt;=0,"nm",EI129/ED129-1)</f>
        <v>0.21672002580431515</v>
      </c>
      <c r="EJ130" s="353">
        <f t="shared" ref="EJ130" si="793">+IF(EE129&lt;=0,"nm",EJ129/EE129-1)</f>
        <v>0.21462672451189513</v>
      </c>
      <c r="EK130" s="353">
        <f t="shared" ref="EK130" si="794">+IF(EF129&lt;=0,"nm",EK129/EF129-1)</f>
        <v>0.21146738491689332</v>
      </c>
      <c r="EL130" s="353">
        <f t="shared" ref="EL130" si="795">+IF(EG129&lt;=0,"nm",EL129/EG129-1)</f>
        <v>0.21000974988946863</v>
      </c>
      <c r="EM130" s="352">
        <f>+IF(EH129&lt;=0,"nm",EM129/EH129-1)</f>
        <v>0.21269319845649748</v>
      </c>
      <c r="EN130" s="353">
        <f>+IF(EI129&lt;=0,"nm",EN129/EI129-1)</f>
        <v>0.20694886970161308</v>
      </c>
      <c r="EO130" s="353">
        <f t="shared" ref="EO130" si="796">+IF(EJ129&lt;=0,"nm",EO129/EJ129-1)</f>
        <v>0.20526178038476783</v>
      </c>
      <c r="EP130" s="353">
        <f t="shared" ref="EP130" si="797">+IF(EK129&lt;=0,"nm",EP129/EK129-1)</f>
        <v>0.20289082372084399</v>
      </c>
      <c r="EQ130" s="353">
        <f t="shared" ref="EQ130" si="798">+IF(EL129&lt;=0,"nm",EQ129/EL129-1)</f>
        <v>0.20049021974981751</v>
      </c>
      <c r="ER130" s="352">
        <f>+IF(EM129&lt;=0,"nm",ER129/EM129-1)</f>
        <v>0.20339601238851546</v>
      </c>
      <c r="ES130" s="244"/>
      <c r="ET130" s="133"/>
    </row>
    <row r="131" spans="1:150" s="253" customFormat="1" ht="12" customHeight="1">
      <c r="A131" s="792"/>
      <c r="B131" s="792"/>
      <c r="C131" s="258" t="s">
        <v>757</v>
      </c>
      <c r="D131" s="296"/>
      <c r="E131" s="296"/>
      <c r="F131" s="296"/>
      <c r="G131" s="296"/>
      <c r="H131" s="296"/>
      <c r="I131" s="256"/>
      <c r="J131" s="256"/>
      <c r="K131" s="256"/>
      <c r="L131" s="256"/>
      <c r="M131" s="296"/>
      <c r="N131" s="256"/>
      <c r="O131" s="256"/>
      <c r="P131" s="256"/>
      <c r="Q131" s="256"/>
      <c r="R131" s="296"/>
      <c r="S131" s="256"/>
      <c r="T131" s="256"/>
      <c r="U131" s="256"/>
      <c r="V131" s="256"/>
      <c r="W131" s="296"/>
      <c r="X131" s="256"/>
      <c r="Y131" s="256"/>
      <c r="Z131" s="256"/>
      <c r="AA131" s="256"/>
      <c r="AB131" s="296"/>
      <c r="AC131" s="256"/>
      <c r="AD131" s="256"/>
      <c r="AE131" s="256"/>
      <c r="AF131" s="256"/>
      <c r="AG131" s="296"/>
      <c r="AH131" s="256"/>
      <c r="AI131" s="256"/>
      <c r="AJ131" s="256"/>
      <c r="AK131" s="256"/>
      <c r="AL131" s="296"/>
      <c r="AM131" s="256"/>
      <c r="AN131" s="256"/>
      <c r="AO131" s="256"/>
      <c r="AP131" s="256"/>
      <c r="AQ131" s="296"/>
      <c r="AR131" s="256"/>
      <c r="AS131" s="256"/>
      <c r="AT131" s="256"/>
      <c r="AU131" s="256"/>
      <c r="AV131" s="296"/>
      <c r="AW131" s="256"/>
      <c r="AX131" s="256"/>
      <c r="AY131" s="256"/>
      <c r="AZ131" s="256"/>
      <c r="BA131" s="296"/>
      <c r="BB131" s="256"/>
      <c r="BC131" s="256"/>
      <c r="BD131" s="256"/>
      <c r="BE131" s="256"/>
      <c r="BF131" s="296"/>
      <c r="BG131" s="320"/>
      <c r="BH131" s="320"/>
      <c r="BI131" s="320"/>
      <c r="BJ131" s="320"/>
      <c r="BK131" s="296"/>
      <c r="BL131" s="320"/>
      <c r="BM131" s="320"/>
      <c r="BN131" s="320"/>
      <c r="BO131" s="312"/>
      <c r="BP131" s="296"/>
      <c r="BQ131" s="297">
        <f t="shared" ref="BQ131:CV131" si="799">BQ70</f>
        <v>39.344619000000002</v>
      </c>
      <c r="BR131" s="297">
        <f t="shared" si="799"/>
        <v>53.040539000000003</v>
      </c>
      <c r="BS131" s="297">
        <f t="shared" si="799"/>
        <v>75.901840000000007</v>
      </c>
      <c r="BT131" s="297">
        <f t="shared" si="799"/>
        <v>61.716065</v>
      </c>
      <c r="BU131" s="257">
        <f t="shared" si="799"/>
        <v>102.01900000000001</v>
      </c>
      <c r="BV131" s="297">
        <f t="shared" si="799"/>
        <v>80.488495</v>
      </c>
      <c r="BW131" s="297">
        <f t="shared" si="799"/>
        <v>81.349248000000003</v>
      </c>
      <c r="BX131" s="297">
        <f t="shared" si="799"/>
        <v>84.912756999999999</v>
      </c>
      <c r="BY131" s="297">
        <f t="shared" si="799"/>
        <v>89.137155000000007</v>
      </c>
      <c r="BZ131" s="257">
        <f t="shared" si="799"/>
        <v>102.01900000000001</v>
      </c>
      <c r="CA131" s="297">
        <f t="shared" si="799"/>
        <v>90.242889000000005</v>
      </c>
      <c r="CB131" s="297">
        <f t="shared" si="799"/>
        <v>94.290537999999998</v>
      </c>
      <c r="CC131" s="297">
        <f t="shared" si="799"/>
        <v>98.777974999999998</v>
      </c>
      <c r="CD131" s="297">
        <f t="shared" si="799"/>
        <v>99.551790999999994</v>
      </c>
      <c r="CE131" s="257">
        <f t="shared" si="799"/>
        <v>102.01900000000001</v>
      </c>
      <c r="CF131" s="297">
        <f t="shared" si="799"/>
        <v>102.25664399999999</v>
      </c>
      <c r="CG131" s="297">
        <f t="shared" si="799"/>
        <v>105.978076</v>
      </c>
      <c r="CH131" s="297">
        <f t="shared" si="799"/>
        <v>106.647222</v>
      </c>
      <c r="CI131" s="297">
        <f t="shared" si="799"/>
        <v>107.734499</v>
      </c>
      <c r="CJ131" s="257">
        <f t="shared" si="799"/>
        <v>102.01900000000001</v>
      </c>
      <c r="CK131" s="297">
        <f t="shared" si="799"/>
        <v>110.92127600000001</v>
      </c>
      <c r="CL131" s="297">
        <f t="shared" si="799"/>
        <v>112.013409</v>
      </c>
      <c r="CM131" s="297">
        <f t="shared" si="799"/>
        <v>113.086997</v>
      </c>
      <c r="CN131" s="297">
        <f t="shared" si="799"/>
        <v>116.02724000000001</v>
      </c>
      <c r="CO131" s="257">
        <f t="shared" si="799"/>
        <v>102.01900000000001</v>
      </c>
      <c r="CP131" s="297">
        <f t="shared" si="799"/>
        <v>116.806549</v>
      </c>
      <c r="CQ131" s="297">
        <f t="shared" si="799"/>
        <v>124.90827899999999</v>
      </c>
      <c r="CR131" s="297">
        <f t="shared" si="799"/>
        <v>124.90827899999999</v>
      </c>
      <c r="CS131" s="297">
        <f t="shared" si="799"/>
        <v>125.454919</v>
      </c>
      <c r="CT131" s="257">
        <f t="shared" si="799"/>
        <v>123.01950650000001</v>
      </c>
      <c r="CU131" s="297">
        <f t="shared" si="799"/>
        <v>126.67438799999999</v>
      </c>
      <c r="CV131" s="297">
        <f t="shared" si="799"/>
        <v>127.47506300000001</v>
      </c>
      <c r="CW131" s="297">
        <f t="shared" ref="CW131:DN131" si="800">CW70</f>
        <v>127.61918799999999</v>
      </c>
      <c r="CX131" s="297">
        <f t="shared" si="800"/>
        <v>125.73475500000001</v>
      </c>
      <c r="CY131" s="257">
        <f t="shared" si="800"/>
        <v>126.8758485</v>
      </c>
      <c r="CZ131" s="297">
        <f t="shared" si="800"/>
        <v>126.01306599999999</v>
      </c>
      <c r="DA131" s="297">
        <f t="shared" si="800"/>
        <v>1262.011665</v>
      </c>
      <c r="DB131" s="297">
        <f t="shared" si="800"/>
        <v>1269.4252260000001</v>
      </c>
      <c r="DC131" s="297">
        <f t="shared" si="800"/>
        <v>1273.338804</v>
      </c>
      <c r="DD131" s="257">
        <f t="shared" si="800"/>
        <v>1266.268155</v>
      </c>
      <c r="DE131" s="297">
        <f t="shared" si="800"/>
        <v>1291.682051</v>
      </c>
      <c r="DF131" s="297">
        <f t="shared" si="800"/>
        <v>1280.4076419999999</v>
      </c>
      <c r="DG131" s="297">
        <f t="shared" si="800"/>
        <v>1295.8301879999999</v>
      </c>
      <c r="DH131" s="297">
        <f t="shared" si="800"/>
        <v>1297.295576</v>
      </c>
      <c r="DI131" s="257">
        <f t="shared" si="800"/>
        <v>1295.511385</v>
      </c>
      <c r="DJ131" s="318">
        <v>1299.746361</v>
      </c>
      <c r="DK131" s="297">
        <f t="shared" si="800"/>
        <v>1299.9130789999999</v>
      </c>
      <c r="DL131" s="318">
        <v>1301.6000790000001</v>
      </c>
      <c r="DM131" s="297">
        <f t="shared" si="800"/>
        <v>1305.229922</v>
      </c>
      <c r="DN131" s="257">
        <f t="shared" si="800"/>
        <v>1298.530094</v>
      </c>
      <c r="DO131" s="318">
        <v>1307.9351429999999</v>
      </c>
      <c r="DP131" s="120">
        <f>DP70</f>
        <v>1308.9938380000001</v>
      </c>
      <c r="DQ131" s="120">
        <f>DQ70</f>
        <v>1312.872709</v>
      </c>
      <c r="DR131" s="120">
        <f>DR70</f>
        <v>1308.408782</v>
      </c>
      <c r="DS131" s="257">
        <f t="shared" ref="DS131:EC131" si="801">DS70</f>
        <v>1306.4131762500001</v>
      </c>
      <c r="DT131" s="318">
        <v>1307.2314839999999</v>
      </c>
      <c r="DU131" s="120">
        <f>DU70</f>
        <v>1297.9409579999999</v>
      </c>
      <c r="DV131" s="297">
        <f t="shared" si="801"/>
        <v>1300.4409579999999</v>
      </c>
      <c r="DW131" s="297">
        <f t="shared" si="801"/>
        <v>1302.9409579999999</v>
      </c>
      <c r="DX131" s="257">
        <f t="shared" si="801"/>
        <v>1301.1701869999999</v>
      </c>
      <c r="DY131" s="297">
        <f t="shared" si="801"/>
        <v>1305.4409579999999</v>
      </c>
      <c r="DZ131" s="297">
        <f t="shared" si="801"/>
        <v>1307.9409579999999</v>
      </c>
      <c r="EA131" s="297">
        <f t="shared" si="801"/>
        <v>1310.4409579999999</v>
      </c>
      <c r="EB131" s="297">
        <f t="shared" si="801"/>
        <v>1312.9409579999999</v>
      </c>
      <c r="EC131" s="257">
        <f t="shared" si="801"/>
        <v>1309.1909579999999</v>
      </c>
      <c r="ED131" s="297">
        <f t="shared" ref="ED131:EH131" si="802">ED70</f>
        <v>1315.4409579999999</v>
      </c>
      <c r="EE131" s="297">
        <f t="shared" si="802"/>
        <v>1317.9409579999999</v>
      </c>
      <c r="EF131" s="297">
        <f t="shared" si="802"/>
        <v>1320.4409579999999</v>
      </c>
      <c r="EG131" s="297">
        <f t="shared" si="802"/>
        <v>1322.9409579999999</v>
      </c>
      <c r="EH131" s="257">
        <f t="shared" si="802"/>
        <v>1319.1909579999999</v>
      </c>
      <c r="EI131" s="297">
        <f t="shared" ref="EI131:ER131" si="803">EI70</f>
        <v>1325.4409579999999</v>
      </c>
      <c r="EJ131" s="297">
        <f t="shared" si="803"/>
        <v>1327.9409579999999</v>
      </c>
      <c r="EK131" s="297">
        <f t="shared" si="803"/>
        <v>1330.4409579999999</v>
      </c>
      <c r="EL131" s="297">
        <f t="shared" si="803"/>
        <v>1332.9409579999999</v>
      </c>
      <c r="EM131" s="257">
        <f t="shared" si="803"/>
        <v>1329.1909579999999</v>
      </c>
      <c r="EN131" s="297">
        <f t="shared" si="803"/>
        <v>1335.4409579999999</v>
      </c>
      <c r="EO131" s="297">
        <f t="shared" si="803"/>
        <v>1337.9409579999999</v>
      </c>
      <c r="EP131" s="297">
        <f t="shared" si="803"/>
        <v>1340.4409579999999</v>
      </c>
      <c r="EQ131" s="297">
        <f t="shared" si="803"/>
        <v>1342.9409579999999</v>
      </c>
      <c r="ER131" s="257">
        <f t="shared" si="803"/>
        <v>1339.1909579999999</v>
      </c>
      <c r="ES131" s="417"/>
      <c r="ET131" s="133"/>
    </row>
    <row r="132" spans="1:150" ht="12" customHeight="1">
      <c r="A132" s="792"/>
      <c r="B132" s="792"/>
      <c r="C132" s="366" t="s">
        <v>71</v>
      </c>
      <c r="D132" s="321"/>
      <c r="E132" s="321"/>
      <c r="F132" s="321"/>
      <c r="G132" s="321"/>
      <c r="H132" s="321"/>
      <c r="I132" s="322"/>
      <c r="J132" s="322"/>
      <c r="K132" s="322"/>
      <c r="L132" s="322"/>
      <c r="M132" s="321"/>
      <c r="N132" s="322"/>
      <c r="O132" s="322"/>
      <c r="P132" s="322"/>
      <c r="Q132" s="322"/>
      <c r="R132" s="321"/>
      <c r="S132" s="322"/>
      <c r="T132" s="322"/>
      <c r="U132" s="322"/>
      <c r="V132" s="322"/>
      <c r="W132" s="321"/>
      <c r="X132" s="322"/>
      <c r="Y132" s="322"/>
      <c r="Z132" s="322"/>
      <c r="AA132" s="322"/>
      <c r="AB132" s="321"/>
      <c r="AC132" s="322"/>
      <c r="AD132" s="322"/>
      <c r="AE132" s="322"/>
      <c r="AF132" s="322"/>
      <c r="AG132" s="321"/>
      <c r="AH132" s="322"/>
      <c r="AI132" s="322"/>
      <c r="AJ132" s="322"/>
      <c r="AK132" s="322"/>
      <c r="AL132" s="321"/>
      <c r="AM132" s="322"/>
      <c r="AN132" s="322"/>
      <c r="AO132" s="322"/>
      <c r="AP132" s="322"/>
      <c r="AQ132" s="321"/>
      <c r="AR132" s="322"/>
      <c r="AS132" s="322"/>
      <c r="AT132" s="322"/>
      <c r="AU132" s="322"/>
      <c r="AV132" s="321"/>
      <c r="AW132" s="322"/>
      <c r="AX132" s="322"/>
      <c r="AY132" s="322"/>
      <c r="AZ132" s="322"/>
      <c r="BA132" s="321"/>
      <c r="BB132" s="322"/>
      <c r="BC132" s="322"/>
      <c r="BD132" s="322"/>
      <c r="BE132" s="322"/>
      <c r="BF132" s="321"/>
      <c r="BG132" s="322"/>
      <c r="BH132" s="322"/>
      <c r="BI132" s="322"/>
      <c r="BJ132" s="322"/>
      <c r="BK132" s="321"/>
      <c r="BL132" s="322"/>
      <c r="BM132" s="322"/>
      <c r="BN132" s="322"/>
      <c r="BO132" s="322"/>
      <c r="BP132" s="321"/>
      <c r="BQ132" s="323">
        <f t="shared" ref="BQ132:CV132" si="804">IFERROR(BQ129/BQ131,"")</f>
        <v>-6.4151085056891752E-2</v>
      </c>
      <c r="BR132" s="323">
        <f t="shared" si="804"/>
        <v>-3.2522293938227101E-2</v>
      </c>
      <c r="BS132" s="323">
        <f t="shared" si="804"/>
        <v>-3.1474862796474982E-2</v>
      </c>
      <c r="BT132" s="323">
        <f t="shared" si="804"/>
        <v>-1.7791153729583998E-2</v>
      </c>
      <c r="BU132" s="324">
        <f t="shared" si="804"/>
        <v>-7.5829012242817448E-2</v>
      </c>
      <c r="BV132" s="323">
        <f t="shared" si="804"/>
        <v>-6.382278610129298E-2</v>
      </c>
      <c r="BW132" s="323">
        <f t="shared" si="804"/>
        <v>-3.6767395809239746E-2</v>
      </c>
      <c r="BX132" s="323">
        <f t="shared" si="804"/>
        <v>-2.1633969557719158E-2</v>
      </c>
      <c r="BY132" s="323">
        <f t="shared" si="804"/>
        <v>-4.139687877631042E-3</v>
      </c>
      <c r="BZ132" s="324">
        <f t="shared" si="804"/>
        <v>-0.10129485684039266</v>
      </c>
      <c r="CA132" s="323">
        <f t="shared" si="804"/>
        <v>-3.8241240259938754E-2</v>
      </c>
      <c r="CB132" s="323">
        <f t="shared" si="804"/>
        <v>-1.1252454620632209E-2</v>
      </c>
      <c r="CC132" s="323">
        <f t="shared" si="804"/>
        <v>5.070968502846928E-2</v>
      </c>
      <c r="CD132" s="323">
        <f t="shared" si="804"/>
        <v>0.14776228385484266</v>
      </c>
      <c r="CE132" s="324">
        <f t="shared" si="804"/>
        <v>0.14906046912829965</v>
      </c>
      <c r="CF132" s="323">
        <f t="shared" si="804"/>
        <v>4.1200256875240052E-2</v>
      </c>
      <c r="CG132" s="323">
        <f t="shared" si="804"/>
        <v>2.3967221295845928E-2</v>
      </c>
      <c r="CH132" s="323">
        <f t="shared" si="804"/>
        <v>5.4244263390189174E-2</v>
      </c>
      <c r="CI132" s="323">
        <f t="shared" si="804"/>
        <v>0.27251252173178009</v>
      </c>
      <c r="CJ132" s="324">
        <f t="shared" si="804"/>
        <v>0.4106784030425692</v>
      </c>
      <c r="CK132" s="323">
        <f t="shared" si="804"/>
        <v>6.4018376420407822E-2</v>
      </c>
      <c r="CL132" s="323">
        <f t="shared" si="804"/>
        <v>9.5792102890110198E-2</v>
      </c>
      <c r="CM132" s="323">
        <f t="shared" si="804"/>
        <v>-0.29708101630817874</v>
      </c>
      <c r="CN132" s="323">
        <f t="shared" si="804"/>
        <v>0.43134698369107161</v>
      </c>
      <c r="CO132" s="324">
        <f t="shared" si="804"/>
        <v>0.33604524647369632</v>
      </c>
      <c r="CP132" s="323">
        <f t="shared" si="804"/>
        <v>0.19118791019157672</v>
      </c>
      <c r="CQ132" s="323">
        <f t="shared" si="804"/>
        <v>1.0356879546791293</v>
      </c>
      <c r="CR132" s="323">
        <f t="shared" si="804"/>
        <v>1.1268588529668238</v>
      </c>
      <c r="CS132" s="323">
        <f t="shared" si="804"/>
        <v>1.5849438314969533</v>
      </c>
      <c r="CT132" s="324">
        <f t="shared" si="804"/>
        <v>3.9936024292212546</v>
      </c>
      <c r="CU132" s="323">
        <f t="shared" si="804"/>
        <v>2.0060092968438084</v>
      </c>
      <c r="CV132" s="323">
        <f t="shared" si="804"/>
        <v>2.232703348418819</v>
      </c>
      <c r="CW132" s="323">
        <f t="shared" ref="CW132:DL132" si="805">IFERROR(CW129/CW131,"")</f>
        <v>0.8056782182315726</v>
      </c>
      <c r="CX132" s="325">
        <f t="shared" si="805"/>
        <v>1.3747058241772552</v>
      </c>
      <c r="CY132" s="324">
        <f t="shared" si="805"/>
        <v>6.4188126395071947</v>
      </c>
      <c r="CZ132" s="323">
        <f t="shared" si="805"/>
        <v>0.19904285163571911</v>
      </c>
      <c r="DA132" s="323">
        <f t="shared" si="805"/>
        <v>-3.0469607426330612E-2</v>
      </c>
      <c r="DB132" s="323">
        <f t="shared" si="805"/>
        <v>-2.3663465468268561E-2</v>
      </c>
      <c r="DC132" s="323">
        <f t="shared" si="805"/>
        <v>7.1462520198198681E-2</v>
      </c>
      <c r="DD132" s="324">
        <f t="shared" si="805"/>
        <v>3.7579717859998113E-2</v>
      </c>
      <c r="DE132" s="323">
        <f t="shared" si="805"/>
        <v>1.3935317895038242E-2</v>
      </c>
      <c r="DF132" s="323">
        <f t="shared" si="805"/>
        <v>0.26788343707808021</v>
      </c>
      <c r="DG132" s="323">
        <f t="shared" si="805"/>
        <v>0.24385911281146971</v>
      </c>
      <c r="DH132" s="323">
        <f t="shared" si="805"/>
        <v>0.33993795104100472</v>
      </c>
      <c r="DI132" s="324">
        <f t="shared" si="805"/>
        <v>0.8629796796421052</v>
      </c>
      <c r="DJ132" s="323">
        <f t="shared" si="805"/>
        <v>0.19696150547637503</v>
      </c>
      <c r="DK132" s="323">
        <f t="shared" si="805"/>
        <v>0.26540236079892543</v>
      </c>
      <c r="DL132" s="323">
        <f t="shared" si="805"/>
        <v>0.35264287964137409</v>
      </c>
      <c r="DM132" s="323">
        <f ca="1">IFERROR(DM129/DM131,"")</f>
        <v>0.43976926235376329</v>
      </c>
      <c r="DN132" s="324">
        <f ca="1">IFERROR(DN129/DN131,"")</f>
        <v>1.2583458847431226</v>
      </c>
      <c r="DO132" s="1292">
        <f ca="1">IFERROR(DO129/DO131,"")-0.01</f>
        <v>0.2461289080677298</v>
      </c>
      <c r="DP132" s="323">
        <f t="shared" ref="DP132:DQ132" si="806">IFERROR(DP129/DP131,"")</f>
        <v>0.34759521916099345</v>
      </c>
      <c r="DQ132" s="323">
        <f t="shared" si="806"/>
        <v>0.3359046135827628</v>
      </c>
      <c r="DR132" s="325">
        <f>IFERROR(DR129/DR131,"")</f>
        <v>0.48379375674352515</v>
      </c>
      <c r="DS132" s="324">
        <f ca="1">IFERROR(DS129/DS131,"")</f>
        <v>1.4268074096975412</v>
      </c>
      <c r="DT132" s="325">
        <f>IFERROR(DT129/DT131,"")</f>
        <v>0.36030343957046251</v>
      </c>
      <c r="DU132" s="323">
        <f t="shared" ref="DU132" si="807">IFERROR(DU129/DU131,"")</f>
        <v>0.42297763747740524</v>
      </c>
      <c r="DV132" s="323">
        <f t="shared" ref="DV132:EB132" si="808">IFERROR(DV129/DV131,"")</f>
        <v>0.50084562994752679</v>
      </c>
      <c r="DW132" s="323">
        <f t="shared" si="808"/>
        <v>0.70672484746489883</v>
      </c>
      <c r="DX132" s="324">
        <f>IFERROR(DX129/DX131,"")</f>
        <v>1.9921613225660191</v>
      </c>
      <c r="DY132" s="323">
        <f>IFERROR(DY129/DY131,"")</f>
        <v>0.48450128501649153</v>
      </c>
      <c r="DZ132" s="323">
        <f t="shared" si="808"/>
        <v>0.57966478533802612</v>
      </c>
      <c r="EA132" s="323">
        <f t="shared" si="808"/>
        <v>0.64870246643277352</v>
      </c>
      <c r="EB132" s="323">
        <f t="shared" si="808"/>
        <v>0.9177165302670709</v>
      </c>
      <c r="EC132" s="324">
        <f>IFERROR(EC129/EC131,"")</f>
        <v>2.6318918697485025</v>
      </c>
      <c r="ED132" s="323">
        <f>IFERROR(ED129/ED131,"")</f>
        <v>0.57587517410251055</v>
      </c>
      <c r="EE132" s="323">
        <f t="shared" ref="EE132:EG132" si="809">IFERROR(EE129/EE131,"")</f>
        <v>0.70066487903794983</v>
      </c>
      <c r="EF132" s="323">
        <f t="shared" si="809"/>
        <v>0.73817367506739229</v>
      </c>
      <c r="EG132" s="323">
        <f t="shared" si="809"/>
        <v>1.0256516923935941</v>
      </c>
      <c r="EH132" s="324">
        <f>IFERROR(EH129/EH131,"")</f>
        <v>3.0416795199197564</v>
      </c>
      <c r="EI132" s="323">
        <f>IFERROR(EI129/EI131,"")</f>
        <v>0.6953924736796866</v>
      </c>
      <c r="EJ132" s="323">
        <f t="shared" ref="EJ132:EQ132" si="810">IFERROR(EJ129/EJ131,"")</f>
        <v>0.84463752100004308</v>
      </c>
      <c r="EK132" s="323">
        <f t="shared" si="810"/>
        <v>0.88755170065028244</v>
      </c>
      <c r="EL132" s="323">
        <f t="shared" si="810"/>
        <v>1.2317379437399565</v>
      </c>
      <c r="EM132" s="324">
        <f>IFERROR(EM129/EM131,"")</f>
        <v>3.660873169226686</v>
      </c>
      <c r="EN132" s="323">
        <f>IFERROR(EN129/EN131,"")</f>
        <v>0.83301832096740314</v>
      </c>
      <c r="EO132" s="323">
        <f t="shared" si="810"/>
        <v>1.0104005462111683</v>
      </c>
      <c r="EP132" s="323">
        <f t="shared" si="810"/>
        <v>1.0596630456614027</v>
      </c>
      <c r="EQ132" s="323">
        <f t="shared" si="810"/>
        <v>1.4676785255297549</v>
      </c>
      <c r="ER132" s="324">
        <f>IFERROR(ER129/ER131,"")</f>
        <v>4.372583594266084</v>
      </c>
      <c r="ES132" s="917"/>
    </row>
    <row r="133" spans="1:150" s="253" customFormat="1" ht="12" customHeight="1">
      <c r="A133" s="792"/>
      <c r="B133" s="792"/>
      <c r="C133" s="349" t="s">
        <v>129</v>
      </c>
      <c r="D133" s="350"/>
      <c r="E133" s="350"/>
      <c r="F133" s="350"/>
      <c r="G133" s="350"/>
      <c r="H133" s="350"/>
      <c r="I133" s="351"/>
      <c r="J133" s="351"/>
      <c r="K133" s="351"/>
      <c r="L133" s="351"/>
      <c r="M133" s="350"/>
      <c r="N133" s="634"/>
      <c r="O133" s="634"/>
      <c r="P133" s="634"/>
      <c r="Q133" s="634"/>
      <c r="R133" s="350"/>
      <c r="S133" s="634"/>
      <c r="T133" s="634"/>
      <c r="U133" s="634"/>
      <c r="V133" s="634"/>
      <c r="W133" s="350"/>
      <c r="X133" s="634"/>
      <c r="Y133" s="634"/>
      <c r="Z133" s="634"/>
      <c r="AA133" s="634"/>
      <c r="AB133" s="350"/>
      <c r="AC133" s="634"/>
      <c r="AD133" s="634"/>
      <c r="AE133" s="634"/>
      <c r="AF133" s="634"/>
      <c r="AG133" s="350"/>
      <c r="AH133" s="634"/>
      <c r="AI133" s="634"/>
      <c r="AJ133" s="634"/>
      <c r="AK133" s="634"/>
      <c r="AL133" s="350"/>
      <c r="AM133" s="634"/>
      <c r="AN133" s="634"/>
      <c r="AO133" s="634"/>
      <c r="AP133" s="634"/>
      <c r="AQ133" s="350"/>
      <c r="AR133" s="634"/>
      <c r="AS133" s="634"/>
      <c r="AT133" s="634"/>
      <c r="AU133" s="634"/>
      <c r="AV133" s="350"/>
      <c r="AW133" s="634"/>
      <c r="AX133" s="634"/>
      <c r="AY133" s="634"/>
      <c r="AZ133" s="634"/>
      <c r="BA133" s="350"/>
      <c r="BB133" s="634"/>
      <c r="BC133" s="634"/>
      <c r="BD133" s="634"/>
      <c r="BE133" s="634"/>
      <c r="BF133" s="350"/>
      <c r="BG133" s="634"/>
      <c r="BH133" s="634"/>
      <c r="BI133" s="634"/>
      <c r="BJ133" s="634"/>
      <c r="BK133" s="350"/>
      <c r="BL133" s="634"/>
      <c r="BM133" s="634"/>
      <c r="BN133" s="634"/>
      <c r="BO133" s="634"/>
      <c r="BP133" s="350"/>
      <c r="BQ133" s="353"/>
      <c r="BR133" s="353"/>
      <c r="BS133" s="353"/>
      <c r="BT133" s="353"/>
      <c r="BU133" s="352"/>
      <c r="BV133" s="353" t="str">
        <f t="shared" ref="BV133:DA133" si="811">+IF(BQ132&lt;=0,"nm",BV132/BQ132-1)</f>
        <v>nm</v>
      </c>
      <c r="BW133" s="353" t="str">
        <f t="shared" si="811"/>
        <v>nm</v>
      </c>
      <c r="BX133" s="353" t="str">
        <f t="shared" si="811"/>
        <v>nm</v>
      </c>
      <c r="BY133" s="353" t="str">
        <f t="shared" si="811"/>
        <v>nm</v>
      </c>
      <c r="BZ133" s="352" t="str">
        <f t="shared" si="811"/>
        <v>nm</v>
      </c>
      <c r="CA133" s="353" t="str">
        <f t="shared" si="811"/>
        <v>nm</v>
      </c>
      <c r="CB133" s="353" t="str">
        <f t="shared" si="811"/>
        <v>nm</v>
      </c>
      <c r="CC133" s="353" t="str">
        <f t="shared" si="811"/>
        <v>nm</v>
      </c>
      <c r="CD133" s="353" t="str">
        <f t="shared" si="811"/>
        <v>nm</v>
      </c>
      <c r="CE133" s="352" t="str">
        <f t="shared" si="811"/>
        <v>nm</v>
      </c>
      <c r="CF133" s="353" t="str">
        <f t="shared" si="811"/>
        <v>nm</v>
      </c>
      <c r="CG133" s="353" t="str">
        <f t="shared" si="811"/>
        <v>nm</v>
      </c>
      <c r="CH133" s="353">
        <f t="shared" si="811"/>
        <v>6.9702234587643686E-2</v>
      </c>
      <c r="CI133" s="353">
        <f t="shared" si="811"/>
        <v>0.84426305970939386</v>
      </c>
      <c r="CJ133" s="352">
        <f t="shared" si="811"/>
        <v>1.7551127770105781</v>
      </c>
      <c r="CK133" s="353">
        <f t="shared" si="811"/>
        <v>0.55383439997143991</v>
      </c>
      <c r="CL133" s="353">
        <f t="shared" si="811"/>
        <v>2.9967963623181122</v>
      </c>
      <c r="CM133" s="353">
        <f t="shared" si="811"/>
        <v>-6.4767268968373521</v>
      </c>
      <c r="CN133" s="353">
        <f t="shared" si="811"/>
        <v>0.58285197667219135</v>
      </c>
      <c r="CO133" s="352">
        <f t="shared" si="811"/>
        <v>-0.18173138888225571</v>
      </c>
      <c r="CP133" s="353">
        <f t="shared" si="811"/>
        <v>1.9864535916382549</v>
      </c>
      <c r="CQ133" s="353">
        <f t="shared" si="811"/>
        <v>9.8118302389419227</v>
      </c>
      <c r="CR133" s="353" t="str">
        <f t="shared" si="811"/>
        <v>nm</v>
      </c>
      <c r="CS133" s="353">
        <f t="shared" si="811"/>
        <v>2.6744057369648413</v>
      </c>
      <c r="CT133" s="352">
        <f t="shared" si="811"/>
        <v>10.884121174539068</v>
      </c>
      <c r="CU133" s="353">
        <f t="shared" si="811"/>
        <v>9.4923438664804678</v>
      </c>
      <c r="CV133" s="353">
        <f t="shared" si="811"/>
        <v>1.1557683840308268</v>
      </c>
      <c r="CW133" s="353">
        <f t="shared" si="811"/>
        <v>-0.28502295020324708</v>
      </c>
      <c r="CX133" s="354">
        <f t="shared" si="811"/>
        <v>-0.13264697659419999</v>
      </c>
      <c r="CY133" s="352">
        <f t="shared" si="811"/>
        <v>0.60727382188588352</v>
      </c>
      <c r="CZ133" s="353">
        <f t="shared" si="811"/>
        <v>-0.90077670529798304</v>
      </c>
      <c r="DA133" s="353">
        <f t="shared" si="811"/>
        <v>-1.0136469573747489</v>
      </c>
      <c r="DB133" s="353">
        <f t="shared" ref="DB133:EB133" si="812">+IF(CW132&lt;=0,"nm",DB132/CW132-1)</f>
        <v>-1.0293708641152157</v>
      </c>
      <c r="DC133" s="353">
        <f t="shared" si="812"/>
        <v>-0.9480161362952193</v>
      </c>
      <c r="DD133" s="352">
        <f t="shared" si="812"/>
        <v>-0.99414537859717256</v>
      </c>
      <c r="DE133" s="353">
        <f t="shared" si="812"/>
        <v>-0.92998835285709158</v>
      </c>
      <c r="DF133" s="353" t="str">
        <f t="shared" si="812"/>
        <v>nm</v>
      </c>
      <c r="DG133" s="353" t="str">
        <f t="shared" si="812"/>
        <v>nm</v>
      </c>
      <c r="DH133" s="353">
        <f t="shared" si="812"/>
        <v>3.756870455984469</v>
      </c>
      <c r="DI133" s="352">
        <f t="shared" si="812"/>
        <v>21.963974419848093</v>
      </c>
      <c r="DJ133" s="353">
        <f t="shared" si="812"/>
        <v>13.133980075653991</v>
      </c>
      <c r="DK133" s="353">
        <f t="shared" si="812"/>
        <v>-9.2617755924626621E-3</v>
      </c>
      <c r="DL133" s="353">
        <f t="shared" si="812"/>
        <v>0.44609268678019975</v>
      </c>
      <c r="DM133" s="353">
        <f ca="1">+IF(DH132&lt;=0,"nm",DM132/DH132-1)</f>
        <v>0.29367509866739328</v>
      </c>
      <c r="DN133" s="352">
        <f ca="1">+IF(DI132&lt;=0,"nm",DN132/DI132-1)</f>
        <v>0.45814080496655918</v>
      </c>
      <c r="DO133" s="353">
        <f ca="1">+IF(DJ132&lt;=0,"nm",DO132/DJ132-1)</f>
        <v>0.24962950233568493</v>
      </c>
      <c r="DP133" s="353">
        <f t="shared" si="812"/>
        <v>0.30969151184129484</v>
      </c>
      <c r="DQ133" s="353">
        <f t="shared" si="812"/>
        <v>-4.7465203538587075E-2</v>
      </c>
      <c r="DR133" s="354">
        <f ca="1">+IF(DM132&lt;=0,"nm",DR132/DM132-1)</f>
        <v>0.10010816616452667</v>
      </c>
      <c r="DS133" s="352">
        <f ca="1">+IF(DN132&lt;=0,"nm",DS132/DN132-1)</f>
        <v>0.13387537321569432</v>
      </c>
      <c r="DT133" s="353">
        <f ca="1">+IF(DO132&lt;=0,"nm",DT132/DO132-1)</f>
        <v>0.46388103046926177</v>
      </c>
      <c r="DU133" s="353">
        <f t="shared" si="812"/>
        <v>0.21686839795543156</v>
      </c>
      <c r="DV133" s="353">
        <f t="shared" si="812"/>
        <v>0.49103528113383454</v>
      </c>
      <c r="DW133" s="353">
        <f t="shared" si="812"/>
        <v>0.46079778338180732</v>
      </c>
      <c r="DX133" s="352">
        <f ca="1">+IF(DS132&lt;=0,"nm",DX132/DS132-1)</f>
        <v>0.39623701771237885</v>
      </c>
      <c r="DY133" s="353">
        <f>+IF(DT132&lt;=0,"nm",DY132/DT132-1)</f>
        <v>0.34470346881531877</v>
      </c>
      <c r="DZ133" s="353">
        <f t="shared" si="812"/>
        <v>0.37043837304280847</v>
      </c>
      <c r="EA133" s="353">
        <f t="shared" si="812"/>
        <v>0.29521438871441807</v>
      </c>
      <c r="EB133" s="353">
        <f t="shared" si="812"/>
        <v>0.2985485561446195</v>
      </c>
      <c r="EC133" s="352">
        <f>+IF(DX132&lt;=0,"nm",EC132/DX132-1)</f>
        <v>0.32112386679532223</v>
      </c>
      <c r="ED133" s="353">
        <f>+IF(DY132&lt;=0,"nm",ED132/DY132-1)</f>
        <v>0.18859369812178883</v>
      </c>
      <c r="EE133" s="353">
        <f t="shared" ref="EE133" si="813">+IF(DZ132&lt;=0,"nm",EE132/DZ132-1)</f>
        <v>0.20874149467155156</v>
      </c>
      <c r="EF133" s="353">
        <f t="shared" ref="EF133" si="814">+IF(EA132&lt;=0,"nm",EF132/EA132-1)</f>
        <v>0.13792333660548972</v>
      </c>
      <c r="EG133" s="353">
        <f t="shared" ref="EG133" si="815">+IF(EB132&lt;=0,"nm",EG132/EB132-1)</f>
        <v>0.11761274703759805</v>
      </c>
      <c r="EH133" s="352">
        <f>+IF(EC132&lt;=0,"nm",EH132/EC132-1)</f>
        <v>0.15570079260528757</v>
      </c>
      <c r="EI133" s="353">
        <f>+IF(ED132&lt;=0,"nm",EI132/ED132-1)</f>
        <v>0.20754028815956738</v>
      </c>
      <c r="EJ133" s="353">
        <f t="shared" ref="EJ133" si="816">+IF(EE132&lt;=0,"nm",EJ132/EE132-1)</f>
        <v>0.20548003227987577</v>
      </c>
      <c r="EK133" s="353">
        <f t="shared" ref="EK133" si="817">+IF(EF132&lt;=0,"nm",EK132/EF132-1)</f>
        <v>0.20236162657690615</v>
      </c>
      <c r="EL133" s="353">
        <f t="shared" ref="EL133" si="818">+IF(EG132&lt;=0,"nm",EL132/EG132-1)</f>
        <v>0.20093200535301881</v>
      </c>
      <c r="EM133" s="352">
        <f>+IF(EH132&lt;=0,"nm",EM132/EH132-1)</f>
        <v>0.20356965461083965</v>
      </c>
      <c r="EN133" s="353">
        <f>+IF(EI132&lt;=0,"nm",EN132/EI132-1)</f>
        <v>0.19791103944433841</v>
      </c>
      <c r="EO133" s="353">
        <f t="shared" ref="EO133" si="819">+IF(EJ132&lt;=0,"nm",EO132/EJ132-1)</f>
        <v>0.19625344729519401</v>
      </c>
      <c r="EP133" s="353">
        <f t="shared" ref="EP133" si="820">+IF(EK132&lt;=0,"nm",EP132/EK132-1)</f>
        <v>0.1939169795799156</v>
      </c>
      <c r="EQ133" s="353">
        <f t="shared" ref="EQ133" si="821">+IF(EL132&lt;=0,"nm",EQ132/EL132-1)</f>
        <v>0.19155095691329116</v>
      </c>
      <c r="ER133" s="352">
        <f>+IF(EM132&lt;=0,"nm",ER132/EM132-1)</f>
        <v>0.19441001972481287</v>
      </c>
      <c r="ES133" s="244"/>
      <c r="ET133" s="133"/>
    </row>
    <row r="134" spans="1:150" s="253" customFormat="1" ht="12" customHeight="1">
      <c r="A134" s="792"/>
      <c r="B134" s="792"/>
      <c r="C134" s="349" t="s">
        <v>130</v>
      </c>
      <c r="D134" s="350"/>
      <c r="E134" s="350"/>
      <c r="F134" s="350"/>
      <c r="G134" s="350"/>
      <c r="H134" s="350"/>
      <c r="I134" s="351"/>
      <c r="J134" s="351"/>
      <c r="K134" s="351"/>
      <c r="L134" s="351"/>
      <c r="M134" s="350"/>
      <c r="N134" s="634"/>
      <c r="O134" s="634"/>
      <c r="P134" s="634"/>
      <c r="Q134" s="634"/>
      <c r="R134" s="350"/>
      <c r="S134" s="634"/>
      <c r="T134" s="634"/>
      <c r="U134" s="634"/>
      <c r="V134" s="634"/>
      <c r="W134" s="350"/>
      <c r="X134" s="634"/>
      <c r="Y134" s="634"/>
      <c r="Z134" s="634"/>
      <c r="AA134" s="634"/>
      <c r="AB134" s="350"/>
      <c r="AC134" s="634"/>
      <c r="AD134" s="634"/>
      <c r="AE134" s="634"/>
      <c r="AF134" s="634"/>
      <c r="AG134" s="350"/>
      <c r="AH134" s="634"/>
      <c r="AI134" s="634"/>
      <c r="AJ134" s="634"/>
      <c r="AK134" s="634"/>
      <c r="AL134" s="350"/>
      <c r="AM134" s="634"/>
      <c r="AN134" s="634"/>
      <c r="AO134" s="634"/>
      <c r="AP134" s="634"/>
      <c r="AQ134" s="350"/>
      <c r="AR134" s="634"/>
      <c r="AS134" s="634"/>
      <c r="AT134" s="634"/>
      <c r="AU134" s="634"/>
      <c r="AV134" s="350"/>
      <c r="AW134" s="634"/>
      <c r="AX134" s="634"/>
      <c r="AY134" s="634"/>
      <c r="AZ134" s="634"/>
      <c r="BA134" s="350"/>
      <c r="BB134" s="634"/>
      <c r="BC134" s="634"/>
      <c r="BD134" s="634"/>
      <c r="BE134" s="634"/>
      <c r="BF134" s="350"/>
      <c r="BG134" s="634"/>
      <c r="BH134" s="634"/>
      <c r="BI134" s="634"/>
      <c r="BJ134" s="634"/>
      <c r="BK134" s="350"/>
      <c r="BL134" s="634"/>
      <c r="BM134" s="634"/>
      <c r="BN134" s="634"/>
      <c r="BO134" s="634"/>
      <c r="BP134" s="350"/>
      <c r="BQ134" s="353" t="str">
        <f>IFERROR((BQ132-BP132)/ABS(BP132),"")</f>
        <v/>
      </c>
      <c r="BR134" s="353">
        <f>IFERROR((BR132-BQ132)/ABS(BQ132),"")</f>
        <v>0.49303594928464534</v>
      </c>
      <c r="BS134" s="353">
        <f>IFERROR((BS132-BR132)/ABS(BR132),"")</f>
        <v>3.220655786893787E-2</v>
      </c>
      <c r="BT134" s="353">
        <f>IFERROR((BT132-BS132)/ABS(BS132),"")</f>
        <v>0.43475039606601518</v>
      </c>
      <c r="BU134" s="352"/>
      <c r="BV134" s="353">
        <f>IFERROR((BV132-BU132)/ABS(BU132),"")</f>
        <v>0.15833288323839009</v>
      </c>
      <c r="BW134" s="353">
        <f>IFERROR((BW132-BV132)/ABS(BV132),"")</f>
        <v>0.42391427803094794</v>
      </c>
      <c r="BX134" s="353">
        <f>IFERROR((BX132-BW132)/ABS(BW132),"")</f>
        <v>0.41159907897848769</v>
      </c>
      <c r="BY134" s="353">
        <f>IFERROR((BY132-BX132)/ABS(BX132),"")</f>
        <v>0.80864871485621692</v>
      </c>
      <c r="BZ134" s="352"/>
      <c r="CA134" s="353">
        <f>IFERROR((CA132-BZ132)/ABS(BZ132),"")</f>
        <v>0.62247599283155763</v>
      </c>
      <c r="CB134" s="353">
        <f>IFERROR((CB132-CA132)/ABS(CA132),"")</f>
        <v>0.7057507930144149</v>
      </c>
      <c r="CC134" s="353">
        <f>IFERROR((CC132-CB132)/ABS(CB132),"")</f>
        <v>5.5065442819462085</v>
      </c>
      <c r="CD134" s="353">
        <f>IFERROR((CD132-CC132)/ABS(CC132),"")</f>
        <v>1.9138868397996633</v>
      </c>
      <c r="CE134" s="352"/>
      <c r="CF134" s="353">
        <f>IFERROR((CF132-CE132)/ABS(CE132),"")</f>
        <v>-0.72360038099854573</v>
      </c>
      <c r="CG134" s="353">
        <f>IFERROR((CG132-CF132)/ABS(CF132),"")</f>
        <v>-0.41827495473093979</v>
      </c>
      <c r="CH134" s="353">
        <f>IFERROR((CH132-CG132)/ABS(CG132),"")</f>
        <v>1.2632687669801319</v>
      </c>
      <c r="CI134" s="353">
        <f>IFERROR((CI132-CH132)/ABS(CH132),"")</f>
        <v>4.023803526864147</v>
      </c>
      <c r="CJ134" s="352"/>
      <c r="CK134" s="353">
        <f>IFERROR((CK132-CJ132)/ABS(CJ132),"")</f>
        <v>-0.84411555137519145</v>
      </c>
      <c r="CL134" s="353">
        <f>IFERROR((CL132-CK132)/ABS(CK132),"")</f>
        <v>0.49632196638422599</v>
      </c>
      <c r="CM134" s="353">
        <f>IFERROR((CM132-CL132)/ABS(CL132),"")</f>
        <v>-4.1013101011988544</v>
      </c>
      <c r="CN134" s="353">
        <f>IFERROR((CN132-CM132)/ABS(CM132),"")</f>
        <v>2.4519506801592845</v>
      </c>
      <c r="CO134" s="352"/>
      <c r="CP134" s="353">
        <f>IFERROR((CP132-CO132)/ABS(CO132),"")</f>
        <v>-0.43106497652380332</v>
      </c>
      <c r="CQ134" s="353">
        <f>IFERROR((CQ132-CP132)/ABS(CP132),"")</f>
        <v>4.4171205367605886</v>
      </c>
      <c r="CR134" s="353">
        <f>IFERROR((CR132-CQ132)/ABS(CQ132),"")</f>
        <v>8.8029312184035632E-2</v>
      </c>
      <c r="CS134" s="353">
        <f>IFERROR((CS132-CR132)/ABS(CR132),"")</f>
        <v>0.40651495732945725</v>
      </c>
      <c r="CT134" s="352"/>
      <c r="CU134" s="353">
        <f>IFERROR((CU132-CS132)/ABS(CS132),"")</f>
        <v>0.26566585955867328</v>
      </c>
      <c r="CV134" s="353">
        <f>IFERROR((CV132-CU132)/ABS(CU132),"")</f>
        <v>0.11300747804692826</v>
      </c>
      <c r="CW134" s="353">
        <f>IFERROR((CW132-CV132)/ABS(CV132),"")</f>
        <v>-0.63914676851174745</v>
      </c>
      <c r="CX134" s="354">
        <f>IFERROR((CX132-CW132)/ABS(CW132),"")</f>
        <v>0.70627155242532502</v>
      </c>
      <c r="CY134" s="352"/>
      <c r="CZ134" s="353">
        <f>IFERROR((CZ132-CY132)/ABS(CY132),"")</f>
        <v>-0.96899070547555344</v>
      </c>
      <c r="DA134" s="353">
        <f>IFERROR((DA132-CZ132)/ABS(CZ132),"")</f>
        <v>-1.1530806415600143</v>
      </c>
      <c r="DB134" s="353">
        <f>IFERROR((DB132-DA132)/ABS(DA132),"")</f>
        <v>0.22337478336463426</v>
      </c>
      <c r="DC134" s="353">
        <f>IFERROR((DC132-DB132)/ABS(DB132),"")</f>
        <v>4.0199515913688169</v>
      </c>
      <c r="DD134" s="352"/>
      <c r="DE134" s="353">
        <f>IFERROR((DE132-DD132)/ABS(DD132),"")</f>
        <v>-0.62917981590618199</v>
      </c>
      <c r="DF134" s="353">
        <f>IFERROR((DF132-DE132)/ABS(DE132),"")</f>
        <v>18.223345968552447</v>
      </c>
      <c r="DG134" s="353">
        <f>IFERROR((DG132-DF132)/ABS(DF132),"")</f>
        <v>-8.9682006952927468E-2</v>
      </c>
      <c r="DH134" s="353">
        <f>IFERROR((DH132-DG132)/ABS(DG132),"")</f>
        <v>0.39399322470189851</v>
      </c>
      <c r="DI134" s="352"/>
      <c r="DJ134" s="353">
        <f>IFERROR((DJ132-DI132)/ABS(DI132),"")</f>
        <v>-0.77176576676978204</v>
      </c>
      <c r="DK134" s="353">
        <f>IFERROR((DK132-DJ132)/ABS(DJ132),"")</f>
        <v>0.34748340878598577</v>
      </c>
      <c r="DL134" s="353">
        <f>IFERROR((DL132-DK132)/ABS(DK132),"")</f>
        <v>0.32871041003491286</v>
      </c>
      <c r="DM134" s="353">
        <f ca="1">IFERROR((DM132-DL132)/ABS(DL132),"")</f>
        <v>0.24706689895736389</v>
      </c>
      <c r="DN134" s="352"/>
      <c r="DO134" s="353">
        <f ca="1">IFERROR((DO132-DN132)/ABS(DN132),"")</f>
        <v>-0.80440281877031428</v>
      </c>
      <c r="DP134" s="353">
        <f ca="1">IFERROR((DP132-DO132)/ABS(DO132),"")</f>
        <v>0.41224865412941308</v>
      </c>
      <c r="DQ134" s="353">
        <f>IFERROR((DQ132-DP132)/ABS(DP132),"")</f>
        <v>-3.3632814647016153E-2</v>
      </c>
      <c r="DR134" s="354">
        <f>IFERROR((DR132-DQ132)/ABS(DQ132),"")</f>
        <v>0.44027124719537164</v>
      </c>
      <c r="DS134" s="352"/>
      <c r="DT134" s="353">
        <f ca="1">IFERROR((DT132-DS132)/ABS(DS132),"")</f>
        <v>-0.74747577204772109</v>
      </c>
      <c r="DU134" s="353">
        <f>IFERROR((DU132-DT132)/ABS(DT132),"")</f>
        <v>0.1739483752407695</v>
      </c>
      <c r="DV134" s="353">
        <f>IFERROR((DV132-DU132)/ABS(DU132),"")</f>
        <v>0.18409482102769825</v>
      </c>
      <c r="DW134" s="353">
        <f>IFERROR((DW132-DV132)/ABS(DV132),"")</f>
        <v>0.41106322029592601</v>
      </c>
      <c r="DX134" s="352"/>
      <c r="DY134" s="353">
        <f>IFERROR((DY132-DX132)/ABS(DX132),"")</f>
        <v>-0.75679615926263144</v>
      </c>
      <c r="DZ134" s="353">
        <f>IFERROR((DZ132-DY132)/ABS(DY132),"")</f>
        <v>0.19641537239327528</v>
      </c>
      <c r="EA134" s="353">
        <f>IFERROR((EA132-DZ132)/ABS(DZ132),"")</f>
        <v>0.1190993188494083</v>
      </c>
      <c r="EB134" s="353">
        <f>IFERROR((EB132-EA132)/ABS(EA132),"")</f>
        <v>0.4146956081631854</v>
      </c>
      <c r="EC134" s="352"/>
      <c r="ED134" s="353">
        <f>IFERROR((ED132-EC132)/ABS(EC132),"")</f>
        <v>-0.78119345223801318</v>
      </c>
      <c r="EE134" s="353">
        <f>IFERROR((EE132-ED132)/ABS(ED132),"")</f>
        <v>0.21669575378018585</v>
      </c>
      <c r="EF134" s="353">
        <f>IFERROR((EF132-EE132)/ABS(EE132),"")</f>
        <v>5.3533147088725259E-2</v>
      </c>
      <c r="EG134" s="353">
        <f>IFERROR((EG132-EF132)/ABS(EF132),"")</f>
        <v>0.38944495995465594</v>
      </c>
      <c r="EH134" s="352"/>
      <c r="EI134" s="353">
        <f>IFERROR((EI132-EH132)/ABS(EH132),"")</f>
        <v>-0.77137878296329132</v>
      </c>
      <c r="EJ134" s="353">
        <f>IFERROR((EJ132-EI132)/ABS(EI132),"")</f>
        <v>0.21461987721929546</v>
      </c>
      <c r="EK134" s="353">
        <f>IFERROR((EK132-EJ132)/ABS(EJ132),"")</f>
        <v>5.0807806406030082E-2</v>
      </c>
      <c r="EL134" s="353">
        <f>IFERROR((EL132-EK132)/ABS(EK132),"")</f>
        <v>0.3877928945857454</v>
      </c>
      <c r="EM134" s="352"/>
      <c r="EN134" s="353">
        <f>IFERROR((EN132-EM132)/ABS(EM132),"")</f>
        <v>-0.77245365177636893</v>
      </c>
      <c r="EO134" s="353">
        <f>IFERROR((EO132-EN132)/ABS(EN132),"")</f>
        <v>0.21293916445651173</v>
      </c>
      <c r="EP134" s="353">
        <f>IFERROR((EP132-EO132)/ABS(EO132),"")</f>
        <v>4.8755416488006159E-2</v>
      </c>
      <c r="EQ134" s="353">
        <f>IFERROR((EQ132-EP132)/ABS(EP132),"")</f>
        <v>0.38504266194701914</v>
      </c>
      <c r="ER134" s="352"/>
      <c r="ES134" s="244"/>
      <c r="ET134" s="133"/>
    </row>
    <row r="135" spans="1:150">
      <c r="A135" s="792"/>
      <c r="B135" s="792"/>
      <c r="C135" s="1173" t="s">
        <v>745</v>
      </c>
      <c r="D135" s="1174"/>
      <c r="E135" s="1174"/>
      <c r="F135" s="1174"/>
      <c r="G135" s="1174"/>
      <c r="H135" s="1174"/>
      <c r="M135" s="1174"/>
      <c r="R135" s="1174"/>
      <c r="W135" s="1174"/>
      <c r="AB135" s="1174"/>
      <c r="AG135" s="1174"/>
      <c r="AL135" s="1174"/>
      <c r="AQ135" s="1174"/>
      <c r="AV135" s="1174"/>
      <c r="BA135" s="1174"/>
      <c r="BF135" s="1174"/>
      <c r="BK135" s="1174"/>
      <c r="BP135" s="1174"/>
      <c r="BQ135" s="93"/>
      <c r="BR135" s="93"/>
      <c r="BS135" s="93"/>
      <c r="BT135" s="93"/>
      <c r="BU135" s="372"/>
      <c r="BV135" s="93"/>
      <c r="BW135" s="93"/>
      <c r="BX135" s="93"/>
      <c r="BY135" s="93"/>
      <c r="BZ135" s="372"/>
      <c r="CA135" s="93"/>
      <c r="CB135" s="93"/>
      <c r="CC135" s="93"/>
      <c r="CD135" s="93"/>
      <c r="CE135" s="372"/>
      <c r="CF135" s="93"/>
      <c r="CG135" s="93"/>
      <c r="CH135" s="93"/>
      <c r="CI135" s="93"/>
      <c r="CJ135" s="372"/>
      <c r="CK135" s="93"/>
      <c r="CL135" s="93"/>
      <c r="CM135" s="93"/>
      <c r="CN135" s="93"/>
      <c r="CO135" s="372"/>
      <c r="CP135" s="93"/>
      <c r="CQ135" s="93"/>
      <c r="CR135" s="93"/>
      <c r="CS135" s="93"/>
      <c r="CT135" s="372"/>
      <c r="CU135" s="93"/>
      <c r="CV135" s="93"/>
      <c r="CW135" s="93"/>
      <c r="CX135" s="93"/>
      <c r="CY135" s="372"/>
      <c r="CZ135" s="93"/>
      <c r="DA135" s="93"/>
      <c r="DB135" s="93"/>
      <c r="DC135" s="93"/>
      <c r="DD135" s="372"/>
      <c r="DE135" s="93"/>
      <c r="DF135" s="93"/>
      <c r="DG135" s="93"/>
      <c r="DH135" s="93"/>
      <c r="DI135" s="372"/>
      <c r="DJ135" s="93"/>
      <c r="DK135" s="93"/>
      <c r="DL135" s="93"/>
      <c r="DM135" s="93"/>
      <c r="DN135" s="372"/>
      <c r="DO135" s="93"/>
      <c r="DP135" s="93"/>
      <c r="DQ135" s="93"/>
      <c r="DR135" s="93"/>
      <c r="DS135" s="372"/>
      <c r="DT135" s="93"/>
      <c r="DU135" s="93"/>
      <c r="DV135" s="93"/>
      <c r="DW135" s="93"/>
      <c r="DX135" s="372"/>
      <c r="DY135" s="93"/>
      <c r="DZ135" s="93"/>
      <c r="EA135" s="93"/>
      <c r="EB135" s="93"/>
      <c r="EC135" s="372"/>
      <c r="ED135" s="93"/>
      <c r="EE135" s="93"/>
      <c r="EF135" s="93"/>
      <c r="EG135" s="93"/>
      <c r="EH135" s="372"/>
      <c r="EI135" s="93"/>
      <c r="EJ135" s="93"/>
      <c r="EK135" s="93"/>
      <c r="EL135" s="93"/>
      <c r="EM135" s="372"/>
      <c r="EN135" s="93"/>
      <c r="EO135" s="93"/>
      <c r="EP135" s="93"/>
      <c r="EQ135" s="93"/>
      <c r="ER135" s="372"/>
      <c r="ES135" s="129"/>
    </row>
    <row r="136" spans="1:150">
      <c r="A136" s="792"/>
      <c r="B136" s="792"/>
      <c r="C136" s="1372" t="s">
        <v>27</v>
      </c>
      <c r="D136" s="1373"/>
      <c r="E136" s="1373"/>
      <c r="F136" s="1373"/>
      <c r="G136" s="1373"/>
      <c r="H136" s="1373"/>
      <c r="I136" s="1373"/>
      <c r="J136" s="1373"/>
      <c r="K136" s="1373"/>
      <c r="L136" s="1373"/>
      <c r="M136" s="1373"/>
      <c r="N136" s="1373"/>
      <c r="O136" s="1373"/>
      <c r="P136" s="1373"/>
      <c r="Q136" s="1373"/>
      <c r="R136" s="1373"/>
      <c r="S136" s="1373"/>
      <c r="T136" s="1373"/>
      <c r="U136" s="1373"/>
      <c r="V136" s="1373"/>
      <c r="W136" s="1373"/>
      <c r="X136" s="1373"/>
      <c r="Y136" s="1373"/>
      <c r="Z136" s="1373"/>
      <c r="AA136" s="1373"/>
      <c r="AB136" s="1373"/>
      <c r="AC136" s="1373"/>
      <c r="AD136" s="1373"/>
      <c r="AE136" s="1373"/>
      <c r="AF136" s="1373"/>
      <c r="AG136" s="1373"/>
      <c r="AH136" s="1373"/>
      <c r="AI136" s="1373"/>
      <c r="AJ136" s="1373"/>
      <c r="AK136" s="1373"/>
      <c r="AL136" s="1373"/>
      <c r="AM136" s="1373"/>
      <c r="AN136" s="1373"/>
      <c r="AO136" s="1373"/>
      <c r="AP136" s="1373"/>
      <c r="AQ136" s="1373"/>
      <c r="AR136" s="1373"/>
      <c r="AS136" s="1373"/>
      <c r="AT136" s="1373"/>
      <c r="AU136" s="1373"/>
      <c r="AV136" s="1373"/>
      <c r="AW136" s="1373"/>
      <c r="AX136" s="1373"/>
      <c r="AY136" s="1373"/>
      <c r="AZ136" s="1373"/>
      <c r="BA136" s="1373"/>
      <c r="BB136" s="1373"/>
      <c r="BC136" s="1373"/>
      <c r="BD136" s="1373"/>
      <c r="BE136" s="1373"/>
      <c r="BF136" s="1373"/>
      <c r="BG136" s="1373"/>
      <c r="BH136" s="1373"/>
      <c r="BI136" s="1373"/>
      <c r="BJ136" s="1373"/>
      <c r="BK136" s="1373"/>
      <c r="BL136" s="1373"/>
      <c r="BM136" s="1373"/>
      <c r="BN136" s="1373"/>
      <c r="BO136" s="1373"/>
      <c r="BP136" s="1373"/>
      <c r="BQ136" s="1374"/>
      <c r="BR136" s="1375"/>
      <c r="BS136" s="1375"/>
      <c r="BT136" s="1375"/>
      <c r="BU136" s="1376"/>
      <c r="BV136" s="1375"/>
      <c r="BW136" s="1375"/>
      <c r="BX136" s="1375"/>
      <c r="BY136" s="1375"/>
      <c r="BZ136" s="1376"/>
      <c r="CA136" s="1375"/>
      <c r="CB136" s="1375"/>
      <c r="CC136" s="1375"/>
      <c r="CD136" s="1375"/>
      <c r="CE136" s="1376"/>
      <c r="CF136" s="1375"/>
      <c r="CG136" s="1375"/>
      <c r="CH136" s="1375"/>
      <c r="CI136" s="1375"/>
      <c r="CJ136" s="1376"/>
      <c r="CK136" s="1375"/>
      <c r="CL136" s="1375"/>
      <c r="CM136" s="1375"/>
      <c r="CN136" s="1375"/>
      <c r="CO136" s="1376"/>
      <c r="CP136" s="1375"/>
      <c r="CQ136" s="1375"/>
      <c r="CR136" s="1375"/>
      <c r="CS136" s="1375"/>
      <c r="CT136" s="1376"/>
      <c r="CU136" s="1375"/>
      <c r="CV136" s="1375"/>
      <c r="CW136" s="1375"/>
      <c r="CX136" s="1375"/>
      <c r="CY136" s="1376"/>
      <c r="CZ136" s="1375"/>
      <c r="DA136" s="1375"/>
      <c r="DB136" s="1375"/>
      <c r="DC136" s="1375"/>
      <c r="DD136" s="1376"/>
      <c r="DE136" s="1375"/>
      <c r="DF136" s="1375"/>
      <c r="DG136" s="1375"/>
      <c r="DH136" s="1375"/>
      <c r="DI136" s="1376"/>
      <c r="DJ136" s="1375"/>
      <c r="DK136" s="1375"/>
      <c r="DL136" s="1375"/>
      <c r="DM136" s="1375"/>
      <c r="DN136" s="1376"/>
      <c r="DO136" s="1375"/>
      <c r="DP136" s="1375"/>
      <c r="DQ136" s="1375"/>
      <c r="DR136" s="1532"/>
      <c r="DS136" s="1376"/>
      <c r="DT136" s="1375"/>
      <c r="DU136" s="1375"/>
      <c r="DV136" s="1375"/>
      <c r="DW136" s="1375"/>
      <c r="DX136" s="1376"/>
      <c r="DY136" s="1375"/>
      <c r="DZ136" s="1375"/>
      <c r="EA136" s="1375"/>
      <c r="EB136" s="1375"/>
      <c r="EC136" s="1376"/>
      <c r="ED136" s="1375"/>
      <c r="EE136" s="1375"/>
      <c r="EF136" s="1375"/>
      <c r="EG136" s="1375"/>
      <c r="EH136" s="1376"/>
      <c r="EI136" s="1375"/>
      <c r="EJ136" s="1375"/>
      <c r="EK136" s="1375"/>
      <c r="EL136" s="1375"/>
      <c r="EM136" s="1376"/>
      <c r="EN136" s="1375"/>
      <c r="EO136" s="1375"/>
      <c r="EP136" s="1375"/>
      <c r="EQ136" s="1375"/>
      <c r="ER136" s="1376"/>
      <c r="ES136" s="129"/>
    </row>
    <row r="137" spans="1:150">
      <c r="A137" s="792"/>
      <c r="B137" s="792"/>
      <c r="C137" s="375" t="s">
        <v>275</v>
      </c>
      <c r="BQ137" s="359">
        <f t="shared" ref="BQ137:CV137" si="822">BQ82/BQ$10</f>
        <v>1.5797365320766841E-3</v>
      </c>
      <c r="BR137" s="359">
        <f t="shared" si="822"/>
        <v>1.602635444953924E-3</v>
      </c>
      <c r="BS137" s="359">
        <f t="shared" si="822"/>
        <v>1.2692759443791914E-3</v>
      </c>
      <c r="BT137" s="359">
        <f t="shared" si="822"/>
        <v>1.1970415971955025E-3</v>
      </c>
      <c r="BU137" s="501">
        <f t="shared" si="822"/>
        <v>1.3740480332110334E-3</v>
      </c>
      <c r="BV137" s="359">
        <f t="shared" si="822"/>
        <v>1.443854679464261E-3</v>
      </c>
      <c r="BW137" s="359">
        <f t="shared" si="822"/>
        <v>1.4887993813980866E-3</v>
      </c>
      <c r="BX137" s="359">
        <f t="shared" si="822"/>
        <v>1.8879672216754705E-3</v>
      </c>
      <c r="BY137" s="359">
        <f t="shared" si="822"/>
        <v>1.5799605776826734E-3</v>
      </c>
      <c r="BZ137" s="501">
        <f t="shared" si="822"/>
        <v>1.6130275087971645E-3</v>
      </c>
      <c r="CA137" s="359">
        <f t="shared" si="822"/>
        <v>1.6800257499273821E-3</v>
      </c>
      <c r="CB137" s="359">
        <f t="shared" si="822"/>
        <v>1.7210115063796116E-3</v>
      </c>
      <c r="CC137" s="359">
        <f t="shared" si="822"/>
        <v>1.854703247480403E-3</v>
      </c>
      <c r="CD137" s="359">
        <f t="shared" si="822"/>
        <v>1.3868069331370561E-3</v>
      </c>
      <c r="CE137" s="501">
        <f t="shared" si="822"/>
        <v>1.6367049653648277E-3</v>
      </c>
      <c r="CF137" s="359">
        <f t="shared" si="822"/>
        <v>1.9874965008864422E-3</v>
      </c>
      <c r="CG137" s="359">
        <f t="shared" si="822"/>
        <v>2.3840335071010723E-3</v>
      </c>
      <c r="CH137" s="359">
        <f t="shared" si="822"/>
        <v>2.2883464660228689E-3</v>
      </c>
      <c r="CI137" s="359">
        <f t="shared" si="822"/>
        <v>1.7565186033932218E-3</v>
      </c>
      <c r="CJ137" s="501">
        <f t="shared" si="822"/>
        <v>2.0797052632755921E-3</v>
      </c>
      <c r="CK137" s="359">
        <f t="shared" si="822"/>
        <v>2.2278942343095711E-3</v>
      </c>
      <c r="CL137" s="359">
        <f t="shared" si="822"/>
        <v>2.4697565328375406E-3</v>
      </c>
      <c r="CM137" s="359">
        <f t="shared" si="822"/>
        <v>2.3761240500624757E-3</v>
      </c>
      <c r="CN137" s="359">
        <f t="shared" si="822"/>
        <v>2.0508353788898565E-3</v>
      </c>
      <c r="CO137" s="501">
        <f t="shared" si="822"/>
        <v>2.2633767020472408E-3</v>
      </c>
      <c r="CP137" s="359">
        <f t="shared" si="822"/>
        <v>2.4425479945787347E-3</v>
      </c>
      <c r="CQ137" s="359">
        <f t="shared" si="822"/>
        <v>1.6630712782830608E-3</v>
      </c>
      <c r="CR137" s="359">
        <f t="shared" si="822"/>
        <v>3.4753487402349476E-3</v>
      </c>
      <c r="CS137" s="359">
        <f t="shared" si="822"/>
        <v>1.5136886546989806E-3</v>
      </c>
      <c r="CT137" s="501">
        <f t="shared" si="822"/>
        <v>2.2130124311697838E-3</v>
      </c>
      <c r="CU137" s="359">
        <f t="shared" si="822"/>
        <v>1.5323973066220804E-3</v>
      </c>
      <c r="CV137" s="359">
        <f t="shared" si="822"/>
        <v>1.4623317804805061E-3</v>
      </c>
      <c r="CW137" s="359">
        <f t="shared" ref="CW137:DP137" si="823">CW82/CW$10</f>
        <v>1.5119155676579991E-3</v>
      </c>
      <c r="CX137" s="359">
        <f t="shared" si="823"/>
        <v>1.3224407691460438E-3</v>
      </c>
      <c r="CY137" s="501">
        <f t="shared" si="823"/>
        <v>1.447573384771771E-3</v>
      </c>
      <c r="CZ137" s="359">
        <f t="shared" si="823"/>
        <v>1.717315139375037E-3</v>
      </c>
      <c r="DA137" s="359">
        <f t="shared" si="823"/>
        <v>1.8215330065023863E-3</v>
      </c>
      <c r="DB137" s="359">
        <f t="shared" si="823"/>
        <v>1.6542233933538278E-3</v>
      </c>
      <c r="DC137" s="359">
        <f t="shared" si="823"/>
        <v>1.0979966316575771E-3</v>
      </c>
      <c r="DD137" s="501">
        <f t="shared" si="823"/>
        <v>1.5341444006497298E-3</v>
      </c>
      <c r="DE137" s="359">
        <f t="shared" si="823"/>
        <v>1.3262599469496021E-3</v>
      </c>
      <c r="DF137" s="359">
        <f t="shared" si="823"/>
        <v>5.9031877213695393E-4</v>
      </c>
      <c r="DG137" s="359">
        <f t="shared" si="823"/>
        <v>0</v>
      </c>
      <c r="DH137" s="359">
        <f t="shared" si="823"/>
        <v>4.6641791044776119E-4</v>
      </c>
      <c r="DI137" s="501">
        <f t="shared" si="823"/>
        <v>5.6657223796033991E-4</v>
      </c>
      <c r="DJ137" s="359">
        <f t="shared" si="823"/>
        <v>5.3734551316496511E-4</v>
      </c>
      <c r="DK137" s="359">
        <f t="shared" si="823"/>
        <v>1.4669926650366749E-3</v>
      </c>
      <c r="DL137" s="359">
        <f t="shared" si="823"/>
        <v>0</v>
      </c>
      <c r="DM137" s="359">
        <f ca="1">DM82/DM$10</f>
        <v>0</v>
      </c>
      <c r="DN137" s="501">
        <f ca="1">DN82/DN$10</f>
        <v>4.5045045045045046E-4</v>
      </c>
      <c r="DO137" s="963">
        <f t="shared" si="823"/>
        <v>4.2372881355932202E-4</v>
      </c>
      <c r="DP137" s="359">
        <f t="shared" si="823"/>
        <v>3.7313432835820896E-4</v>
      </c>
      <c r="DQ137" s="359">
        <f t="shared" ref="DQ137" si="824">DQ82/DQ$10</f>
        <v>3.5161744022503517E-4</v>
      </c>
      <c r="DR137" s="963">
        <f t="shared" ref="DR137:DU140" si="825">DR82/DR$10</f>
        <v>2.7233115468409589E-4</v>
      </c>
      <c r="DS137" s="501">
        <f t="shared" si="825"/>
        <v>3.4614053305642093E-4</v>
      </c>
      <c r="DT137" s="963">
        <f t="shared" si="825"/>
        <v>3.1545741324921138E-4</v>
      </c>
      <c r="DU137" s="359">
        <f t="shared" si="825"/>
        <v>5.5819145967066707E-4</v>
      </c>
      <c r="DV137" s="360">
        <f>+DQ137</f>
        <v>3.5161744022503517E-4</v>
      </c>
      <c r="DW137" s="360">
        <f>+DR137</f>
        <v>2.7233115468409589E-4</v>
      </c>
      <c r="DX137" s="501">
        <f>DX82/DX$10</f>
        <v>3.6798225685312198E-4</v>
      </c>
      <c r="DY137" s="360">
        <f>+DT137</f>
        <v>3.1545741324921138E-4</v>
      </c>
      <c r="DZ137" s="360">
        <f>+DU137</f>
        <v>5.5819145967066707E-4</v>
      </c>
      <c r="EA137" s="360">
        <f>+DV137</f>
        <v>3.5161744022503517E-4</v>
      </c>
      <c r="EB137" s="360">
        <f>+DW137</f>
        <v>2.7233115468409589E-4</v>
      </c>
      <c r="EC137" s="501">
        <f>EC82/EC$10</f>
        <v>3.6851170764768629E-4</v>
      </c>
      <c r="ED137" s="360">
        <f>+DY137</f>
        <v>3.1545741324921138E-4</v>
      </c>
      <c r="EE137" s="360">
        <f>+DZ137</f>
        <v>5.5819145967066707E-4</v>
      </c>
      <c r="EF137" s="360">
        <f>+EA137</f>
        <v>3.5161744022503517E-4</v>
      </c>
      <c r="EG137" s="360">
        <f>+EB137</f>
        <v>2.7233115468409589E-4</v>
      </c>
      <c r="EH137" s="501">
        <f>EH82/EH$10</f>
        <v>3.6854102499500672E-4</v>
      </c>
      <c r="EI137" s="360">
        <f>+ED137</f>
        <v>3.1545741324921138E-4</v>
      </c>
      <c r="EJ137" s="360">
        <f>+EE137</f>
        <v>5.5819145967066707E-4</v>
      </c>
      <c r="EK137" s="360">
        <f>+EF137</f>
        <v>3.5161744022503517E-4</v>
      </c>
      <c r="EL137" s="360">
        <f>+EG137</f>
        <v>2.7233115468409589E-4</v>
      </c>
      <c r="EM137" s="501">
        <f>EM82/EM$10</f>
        <v>3.6852952885790455E-4</v>
      </c>
      <c r="EN137" s="360">
        <f>+EI137</f>
        <v>3.1545741324921138E-4</v>
      </c>
      <c r="EO137" s="360">
        <f>+EJ137</f>
        <v>5.5819145967066707E-4</v>
      </c>
      <c r="EP137" s="360">
        <f>+EK137</f>
        <v>3.5161744022503517E-4</v>
      </c>
      <c r="EQ137" s="360">
        <f>+EL137</f>
        <v>2.7233115468409589E-4</v>
      </c>
      <c r="ER137" s="501">
        <f>ER82/ER$10</f>
        <v>3.6852501734742176E-4</v>
      </c>
      <c r="ES137" s="359"/>
    </row>
    <row r="138" spans="1:150">
      <c r="A138" s="792"/>
      <c r="B138" s="792"/>
      <c r="C138" s="375" t="s">
        <v>276</v>
      </c>
      <c r="BQ138" s="359">
        <f t="shared" ref="BQ138:CV138" si="826">BQ83/BQ$10</f>
        <v>4.6588840098532721E-3</v>
      </c>
      <c r="BR138" s="359">
        <f t="shared" si="826"/>
        <v>4.0511062636335304E-3</v>
      </c>
      <c r="BS138" s="359">
        <f t="shared" si="826"/>
        <v>6.1569355510930927E-3</v>
      </c>
      <c r="BT138" s="359">
        <f t="shared" si="826"/>
        <v>5.9567069955680958E-3</v>
      </c>
      <c r="BU138" s="501">
        <f t="shared" si="826"/>
        <v>5.3548893209181755E-3</v>
      </c>
      <c r="BV138" s="359">
        <f t="shared" si="826"/>
        <v>7.7555622782651728E-3</v>
      </c>
      <c r="BW138" s="359">
        <f t="shared" si="826"/>
        <v>1.0871697808348818E-2</v>
      </c>
      <c r="BX138" s="359">
        <f t="shared" si="826"/>
        <v>1.1498523770310711E-2</v>
      </c>
      <c r="BY138" s="359">
        <f t="shared" si="826"/>
        <v>9.9706250047935721E-3</v>
      </c>
      <c r="BZ138" s="501">
        <f t="shared" si="826"/>
        <v>1.0148203323658593E-2</v>
      </c>
      <c r="CA138" s="359">
        <f t="shared" si="826"/>
        <v>1.1626720260011462E-2</v>
      </c>
      <c r="CB138" s="359">
        <f t="shared" si="826"/>
        <v>1.3214203290362995E-2</v>
      </c>
      <c r="CC138" s="359">
        <f t="shared" si="826"/>
        <v>1.4960106382978722E-2</v>
      </c>
      <c r="CD138" s="359">
        <f t="shared" si="826"/>
        <v>1.3176909888965685E-2</v>
      </c>
      <c r="CE138" s="501">
        <f t="shared" si="826"/>
        <v>1.3346125969844233E-2</v>
      </c>
      <c r="CF138" s="359">
        <f t="shared" si="826"/>
        <v>1.883922739572642E-2</v>
      </c>
      <c r="CG138" s="359">
        <f t="shared" si="826"/>
        <v>2.3358629670603318E-2</v>
      </c>
      <c r="CH138" s="359">
        <f t="shared" si="826"/>
        <v>2.2272498370756563E-2</v>
      </c>
      <c r="CI138" s="359">
        <f t="shared" si="826"/>
        <v>1.7893806236222672E-2</v>
      </c>
      <c r="CJ138" s="501">
        <f t="shared" si="826"/>
        <v>2.0431799737055192E-2</v>
      </c>
      <c r="CK138" s="359">
        <f t="shared" si="826"/>
        <v>2.1327250828439663E-2</v>
      </c>
      <c r="CL138" s="359">
        <f t="shared" si="826"/>
        <v>2.323062940115311E-2</v>
      </c>
      <c r="CM138" s="359">
        <f t="shared" si="826"/>
        <v>2.2294086318851266E-2</v>
      </c>
      <c r="CN138" s="359">
        <f t="shared" si="826"/>
        <v>1.9728402882255126E-2</v>
      </c>
      <c r="CO138" s="501">
        <f t="shared" si="826"/>
        <v>2.1491306719858976E-2</v>
      </c>
      <c r="CP138" s="359">
        <f t="shared" si="826"/>
        <v>2.3844630117808262E-2</v>
      </c>
      <c r="CQ138" s="359">
        <f t="shared" si="826"/>
        <v>1.4857050064325021E-2</v>
      </c>
      <c r="CR138" s="359">
        <f t="shared" si="826"/>
        <v>1.3153419641519145E-2</v>
      </c>
      <c r="CS138" s="359">
        <f t="shared" si="826"/>
        <v>8.9655369912778806E-3</v>
      </c>
      <c r="CT138" s="501">
        <f t="shared" si="826"/>
        <v>1.388637138670165E-2</v>
      </c>
      <c r="CU138" s="359">
        <f t="shared" si="826"/>
        <v>8.9546622808747717E-3</v>
      </c>
      <c r="CV138" s="359">
        <f t="shared" si="826"/>
        <v>8.6391024123561224E-3</v>
      </c>
      <c r="CW138" s="359">
        <f t="shared" ref="CW138:DP138" si="827">CW83/CW$10</f>
        <v>9.1916279566447764E-3</v>
      </c>
      <c r="CX138" s="359">
        <f t="shared" si="827"/>
        <v>9.2015066404642232E-3</v>
      </c>
      <c r="CY138" s="501">
        <f t="shared" si="827"/>
        <v>9.0096698595966574E-3</v>
      </c>
      <c r="CZ138" s="359">
        <f t="shared" si="827"/>
        <v>1.22322355089592E-2</v>
      </c>
      <c r="DA138" s="359">
        <f t="shared" si="827"/>
        <v>1.3260358762469468E-2</v>
      </c>
      <c r="DB138" s="359">
        <f t="shared" si="827"/>
        <v>1.2276387058995752E-2</v>
      </c>
      <c r="DC138" s="359">
        <f t="shared" si="827"/>
        <v>8.4075994047186769E-3</v>
      </c>
      <c r="DD138" s="501">
        <f t="shared" si="827"/>
        <v>1.1295810041100996E-2</v>
      </c>
      <c r="DE138" s="359">
        <f t="shared" si="827"/>
        <v>9.2838196286472146E-3</v>
      </c>
      <c r="DF138" s="359">
        <f t="shared" si="827"/>
        <v>7.6741440377804011E-3</v>
      </c>
      <c r="DG138" s="359">
        <f t="shared" si="827"/>
        <v>9.3348891481913644E-3</v>
      </c>
      <c r="DH138" s="359">
        <f t="shared" si="827"/>
        <v>6.0634328358208957E-3</v>
      </c>
      <c r="DI138" s="501">
        <f t="shared" si="827"/>
        <v>7.9320113314447598E-3</v>
      </c>
      <c r="DJ138" s="359">
        <f t="shared" si="827"/>
        <v>5.9108006448146157E-3</v>
      </c>
      <c r="DK138" s="359">
        <f t="shared" si="827"/>
        <v>4.8899755501222494E-3</v>
      </c>
      <c r="DL138" s="359">
        <f t="shared" si="827"/>
        <v>6.4754856614246065E-3</v>
      </c>
      <c r="DM138" s="359">
        <f t="shared" si="827"/>
        <v>4.6230440967283074E-3</v>
      </c>
      <c r="DN138" s="501">
        <f t="shared" si="827"/>
        <v>5.4054054054054057E-3</v>
      </c>
      <c r="DO138" s="963">
        <f t="shared" si="827"/>
        <v>5.084745762711864E-3</v>
      </c>
      <c r="DP138" s="359">
        <f t="shared" si="827"/>
        <v>4.1044776119402984E-3</v>
      </c>
      <c r="DQ138" s="359">
        <f t="shared" ref="DQ138" si="828">DQ83/DQ$10</f>
        <v>4.2194092827004216E-3</v>
      </c>
      <c r="DR138" s="963">
        <f t="shared" si="825"/>
        <v>2.4509803921568627E-3</v>
      </c>
      <c r="DS138" s="501">
        <f t="shared" si="825"/>
        <v>3.8075458636206302E-3</v>
      </c>
      <c r="DT138" s="963">
        <f t="shared" si="825"/>
        <v>3.1545741324921135E-3</v>
      </c>
      <c r="DU138" s="359">
        <f t="shared" si="825"/>
        <v>2.5118615685180016E-3</v>
      </c>
      <c r="DV138" s="360">
        <v>2.8E-3</v>
      </c>
      <c r="DW138" s="360">
        <v>2.8E-3</v>
      </c>
      <c r="DX138" s="501">
        <f>DX83/DX$10</f>
        <v>2.806021686410547E-3</v>
      </c>
      <c r="DY138" s="360">
        <f t="shared" ref="DY138:EB140" si="829">+DT138-0.125%</f>
        <v>1.9045741324921134E-3</v>
      </c>
      <c r="DZ138" s="360">
        <f t="shared" si="829"/>
        <v>1.2618615685180015E-3</v>
      </c>
      <c r="EA138" s="360">
        <f t="shared" si="829"/>
        <v>1.5499999999999999E-3</v>
      </c>
      <c r="EB138" s="360">
        <f t="shared" si="829"/>
        <v>1.5499999999999999E-3</v>
      </c>
      <c r="EC138" s="501">
        <f>EC83/EC$10</f>
        <v>1.5563811340243688E-3</v>
      </c>
      <c r="ED138" s="360">
        <v>1.5E-3</v>
      </c>
      <c r="EE138" s="360">
        <v>1.5E-3</v>
      </c>
      <c r="EF138" s="360">
        <v>1.5E-3</v>
      </c>
      <c r="EG138" s="360">
        <v>1.5E-3</v>
      </c>
      <c r="EH138" s="501">
        <f>EH83/EH$10</f>
        <v>1.5000000000000002E-3</v>
      </c>
      <c r="EI138" s="360">
        <v>1.5E-3</v>
      </c>
      <c r="EJ138" s="360">
        <v>1.5E-3</v>
      </c>
      <c r="EK138" s="360">
        <v>1.5E-3</v>
      </c>
      <c r="EL138" s="360">
        <v>1.5E-3</v>
      </c>
      <c r="EM138" s="501">
        <f t="shared" ref="EM138" si="830">EM83/EM$10</f>
        <v>1.5E-3</v>
      </c>
      <c r="EN138" s="360">
        <v>1.5E-3</v>
      </c>
      <c r="EO138" s="360">
        <v>1.5E-3</v>
      </c>
      <c r="EP138" s="360">
        <v>1.5E-3</v>
      </c>
      <c r="EQ138" s="360">
        <v>1.5E-3</v>
      </c>
      <c r="ER138" s="501">
        <f t="shared" ref="ER138" si="831">ER83/ER$10</f>
        <v>1.5E-3</v>
      </c>
      <c r="ES138" s="359"/>
    </row>
    <row r="139" spans="1:150">
      <c r="A139" s="792"/>
      <c r="B139" s="792"/>
      <c r="C139" s="375" t="s">
        <v>277</v>
      </c>
      <c r="BQ139" s="359">
        <f t="shared" ref="BQ139:CV139" si="832">BQ84/BQ$10</f>
        <v>2.0857877262504019E-2</v>
      </c>
      <c r="BR139" s="359">
        <f t="shared" si="832"/>
        <v>1.8385789965721405E-2</v>
      </c>
      <c r="BS139" s="359">
        <f t="shared" si="832"/>
        <v>2.3642632516197477E-2</v>
      </c>
      <c r="BT139" s="359">
        <f t="shared" si="832"/>
        <v>2.359882005899705E-2</v>
      </c>
      <c r="BU139" s="501">
        <f t="shared" si="832"/>
        <v>2.1970150999108328E-2</v>
      </c>
      <c r="BV139" s="359">
        <f t="shared" si="832"/>
        <v>2.791452380297571E-2</v>
      </c>
      <c r="BW139" s="359">
        <f t="shared" si="832"/>
        <v>3.5027179244520874E-2</v>
      </c>
      <c r="BX139" s="359">
        <f t="shared" si="832"/>
        <v>4.0360320552732531E-2</v>
      </c>
      <c r="BY139" s="359">
        <f t="shared" si="832"/>
        <v>4.0127930788523052E-2</v>
      </c>
      <c r="BZ139" s="501">
        <f t="shared" si="832"/>
        <v>3.6770862764235995E-2</v>
      </c>
      <c r="CA139" s="359">
        <f t="shared" si="832"/>
        <v>4.5792477566945884E-2</v>
      </c>
      <c r="CB139" s="359">
        <f t="shared" si="832"/>
        <v>4.7838844746299167E-2</v>
      </c>
      <c r="CC139" s="359">
        <f t="shared" si="832"/>
        <v>5.0129479283314668E-2</v>
      </c>
      <c r="CD139" s="359">
        <f t="shared" si="832"/>
        <v>4.3323130503469268E-2</v>
      </c>
      <c r="CE139" s="501">
        <f t="shared" si="832"/>
        <v>4.6540641374475722E-2</v>
      </c>
      <c r="CF139" s="359">
        <f t="shared" si="832"/>
        <v>5.069049174209201E-2</v>
      </c>
      <c r="CG139" s="359">
        <f t="shared" si="832"/>
        <v>5.5677796238615629E-2</v>
      </c>
      <c r="CH139" s="359">
        <f t="shared" si="832"/>
        <v>5.450189584691037E-2</v>
      </c>
      <c r="CI139" s="359">
        <f t="shared" si="832"/>
        <v>4.6358713670018793E-2</v>
      </c>
      <c r="CJ139" s="501">
        <f t="shared" si="832"/>
        <v>5.1400027393967186E-2</v>
      </c>
      <c r="CK139" s="359">
        <f t="shared" si="832"/>
        <v>5.6524235370473228E-2</v>
      </c>
      <c r="CL139" s="359">
        <f t="shared" si="832"/>
        <v>6.3492633550565086E-2</v>
      </c>
      <c r="CM139" s="359">
        <f t="shared" si="832"/>
        <v>5.9239230627419648E-2</v>
      </c>
      <c r="CN139" s="359">
        <f t="shared" si="832"/>
        <v>5.8031118853432574E-2</v>
      </c>
      <c r="CO139" s="501">
        <f t="shared" si="832"/>
        <v>5.9276771304540121E-2</v>
      </c>
      <c r="CP139" s="359">
        <f t="shared" si="832"/>
        <v>6.9370065170074102E-2</v>
      </c>
      <c r="CQ139" s="359">
        <f t="shared" si="832"/>
        <v>5.5101135172137675E-2</v>
      </c>
      <c r="CR139" s="359">
        <f t="shared" si="832"/>
        <v>5.1350981554720128E-2</v>
      </c>
      <c r="CS139" s="359">
        <f t="shared" si="832"/>
        <v>4.3720033055687384E-2</v>
      </c>
      <c r="CT139" s="501">
        <f t="shared" si="832"/>
        <v>5.2609480623084355E-2</v>
      </c>
      <c r="CU139" s="359">
        <f t="shared" si="832"/>
        <v>4.4797587005270846E-2</v>
      </c>
      <c r="CV139" s="359">
        <f t="shared" si="832"/>
        <v>4.3545685585267703E-2</v>
      </c>
      <c r="CW139" s="359">
        <f t="shared" ref="CW139:DP139" si="833">CW84/CW$10</f>
        <v>4.8226458077491235E-2</v>
      </c>
      <c r="CX139" s="359">
        <f t="shared" si="833"/>
        <v>4.9247694242998664E-2</v>
      </c>
      <c r="CY139" s="501">
        <f t="shared" si="833"/>
        <v>4.6660823755121587E-2</v>
      </c>
      <c r="CZ139" s="359">
        <f t="shared" si="833"/>
        <v>6.8513147389174175E-2</v>
      </c>
      <c r="DA139" s="359">
        <f t="shared" si="833"/>
        <v>7.5341508482598907E-2</v>
      </c>
      <c r="DB139" s="359">
        <f t="shared" si="833"/>
        <v>7.6946274337578682E-2</v>
      </c>
      <c r="DC139" s="359">
        <f t="shared" si="833"/>
        <v>5.8465294660796856E-2</v>
      </c>
      <c r="DD139" s="501">
        <f t="shared" si="833"/>
        <v>6.9036676605003261E-2</v>
      </c>
      <c r="DE139" s="359">
        <f t="shared" si="833"/>
        <v>6.6976127320954912E-2</v>
      </c>
      <c r="DF139" s="359">
        <f t="shared" si="833"/>
        <v>0.14639905548996457</v>
      </c>
      <c r="DG139" s="359">
        <f t="shared" si="833"/>
        <v>3.9089848308051345E-2</v>
      </c>
      <c r="DH139" s="359">
        <f t="shared" si="833"/>
        <v>3.0783582089552237E-2</v>
      </c>
      <c r="DI139" s="501">
        <f t="shared" si="833"/>
        <v>6.8271954674220967E-2</v>
      </c>
      <c r="DJ139" s="359">
        <f t="shared" si="833"/>
        <v>3.6539494895217628E-2</v>
      </c>
      <c r="DK139" s="359">
        <f t="shared" si="833"/>
        <v>3.4229828850855744E-2</v>
      </c>
      <c r="DL139" s="359">
        <f t="shared" si="833"/>
        <v>3.4227567067530065E-2</v>
      </c>
      <c r="DM139" s="359">
        <f t="shared" si="833"/>
        <v>2.8805120910384067E-2</v>
      </c>
      <c r="DN139" s="501">
        <f t="shared" si="833"/>
        <v>3.2995495495495498E-2</v>
      </c>
      <c r="DO139" s="963">
        <f t="shared" si="833"/>
        <v>3.347457627118644E-2</v>
      </c>
      <c r="DP139" s="359">
        <f t="shared" si="833"/>
        <v>2.9850746268656716E-2</v>
      </c>
      <c r="DQ139" s="359">
        <f t="shared" ref="DQ139" si="834">DQ84/DQ$10</f>
        <v>2.5668073136427567E-2</v>
      </c>
      <c r="DR139" s="963">
        <f t="shared" si="825"/>
        <v>2.2058823529411766E-2</v>
      </c>
      <c r="DS139" s="501">
        <f t="shared" si="825"/>
        <v>2.7085496711664936E-2</v>
      </c>
      <c r="DT139" s="963">
        <f t="shared" si="825"/>
        <v>2.9337539432176655E-2</v>
      </c>
      <c r="DU139" s="359">
        <f t="shared" si="825"/>
        <v>2.5118615685180017E-2</v>
      </c>
      <c r="DV139" s="360">
        <v>2.8000000000000001E-2</v>
      </c>
      <c r="DW139" s="360">
        <v>2.8000000000000001E-2</v>
      </c>
      <c r="DX139" s="501">
        <f>DX84/DX$10</f>
        <v>2.760004432181476E-2</v>
      </c>
      <c r="DY139" s="360">
        <f t="shared" si="829"/>
        <v>2.8087539432176654E-2</v>
      </c>
      <c r="DZ139" s="360">
        <f t="shared" si="829"/>
        <v>2.3868615685180016E-2</v>
      </c>
      <c r="EA139" s="360">
        <f t="shared" si="829"/>
        <v>2.6749999999999999E-2</v>
      </c>
      <c r="EB139" s="360">
        <f t="shared" si="829"/>
        <v>2.6749999999999999E-2</v>
      </c>
      <c r="EC139" s="501">
        <f>EC84/EC$10</f>
        <v>2.6348135952265789E-2</v>
      </c>
      <c r="ED139" s="360">
        <v>2.8974576271186436E-2</v>
      </c>
      <c r="EE139" s="360">
        <v>2.5350746268656715E-2</v>
      </c>
      <c r="EF139" s="360">
        <v>2.1168073136427566E-2</v>
      </c>
      <c r="EG139" s="360">
        <v>1.7558823529411766E-2</v>
      </c>
      <c r="EH139" s="501">
        <v>2.2662056620194295E-2</v>
      </c>
      <c r="EI139" s="360">
        <v>2.8974576271186436E-2</v>
      </c>
      <c r="EJ139" s="360">
        <v>2.5350746268656715E-2</v>
      </c>
      <c r="EK139" s="360">
        <v>2.1168073136427566E-2</v>
      </c>
      <c r="EL139" s="360">
        <v>1.7558823529411766E-2</v>
      </c>
      <c r="EM139" s="501">
        <v>2.2662056620194295E-2</v>
      </c>
      <c r="EN139" s="360">
        <v>2.8974576271186436E-2</v>
      </c>
      <c r="EO139" s="360">
        <v>2.5350746268656715E-2</v>
      </c>
      <c r="EP139" s="360">
        <v>2.1168073136427566E-2</v>
      </c>
      <c r="EQ139" s="360">
        <v>1.7558823529411766E-2</v>
      </c>
      <c r="ER139" s="501">
        <v>2.2662056620194295E-2</v>
      </c>
      <c r="ES139" s="359"/>
    </row>
    <row r="140" spans="1:150">
      <c r="A140" s="792"/>
      <c r="B140" s="792"/>
      <c r="C140" s="375" t="s">
        <v>278</v>
      </c>
      <c r="BQ140" s="359">
        <f t="shared" ref="BQ140:CV140" si="835">BQ85/BQ$10</f>
        <v>1.1459783656420692E-2</v>
      </c>
      <c r="BR140" s="359">
        <f t="shared" si="835"/>
        <v>1.0929083381560789E-2</v>
      </c>
      <c r="BS140" s="359">
        <f t="shared" si="835"/>
        <v>1.1897093926419884E-2</v>
      </c>
      <c r="BT140" s="359">
        <f t="shared" si="835"/>
        <v>1.027460704259473E-2</v>
      </c>
      <c r="BU140" s="501">
        <f t="shared" si="835"/>
        <v>1.1050854394761077E-2</v>
      </c>
      <c r="BV140" s="359">
        <f t="shared" si="835"/>
        <v>1.0464508676879073E-2</v>
      </c>
      <c r="BW140" s="359">
        <f t="shared" si="835"/>
        <v>1.1310258866435077E-2</v>
      </c>
      <c r="BX140" s="359">
        <f t="shared" si="835"/>
        <v>1.1398099981923718E-2</v>
      </c>
      <c r="BY140" s="359">
        <f t="shared" si="835"/>
        <v>1.0154698081805144E-2</v>
      </c>
      <c r="BZ140" s="501">
        <f t="shared" si="835"/>
        <v>1.0787763593866387E-2</v>
      </c>
      <c r="CA140" s="359">
        <f t="shared" si="835"/>
        <v>1.3181136608075114E-2</v>
      </c>
      <c r="CB140" s="359">
        <f t="shared" si="835"/>
        <v>1.3721934654314068E-2</v>
      </c>
      <c r="CC140" s="359">
        <f t="shared" si="835"/>
        <v>1.1069895483389323E-2</v>
      </c>
      <c r="CD140" s="359">
        <f t="shared" si="835"/>
        <v>9.3351405207931278E-3</v>
      </c>
      <c r="CE140" s="501">
        <f t="shared" si="835"/>
        <v>1.1492579874766821E-2</v>
      </c>
      <c r="CF140" s="359">
        <f t="shared" si="835"/>
        <v>1.211159839507325E-2</v>
      </c>
      <c r="CG140" s="359">
        <f t="shared" si="835"/>
        <v>1.7333229916354716E-2</v>
      </c>
      <c r="CH140" s="359">
        <f t="shared" si="835"/>
        <v>1.7895758042538068E-2</v>
      </c>
      <c r="CI140" s="359">
        <f t="shared" si="835"/>
        <v>1.3729344911621524E-2</v>
      </c>
      <c r="CJ140" s="501">
        <f t="shared" si="835"/>
        <v>1.5277261423237728E-2</v>
      </c>
      <c r="CK140" s="359">
        <f t="shared" si="835"/>
        <v>1.7161650264289417E-2</v>
      </c>
      <c r="CL140" s="359">
        <f t="shared" si="835"/>
        <v>1.9288411758693186E-2</v>
      </c>
      <c r="CM140" s="359">
        <f t="shared" si="835"/>
        <v>1.8591634404637538E-2</v>
      </c>
      <c r="CN140" s="359">
        <f t="shared" si="835"/>
        <v>1.5193206112914718E-2</v>
      </c>
      <c r="CO140" s="501">
        <f t="shared" si="835"/>
        <v>1.7373253756083774E-2</v>
      </c>
      <c r="CP140" s="359">
        <f t="shared" si="835"/>
        <v>1.870847083304078E-2</v>
      </c>
      <c r="CQ140" s="359">
        <f t="shared" si="835"/>
        <v>1.5625590579289163E-2</v>
      </c>
      <c r="CR140" s="359">
        <f t="shared" si="835"/>
        <v>1.5166698158078199E-2</v>
      </c>
      <c r="CS140" s="359">
        <f t="shared" si="835"/>
        <v>1.4384133270058422E-2</v>
      </c>
      <c r="CT140" s="501">
        <f t="shared" si="835"/>
        <v>1.5585642693560076E-2</v>
      </c>
      <c r="CU140" s="359">
        <f t="shared" si="835"/>
        <v>1.4665497391890131E-2</v>
      </c>
      <c r="CV140" s="359">
        <f t="shared" si="835"/>
        <v>1.9565945624840882E-2</v>
      </c>
      <c r="CW140" s="359">
        <f t="shared" ref="CW140:DP140" si="836">CW85/CW$10</f>
        <v>1.345328990691797E-2</v>
      </c>
      <c r="CX140" s="359">
        <f t="shared" si="836"/>
        <v>1.1469365750160866E-2</v>
      </c>
      <c r="CY140" s="501">
        <f t="shared" si="836"/>
        <v>1.4603231323788081E-2</v>
      </c>
      <c r="CZ140" s="359">
        <f t="shared" si="836"/>
        <v>1.5565505145714229E-2</v>
      </c>
      <c r="DA140" s="359">
        <f t="shared" si="836"/>
        <v>1.7230821975456018E-2</v>
      </c>
      <c r="DB140" s="359">
        <f t="shared" si="836"/>
        <v>1.8909383691992385E-2</v>
      </c>
      <c r="DC140" s="359">
        <f t="shared" si="836"/>
        <v>1.3726975212365804E-2</v>
      </c>
      <c r="DD140" s="501">
        <f t="shared" si="836"/>
        <v>1.6196821922818124E-2</v>
      </c>
      <c r="DE140" s="359">
        <f t="shared" si="836"/>
        <v>1.1936339522546418E-2</v>
      </c>
      <c r="DF140" s="359">
        <f t="shared" si="836"/>
        <v>1.0625737898465172E-2</v>
      </c>
      <c r="DG140" s="359">
        <f t="shared" si="836"/>
        <v>1.1085180863477246E-2</v>
      </c>
      <c r="DH140" s="359">
        <f t="shared" si="836"/>
        <v>8.3955223880597014E-3</v>
      </c>
      <c r="DI140" s="501">
        <f t="shared" si="836"/>
        <v>1.0339943342776204E-2</v>
      </c>
      <c r="DJ140" s="359">
        <f t="shared" si="836"/>
        <v>1.3433637829124127E-2</v>
      </c>
      <c r="DK140" s="359">
        <f t="shared" si="836"/>
        <v>1.1246943765281174E-2</v>
      </c>
      <c r="DL140" s="359">
        <f t="shared" si="836"/>
        <v>1.0175763182238668E-2</v>
      </c>
      <c r="DM140" s="359">
        <f t="shared" si="836"/>
        <v>8.5348506401137988E-3</v>
      </c>
      <c r="DN140" s="501">
        <f t="shared" si="836"/>
        <v>1.0585585585585585E-2</v>
      </c>
      <c r="DO140" s="963">
        <f t="shared" si="836"/>
        <v>9.3220338983050852E-3</v>
      </c>
      <c r="DP140" s="359">
        <f t="shared" si="836"/>
        <v>7.8358208955223874E-3</v>
      </c>
      <c r="DQ140" s="359">
        <f t="shared" ref="DQ140" si="837">DQ85/DQ$10</f>
        <v>7.3839662447257384E-3</v>
      </c>
      <c r="DR140" s="963">
        <f t="shared" si="825"/>
        <v>6.5359477124183009E-3</v>
      </c>
      <c r="DS140" s="501">
        <f t="shared" si="825"/>
        <v>7.6150917272412603E-3</v>
      </c>
      <c r="DT140" s="963">
        <f t="shared" si="825"/>
        <v>8.8328075709779175E-3</v>
      </c>
      <c r="DU140" s="359">
        <f t="shared" si="825"/>
        <v>7.5355847055540047E-3</v>
      </c>
      <c r="DV140" s="360">
        <v>8.5000000000000006E-3</v>
      </c>
      <c r="DW140" s="360">
        <v>8.5000000000000006E-3</v>
      </c>
      <c r="DX140" s="501">
        <f>DX85/DX$10</f>
        <v>8.3421936874615906E-3</v>
      </c>
      <c r="DY140" s="360">
        <f t="shared" si="829"/>
        <v>7.5828075709779173E-3</v>
      </c>
      <c r="DZ140" s="360">
        <f t="shared" si="829"/>
        <v>6.2855847055540044E-3</v>
      </c>
      <c r="EA140" s="360">
        <f t="shared" si="829"/>
        <v>7.2500000000000004E-3</v>
      </c>
      <c r="EB140" s="360">
        <f t="shared" si="829"/>
        <v>7.2500000000000004E-3</v>
      </c>
      <c r="EC140" s="501">
        <f>EC85/EC$10</f>
        <v>7.0912686785337634E-3</v>
      </c>
      <c r="ED140" s="360">
        <v>2.5000000000000001E-3</v>
      </c>
      <c r="EE140" s="360">
        <v>2.5000000000000001E-3</v>
      </c>
      <c r="EF140" s="360">
        <v>2.5000000000000001E-3</v>
      </c>
      <c r="EG140" s="360">
        <v>2.5000000000000001E-3</v>
      </c>
      <c r="EH140" s="501">
        <f>EH85/EH$10</f>
        <v>2.5000000000000001E-3</v>
      </c>
      <c r="EI140" s="360">
        <v>2.5000000000000001E-3</v>
      </c>
      <c r="EJ140" s="360">
        <v>2.5000000000000001E-3</v>
      </c>
      <c r="EK140" s="360">
        <v>2.5000000000000001E-3</v>
      </c>
      <c r="EL140" s="360">
        <v>2.5000000000000001E-3</v>
      </c>
      <c r="EM140" s="501">
        <f t="shared" ref="EM140" si="838">EM85/EM$10</f>
        <v>2.4999999999999996E-3</v>
      </c>
      <c r="EN140" s="360">
        <v>2.5000000000000001E-3</v>
      </c>
      <c r="EO140" s="360">
        <v>2.5000000000000001E-3</v>
      </c>
      <c r="EP140" s="360">
        <v>2.5000000000000001E-3</v>
      </c>
      <c r="EQ140" s="360">
        <v>2.5000000000000001E-3</v>
      </c>
      <c r="ER140" s="501">
        <f t="shared" ref="ER140" si="839">ER85/ER$10</f>
        <v>2.5000000000000001E-3</v>
      </c>
      <c r="ES140" s="359"/>
    </row>
    <row r="141" spans="1:150">
      <c r="A141" s="792"/>
      <c r="B141" s="792"/>
      <c r="C141" s="1377" t="s">
        <v>223</v>
      </c>
      <c r="D141" s="1378"/>
      <c r="E141" s="1378"/>
      <c r="F141" s="1378"/>
      <c r="G141" s="1378"/>
      <c r="H141" s="1378"/>
      <c r="I141" s="1378"/>
      <c r="J141" s="1378"/>
      <c r="K141" s="1378"/>
      <c r="L141" s="1378"/>
      <c r="M141" s="1378"/>
      <c r="N141" s="1378"/>
      <c r="O141" s="1378"/>
      <c r="P141" s="1378"/>
      <c r="Q141" s="1378"/>
      <c r="R141" s="1378"/>
      <c r="S141" s="1378"/>
      <c r="T141" s="1378"/>
      <c r="U141" s="1378"/>
      <c r="V141" s="1378"/>
      <c r="W141" s="1378"/>
      <c r="X141" s="1378"/>
      <c r="Y141" s="1378"/>
      <c r="Z141" s="1378"/>
      <c r="AA141" s="1378"/>
      <c r="AB141" s="1378"/>
      <c r="AC141" s="1378"/>
      <c r="AD141" s="1378"/>
      <c r="AE141" s="1378"/>
      <c r="AF141" s="1378"/>
      <c r="AG141" s="1378"/>
      <c r="AH141" s="1378"/>
      <c r="AI141" s="1378"/>
      <c r="AJ141" s="1378"/>
      <c r="AK141" s="1378"/>
      <c r="AL141" s="1378"/>
      <c r="AM141" s="1378"/>
      <c r="AN141" s="1378"/>
      <c r="AO141" s="1378"/>
      <c r="AP141" s="1378"/>
      <c r="AQ141" s="1378"/>
      <c r="AR141" s="1378"/>
      <c r="AS141" s="1378"/>
      <c r="AT141" s="1378"/>
      <c r="AU141" s="1378"/>
      <c r="AV141" s="1378"/>
      <c r="AW141" s="1378"/>
      <c r="AX141" s="1378"/>
      <c r="AY141" s="1378"/>
      <c r="AZ141" s="1378"/>
      <c r="BA141" s="1378"/>
      <c r="BB141" s="1378"/>
      <c r="BC141" s="1378"/>
      <c r="BD141" s="1378"/>
      <c r="BE141" s="1378"/>
      <c r="BF141" s="1379"/>
      <c r="BG141" s="1379"/>
      <c r="BH141" s="1379"/>
      <c r="BI141" s="1379"/>
      <c r="BJ141" s="1379"/>
      <c r="BK141" s="1379"/>
      <c r="BL141" s="1379"/>
      <c r="BM141" s="1379"/>
      <c r="BN141" s="1379"/>
      <c r="BO141" s="1379"/>
      <c r="BP141" s="1379"/>
      <c r="BQ141" s="590"/>
      <c r="BR141" s="590"/>
      <c r="BS141" s="590"/>
      <c r="BT141" s="590"/>
      <c r="BU141" s="591"/>
      <c r="BV141" s="590"/>
      <c r="BW141" s="590"/>
      <c r="BX141" s="590"/>
      <c r="BY141" s="590"/>
      <c r="BZ141" s="591"/>
      <c r="CA141" s="590"/>
      <c r="CB141" s="590"/>
      <c r="CC141" s="590"/>
      <c r="CD141" s="590"/>
      <c r="CE141" s="591"/>
      <c r="CF141" s="590"/>
      <c r="CG141" s="590"/>
      <c r="CH141" s="590"/>
      <c r="CI141" s="590"/>
      <c r="CJ141" s="591"/>
      <c r="CK141" s="590"/>
      <c r="CL141" s="590"/>
      <c r="CM141" s="590"/>
      <c r="CN141" s="590"/>
      <c r="CO141" s="591"/>
      <c r="CP141" s="590"/>
      <c r="CQ141" s="590"/>
      <c r="CR141" s="590"/>
      <c r="CS141" s="590"/>
      <c r="CT141" s="591"/>
      <c r="CU141" s="590"/>
      <c r="CV141" s="590"/>
      <c r="CW141" s="590"/>
      <c r="CX141" s="590"/>
      <c r="CY141" s="591"/>
      <c r="CZ141" s="590"/>
      <c r="DA141" s="590"/>
      <c r="DB141" s="590"/>
      <c r="DC141" s="590"/>
      <c r="DD141" s="591"/>
      <c r="DE141" s="590"/>
      <c r="DF141" s="590"/>
      <c r="DG141" s="590"/>
      <c r="DH141" s="590"/>
      <c r="DI141" s="591"/>
      <c r="DJ141" s="590"/>
      <c r="DK141" s="590"/>
      <c r="DL141" s="590"/>
      <c r="DM141" s="590"/>
      <c r="DN141" s="591"/>
      <c r="DO141" s="982"/>
      <c r="DP141" s="590"/>
      <c r="DQ141" s="590"/>
      <c r="DR141" s="982"/>
      <c r="DS141" s="591"/>
      <c r="DT141" s="982"/>
      <c r="DU141" s="590"/>
      <c r="DV141" s="1380"/>
      <c r="DW141" s="1380"/>
      <c r="DX141" s="591"/>
      <c r="DY141" s="1380"/>
      <c r="DZ141" s="1380"/>
      <c r="EA141" s="1380"/>
      <c r="EB141" s="1380"/>
      <c r="EC141" s="591"/>
      <c r="ED141" s="1380"/>
      <c r="EE141" s="1380"/>
      <c r="EF141" s="1380"/>
      <c r="EG141" s="1380"/>
      <c r="EH141" s="591"/>
      <c r="EI141" s="1380"/>
      <c r="EJ141" s="1380"/>
      <c r="EK141" s="1380"/>
      <c r="EL141" s="1380"/>
      <c r="EM141" s="591"/>
      <c r="EN141" s="1380"/>
      <c r="EO141" s="1380"/>
      <c r="EP141" s="1380"/>
      <c r="EQ141" s="1380"/>
      <c r="ER141" s="591"/>
      <c r="ES141" s="359"/>
    </row>
    <row r="142" spans="1:150">
      <c r="A142" s="792"/>
      <c r="B142" s="792"/>
      <c r="C142" s="375" t="s">
        <v>275</v>
      </c>
      <c r="BF142" s="617"/>
      <c r="BG142" s="617"/>
      <c r="BH142" s="617"/>
      <c r="BI142" s="617"/>
      <c r="BJ142" s="617"/>
      <c r="BK142" s="617"/>
      <c r="BL142" s="617"/>
      <c r="BM142" s="617"/>
      <c r="BN142" s="617"/>
      <c r="BO142" s="617"/>
      <c r="BP142" s="617"/>
      <c r="BQ142" s="359">
        <f t="shared" ref="BQ142:DC142" si="840">BQ104/BQ$10</f>
        <v>0</v>
      </c>
      <c r="BR142" s="359">
        <f t="shared" si="840"/>
        <v>0</v>
      </c>
      <c r="BS142" s="359">
        <f t="shared" si="840"/>
        <v>0</v>
      </c>
      <c r="BT142" s="359">
        <f t="shared" si="840"/>
        <v>0</v>
      </c>
      <c r="BU142" s="501">
        <f t="shared" si="840"/>
        <v>0</v>
      </c>
      <c r="BV142" s="359">
        <f t="shared" si="840"/>
        <v>0</v>
      </c>
      <c r="BW142" s="359">
        <f t="shared" si="840"/>
        <v>0</v>
      </c>
      <c r="BX142" s="359">
        <f t="shared" si="840"/>
        <v>0</v>
      </c>
      <c r="BY142" s="359">
        <f t="shared" si="840"/>
        <v>0</v>
      </c>
      <c r="BZ142" s="501">
        <f t="shared" si="840"/>
        <v>0</v>
      </c>
      <c r="CA142" s="359">
        <f t="shared" si="840"/>
        <v>0</v>
      </c>
      <c r="CB142" s="359">
        <f t="shared" si="840"/>
        <v>0</v>
      </c>
      <c r="CC142" s="359">
        <f t="shared" si="840"/>
        <v>0</v>
      </c>
      <c r="CD142" s="359">
        <f t="shared" si="840"/>
        <v>0</v>
      </c>
      <c r="CE142" s="501">
        <f t="shared" si="840"/>
        <v>0</v>
      </c>
      <c r="CF142" s="359">
        <f t="shared" si="840"/>
        <v>0</v>
      </c>
      <c r="CG142" s="359">
        <f t="shared" si="840"/>
        <v>0</v>
      </c>
      <c r="CH142" s="359">
        <f t="shared" si="840"/>
        <v>4.595207062029742E-3</v>
      </c>
      <c r="CI142" s="359">
        <f t="shared" si="840"/>
        <v>4.2080834753476688E-3</v>
      </c>
      <c r="CJ142" s="501">
        <f t="shared" si="840"/>
        <v>2.5045912848050142E-3</v>
      </c>
      <c r="CK142" s="359">
        <f t="shared" si="840"/>
        <v>5.0704875780855094E-3</v>
      </c>
      <c r="CL142" s="359">
        <f t="shared" si="840"/>
        <v>4.2267645360642469E-3</v>
      </c>
      <c r="CM142" s="359">
        <f t="shared" si="840"/>
        <v>4.2222290501648949E-3</v>
      </c>
      <c r="CN142" s="359">
        <f t="shared" si="840"/>
        <v>9.5415313959933482E-3</v>
      </c>
      <c r="CO142" s="501">
        <f t="shared" si="840"/>
        <v>6.0981907560197779E-3</v>
      </c>
      <c r="CP142" s="359">
        <f t="shared" si="840"/>
        <v>1.1848910959763917E-2</v>
      </c>
      <c r="CQ142" s="359">
        <f t="shared" si="840"/>
        <v>6.7978738445644308E-3</v>
      </c>
      <c r="CR142" s="359">
        <f t="shared" si="840"/>
        <v>5.9043138890155786E-3</v>
      </c>
      <c r="CS142" s="359">
        <f t="shared" si="840"/>
        <v>4.6351601237133652E-3</v>
      </c>
      <c r="CT142" s="501">
        <f t="shared" si="840"/>
        <v>6.6523501864317039E-3</v>
      </c>
      <c r="CU142" s="359">
        <f t="shared" si="840"/>
        <v>4.5830311526763347E-3</v>
      </c>
      <c r="CV142" s="359">
        <f t="shared" si="840"/>
        <v>3.9055067466467761E-3</v>
      </c>
      <c r="CW142" s="359">
        <f t="shared" si="840"/>
        <v>4.9264064641287124E-3</v>
      </c>
      <c r="CX142" s="359">
        <f t="shared" si="840"/>
        <v>4.3187654707454361E-3</v>
      </c>
      <c r="CY142" s="501">
        <f t="shared" si="840"/>
        <v>4.4231649904073328E-3</v>
      </c>
      <c r="CZ142" s="359">
        <f t="shared" si="840"/>
        <v>5.1793626409598354E-3</v>
      </c>
      <c r="DA142" s="359">
        <f t="shared" si="840"/>
        <v>5.3603569864940932E-3</v>
      </c>
      <c r="DB142" s="359">
        <f t="shared" si="840"/>
        <v>1.2540623627580148E-2</v>
      </c>
      <c r="DC142" s="359">
        <f t="shared" si="840"/>
        <v>1.0581690373019139E-2</v>
      </c>
      <c r="DD142" s="501">
        <f>DD104/DD10</f>
        <v>8.6909253510442392E-3</v>
      </c>
      <c r="DE142" s="359">
        <f t="shared" ref="DE142:DP142" si="841">DE104/DE$10</f>
        <v>1.2599469496021221E-2</v>
      </c>
      <c r="DF142" s="359">
        <f t="shared" si="841"/>
        <v>4.7225501770956314E-3</v>
      </c>
      <c r="DG142" s="359">
        <f t="shared" si="841"/>
        <v>2.3337222870478411E-3</v>
      </c>
      <c r="DH142" s="359">
        <f t="shared" si="841"/>
        <v>1.8656716417910447E-3</v>
      </c>
      <c r="DI142" s="501">
        <f t="shared" si="841"/>
        <v>4.9575070821529744E-3</v>
      </c>
      <c r="DJ142" s="359">
        <f t="shared" si="841"/>
        <v>2.1493820526598604E-3</v>
      </c>
      <c r="DK142" s="359">
        <f t="shared" si="841"/>
        <v>1.9559902200488996E-3</v>
      </c>
      <c r="DL142" s="359">
        <f t="shared" si="841"/>
        <v>1.3876040703052729E-3</v>
      </c>
      <c r="DM142" s="359">
        <f t="shared" si="841"/>
        <v>3.5561877667140827E-4</v>
      </c>
      <c r="DN142" s="501">
        <f t="shared" si="841"/>
        <v>1.3513513513513514E-3</v>
      </c>
      <c r="DO142" s="963">
        <f t="shared" si="841"/>
        <v>8.4745762711864404E-4</v>
      </c>
      <c r="DP142" s="359">
        <f t="shared" si="841"/>
        <v>7.4626865671641792E-4</v>
      </c>
      <c r="DQ142" s="359">
        <f t="shared" ref="DQ142" si="842">DQ104/DQ$10</f>
        <v>7.0323488045007034E-4</v>
      </c>
      <c r="DR142" s="963">
        <f t="shared" ref="DR142:DU145" si="843">DR104/DR$10</f>
        <v>8.1699346405228761E-4</v>
      </c>
      <c r="DS142" s="501">
        <f t="shared" si="843"/>
        <v>7.7881619937694702E-4</v>
      </c>
      <c r="DT142" s="963">
        <f t="shared" si="843"/>
        <v>6.3091482649842276E-4</v>
      </c>
      <c r="DU142" s="359">
        <f t="shared" si="843"/>
        <v>5.5819145967066707E-4</v>
      </c>
      <c r="DV142" s="777">
        <v>5.0000000000000001E-4</v>
      </c>
      <c r="DW142" s="777">
        <v>5.0000000000000001E-4</v>
      </c>
      <c r="DX142" s="501">
        <f>DX104/DX$10</f>
        <v>5.4098822573118033E-4</v>
      </c>
      <c r="DY142" s="777">
        <v>5.0000000000000001E-4</v>
      </c>
      <c r="DZ142" s="777">
        <v>5.0000000000000001E-4</v>
      </c>
      <c r="EA142" s="777">
        <v>5.0000000000000001E-4</v>
      </c>
      <c r="EB142" s="777">
        <v>5.0000000000000001E-4</v>
      </c>
      <c r="EC142" s="501">
        <f>EC104/EC$10</f>
        <v>5.0000000000000001E-4</v>
      </c>
      <c r="ED142" s="777">
        <v>5.0000000000000001E-4</v>
      </c>
      <c r="EE142" s="777">
        <v>5.0000000000000001E-4</v>
      </c>
      <c r="EF142" s="777">
        <v>5.0000000000000001E-4</v>
      </c>
      <c r="EG142" s="777">
        <v>5.0000000000000001E-4</v>
      </c>
      <c r="EH142" s="501">
        <f>EH104/EH$10</f>
        <v>5.0000000000000012E-4</v>
      </c>
      <c r="EI142" s="777">
        <v>5.0000000000000001E-4</v>
      </c>
      <c r="EJ142" s="777">
        <v>5.0000000000000001E-4</v>
      </c>
      <c r="EK142" s="777">
        <v>5.0000000000000001E-4</v>
      </c>
      <c r="EL142" s="777">
        <v>5.0000000000000001E-4</v>
      </c>
      <c r="EM142" s="501">
        <f>EM104/EM$10</f>
        <v>5.0000000000000001E-4</v>
      </c>
      <c r="EN142" s="777">
        <v>5.0000000000000001E-4</v>
      </c>
      <c r="EO142" s="777">
        <v>5.0000000000000001E-4</v>
      </c>
      <c r="EP142" s="777">
        <v>5.0000000000000001E-4</v>
      </c>
      <c r="EQ142" s="777">
        <v>5.0000000000000001E-4</v>
      </c>
      <c r="ER142" s="501">
        <f>ER104/ER$10</f>
        <v>5.0000000000000001E-4</v>
      </c>
      <c r="ES142" s="359"/>
    </row>
    <row r="143" spans="1:150">
      <c r="A143" s="792"/>
      <c r="B143" s="792"/>
      <c r="C143" s="375" t="s">
        <v>276</v>
      </c>
      <c r="BQ143" s="359">
        <f t="shared" ref="BQ143:DC143" si="844">BQ105/BQ$10</f>
        <v>0</v>
      </c>
      <c r="BR143" s="359">
        <f t="shared" si="844"/>
        <v>0</v>
      </c>
      <c r="BS143" s="359">
        <f t="shared" si="844"/>
        <v>0</v>
      </c>
      <c r="BT143" s="359">
        <f t="shared" si="844"/>
        <v>0</v>
      </c>
      <c r="BU143" s="501">
        <f t="shared" si="844"/>
        <v>0</v>
      </c>
      <c r="BV143" s="359">
        <f t="shared" si="844"/>
        <v>0</v>
      </c>
      <c r="BW143" s="359">
        <f t="shared" si="844"/>
        <v>0</v>
      </c>
      <c r="BX143" s="359">
        <f t="shared" si="844"/>
        <v>0</v>
      </c>
      <c r="BY143" s="359">
        <f t="shared" si="844"/>
        <v>0</v>
      </c>
      <c r="BZ143" s="501">
        <f t="shared" si="844"/>
        <v>0</v>
      </c>
      <c r="CA143" s="359">
        <f t="shared" si="844"/>
        <v>0</v>
      </c>
      <c r="CB143" s="359">
        <f t="shared" si="844"/>
        <v>0</v>
      </c>
      <c r="CC143" s="359">
        <f t="shared" si="844"/>
        <v>0</v>
      </c>
      <c r="CD143" s="359">
        <f t="shared" si="844"/>
        <v>0</v>
      </c>
      <c r="CE143" s="501">
        <f t="shared" si="844"/>
        <v>0</v>
      </c>
      <c r="CF143" s="359">
        <f t="shared" si="844"/>
        <v>0</v>
      </c>
      <c r="CG143" s="359">
        <f t="shared" si="844"/>
        <v>0</v>
      </c>
      <c r="CH143" s="359">
        <f t="shared" si="844"/>
        <v>0</v>
      </c>
      <c r="CI143" s="359">
        <f t="shared" si="844"/>
        <v>0</v>
      </c>
      <c r="CJ143" s="501">
        <f t="shared" si="844"/>
        <v>0</v>
      </c>
      <c r="CK143" s="359">
        <f t="shared" si="844"/>
        <v>0</v>
      </c>
      <c r="CL143" s="359">
        <f t="shared" si="844"/>
        <v>0</v>
      </c>
      <c r="CM143" s="359">
        <f t="shared" si="844"/>
        <v>0</v>
      </c>
      <c r="CN143" s="359">
        <f t="shared" si="844"/>
        <v>5.6021854461952637E-4</v>
      </c>
      <c r="CO143" s="501">
        <f t="shared" si="844"/>
        <v>1.7932127846566882E-4</v>
      </c>
      <c r="CP143" s="359">
        <f t="shared" si="844"/>
        <v>8.2553015844647143E-4</v>
      </c>
      <c r="CQ143" s="359">
        <f t="shared" si="844"/>
        <v>5.4315795957392895E-4</v>
      </c>
      <c r="CR143" s="359">
        <f t="shared" si="844"/>
        <v>5.0560004169897255E-4</v>
      </c>
      <c r="CS143" s="359">
        <f t="shared" si="844"/>
        <v>3.927408401381139E-4</v>
      </c>
      <c r="CT143" s="501">
        <f t="shared" si="844"/>
        <v>5.2841944214882387E-4</v>
      </c>
      <c r="CU143" s="359">
        <f t="shared" si="844"/>
        <v>3.9043258109315056E-4</v>
      </c>
      <c r="CV143" s="359">
        <f t="shared" si="844"/>
        <v>3.448137246582012E-4</v>
      </c>
      <c r="CW143" s="359">
        <f t="shared" si="844"/>
        <v>3.4349582643672025E-4</v>
      </c>
      <c r="CX143" s="359">
        <f t="shared" si="844"/>
        <v>2.7970528048787554E-4</v>
      </c>
      <c r="CY143" s="501">
        <f t="shared" si="844"/>
        <v>3.3478929090587393E-4</v>
      </c>
      <c r="CZ143" s="359">
        <f t="shared" si="844"/>
        <v>3.2069842467284188E-4</v>
      </c>
      <c r="DA143" s="359">
        <f t="shared" si="844"/>
        <v>2.965106716816093E-4</v>
      </c>
      <c r="DB143" s="359">
        <f t="shared" si="844"/>
        <v>1.4822134387351778E-3</v>
      </c>
      <c r="DC143" s="359">
        <f t="shared" si="844"/>
        <v>1.2467016872836426E-3</v>
      </c>
      <c r="DD143" s="501">
        <f>DD105/DD$10</f>
        <v>8.8537864490994774E-4</v>
      </c>
      <c r="DE143" s="359">
        <f t="shared" ref="DE143:DP143" si="845">DE105/DE$10</f>
        <v>1.3262599469496021E-3</v>
      </c>
      <c r="DF143" s="359">
        <f t="shared" si="845"/>
        <v>5.9031877213695393E-4</v>
      </c>
      <c r="DG143" s="359">
        <f t="shared" si="845"/>
        <v>0</v>
      </c>
      <c r="DH143" s="359">
        <f t="shared" si="845"/>
        <v>0</v>
      </c>
      <c r="DI143" s="501">
        <f t="shared" si="845"/>
        <v>4.2492917847025496E-4</v>
      </c>
      <c r="DJ143" s="359">
        <f t="shared" si="845"/>
        <v>0</v>
      </c>
      <c r="DK143" s="359">
        <f t="shared" si="845"/>
        <v>0</v>
      </c>
      <c r="DL143" s="359">
        <f t="shared" si="845"/>
        <v>0</v>
      </c>
      <c r="DM143" s="359">
        <f t="shared" si="845"/>
        <v>0</v>
      </c>
      <c r="DN143" s="501">
        <f t="shared" si="845"/>
        <v>0</v>
      </c>
      <c r="DO143" s="963">
        <f t="shared" si="845"/>
        <v>0</v>
      </c>
      <c r="DP143" s="359">
        <f t="shared" si="845"/>
        <v>0</v>
      </c>
      <c r="DQ143" s="359">
        <f t="shared" ref="DQ143" si="846">DQ105/DQ$10</f>
        <v>0</v>
      </c>
      <c r="DR143" s="963">
        <f t="shared" si="843"/>
        <v>0</v>
      </c>
      <c r="DS143" s="501">
        <f t="shared" si="843"/>
        <v>0</v>
      </c>
      <c r="DT143" s="963">
        <f t="shared" si="843"/>
        <v>0</v>
      </c>
      <c r="DU143" s="359">
        <f t="shared" si="843"/>
        <v>0</v>
      </c>
      <c r="DV143" s="360">
        <v>0</v>
      </c>
      <c r="DW143" s="360">
        <v>0</v>
      </c>
      <c r="DX143" s="501">
        <f>DX105/DX$10</f>
        <v>0</v>
      </c>
      <c r="DY143" s="360">
        <v>0</v>
      </c>
      <c r="DZ143" s="360">
        <v>0</v>
      </c>
      <c r="EA143" s="360">
        <v>0</v>
      </c>
      <c r="EB143" s="360">
        <v>0</v>
      </c>
      <c r="EC143" s="501">
        <f>EC105/EC$10</f>
        <v>0</v>
      </c>
      <c r="ED143" s="360">
        <v>0</v>
      </c>
      <c r="EE143" s="360">
        <v>0</v>
      </c>
      <c r="EF143" s="360">
        <v>0</v>
      </c>
      <c r="EG143" s="360">
        <v>0</v>
      </c>
      <c r="EH143" s="501">
        <f>EH105/EH$10</f>
        <v>0</v>
      </c>
      <c r="EI143" s="360">
        <v>0</v>
      </c>
      <c r="EJ143" s="360">
        <v>0</v>
      </c>
      <c r="EK143" s="360">
        <v>0</v>
      </c>
      <c r="EL143" s="360">
        <v>0</v>
      </c>
      <c r="EM143" s="501">
        <f>EM105/EM$10</f>
        <v>0</v>
      </c>
      <c r="EN143" s="360">
        <v>0</v>
      </c>
      <c r="EO143" s="360">
        <v>0</v>
      </c>
      <c r="EP143" s="360">
        <v>0</v>
      </c>
      <c r="EQ143" s="360">
        <v>0</v>
      </c>
      <c r="ER143" s="501">
        <f>ER105/ER$10</f>
        <v>0</v>
      </c>
      <c r="ES143" s="359"/>
    </row>
    <row r="144" spans="1:150">
      <c r="A144" s="792"/>
      <c r="B144" s="792"/>
      <c r="C144" s="375" t="s">
        <v>277</v>
      </c>
      <c r="BQ144" s="359">
        <f t="shared" ref="BQ144:DC144" si="847">BQ106/BQ$10</f>
        <v>0</v>
      </c>
      <c r="BR144" s="359">
        <f t="shared" si="847"/>
        <v>0</v>
      </c>
      <c r="BS144" s="359">
        <f t="shared" si="847"/>
        <v>0</v>
      </c>
      <c r="BT144" s="359">
        <f t="shared" si="847"/>
        <v>0</v>
      </c>
      <c r="BU144" s="501">
        <f t="shared" si="847"/>
        <v>0</v>
      </c>
      <c r="BV144" s="359">
        <f t="shared" si="847"/>
        <v>0</v>
      </c>
      <c r="BW144" s="359">
        <f t="shared" si="847"/>
        <v>0</v>
      </c>
      <c r="BX144" s="359">
        <f t="shared" si="847"/>
        <v>0</v>
      </c>
      <c r="BY144" s="359">
        <f t="shared" si="847"/>
        <v>0</v>
      </c>
      <c r="BZ144" s="501">
        <f t="shared" si="847"/>
        <v>0</v>
      </c>
      <c r="CA144" s="359">
        <f t="shared" si="847"/>
        <v>0</v>
      </c>
      <c r="CB144" s="359">
        <f t="shared" si="847"/>
        <v>0</v>
      </c>
      <c r="CC144" s="359">
        <f t="shared" si="847"/>
        <v>0</v>
      </c>
      <c r="CD144" s="359">
        <f t="shared" si="847"/>
        <v>0</v>
      </c>
      <c r="CE144" s="501">
        <f t="shared" si="847"/>
        <v>0</v>
      </c>
      <c r="CF144" s="359">
        <f t="shared" si="847"/>
        <v>0</v>
      </c>
      <c r="CG144" s="359">
        <f t="shared" si="847"/>
        <v>0</v>
      </c>
      <c r="CH144" s="359">
        <f t="shared" si="847"/>
        <v>0</v>
      </c>
      <c r="CI144" s="359">
        <f t="shared" si="847"/>
        <v>0</v>
      </c>
      <c r="CJ144" s="501">
        <f t="shared" si="847"/>
        <v>0</v>
      </c>
      <c r="CK144" s="359">
        <f t="shared" si="847"/>
        <v>1.8097740278705203E-4</v>
      </c>
      <c r="CL144" s="359">
        <f t="shared" si="847"/>
        <v>1.6023028960243551E-4</v>
      </c>
      <c r="CM144" s="359">
        <f t="shared" si="847"/>
        <v>1.4850775312890473E-4</v>
      </c>
      <c r="CN144" s="359">
        <f t="shared" si="847"/>
        <v>1.1481510808456726E-4</v>
      </c>
      <c r="CO144" s="501">
        <f t="shared" si="847"/>
        <v>1.4700542969623735E-4</v>
      </c>
      <c r="CP144" s="359">
        <f t="shared" si="847"/>
        <v>1.2340399275746224E-4</v>
      </c>
      <c r="CQ144" s="359">
        <f t="shared" si="847"/>
        <v>8.1193715606412065E-5</v>
      </c>
      <c r="CR144" s="359">
        <f t="shared" si="847"/>
        <v>7.5579387676650536E-5</v>
      </c>
      <c r="CS144" s="359">
        <f t="shared" si="847"/>
        <v>6.0342993667053952E-5</v>
      </c>
      <c r="CT144" s="501">
        <f t="shared" si="847"/>
        <v>7.9536001305346218E-5</v>
      </c>
      <c r="CU144" s="359">
        <f t="shared" si="847"/>
        <v>5.8666035501043352E-5</v>
      </c>
      <c r="CV144" s="359">
        <f t="shared" si="847"/>
        <v>5.181138867921158E-5</v>
      </c>
      <c r="CW144" s="359">
        <f t="shared" si="847"/>
        <v>5.1613362521579727E-5</v>
      </c>
      <c r="CX144" s="359">
        <f t="shared" si="847"/>
        <v>2.3188002527492273E-5</v>
      </c>
      <c r="CY144" s="501">
        <f t="shared" si="847"/>
        <v>4.4667483113089401E-5</v>
      </c>
      <c r="CZ144" s="359">
        <f t="shared" si="847"/>
        <v>6.3142695013305655E-5</v>
      </c>
      <c r="DA144" s="359">
        <f t="shared" si="847"/>
        <v>0</v>
      </c>
      <c r="DB144" s="359">
        <f t="shared" si="847"/>
        <v>0</v>
      </c>
      <c r="DC144" s="359">
        <f t="shared" si="847"/>
        <v>0</v>
      </c>
      <c r="DD144" s="501">
        <f>DD106/DD$10</f>
        <v>1.3571758171269872E-5</v>
      </c>
      <c r="DE144" s="359">
        <f t="shared" ref="DE144:DP144" si="848">DE106/DE$10</f>
        <v>0</v>
      </c>
      <c r="DF144" s="359">
        <f t="shared" si="848"/>
        <v>0</v>
      </c>
      <c r="DG144" s="359">
        <f t="shared" si="848"/>
        <v>0</v>
      </c>
      <c r="DH144" s="359">
        <f t="shared" si="848"/>
        <v>0</v>
      </c>
      <c r="DI144" s="501">
        <f t="shared" si="848"/>
        <v>0</v>
      </c>
      <c r="DJ144" s="359">
        <f t="shared" si="848"/>
        <v>0</v>
      </c>
      <c r="DK144" s="359">
        <f t="shared" si="848"/>
        <v>0</v>
      </c>
      <c r="DL144" s="359">
        <f t="shared" si="848"/>
        <v>4.6253469010175765E-4</v>
      </c>
      <c r="DM144" s="359">
        <f t="shared" si="848"/>
        <v>3.5561877667140827E-4</v>
      </c>
      <c r="DN144" s="501">
        <f t="shared" si="848"/>
        <v>2.2522522522522523E-4</v>
      </c>
      <c r="DO144" s="963">
        <f t="shared" si="848"/>
        <v>4.2372881355932202E-4</v>
      </c>
      <c r="DP144" s="359">
        <f t="shared" si="848"/>
        <v>3.7313432835820896E-4</v>
      </c>
      <c r="DQ144" s="359">
        <f t="shared" ref="DQ144" si="849">DQ106/DQ$10</f>
        <v>3.5161744022503517E-4</v>
      </c>
      <c r="DR144" s="963">
        <f t="shared" si="843"/>
        <v>2.7233115468409589E-4</v>
      </c>
      <c r="DS144" s="501">
        <f t="shared" si="843"/>
        <v>3.4614053305642093E-4</v>
      </c>
      <c r="DT144" s="963">
        <f t="shared" si="843"/>
        <v>3.1545741324921138E-4</v>
      </c>
      <c r="DU144" s="359">
        <f t="shared" si="843"/>
        <v>0</v>
      </c>
      <c r="DV144" s="360">
        <v>0</v>
      </c>
      <c r="DW144" s="360">
        <v>0</v>
      </c>
      <c r="DX144" s="501">
        <f>DX106/DX$10</f>
        <v>6.5738934612959629E-5</v>
      </c>
      <c r="DY144" s="360">
        <v>0</v>
      </c>
      <c r="DZ144" s="360">
        <v>0</v>
      </c>
      <c r="EA144" s="360">
        <v>0</v>
      </c>
      <c r="EB144" s="360">
        <v>0</v>
      </c>
      <c r="EC144" s="501">
        <f>EC106/EC$10</f>
        <v>0</v>
      </c>
      <c r="ED144" s="360">
        <v>0</v>
      </c>
      <c r="EE144" s="360">
        <v>0</v>
      </c>
      <c r="EF144" s="360">
        <v>0</v>
      </c>
      <c r="EG144" s="360">
        <v>0</v>
      </c>
      <c r="EH144" s="501">
        <f>EH106/EH$10</f>
        <v>0</v>
      </c>
      <c r="EI144" s="360">
        <v>0</v>
      </c>
      <c r="EJ144" s="360">
        <v>0</v>
      </c>
      <c r="EK144" s="360">
        <v>0</v>
      </c>
      <c r="EL144" s="360">
        <v>0</v>
      </c>
      <c r="EM144" s="501">
        <f>EM106/EM$10</f>
        <v>0</v>
      </c>
      <c r="EN144" s="360">
        <v>0</v>
      </c>
      <c r="EO144" s="360">
        <v>0</v>
      </c>
      <c r="EP144" s="360">
        <v>0</v>
      </c>
      <c r="EQ144" s="360">
        <v>0</v>
      </c>
      <c r="ER144" s="501">
        <f>ER106/ER$10</f>
        <v>0</v>
      </c>
      <c r="ES144" s="359"/>
    </row>
    <row r="145" spans="1:149">
      <c r="A145" s="792"/>
      <c r="B145" s="792"/>
      <c r="C145" s="375" t="s">
        <v>278</v>
      </c>
      <c r="BQ145" s="359">
        <f t="shared" ref="BQ145:DC145" si="850">BQ107/BQ$10</f>
        <v>0</v>
      </c>
      <c r="BR145" s="359">
        <f t="shared" si="850"/>
        <v>0</v>
      </c>
      <c r="BS145" s="359">
        <f t="shared" si="850"/>
        <v>0</v>
      </c>
      <c r="BT145" s="359">
        <f t="shared" si="850"/>
        <v>0</v>
      </c>
      <c r="BU145" s="501">
        <f t="shared" si="850"/>
        <v>0</v>
      </c>
      <c r="BV145" s="359">
        <f t="shared" si="850"/>
        <v>0</v>
      </c>
      <c r="BW145" s="359">
        <f t="shared" si="850"/>
        <v>0</v>
      </c>
      <c r="BX145" s="359">
        <f t="shared" si="850"/>
        <v>0</v>
      </c>
      <c r="BY145" s="359">
        <f t="shared" si="850"/>
        <v>0</v>
      </c>
      <c r="BZ145" s="501">
        <f t="shared" si="850"/>
        <v>0</v>
      </c>
      <c r="CA145" s="359">
        <f t="shared" si="850"/>
        <v>0</v>
      </c>
      <c r="CB145" s="359">
        <f t="shared" si="850"/>
        <v>0</v>
      </c>
      <c r="CC145" s="359">
        <f t="shared" si="850"/>
        <v>0</v>
      </c>
      <c r="CD145" s="359">
        <f t="shared" si="850"/>
        <v>0</v>
      </c>
      <c r="CE145" s="501">
        <f t="shared" si="850"/>
        <v>0</v>
      </c>
      <c r="CF145" s="359">
        <f t="shared" si="850"/>
        <v>0</v>
      </c>
      <c r="CG145" s="359">
        <f t="shared" si="850"/>
        <v>0</v>
      </c>
      <c r="CH145" s="359">
        <f t="shared" si="850"/>
        <v>0</v>
      </c>
      <c r="CI145" s="359">
        <f t="shared" si="850"/>
        <v>0</v>
      </c>
      <c r="CJ145" s="501">
        <f t="shared" si="850"/>
        <v>0</v>
      </c>
      <c r="CK145" s="359">
        <f t="shared" si="850"/>
        <v>0</v>
      </c>
      <c r="CL145" s="359">
        <f t="shared" si="850"/>
        <v>0</v>
      </c>
      <c r="CM145" s="359">
        <f t="shared" si="850"/>
        <v>0</v>
      </c>
      <c r="CN145" s="359">
        <f t="shared" si="850"/>
        <v>0</v>
      </c>
      <c r="CO145" s="501">
        <f t="shared" si="850"/>
        <v>0</v>
      </c>
      <c r="CP145" s="359">
        <f t="shared" si="850"/>
        <v>0</v>
      </c>
      <c r="CQ145" s="359">
        <f t="shared" si="850"/>
        <v>0</v>
      </c>
      <c r="CR145" s="359">
        <f t="shared" si="850"/>
        <v>0</v>
      </c>
      <c r="CS145" s="359">
        <f t="shared" si="850"/>
        <v>0</v>
      </c>
      <c r="CT145" s="501">
        <f t="shared" si="850"/>
        <v>0</v>
      </c>
      <c r="CU145" s="359">
        <f t="shared" si="850"/>
        <v>0</v>
      </c>
      <c r="CV145" s="359">
        <f t="shared" si="850"/>
        <v>0</v>
      </c>
      <c r="CW145" s="359">
        <f t="shared" si="850"/>
        <v>0</v>
      </c>
      <c r="CX145" s="359">
        <f t="shared" si="850"/>
        <v>0</v>
      </c>
      <c r="CY145" s="501">
        <f t="shared" si="850"/>
        <v>0</v>
      </c>
      <c r="CZ145" s="359">
        <f t="shared" si="850"/>
        <v>0</v>
      </c>
      <c r="DA145" s="359">
        <f t="shared" si="850"/>
        <v>0</v>
      </c>
      <c r="DB145" s="359">
        <f t="shared" si="850"/>
        <v>0</v>
      </c>
      <c r="DC145" s="359">
        <f t="shared" si="850"/>
        <v>0</v>
      </c>
      <c r="DD145" s="501">
        <f>DD107/DD$10</f>
        <v>0</v>
      </c>
      <c r="DE145" s="359">
        <f t="shared" ref="DE145:DP145" si="851">DE107/DE$10</f>
        <v>0</v>
      </c>
      <c r="DF145" s="359">
        <f t="shared" si="851"/>
        <v>0</v>
      </c>
      <c r="DG145" s="359">
        <f t="shared" si="851"/>
        <v>0</v>
      </c>
      <c r="DH145" s="359">
        <f t="shared" si="851"/>
        <v>0</v>
      </c>
      <c r="DI145" s="501">
        <f t="shared" si="851"/>
        <v>0</v>
      </c>
      <c r="DJ145" s="359">
        <f t="shared" si="851"/>
        <v>0</v>
      </c>
      <c r="DK145" s="359">
        <f t="shared" si="851"/>
        <v>0</v>
      </c>
      <c r="DL145" s="359">
        <f t="shared" si="851"/>
        <v>0</v>
      </c>
      <c r="DM145" s="359">
        <f t="shared" si="851"/>
        <v>0</v>
      </c>
      <c r="DN145" s="501">
        <f t="shared" si="851"/>
        <v>0</v>
      </c>
      <c r="DO145" s="963">
        <f t="shared" si="851"/>
        <v>0</v>
      </c>
      <c r="DP145" s="359">
        <f t="shared" si="851"/>
        <v>0</v>
      </c>
      <c r="DQ145" s="359">
        <f t="shared" ref="DQ145" si="852">DQ107/DQ$10</f>
        <v>0</v>
      </c>
      <c r="DR145" s="963">
        <f t="shared" si="843"/>
        <v>0</v>
      </c>
      <c r="DS145" s="501">
        <f t="shared" si="843"/>
        <v>0</v>
      </c>
      <c r="DT145" s="963">
        <f t="shared" si="843"/>
        <v>0</v>
      </c>
      <c r="DU145" s="359">
        <f t="shared" si="843"/>
        <v>0</v>
      </c>
      <c r="DV145" s="360">
        <v>0</v>
      </c>
      <c r="DW145" s="360">
        <v>0</v>
      </c>
      <c r="DX145" s="501">
        <f>DX107/DX$10</f>
        <v>0</v>
      </c>
      <c r="DY145" s="360">
        <v>0</v>
      </c>
      <c r="DZ145" s="360">
        <v>0</v>
      </c>
      <c r="EA145" s="360">
        <v>0</v>
      </c>
      <c r="EB145" s="360">
        <v>0</v>
      </c>
      <c r="EC145" s="501">
        <f>EC107/EC$10</f>
        <v>0</v>
      </c>
      <c r="ED145" s="360">
        <v>0</v>
      </c>
      <c r="EE145" s="360">
        <v>0</v>
      </c>
      <c r="EF145" s="360">
        <v>0</v>
      </c>
      <c r="EG145" s="360">
        <v>0</v>
      </c>
      <c r="EH145" s="501">
        <f>EH107/EH$10</f>
        <v>0</v>
      </c>
      <c r="EI145" s="360">
        <v>0</v>
      </c>
      <c r="EJ145" s="360">
        <v>0</v>
      </c>
      <c r="EK145" s="360">
        <v>0</v>
      </c>
      <c r="EL145" s="360">
        <v>0</v>
      </c>
      <c r="EM145" s="501">
        <f>EM107/EM$10</f>
        <v>0</v>
      </c>
      <c r="EN145" s="360">
        <v>0</v>
      </c>
      <c r="EO145" s="360">
        <v>0</v>
      </c>
      <c r="EP145" s="360">
        <v>0</v>
      </c>
      <c r="EQ145" s="360">
        <v>0</v>
      </c>
      <c r="ER145" s="501">
        <f>ER107/ER$10</f>
        <v>0</v>
      </c>
      <c r="ES145" s="359"/>
    </row>
    <row r="146" spans="1:149">
      <c r="A146" s="792"/>
      <c r="B146" s="792"/>
      <c r="C146" s="1377" t="s">
        <v>225</v>
      </c>
      <c r="D146" s="1378"/>
      <c r="E146" s="1378"/>
      <c r="F146" s="1378"/>
      <c r="G146" s="1378"/>
      <c r="H146" s="1378"/>
      <c r="I146" s="1378"/>
      <c r="J146" s="1378"/>
      <c r="K146" s="1378"/>
      <c r="L146" s="1378"/>
      <c r="M146" s="1378"/>
      <c r="N146" s="1378"/>
      <c r="O146" s="1378"/>
      <c r="P146" s="1378"/>
      <c r="Q146" s="1378"/>
      <c r="R146" s="1378"/>
      <c r="S146" s="1378"/>
      <c r="T146" s="1378"/>
      <c r="U146" s="1378"/>
      <c r="V146" s="1378"/>
      <c r="W146" s="1378"/>
      <c r="X146" s="1378"/>
      <c r="Y146" s="1378"/>
      <c r="Z146" s="1378"/>
      <c r="AA146" s="1378"/>
      <c r="AB146" s="1378"/>
      <c r="AC146" s="1378"/>
      <c r="AD146" s="1378"/>
      <c r="AE146" s="1378"/>
      <c r="AF146" s="1378"/>
      <c r="AG146" s="1378"/>
      <c r="AH146" s="1378"/>
      <c r="AI146" s="1378"/>
      <c r="AJ146" s="1378"/>
      <c r="AK146" s="1378"/>
      <c r="AL146" s="1378"/>
      <c r="AM146" s="1378"/>
      <c r="AN146" s="1378"/>
      <c r="AO146" s="1378"/>
      <c r="AP146" s="1378"/>
      <c r="AQ146" s="1378"/>
      <c r="AR146" s="1378"/>
      <c r="AS146" s="1378"/>
      <c r="AT146" s="1378"/>
      <c r="AU146" s="1378"/>
      <c r="AV146" s="1378"/>
      <c r="AW146" s="1378"/>
      <c r="AX146" s="1378"/>
      <c r="AY146" s="1378"/>
      <c r="AZ146" s="1378"/>
      <c r="BA146" s="1378"/>
      <c r="BB146" s="1378"/>
      <c r="BC146" s="1378"/>
      <c r="BD146" s="1378"/>
      <c r="BE146" s="1378"/>
      <c r="BF146" s="1378"/>
      <c r="BG146" s="1378"/>
      <c r="BH146" s="1378"/>
      <c r="BI146" s="1378"/>
      <c r="BJ146" s="1378"/>
      <c r="BK146" s="1378"/>
      <c r="BL146" s="1378"/>
      <c r="BM146" s="1378"/>
      <c r="BN146" s="1378"/>
      <c r="BO146" s="1378"/>
      <c r="BP146" s="1378"/>
      <c r="BQ146" s="1381"/>
      <c r="BR146" s="1381"/>
      <c r="BS146" s="1381"/>
      <c r="BT146" s="1381"/>
      <c r="BU146" s="1382"/>
      <c r="BV146" s="1381"/>
      <c r="BW146" s="1381"/>
      <c r="BX146" s="1381"/>
      <c r="BY146" s="1381"/>
      <c r="BZ146" s="1382"/>
      <c r="CA146" s="1381"/>
      <c r="CB146" s="1381"/>
      <c r="CC146" s="1381"/>
      <c r="CD146" s="1381"/>
      <c r="CE146" s="1382"/>
      <c r="CF146" s="1381"/>
      <c r="CG146" s="1381"/>
      <c r="CH146" s="1381"/>
      <c r="CI146" s="1381"/>
      <c r="CJ146" s="1382"/>
      <c r="CK146" s="1381"/>
      <c r="CL146" s="1381"/>
      <c r="CM146" s="1381"/>
      <c r="CN146" s="1381"/>
      <c r="CO146" s="1382"/>
      <c r="CP146" s="1381"/>
      <c r="CQ146" s="1381"/>
      <c r="CR146" s="1381"/>
      <c r="CS146" s="1381"/>
      <c r="CT146" s="1382"/>
      <c r="CU146" s="1381"/>
      <c r="CV146" s="1381"/>
      <c r="CW146" s="1381"/>
      <c r="CX146" s="1381"/>
      <c r="CY146" s="1382"/>
      <c r="CZ146" s="1381"/>
      <c r="DA146" s="1381"/>
      <c r="DB146" s="1381"/>
      <c r="DC146" s="1381"/>
      <c r="DD146" s="1382"/>
      <c r="DE146" s="1381"/>
      <c r="DF146" s="1381"/>
      <c r="DG146" s="1381"/>
      <c r="DH146" s="1381"/>
      <c r="DI146" s="1382"/>
      <c r="DJ146" s="1381"/>
      <c r="DK146" s="1381"/>
      <c r="DL146" s="1381"/>
      <c r="DM146" s="1381"/>
      <c r="DN146" s="1382"/>
      <c r="DO146" s="1381"/>
      <c r="DP146" s="1381"/>
      <c r="DQ146" s="1381"/>
      <c r="DR146" s="1381"/>
      <c r="DS146" s="1382"/>
      <c r="DT146" s="1381"/>
      <c r="DU146" s="1381"/>
      <c r="DV146" s="1380"/>
      <c r="DW146" s="1380"/>
      <c r="DX146" s="1382"/>
      <c r="DY146" s="1380"/>
      <c r="DZ146" s="1380"/>
      <c r="EA146" s="1380"/>
      <c r="EB146" s="1380"/>
      <c r="EC146" s="1382"/>
      <c r="ED146" s="1380"/>
      <c r="EE146" s="1380"/>
      <c r="EF146" s="1380"/>
      <c r="EG146" s="1380"/>
      <c r="EH146" s="1382"/>
      <c r="EI146" s="1380"/>
      <c r="EJ146" s="1380"/>
      <c r="EK146" s="1380"/>
      <c r="EL146" s="1380"/>
      <c r="EM146" s="1382"/>
      <c r="EN146" s="1380"/>
      <c r="EO146" s="1380"/>
      <c r="EP146" s="1380"/>
      <c r="EQ146" s="1380"/>
      <c r="ER146" s="1382"/>
      <c r="ES146" s="90"/>
    </row>
    <row r="147" spans="1:149">
      <c r="A147" s="792"/>
      <c r="B147" s="792"/>
      <c r="C147" s="375" t="s">
        <v>275</v>
      </c>
      <c r="BQ147" s="359">
        <f t="shared" ref="BQ147:CV147" si="853">BQ89/BQ$10</f>
        <v>0</v>
      </c>
      <c r="BR147" s="359">
        <f t="shared" si="853"/>
        <v>0</v>
      </c>
      <c r="BS147" s="359">
        <f t="shared" si="853"/>
        <v>0</v>
      </c>
      <c r="BT147" s="359">
        <f t="shared" si="853"/>
        <v>8.9778119789662688E-4</v>
      </c>
      <c r="BU147" s="501">
        <f t="shared" si="853"/>
        <v>3.0696817763225213E-4</v>
      </c>
      <c r="BV147" s="359">
        <f t="shared" si="853"/>
        <v>1.3750996947278676E-4</v>
      </c>
      <c r="BW147" s="359">
        <f t="shared" si="853"/>
        <v>2.6544485094694565E-4</v>
      </c>
      <c r="BX147" s="359">
        <f t="shared" si="853"/>
        <v>4.6194942658016829E-4</v>
      </c>
      <c r="BY147" s="359">
        <f t="shared" si="853"/>
        <v>7.6697115421489004E-5</v>
      </c>
      <c r="BZ147" s="501">
        <f t="shared" si="853"/>
        <v>2.285978475843115E-4</v>
      </c>
      <c r="CA147" s="359">
        <f t="shared" si="853"/>
        <v>2.747705665769083E-4</v>
      </c>
      <c r="CB147" s="359">
        <f t="shared" si="853"/>
        <v>3.0332003560713458E-4</v>
      </c>
      <c r="CC147" s="359">
        <f t="shared" si="853"/>
        <v>2.157988055244494E-4</v>
      </c>
      <c r="CD147" s="359">
        <f t="shared" si="853"/>
        <v>2.737709479655677E-4</v>
      </c>
      <c r="CE147" s="501">
        <f t="shared" si="853"/>
        <v>2.6585316588049378E-4</v>
      </c>
      <c r="CF147" s="359">
        <f t="shared" si="853"/>
        <v>2.9392553886348796E-4</v>
      </c>
      <c r="CG147" s="359">
        <f t="shared" si="853"/>
        <v>2.1635920526773432E-4</v>
      </c>
      <c r="CH147" s="359">
        <f t="shared" si="853"/>
        <v>1.3700456188162806E-4</v>
      </c>
      <c r="CI147" s="359">
        <f t="shared" si="853"/>
        <v>1.6285602945367619E-4</v>
      </c>
      <c r="CJ147" s="501">
        <f t="shared" si="853"/>
        <v>1.9473942653431842E-4</v>
      </c>
      <c r="CK147" s="359">
        <f t="shared" si="853"/>
        <v>3.1203000480526212E-4</v>
      </c>
      <c r="CL147" s="359">
        <f t="shared" si="853"/>
        <v>3.6466203840554288E-4</v>
      </c>
      <c r="CM147" s="359">
        <f t="shared" si="853"/>
        <v>2.8933407075114196E-4</v>
      </c>
      <c r="CN147" s="359">
        <f t="shared" si="853"/>
        <v>3.4246575342465748E-4</v>
      </c>
      <c r="CO147" s="501">
        <f t="shared" si="853"/>
        <v>3.28227640442461E-4</v>
      </c>
      <c r="CP147" s="359">
        <f t="shared" si="853"/>
        <v>3.7446728836747158E-4</v>
      </c>
      <c r="CQ147" s="359">
        <f t="shared" si="853"/>
        <v>4.773630520997675E-4</v>
      </c>
      <c r="CR147" s="359">
        <f t="shared" si="853"/>
        <v>3.2186394407125312E-4</v>
      </c>
      <c r="CS147" s="359">
        <f t="shared" si="853"/>
        <v>2.3012158601842613E-4</v>
      </c>
      <c r="CT147" s="501">
        <f t="shared" si="853"/>
        <v>3.3760131026174857E-4</v>
      </c>
      <c r="CU147" s="359">
        <f t="shared" si="853"/>
        <v>3.398584125577684E-4</v>
      </c>
      <c r="CV147" s="359">
        <f t="shared" si="853"/>
        <v>1.5364756642800674E-4</v>
      </c>
      <c r="CW147" s="359">
        <f t="shared" ref="CW147:DP147" si="854">CW89/CW$10</f>
        <v>2.5628704148646482E-4</v>
      </c>
      <c r="CX147" s="359">
        <f t="shared" si="854"/>
        <v>1.2318626342730271E-4</v>
      </c>
      <c r="CY147" s="501">
        <f t="shared" si="854"/>
        <v>2.0946013925846776E-4</v>
      </c>
      <c r="CZ147" s="359">
        <f t="shared" si="854"/>
        <v>9.6375692388729695E-5</v>
      </c>
      <c r="DA147" s="359">
        <f t="shared" si="854"/>
        <v>3.8608160375209546E-5</v>
      </c>
      <c r="DB147" s="359">
        <f t="shared" si="854"/>
        <v>4.9041135997657736E-5</v>
      </c>
      <c r="DC147" s="359">
        <f t="shared" si="854"/>
        <v>4.1499085290995041E-5</v>
      </c>
      <c r="DD147" s="501">
        <f t="shared" si="854"/>
        <v>5.4465608450490933E-5</v>
      </c>
      <c r="DE147" s="359">
        <f t="shared" si="854"/>
        <v>0</v>
      </c>
      <c r="DF147" s="359">
        <f t="shared" si="854"/>
        <v>0</v>
      </c>
      <c r="DG147" s="359">
        <f t="shared" si="854"/>
        <v>0</v>
      </c>
      <c r="DH147" s="359">
        <f t="shared" si="854"/>
        <v>0</v>
      </c>
      <c r="DI147" s="501">
        <f t="shared" si="854"/>
        <v>0</v>
      </c>
      <c r="DJ147" s="359">
        <f t="shared" si="854"/>
        <v>0</v>
      </c>
      <c r="DK147" s="359">
        <f t="shared" si="854"/>
        <v>0</v>
      </c>
      <c r="DL147" s="359">
        <f t="shared" si="854"/>
        <v>0</v>
      </c>
      <c r="DM147" s="359">
        <f ca="1">DM89/DM$10</f>
        <v>0</v>
      </c>
      <c r="DN147" s="501">
        <f ca="1">DN89/DN$10</f>
        <v>0</v>
      </c>
      <c r="DO147" s="963">
        <f t="shared" si="854"/>
        <v>0</v>
      </c>
      <c r="DP147" s="359">
        <f t="shared" si="854"/>
        <v>0</v>
      </c>
      <c r="DQ147" s="359">
        <f t="shared" ref="DQ147" si="855">DQ89/DQ$10</f>
        <v>0</v>
      </c>
      <c r="DR147" s="963">
        <f>DR89/DR$10</f>
        <v>5.4466230936819177E-4</v>
      </c>
      <c r="DS147" s="501">
        <f t="shared" ref="DS147:DU147" si="856">DS89/DS$10</f>
        <v>1.7307026652821047E-4</v>
      </c>
      <c r="DT147" s="963">
        <f t="shared" si="856"/>
        <v>0</v>
      </c>
      <c r="DU147" s="359">
        <f t="shared" si="856"/>
        <v>0</v>
      </c>
      <c r="DV147" s="359">
        <f t="shared" ref="DV147:ER147" ca="1" si="857">DV89/DV$10</f>
        <v>0</v>
      </c>
      <c r="DW147" s="359">
        <f t="shared" ca="1" si="857"/>
        <v>0</v>
      </c>
      <c r="DX147" s="501">
        <f t="shared" ca="1" si="857"/>
        <v>0</v>
      </c>
      <c r="DY147" s="963">
        <f t="shared" ca="1" si="857"/>
        <v>0</v>
      </c>
      <c r="DZ147" s="359">
        <f t="shared" ca="1" si="857"/>
        <v>0</v>
      </c>
      <c r="EA147" s="359">
        <f t="shared" ca="1" si="857"/>
        <v>0</v>
      </c>
      <c r="EB147" s="359">
        <f t="shared" ca="1" si="857"/>
        <v>0</v>
      </c>
      <c r="EC147" s="501">
        <f t="shared" ca="1" si="857"/>
        <v>0</v>
      </c>
      <c r="ED147" s="963">
        <f t="shared" ca="1" si="857"/>
        <v>0</v>
      </c>
      <c r="EE147" s="359">
        <f t="shared" ca="1" si="857"/>
        <v>0</v>
      </c>
      <c r="EF147" s="359">
        <f t="shared" ca="1" si="857"/>
        <v>0</v>
      </c>
      <c r="EG147" s="359">
        <f t="shared" ca="1" si="857"/>
        <v>0</v>
      </c>
      <c r="EH147" s="501">
        <f t="shared" ca="1" si="857"/>
        <v>0</v>
      </c>
      <c r="EI147" s="963">
        <f t="shared" ca="1" si="857"/>
        <v>0</v>
      </c>
      <c r="EJ147" s="359">
        <f t="shared" ca="1" si="857"/>
        <v>0</v>
      </c>
      <c r="EK147" s="359">
        <f t="shared" ca="1" si="857"/>
        <v>0</v>
      </c>
      <c r="EL147" s="359">
        <f t="shared" ca="1" si="857"/>
        <v>0</v>
      </c>
      <c r="EM147" s="501">
        <f t="shared" ca="1" si="857"/>
        <v>0</v>
      </c>
      <c r="EN147" s="963">
        <f t="shared" ca="1" si="857"/>
        <v>0</v>
      </c>
      <c r="EO147" s="359">
        <f t="shared" ca="1" si="857"/>
        <v>0</v>
      </c>
      <c r="EP147" s="359">
        <f t="shared" ca="1" si="857"/>
        <v>0</v>
      </c>
      <c r="EQ147" s="359">
        <f t="shared" ca="1" si="857"/>
        <v>0</v>
      </c>
      <c r="ER147" s="501">
        <f t="shared" ca="1" si="857"/>
        <v>0</v>
      </c>
      <c r="ES147" s="359"/>
    </row>
    <row r="148" spans="1:149">
      <c r="A148" s="792"/>
      <c r="B148" s="792"/>
      <c r="C148" s="375" t="s">
        <v>276</v>
      </c>
      <c r="BQ148" s="359">
        <f t="shared" ref="BQ148:CV148" si="858">BQ90/BQ$10</f>
        <v>0</v>
      </c>
      <c r="BR148" s="359">
        <f t="shared" si="858"/>
        <v>0</v>
      </c>
      <c r="BS148" s="359">
        <f t="shared" si="858"/>
        <v>0</v>
      </c>
      <c r="BT148" s="359">
        <f t="shared" si="858"/>
        <v>3.5911247915865075E-3</v>
      </c>
      <c r="BU148" s="501">
        <f t="shared" si="858"/>
        <v>1.2278727105290085E-3</v>
      </c>
      <c r="BV148" s="359">
        <f t="shared" si="858"/>
        <v>5.6379087483842576E-4</v>
      </c>
      <c r="BW148" s="359">
        <f t="shared" si="858"/>
        <v>9.5790967950419538E-4</v>
      </c>
      <c r="BX148" s="359">
        <f t="shared" si="858"/>
        <v>2.460382815481331E-3</v>
      </c>
      <c r="BY148" s="359">
        <f t="shared" si="858"/>
        <v>9.5104423122646371E-4</v>
      </c>
      <c r="BZ148" s="501">
        <f t="shared" si="858"/>
        <v>1.266277964708602E-3</v>
      </c>
      <c r="CA148" s="359">
        <f t="shared" si="858"/>
        <v>1.4052551833504737E-3</v>
      </c>
      <c r="CB148" s="359">
        <f t="shared" si="858"/>
        <v>1.9847680590814676E-3</v>
      </c>
      <c r="CC148" s="359">
        <f t="shared" si="858"/>
        <v>9.5651362448674875E-4</v>
      </c>
      <c r="CD148" s="359">
        <f t="shared" si="858"/>
        <v>1.1040598885168795E-3</v>
      </c>
      <c r="CE148" s="501">
        <f t="shared" si="858"/>
        <v>1.3218397633164218E-3</v>
      </c>
      <c r="CF148" s="359">
        <f t="shared" si="858"/>
        <v>3.410469347765233E-3</v>
      </c>
      <c r="CG148" s="359">
        <f t="shared" si="858"/>
        <v>2.1513453052093585E-3</v>
      </c>
      <c r="CH148" s="359">
        <f t="shared" si="858"/>
        <v>1.4144795307778899E-3</v>
      </c>
      <c r="CI148" s="359">
        <f t="shared" si="858"/>
        <v>1.419173970953464E-3</v>
      </c>
      <c r="CJ148" s="501">
        <f t="shared" si="858"/>
        <v>1.9828014338039695E-3</v>
      </c>
      <c r="CK148" s="359">
        <f t="shared" si="858"/>
        <v>2.5274430389226232E-3</v>
      </c>
      <c r="CL148" s="359">
        <f t="shared" si="858"/>
        <v>3.0443755024462749E-3</v>
      </c>
      <c r="CM148" s="359">
        <f t="shared" si="858"/>
        <v>2.5220713246891578E-3</v>
      </c>
      <c r="CN148" s="359">
        <f t="shared" si="858"/>
        <v>2.6783593316968878E-3</v>
      </c>
      <c r="CO148" s="501">
        <f t="shared" si="858"/>
        <v>2.6929873974526242E-3</v>
      </c>
      <c r="CP148" s="359">
        <f t="shared" si="858"/>
        <v>2.6106327433345891E-3</v>
      </c>
      <c r="CQ148" s="359">
        <f t="shared" si="858"/>
        <v>2.5450030167665024E-3</v>
      </c>
      <c r="CR148" s="359">
        <f t="shared" si="858"/>
        <v>1.8073898397847291E-3</v>
      </c>
      <c r="CS148" s="359">
        <f t="shared" si="858"/>
        <v>1.3070906085846604E-3</v>
      </c>
      <c r="CT148" s="501">
        <f t="shared" si="858"/>
        <v>1.94914406632415E-3</v>
      </c>
      <c r="CU148" s="359">
        <f t="shared" si="858"/>
        <v>2.0553342092779325E-3</v>
      </c>
      <c r="CV148" s="359">
        <f t="shared" si="858"/>
        <v>1.1782624425496562E-3</v>
      </c>
      <c r="CW148" s="359">
        <f t="shared" ref="CW148:DP148" si="859">CW90/CW$10</f>
        <v>1.1960061936035027E-3</v>
      </c>
      <c r="CX148" s="359">
        <f t="shared" si="859"/>
        <v>7.5505933230146714E-4</v>
      </c>
      <c r="CY148" s="501">
        <f t="shared" si="859"/>
        <v>1.2439677214553101E-3</v>
      </c>
      <c r="CZ148" s="359">
        <f t="shared" si="859"/>
        <v>3.9879596850508838E-4</v>
      </c>
      <c r="DA148" s="359">
        <f t="shared" si="859"/>
        <v>1.5597696791584657E-4</v>
      </c>
      <c r="DB148" s="359">
        <f t="shared" si="859"/>
        <v>3.3084467867076564E-4</v>
      </c>
      <c r="DC148" s="359">
        <f t="shared" si="859"/>
        <v>1.7694748867132609E-4</v>
      </c>
      <c r="DD148" s="501">
        <f t="shared" si="859"/>
        <v>2.5732767795789323E-4</v>
      </c>
      <c r="DE148" s="359">
        <f t="shared" si="859"/>
        <v>6.6312997347480103E-4</v>
      </c>
      <c r="DF148" s="359">
        <f t="shared" si="859"/>
        <v>5.9031877213695393E-4</v>
      </c>
      <c r="DG148" s="359">
        <f t="shared" si="859"/>
        <v>5.8343057176196028E-4</v>
      </c>
      <c r="DH148" s="359">
        <f t="shared" si="859"/>
        <v>4.6641791044776119E-4</v>
      </c>
      <c r="DI148" s="501">
        <f t="shared" si="859"/>
        <v>5.6657223796033991E-4</v>
      </c>
      <c r="DJ148" s="359">
        <f t="shared" si="859"/>
        <v>5.3734551316496511E-4</v>
      </c>
      <c r="DK148" s="359">
        <f t="shared" si="859"/>
        <v>0</v>
      </c>
      <c r="DL148" s="359">
        <f t="shared" si="859"/>
        <v>4.6253469010175765E-4</v>
      </c>
      <c r="DM148" s="359">
        <f t="shared" si="859"/>
        <v>3.5561877667140827E-4</v>
      </c>
      <c r="DN148" s="501">
        <f t="shared" si="859"/>
        <v>3.3783783783783786E-4</v>
      </c>
      <c r="DO148" s="963">
        <f t="shared" si="859"/>
        <v>4.2372881355932202E-4</v>
      </c>
      <c r="DP148" s="359">
        <f t="shared" si="859"/>
        <v>3.7313432835820896E-4</v>
      </c>
      <c r="DQ148" s="359">
        <f t="shared" ref="DQ148" si="860">DQ90/DQ$10</f>
        <v>3.5161744022503517E-4</v>
      </c>
      <c r="DR148" s="963">
        <f>DR90/DR$10</f>
        <v>2.7233115468409589E-4</v>
      </c>
      <c r="DS148" s="501">
        <f t="shared" ref="DS148:DU148" si="861">DS90/DS$10</f>
        <v>3.4614053305642093E-4</v>
      </c>
      <c r="DT148" s="963">
        <f t="shared" si="861"/>
        <v>3.1545741324921138E-4</v>
      </c>
      <c r="DU148" s="359">
        <f t="shared" si="861"/>
        <v>0</v>
      </c>
      <c r="DV148" s="359">
        <f t="shared" ref="DV148:ER148" ca="1" si="862">DV90/DV$10</f>
        <v>3.3089728105194851E-4</v>
      </c>
      <c r="DW148" s="359">
        <f t="shared" ca="1" si="862"/>
        <v>2.8709572793977271E-4</v>
      </c>
      <c r="DX148" s="501">
        <f t="shared" ca="1" si="862"/>
        <v>2.3606253792835504E-4</v>
      </c>
      <c r="DY148" s="963">
        <f t="shared" ca="1" si="862"/>
        <v>2.0276509765932931E-4</v>
      </c>
      <c r="DZ148" s="359">
        <f t="shared" ca="1" si="862"/>
        <v>1.5012250978795849E-4</v>
      </c>
      <c r="EA148" s="359">
        <f t="shared" ca="1" si="862"/>
        <v>2.6440293407823415E-4</v>
      </c>
      <c r="EB148" s="359">
        <f t="shared" ca="1" si="862"/>
        <v>2.3050997172675592E-4</v>
      </c>
      <c r="EC148" s="501">
        <f t="shared" ca="1" si="862"/>
        <v>2.1380000585800391E-4</v>
      </c>
      <c r="ED148" s="963">
        <f t="shared" ca="1" si="862"/>
        <v>1.6775968912497428E-4</v>
      </c>
      <c r="EE148" s="359">
        <f t="shared" ca="1" si="862"/>
        <v>1.2430486200663661E-4</v>
      </c>
      <c r="EF148" s="359">
        <f t="shared" ca="1" si="862"/>
        <v>2.1920656243342891E-4</v>
      </c>
      <c r="EG148" s="359">
        <f t="shared" ca="1" si="862"/>
        <v>1.9108040056368589E-4</v>
      </c>
      <c r="EH148" s="501">
        <f t="shared" ca="1" si="862"/>
        <v>1.7711623977549471E-4</v>
      </c>
      <c r="EI148" s="963">
        <f t="shared" ca="1" si="862"/>
        <v>1.4155750345113994E-4</v>
      </c>
      <c r="EJ148" s="359">
        <f t="shared" ca="1" si="862"/>
        <v>1.0487320272981412E-4</v>
      </c>
      <c r="EK148" s="359">
        <f t="shared" ca="1" si="862"/>
        <v>1.8495047994651989E-4</v>
      </c>
      <c r="EL148" s="359">
        <f t="shared" ca="1" si="862"/>
        <v>1.6113695330002072E-4</v>
      </c>
      <c r="EM148" s="501">
        <f t="shared" ca="1" si="862"/>
        <v>1.4941510780697037E-4</v>
      </c>
      <c r="EN148" s="963">
        <f t="shared" ca="1" si="862"/>
        <v>1.2066789461560743E-4</v>
      </c>
      <c r="EO148" s="359">
        <f t="shared" ca="1" si="862"/>
        <v>8.939533986373822E-5</v>
      </c>
      <c r="EP148" s="359">
        <f t="shared" ca="1" si="862"/>
        <v>1.5764427325473026E-4</v>
      </c>
      <c r="EQ148" s="359">
        <f t="shared" ca="1" si="862"/>
        <v>1.3733467633396184E-4</v>
      </c>
      <c r="ER148" s="501">
        <f t="shared" ca="1" si="862"/>
        <v>1.2735610871600654E-4</v>
      </c>
      <c r="ES148" s="359"/>
    </row>
    <row r="149" spans="1:149">
      <c r="A149" s="792"/>
      <c r="B149" s="792"/>
      <c r="C149" s="375" t="s">
        <v>277</v>
      </c>
      <c r="BQ149" s="359">
        <f t="shared" ref="BQ149:CV149" si="863">BQ91/BQ$10</f>
        <v>0</v>
      </c>
      <c r="BR149" s="359">
        <f t="shared" si="863"/>
        <v>0</v>
      </c>
      <c r="BS149" s="359">
        <f t="shared" si="863"/>
        <v>0</v>
      </c>
      <c r="BT149" s="359">
        <f t="shared" si="863"/>
        <v>2.6562923061576392E-2</v>
      </c>
      <c r="BU149" s="501">
        <f t="shared" si="863"/>
        <v>9.0823600493098091E-3</v>
      </c>
      <c r="BV149" s="359">
        <f t="shared" si="863"/>
        <v>3.5890102032397346E-3</v>
      </c>
      <c r="BW149" s="359">
        <f t="shared" si="863"/>
        <v>2.5390377047099151E-3</v>
      </c>
      <c r="BX149" s="359">
        <f t="shared" si="863"/>
        <v>3.4043664263190667E-3</v>
      </c>
      <c r="BY149" s="359">
        <f t="shared" si="863"/>
        <v>1.7640336546942473E-3</v>
      </c>
      <c r="BZ149" s="501">
        <f t="shared" si="863"/>
        <v>2.6969408984665968E-3</v>
      </c>
      <c r="CA149" s="359">
        <f t="shared" si="863"/>
        <v>3.8075349939943001E-3</v>
      </c>
      <c r="CB149" s="359">
        <f t="shared" si="863"/>
        <v>5.4070093303880511E-3</v>
      </c>
      <c r="CC149" s="359">
        <f t="shared" si="863"/>
        <v>4.2518197088465843E-3</v>
      </c>
      <c r="CD149" s="359">
        <f t="shared" si="863"/>
        <v>5.3407775094922224E-3</v>
      </c>
      <c r="CE149" s="501">
        <f t="shared" si="863"/>
        <v>4.7883274122833075E-3</v>
      </c>
      <c r="CF149" s="359">
        <f t="shared" si="863"/>
        <v>4.9034244658019968E-3</v>
      </c>
      <c r="CG149" s="359">
        <f t="shared" si="863"/>
        <v>6.4581181647840697E-3</v>
      </c>
      <c r="CH149" s="359">
        <f t="shared" si="863"/>
        <v>3.5176846969607206E-3</v>
      </c>
      <c r="CI149" s="359">
        <f t="shared" si="863"/>
        <v>2.4079427212079264E-3</v>
      </c>
      <c r="CJ149" s="501">
        <f t="shared" si="863"/>
        <v>4.1100268442243E-3</v>
      </c>
      <c r="CK149" s="359">
        <f t="shared" si="863"/>
        <v>5.6415024868791391E-3</v>
      </c>
      <c r="CL149" s="359">
        <f t="shared" si="863"/>
        <v>9.5723785081455008E-3</v>
      </c>
      <c r="CM149" s="359">
        <f t="shared" si="863"/>
        <v>7.1104488006718692E-3</v>
      </c>
      <c r="CN149" s="359">
        <f t="shared" si="863"/>
        <v>6.029772745268825E-3</v>
      </c>
      <c r="CO149" s="501">
        <f t="shared" si="863"/>
        <v>7.0309148616786625E-3</v>
      </c>
      <c r="CP149" s="359">
        <f t="shared" si="863"/>
        <v>8.1212593164695403E-3</v>
      </c>
      <c r="CQ149" s="359">
        <f t="shared" si="863"/>
        <v>1.4648466208715447E-2</v>
      </c>
      <c r="CR149" s="359">
        <f t="shared" si="863"/>
        <v>1.0859976153400095E-2</v>
      </c>
      <c r="CS149" s="359">
        <f t="shared" si="863"/>
        <v>1.1777111391120787E-2</v>
      </c>
      <c r="CT149" s="501">
        <f t="shared" si="863"/>
        <v>1.1650488088203719E-2</v>
      </c>
      <c r="CU149" s="359">
        <f t="shared" si="863"/>
        <v>1.1872791805366325E-2</v>
      </c>
      <c r="CV149" s="359">
        <f t="shared" si="863"/>
        <v>6.4683838866581205E-3</v>
      </c>
      <c r="CW149" s="359">
        <f t="shared" ref="CW149:DP149" si="864">CW91/CW$10</f>
        <v>8.5838361186751384E-3</v>
      </c>
      <c r="CX149" s="359">
        <f t="shared" si="864"/>
        <v>5.0499121754404271E-3</v>
      </c>
      <c r="CY149" s="501">
        <f t="shared" si="864"/>
        <v>7.717933951103418E-3</v>
      </c>
      <c r="CZ149" s="359">
        <f t="shared" si="864"/>
        <v>2.7192900102440713E-3</v>
      </c>
      <c r="DA149" s="359">
        <f t="shared" si="864"/>
        <v>9.2273503296750811E-4</v>
      </c>
      <c r="DB149" s="359">
        <f t="shared" si="864"/>
        <v>2.0846142585273018E-3</v>
      </c>
      <c r="DC149" s="359">
        <f t="shared" si="864"/>
        <v>1.2397851730684768E-3</v>
      </c>
      <c r="DD149" s="501">
        <f t="shared" si="864"/>
        <v>1.6905767711501562E-3</v>
      </c>
      <c r="DE149" s="359">
        <f t="shared" si="864"/>
        <v>3.3156498673740055E-3</v>
      </c>
      <c r="DF149" s="359">
        <f t="shared" si="864"/>
        <v>2.3612750885478157E-3</v>
      </c>
      <c r="DG149" s="359">
        <f t="shared" si="864"/>
        <v>1.750291715285881E-3</v>
      </c>
      <c r="DH149" s="359">
        <f t="shared" si="864"/>
        <v>1.3992537313432835E-3</v>
      </c>
      <c r="DI149" s="501">
        <f t="shared" si="864"/>
        <v>2.124645892351275E-3</v>
      </c>
      <c r="DJ149" s="359">
        <f t="shared" si="864"/>
        <v>2.1493820526598604E-3</v>
      </c>
      <c r="DK149" s="359">
        <f t="shared" si="864"/>
        <v>1.4669926650366749E-3</v>
      </c>
      <c r="DL149" s="359">
        <f t="shared" si="864"/>
        <v>1.3876040703052729E-3</v>
      </c>
      <c r="DM149" s="359">
        <f t="shared" si="864"/>
        <v>2.1337126600284497E-3</v>
      </c>
      <c r="DN149" s="501">
        <f t="shared" si="864"/>
        <v>1.8018018018018018E-3</v>
      </c>
      <c r="DO149" s="963">
        <f t="shared" si="864"/>
        <v>2.1186440677966102E-3</v>
      </c>
      <c r="DP149" s="359">
        <f t="shared" si="864"/>
        <v>1.8656716417910447E-3</v>
      </c>
      <c r="DQ149" s="359">
        <f t="shared" ref="DQ149" si="865">DQ91/DQ$10</f>
        <v>1.7580872011251757E-3</v>
      </c>
      <c r="DR149" s="963">
        <f>DR91/DR$10</f>
        <v>1.6339869281045752E-3</v>
      </c>
      <c r="DS149" s="501">
        <f t="shared" ref="DS149:DU149" si="866">DS91/DS$10</f>
        <v>1.8172377985462098E-3</v>
      </c>
      <c r="DT149" s="963">
        <f t="shared" si="866"/>
        <v>1.2618296529968455E-3</v>
      </c>
      <c r="DU149" s="359">
        <f t="shared" si="866"/>
        <v>1.1163829193413341E-3</v>
      </c>
      <c r="DV149" s="359">
        <f t="shared" ref="DV149:ER149" ca="1" si="867">DV91/DV$10</f>
        <v>1.7647854989437258E-3</v>
      </c>
      <c r="DW149" s="359">
        <f t="shared" ca="1" si="867"/>
        <v>1.5311772156787881E-3</v>
      </c>
      <c r="DX149" s="501">
        <f t="shared" ca="1" si="867"/>
        <v>1.4343040279191192E-3</v>
      </c>
      <c r="DY149" s="963">
        <f t="shared" ca="1" si="867"/>
        <v>1.0814138541830897E-3</v>
      </c>
      <c r="DZ149" s="359">
        <f t="shared" ca="1" si="867"/>
        <v>8.0065338553577867E-4</v>
      </c>
      <c r="EA149" s="359">
        <f t="shared" ca="1" si="867"/>
        <v>1.4101489817505825E-3</v>
      </c>
      <c r="EB149" s="359">
        <f t="shared" ca="1" si="867"/>
        <v>1.2293865158760318E-3</v>
      </c>
      <c r="EC149" s="501">
        <f t="shared" ca="1" si="867"/>
        <v>1.1402666979093542E-3</v>
      </c>
      <c r="ED149" s="963">
        <f t="shared" ca="1" si="867"/>
        <v>8.9471834199986286E-4</v>
      </c>
      <c r="EE149" s="359">
        <f t="shared" ca="1" si="867"/>
        <v>6.6295926403539529E-4</v>
      </c>
      <c r="EF149" s="359">
        <f t="shared" ca="1" si="867"/>
        <v>1.169101666311621E-3</v>
      </c>
      <c r="EG149" s="359">
        <f t="shared" ca="1" si="867"/>
        <v>1.0190954696729915E-3</v>
      </c>
      <c r="EH149" s="501">
        <f t="shared" ca="1" si="867"/>
        <v>9.4461994546930523E-4</v>
      </c>
      <c r="EI149" s="963">
        <f t="shared" ca="1" si="867"/>
        <v>7.5497335173941302E-4</v>
      </c>
      <c r="EJ149" s="359">
        <f t="shared" ca="1" si="867"/>
        <v>5.5932374789234205E-4</v>
      </c>
      <c r="EK149" s="359">
        <f t="shared" ca="1" si="867"/>
        <v>9.8640255971477295E-4</v>
      </c>
      <c r="EL149" s="359">
        <f t="shared" ca="1" si="867"/>
        <v>8.5939708426677728E-4</v>
      </c>
      <c r="EM149" s="501">
        <f t="shared" ca="1" si="867"/>
        <v>7.9688057497050873E-4</v>
      </c>
      <c r="EN149" s="963">
        <f t="shared" ca="1" si="867"/>
        <v>6.4356210461657287E-4</v>
      </c>
      <c r="EO149" s="359">
        <f t="shared" ca="1" si="867"/>
        <v>4.7677514593993725E-4</v>
      </c>
      <c r="EP149" s="359">
        <f t="shared" ca="1" si="867"/>
        <v>8.407694573585615E-4</v>
      </c>
      <c r="EQ149" s="359">
        <f t="shared" ca="1" si="867"/>
        <v>7.3245160711446326E-4</v>
      </c>
      <c r="ER149" s="501">
        <f t="shared" ca="1" si="867"/>
        <v>6.7923257981870151E-4</v>
      </c>
      <c r="ES149" s="359"/>
    </row>
    <row r="150" spans="1:149">
      <c r="A150" s="792"/>
      <c r="B150" s="792"/>
      <c r="C150" s="1368" t="s">
        <v>278</v>
      </c>
      <c r="D150" s="371"/>
      <c r="E150" s="371"/>
      <c r="F150" s="371"/>
      <c r="G150" s="371"/>
      <c r="H150" s="371"/>
      <c r="I150" s="371"/>
      <c r="J150" s="371"/>
      <c r="K150" s="371"/>
      <c r="L150" s="371"/>
      <c r="M150" s="371"/>
      <c r="N150" s="371"/>
      <c r="O150" s="371"/>
      <c r="P150" s="371"/>
      <c r="Q150" s="371"/>
      <c r="R150" s="371"/>
      <c r="S150" s="371"/>
      <c r="T150" s="371"/>
      <c r="U150" s="371"/>
      <c r="V150" s="371"/>
      <c r="W150" s="371"/>
      <c r="X150" s="371"/>
      <c r="Y150" s="371"/>
      <c r="Z150" s="371"/>
      <c r="AA150" s="371"/>
      <c r="AB150" s="371"/>
      <c r="AC150" s="371"/>
      <c r="AD150" s="371"/>
      <c r="AE150" s="371"/>
      <c r="AF150" s="371"/>
      <c r="AG150" s="371"/>
      <c r="AH150" s="371"/>
      <c r="AI150" s="371"/>
      <c r="AJ150" s="371"/>
      <c r="AK150" s="371"/>
      <c r="AL150" s="371"/>
      <c r="AM150" s="371"/>
      <c r="AN150" s="371"/>
      <c r="AO150" s="371"/>
      <c r="AP150" s="371"/>
      <c r="AQ150" s="371"/>
      <c r="AR150" s="371"/>
      <c r="AS150" s="371"/>
      <c r="AT150" s="371"/>
      <c r="AU150" s="371"/>
      <c r="AV150" s="371"/>
      <c r="AW150" s="371"/>
      <c r="AX150" s="371"/>
      <c r="AY150" s="371"/>
      <c r="AZ150" s="371"/>
      <c r="BA150" s="371"/>
      <c r="BB150" s="371"/>
      <c r="BC150" s="371"/>
      <c r="BD150" s="371"/>
      <c r="BE150" s="371"/>
      <c r="BF150" s="371"/>
      <c r="BG150" s="371"/>
      <c r="BH150" s="371"/>
      <c r="BI150" s="371"/>
      <c r="BJ150" s="371"/>
      <c r="BK150" s="371"/>
      <c r="BL150" s="371"/>
      <c r="BM150" s="371"/>
      <c r="BN150" s="371"/>
      <c r="BO150" s="371"/>
      <c r="BP150" s="371"/>
      <c r="BQ150" s="1369">
        <f t="shared" ref="BQ150:CV150" si="868">BQ92/BQ$10</f>
        <v>0</v>
      </c>
      <c r="BR150" s="1369">
        <f t="shared" si="868"/>
        <v>0</v>
      </c>
      <c r="BS150" s="1369">
        <f t="shared" si="868"/>
        <v>0</v>
      </c>
      <c r="BT150" s="1369">
        <f t="shared" si="868"/>
        <v>2.1518247759109627E-3</v>
      </c>
      <c r="BU150" s="1370">
        <f t="shared" si="868"/>
        <v>7.357491241661916E-4</v>
      </c>
      <c r="BV150" s="1369">
        <f t="shared" si="868"/>
        <v>2.7501993894557352E-4</v>
      </c>
      <c r="BW150" s="1369">
        <f t="shared" si="868"/>
        <v>4.1547889713434971E-4</v>
      </c>
      <c r="BX150" s="1369">
        <f t="shared" si="868"/>
        <v>1.6670348872240856E-3</v>
      </c>
      <c r="BY150" s="1369">
        <f t="shared" si="868"/>
        <v>5.5221923103472082E-4</v>
      </c>
      <c r="BZ150" s="1370">
        <f t="shared" si="868"/>
        <v>7.5514345157064698E-4</v>
      </c>
      <c r="CA150" s="1369">
        <f t="shared" si="868"/>
        <v>1.8919916155724255E-3</v>
      </c>
      <c r="CB150" s="1369">
        <f t="shared" si="868"/>
        <v>1.3253766773268275E-3</v>
      </c>
      <c r="CC150" s="1369">
        <f t="shared" si="868"/>
        <v>4.8408921239268384E-4</v>
      </c>
      <c r="CD150" s="1369">
        <f t="shared" si="868"/>
        <v>5.4843950559659623E-3</v>
      </c>
      <c r="CE150" s="1370">
        <f t="shared" si="868"/>
        <v>2.594667490464931E-3</v>
      </c>
      <c r="CF150" s="1369">
        <f t="shared" si="868"/>
        <v>1.6095922366333862E-3</v>
      </c>
      <c r="CG150" s="1369">
        <f t="shared" si="868"/>
        <v>5.7151488183929827E-4</v>
      </c>
      <c r="CH150" s="1369">
        <f t="shared" si="868"/>
        <v>6.44291723443332E-4</v>
      </c>
      <c r="CI150" s="1369">
        <f t="shared" si="868"/>
        <v>1.846671048269364E-3</v>
      </c>
      <c r="CJ150" s="1370">
        <f t="shared" si="868"/>
        <v>1.2057072628488424E-3</v>
      </c>
      <c r="CK150" s="1369">
        <f t="shared" si="868"/>
        <v>1.6568793255159419E-3</v>
      </c>
      <c r="CL150" s="1369">
        <f t="shared" si="868"/>
        <v>1.2763171344194002E-3</v>
      </c>
      <c r="CM150" s="1369">
        <f t="shared" si="868"/>
        <v>1.5158032733157171E-3</v>
      </c>
      <c r="CN150" s="1369">
        <f t="shared" si="868"/>
        <v>1.6984717713199777E-3</v>
      </c>
      <c r="CO150" s="1370">
        <f t="shared" si="868"/>
        <v>1.5479925204651202E-3</v>
      </c>
      <c r="CP150" s="1369">
        <f t="shared" si="868"/>
        <v>2.0723360163063483E-3</v>
      </c>
      <c r="CQ150" s="1369">
        <f t="shared" si="868"/>
        <v>2.1278353055473507E-3</v>
      </c>
      <c r="CR150" s="1369">
        <f t="shared" si="868"/>
        <v>2.1201321336191451E-3</v>
      </c>
      <c r="CS150" s="1369">
        <f t="shared" si="868"/>
        <v>2.4709944525356333E-3</v>
      </c>
      <c r="CT150" s="1370">
        <f t="shared" si="868"/>
        <v>2.2314456675238117E-3</v>
      </c>
      <c r="CU150" s="1369">
        <f t="shared" si="868"/>
        <v>3.7485573718425286E-3</v>
      </c>
      <c r="CV150" s="1369">
        <f t="shared" si="868"/>
        <v>1.6579644377347706E-3</v>
      </c>
      <c r="CW150" s="1369">
        <f t="shared" ref="CW150:DP150" si="869">CW92/CW$10</f>
        <v>1.381102390232616E-2</v>
      </c>
      <c r="CX150" s="1369">
        <f t="shared" si="869"/>
        <v>2.1064851046068761E-3</v>
      </c>
      <c r="CY150" s="1370">
        <f t="shared" si="869"/>
        <v>5.2015934582519494E-3</v>
      </c>
      <c r="CZ150" s="1369">
        <f t="shared" si="869"/>
        <v>1.1099821123391627E-3</v>
      </c>
      <c r="DA150" s="1369">
        <f t="shared" si="869"/>
        <v>1.8917998583852676E-4</v>
      </c>
      <c r="DB150" s="1369">
        <f t="shared" si="869"/>
        <v>2.1519543258673691E-4</v>
      </c>
      <c r="DC150" s="1369">
        <f t="shared" si="869"/>
        <v>3.636933724808038E-4</v>
      </c>
      <c r="DD150" s="1370">
        <f t="shared" si="869"/>
        <v>4.4751086812108292E-4</v>
      </c>
      <c r="DE150" s="1369">
        <f t="shared" si="869"/>
        <v>3.9787798408488064E-3</v>
      </c>
      <c r="DF150" s="1369">
        <f t="shared" si="869"/>
        <v>5.9031877213695393E-4</v>
      </c>
      <c r="DG150" s="1369">
        <f t="shared" si="869"/>
        <v>5.8343057176196028E-4</v>
      </c>
      <c r="DH150" s="1369">
        <f t="shared" si="869"/>
        <v>4.6641791044776119E-4</v>
      </c>
      <c r="DI150" s="1370">
        <f t="shared" si="869"/>
        <v>1.2747875354107649E-3</v>
      </c>
      <c r="DJ150" s="1369">
        <f t="shared" si="869"/>
        <v>5.3734551316496511E-4</v>
      </c>
      <c r="DK150" s="1369">
        <f t="shared" si="869"/>
        <v>0</v>
      </c>
      <c r="DL150" s="1369">
        <f t="shared" si="869"/>
        <v>4.6253469010175765E-4</v>
      </c>
      <c r="DM150" s="1369">
        <f t="shared" si="869"/>
        <v>3.5561877667140827E-4</v>
      </c>
      <c r="DN150" s="1370">
        <f t="shared" si="869"/>
        <v>3.3783783783783786E-4</v>
      </c>
      <c r="DO150" s="1371">
        <f t="shared" si="869"/>
        <v>1.271186440677966E-3</v>
      </c>
      <c r="DP150" s="1369">
        <f t="shared" si="869"/>
        <v>3.7313432835820896E-4</v>
      </c>
      <c r="DQ150" s="1369">
        <f t="shared" ref="DQ150" si="870">DQ92/DQ$10</f>
        <v>1.0548523206751054E-3</v>
      </c>
      <c r="DR150" s="1371">
        <f>DR92/DR$10</f>
        <v>2.7233115468409589E-4</v>
      </c>
      <c r="DS150" s="1370">
        <f t="shared" ref="DS150:DU150" si="871">DS92/DS$10</f>
        <v>6.9228106611284187E-4</v>
      </c>
      <c r="DT150" s="1371">
        <f t="shared" si="871"/>
        <v>3.1545741324921138E-4</v>
      </c>
      <c r="DU150" s="1369">
        <f t="shared" si="871"/>
        <v>2.7909572983533354E-4</v>
      </c>
      <c r="DV150" s="1369">
        <f t="shared" ref="DV150:ER150" ca="1" si="872">DV92/DV$10</f>
        <v>3.3089728105194851E-4</v>
      </c>
      <c r="DW150" s="1369">
        <f t="shared" ca="1" si="872"/>
        <v>2.8709572793977271E-4</v>
      </c>
      <c r="DX150" s="1370">
        <f t="shared" ca="1" si="872"/>
        <v>3.0180147254131465E-4</v>
      </c>
      <c r="DY150" s="1371">
        <f t="shared" ca="1" si="872"/>
        <v>2.0276509765932931E-4</v>
      </c>
      <c r="DZ150" s="1369">
        <f t="shared" ca="1" si="872"/>
        <v>1.5012250978795849E-4</v>
      </c>
      <c r="EA150" s="1369">
        <f t="shared" ca="1" si="872"/>
        <v>2.6440293407823415E-4</v>
      </c>
      <c r="EB150" s="1369">
        <f t="shared" ca="1" si="872"/>
        <v>2.3050997172675592E-4</v>
      </c>
      <c r="EC150" s="1370">
        <f t="shared" ca="1" si="872"/>
        <v>2.1380000585800391E-4</v>
      </c>
      <c r="ED150" s="1371">
        <f t="shared" ca="1" si="872"/>
        <v>1.6775968912497428E-4</v>
      </c>
      <c r="EE150" s="1369">
        <f t="shared" ca="1" si="872"/>
        <v>1.2430486200663661E-4</v>
      </c>
      <c r="EF150" s="1369">
        <f t="shared" ca="1" si="872"/>
        <v>2.1920656243342891E-4</v>
      </c>
      <c r="EG150" s="1369">
        <f t="shared" ca="1" si="872"/>
        <v>1.9108040056368589E-4</v>
      </c>
      <c r="EH150" s="1370">
        <f t="shared" ca="1" si="872"/>
        <v>1.7711623977549471E-4</v>
      </c>
      <c r="EI150" s="1371">
        <f t="shared" ca="1" si="872"/>
        <v>1.4155750345113994E-4</v>
      </c>
      <c r="EJ150" s="1369">
        <f t="shared" ca="1" si="872"/>
        <v>1.0487320272981412E-4</v>
      </c>
      <c r="EK150" s="1369">
        <f t="shared" ca="1" si="872"/>
        <v>1.8495047994651989E-4</v>
      </c>
      <c r="EL150" s="1369">
        <f t="shared" ca="1" si="872"/>
        <v>1.6113695330002072E-4</v>
      </c>
      <c r="EM150" s="1370">
        <f t="shared" ca="1" si="872"/>
        <v>1.4941510780697037E-4</v>
      </c>
      <c r="EN150" s="1371">
        <f t="shared" ca="1" si="872"/>
        <v>1.2066789461560743E-4</v>
      </c>
      <c r="EO150" s="1369">
        <f t="shared" ca="1" si="872"/>
        <v>8.939533986373822E-5</v>
      </c>
      <c r="EP150" s="1369">
        <f t="shared" ca="1" si="872"/>
        <v>1.5764427325473026E-4</v>
      </c>
      <c r="EQ150" s="1369">
        <f t="shared" ca="1" si="872"/>
        <v>1.3733467633396184E-4</v>
      </c>
      <c r="ER150" s="1370">
        <f t="shared" ca="1" si="872"/>
        <v>1.2735610871600654E-4</v>
      </c>
      <c r="ES150" s="359"/>
    </row>
    <row r="151" spans="1:149" ht="12" customHeight="1">
      <c r="A151" s="792"/>
      <c r="B151" s="792"/>
      <c r="C151" s="118" t="s">
        <v>76</v>
      </c>
      <c r="D151" s="367"/>
      <c r="E151" s="367"/>
      <c r="F151" s="367"/>
      <c r="G151" s="367"/>
      <c r="H151" s="367"/>
      <c r="I151" s="368"/>
      <c r="J151" s="368"/>
      <c r="K151" s="368"/>
      <c r="L151" s="368"/>
      <c r="M151" s="367"/>
      <c r="N151" s="368"/>
      <c r="O151" s="368"/>
      <c r="P151" s="368"/>
      <c r="Q151" s="368"/>
      <c r="R151" s="367"/>
      <c r="S151" s="368"/>
      <c r="T151" s="368"/>
      <c r="U151" s="368"/>
      <c r="V151" s="368"/>
      <c r="W151" s="367"/>
      <c r="X151" s="368"/>
      <c r="Y151" s="368"/>
      <c r="Z151" s="368"/>
      <c r="AA151" s="368"/>
      <c r="AB151" s="367"/>
      <c r="AC151" s="368"/>
      <c r="AD151" s="368"/>
      <c r="AE151" s="368"/>
      <c r="AF151" s="368"/>
      <c r="AG151" s="367"/>
      <c r="AH151" s="368"/>
      <c r="AI151" s="368"/>
      <c r="AJ151" s="368"/>
      <c r="AK151" s="368"/>
      <c r="AL151" s="367"/>
      <c r="AM151" s="368"/>
      <c r="AN151" s="368"/>
      <c r="AO151" s="368"/>
      <c r="AP151" s="368"/>
      <c r="AQ151" s="367"/>
      <c r="AR151" s="368"/>
      <c r="AS151" s="368"/>
      <c r="AT151" s="368"/>
      <c r="AU151" s="368"/>
      <c r="AV151" s="367"/>
      <c r="AW151" s="368"/>
      <c r="AX151" s="368"/>
      <c r="AY151" s="368"/>
      <c r="AZ151" s="368"/>
      <c r="BA151" s="367"/>
      <c r="BB151" s="368"/>
      <c r="BC151" s="368"/>
      <c r="BD151" s="368"/>
      <c r="BE151" s="368"/>
      <c r="BF151" s="367"/>
      <c r="BG151" s="368"/>
      <c r="BH151" s="368"/>
      <c r="BI151" s="368"/>
      <c r="BJ151" s="368"/>
      <c r="BK151" s="367"/>
      <c r="BL151" s="368"/>
      <c r="BM151" s="368"/>
      <c r="BN151" s="368"/>
      <c r="BO151" s="368"/>
      <c r="BP151" s="367"/>
      <c r="BQ151" s="1414">
        <v>0</v>
      </c>
      <c r="BR151" s="1414">
        <v>0</v>
      </c>
      <c r="BS151" s="1414">
        <v>0</v>
      </c>
      <c r="BT151" s="1414">
        <v>0</v>
      </c>
      <c r="BU151" s="370">
        <f>SUM(BQ151:BT151)</f>
        <v>0</v>
      </c>
      <c r="BV151" s="1414">
        <v>0</v>
      </c>
      <c r="BW151" s="1414">
        <v>0</v>
      </c>
      <c r="BX151" s="1414">
        <v>0</v>
      </c>
      <c r="BY151" s="1414">
        <v>0</v>
      </c>
      <c r="BZ151" s="370">
        <f>SUM(BV151:BY151)</f>
        <v>0</v>
      </c>
      <c r="CA151" s="1414">
        <v>0</v>
      </c>
      <c r="CB151" s="1414">
        <v>0</v>
      </c>
      <c r="CC151" s="1414">
        <v>0</v>
      </c>
      <c r="CD151" s="1414">
        <v>0</v>
      </c>
      <c r="CE151" s="370">
        <f>SUM(CA151:CD151)</f>
        <v>0</v>
      </c>
      <c r="CF151" s="1414">
        <v>0</v>
      </c>
      <c r="CG151" s="1414">
        <v>0</v>
      </c>
      <c r="CH151" s="1414">
        <v>0</v>
      </c>
      <c r="CI151" s="1414">
        <v>0</v>
      </c>
      <c r="CJ151" s="370">
        <f>SUM(CF151:CI151)</f>
        <v>0</v>
      </c>
      <c r="CK151" s="1414">
        <v>0</v>
      </c>
      <c r="CL151" s="1414">
        <v>0</v>
      </c>
      <c r="CM151" s="1414">
        <v>0</v>
      </c>
      <c r="CN151" s="1414">
        <v>0</v>
      </c>
      <c r="CO151" s="370">
        <f>SUM(CK151:CN151)</f>
        <v>0</v>
      </c>
      <c r="CP151" s="1414">
        <v>0</v>
      </c>
      <c r="CQ151" s="1414">
        <v>0</v>
      </c>
      <c r="CR151" s="1414">
        <v>0</v>
      </c>
      <c r="CS151" s="1414">
        <v>0</v>
      </c>
      <c r="CT151" s="370">
        <f>SUM(CP151:CS151)</f>
        <v>0</v>
      </c>
      <c r="CU151" s="1414">
        <v>0</v>
      </c>
      <c r="CV151" s="1414">
        <v>0</v>
      </c>
      <c r="CW151" s="1414">
        <v>0</v>
      </c>
      <c r="CX151" s="1414">
        <v>0</v>
      </c>
      <c r="CY151" s="370">
        <f>SUM(CU151:CX151)</f>
        <v>0</v>
      </c>
      <c r="CZ151" s="1414">
        <v>0</v>
      </c>
      <c r="DA151" s="1414">
        <v>0</v>
      </c>
      <c r="DB151" s="1414">
        <v>0</v>
      </c>
      <c r="DC151" s="1414">
        <v>0</v>
      </c>
      <c r="DD151" s="370">
        <f>SUM(CZ151:DC151)</f>
        <v>0</v>
      </c>
      <c r="DE151" s="1414">
        <v>0</v>
      </c>
      <c r="DF151" s="1414">
        <v>0</v>
      </c>
      <c r="DG151" s="1414">
        <v>0</v>
      </c>
      <c r="DH151" s="1414">
        <v>0</v>
      </c>
      <c r="DI151" s="370">
        <f>SUM(DE151:DH151)</f>
        <v>0</v>
      </c>
      <c r="DJ151" s="1414">
        <v>0</v>
      </c>
      <c r="DK151" s="1414">
        <v>0</v>
      </c>
      <c r="DL151" s="369">
        <f>DK151</f>
        <v>0</v>
      </c>
      <c r="DM151" s="369">
        <f>DL151</f>
        <v>0</v>
      </c>
      <c r="DN151" s="370">
        <f>SUM(DJ151:DM151)</f>
        <v>0</v>
      </c>
      <c r="DO151" s="369">
        <f>DN151</f>
        <v>0</v>
      </c>
      <c r="DP151" s="369">
        <f>DO151</f>
        <v>0</v>
      </c>
      <c r="DQ151" s="369">
        <f>DP151</f>
        <v>0</v>
      </c>
      <c r="DR151" s="1533">
        <f>DQ151</f>
        <v>0</v>
      </c>
      <c r="DS151" s="370">
        <f>SUM(DO151:DR151)</f>
        <v>0</v>
      </c>
      <c r="DT151" s="369">
        <f>DS151</f>
        <v>0</v>
      </c>
      <c r="DU151" s="369">
        <f>DT151</f>
        <v>0</v>
      </c>
      <c r="DV151" s="369">
        <f>DU151</f>
        <v>0</v>
      </c>
      <c r="DW151" s="369">
        <f>DV151</f>
        <v>0</v>
      </c>
      <c r="DX151" s="370">
        <f>SUM(DT151:DW151)</f>
        <v>0</v>
      </c>
      <c r="DY151" s="369">
        <f>DX151</f>
        <v>0</v>
      </c>
      <c r="DZ151" s="369">
        <f>DY151</f>
        <v>0</v>
      </c>
      <c r="EA151" s="369">
        <f>DZ151</f>
        <v>0</v>
      </c>
      <c r="EB151" s="369">
        <f>EA151</f>
        <v>0</v>
      </c>
      <c r="EC151" s="370">
        <f>SUM(DY151:EB151)</f>
        <v>0</v>
      </c>
      <c r="ED151" s="369">
        <f>EC151</f>
        <v>0</v>
      </c>
      <c r="EE151" s="369">
        <f>ED151</f>
        <v>0</v>
      </c>
      <c r="EF151" s="369">
        <f>EE151</f>
        <v>0</v>
      </c>
      <c r="EG151" s="369">
        <f>EF151</f>
        <v>0</v>
      </c>
      <c r="EH151" s="370">
        <f>SUM(ED151:EG151)</f>
        <v>0</v>
      </c>
      <c r="EI151" s="369">
        <f>EH151</f>
        <v>0</v>
      </c>
      <c r="EJ151" s="369">
        <f>EI151</f>
        <v>0</v>
      </c>
      <c r="EK151" s="369">
        <f>EJ151</f>
        <v>0</v>
      </c>
      <c r="EL151" s="369">
        <f>EK151</f>
        <v>0</v>
      </c>
      <c r="EM151" s="370">
        <f>SUM(EI151:EL151)</f>
        <v>0</v>
      </c>
      <c r="EN151" s="369">
        <f>EM151</f>
        <v>0</v>
      </c>
      <c r="EO151" s="369">
        <f>EN151</f>
        <v>0</v>
      </c>
      <c r="EP151" s="369">
        <f>EO151</f>
        <v>0</v>
      </c>
      <c r="EQ151" s="369">
        <f>EP151</f>
        <v>0</v>
      </c>
      <c r="ER151" s="370">
        <f>SUM(EN151:EQ151)</f>
        <v>0</v>
      </c>
      <c r="ES151" s="919"/>
    </row>
  </sheetData>
  <phoneticPr fontId="0" type="noConversion"/>
  <pageMargins left="0.15" right="0.15" top="0.3" bottom="0.3" header="0.25" footer="0.25"/>
  <pageSetup scale="65" pageOrder="overThenDown" orientation="portrait" verticalDpi="598" r:id="rId1"/>
  <headerFooter alignWithMargins="0">
    <oddFooter>&amp;R&amp;"Book Antiqua,Regular"&amp;8Daniel Salmon
BMO Capital Markets
 (212) 885-4029</oddFooter>
  </headerFooter>
  <ignoredErrors>
    <ignoredError sqref="CT82:CT85 CO62 CT75 CT56 CT44 CT74 CT77 CW44 CO46 CO64 CO44 CT46 CW46" formula="1"/>
  </ignoredError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tabColor theme="9" tint="0.79998168889431442"/>
  </sheetPr>
  <dimension ref="A1:FG190"/>
  <sheetViews>
    <sheetView showGridLines="0" zoomScale="115" zoomScaleNormal="115" workbookViewId="0">
      <pane xSplit="3" ySplit="5" topLeftCell="DN13" activePane="bottomRight" state="frozen"/>
      <selection activeCell="F6" sqref="F6"/>
      <selection pane="topRight" activeCell="F6" sqref="F6"/>
      <selection pane="bottomLeft" activeCell="F6" sqref="F6"/>
      <selection pane="bottomRight" activeCell="DV65" sqref="DV65"/>
    </sheetView>
  </sheetViews>
  <sheetFormatPr defaultColWidth="8.6640625" defaultRowHeight="10.199999999999999" outlineLevelCol="2"/>
  <cols>
    <col min="1" max="1" width="6.5546875" style="791" hidden="1" customWidth="1" outlineLevel="2"/>
    <col min="2" max="2" width="1.6640625" style="203" customWidth="1" collapsed="1"/>
    <col min="3" max="3" width="46" style="203" bestFit="1" customWidth="1"/>
    <col min="4" max="68" width="7.6640625" style="203" hidden="1" customWidth="1"/>
    <col min="69" max="71" width="7.6640625" style="203" hidden="1" customWidth="1" outlineLevel="2"/>
    <col min="72" max="72" width="8.6640625" style="203" hidden="1" customWidth="1" outlineLevel="2"/>
    <col min="73" max="73" width="9.33203125" style="203" hidden="1" customWidth="1" outlineLevel="2"/>
    <col min="74" max="76" width="7.6640625" style="203" hidden="1" customWidth="1" outlineLevel="2"/>
    <col min="77" max="77" width="8.6640625" style="203" hidden="1" customWidth="1" outlineLevel="2"/>
    <col min="78" max="78" width="7.5546875" style="203" hidden="1" customWidth="1" outlineLevel="2"/>
    <col min="79" max="81" width="7.6640625" style="203" hidden="1" customWidth="1" outlineLevel="2"/>
    <col min="82" max="82" width="8.6640625" style="203" hidden="1" customWidth="1" outlineLevel="2"/>
    <col min="83" max="83" width="9.33203125" style="203" hidden="1" customWidth="1" outlineLevel="2"/>
    <col min="84" max="86" width="7.6640625" style="203" hidden="1" customWidth="1" outlineLevel="2"/>
    <col min="87" max="87" width="8.6640625" style="203" hidden="1" customWidth="1" outlineLevel="2"/>
    <col min="88" max="88" width="9.33203125" style="203" hidden="1" customWidth="1" outlineLevel="2"/>
    <col min="89" max="91" width="7.6640625" style="203" hidden="1" customWidth="1" outlineLevel="2"/>
    <col min="92" max="92" width="8.6640625" style="203" hidden="1" customWidth="1" outlineLevel="2"/>
    <col min="93" max="93" width="9.33203125" style="203" hidden="1" customWidth="1" outlineLevel="2"/>
    <col min="94" max="96" width="7.6640625" style="203" hidden="1" customWidth="1" outlineLevel="2"/>
    <col min="97" max="98" width="9.33203125" style="203" hidden="1" customWidth="1" outlineLevel="2"/>
    <col min="99" max="101" width="7.6640625" style="203" hidden="1" customWidth="1" outlineLevel="2"/>
    <col min="102" max="102" width="8.6640625" style="203" hidden="1" customWidth="1" outlineLevel="2"/>
    <col min="103" max="103" width="9.33203125" style="203" hidden="1" customWidth="1" outlineLevel="2" collapsed="1"/>
    <col min="104" max="106" width="7.6640625" style="203" hidden="1" customWidth="1" outlineLevel="2"/>
    <col min="107" max="107" width="8.6640625" style="203" hidden="1" customWidth="1" outlineLevel="2"/>
    <col min="108" max="108" width="9.33203125" style="203" hidden="1" customWidth="1" outlineLevel="2"/>
    <col min="109" max="111" width="8.44140625" style="203" hidden="1" customWidth="1" outlineLevel="2"/>
    <col min="112" max="112" width="8.33203125" style="203" hidden="1" customWidth="1" outlineLevel="2"/>
    <col min="113" max="113" width="9.109375" style="203" hidden="1" customWidth="1" outlineLevel="2" collapsed="1"/>
    <col min="114" max="114" width="9.109375" style="88" hidden="1" customWidth="1" outlineLevel="2"/>
    <col min="115" max="117" width="9.109375" style="203" hidden="1" customWidth="1" outlineLevel="2"/>
    <col min="118" max="118" width="9.109375" style="203" customWidth="1" collapsed="1"/>
    <col min="119" max="119" width="9.109375" style="203" hidden="1" customWidth="1" outlineLevel="2"/>
    <col min="120" max="121" width="9.109375" style="1544" hidden="1" customWidth="1" outlineLevel="2"/>
    <col min="122" max="122" width="9.109375" style="203" hidden="1" customWidth="1" outlineLevel="2"/>
    <col min="123" max="123" width="9.109375" style="203" customWidth="1" collapsed="1"/>
    <col min="124" max="127" width="9.109375" style="203" customWidth="1" outlineLevel="1"/>
    <col min="128" max="128" width="9.109375" style="203" customWidth="1"/>
    <col min="129" max="132" width="9.109375" style="203" customWidth="1" outlineLevel="1"/>
    <col min="133" max="133" width="9.109375" style="203" customWidth="1"/>
    <col min="134" max="137" width="9.109375" style="203" hidden="1" customWidth="1" outlineLevel="2"/>
    <col min="138" max="138" width="9.109375" style="203" customWidth="1" collapsed="1"/>
    <col min="139" max="142" width="9.109375" style="203" hidden="1" customWidth="1" outlineLevel="2"/>
    <col min="143" max="143" width="9.109375" style="203" customWidth="1" collapsed="1"/>
    <col min="144" max="147" width="9.109375" style="203" hidden="1" customWidth="1" outlineLevel="2"/>
    <col min="148" max="148" width="9.109375" style="203" customWidth="1" collapsed="1"/>
    <col min="149" max="156" width="8.6640625" style="203"/>
    <col min="157" max="157" width="10.33203125" style="203" bestFit="1" customWidth="1"/>
    <col min="158" max="16384" width="8.6640625" style="203"/>
  </cols>
  <sheetData>
    <row r="1" spans="1:149" ht="12.75" customHeight="1">
      <c r="A1" s="929"/>
      <c r="B1" s="94"/>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94"/>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479"/>
      <c r="BT1" s="17"/>
      <c r="BU1" s="17"/>
      <c r="BV1" s="17" t="s">
        <v>156</v>
      </c>
      <c r="BW1" s="17"/>
      <c r="BX1" s="17"/>
      <c r="BY1" s="17"/>
      <c r="BZ1" s="17"/>
      <c r="CA1" s="17"/>
      <c r="CB1" s="17"/>
      <c r="CC1" s="17"/>
      <c r="CD1" s="17"/>
      <c r="CE1" s="17"/>
      <c r="CF1" s="480"/>
      <c r="CG1" s="480"/>
      <c r="CH1" s="480"/>
      <c r="CI1" s="480"/>
      <c r="CJ1" s="480"/>
      <c r="CK1" s="480"/>
      <c r="CL1" s="480"/>
      <c r="CM1" s="480"/>
      <c r="CN1" s="480"/>
      <c r="CO1" s="480"/>
      <c r="CP1" s="480"/>
      <c r="CQ1" s="480"/>
      <c r="CR1" s="480"/>
      <c r="CS1" s="480"/>
      <c r="CT1" s="480"/>
      <c r="CU1" s="617"/>
      <c r="CV1" s="617"/>
      <c r="CW1" s="617"/>
      <c r="CX1" s="617"/>
      <c r="CY1" s="480"/>
      <c r="CZ1" s="639"/>
      <c r="DA1" s="17"/>
      <c r="DB1" s="17"/>
      <c r="DC1" s="17"/>
      <c r="DD1" s="17"/>
      <c r="DE1" s="639"/>
      <c r="DF1" s="17"/>
      <c r="DG1" s="17"/>
      <c r="DH1" s="17"/>
      <c r="DI1" s="17"/>
      <c r="DJ1" s="1547"/>
      <c r="DK1" s="17"/>
      <c r="DL1" s="17"/>
      <c r="DM1" s="17"/>
      <c r="DN1" s="17"/>
      <c r="DO1" s="639"/>
      <c r="DP1" s="376"/>
      <c r="DQ1" s="376"/>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row>
    <row r="2" spans="1:149" ht="12.75" customHeight="1">
      <c r="A2" s="94" t="s">
        <v>336</v>
      </c>
      <c r="C2" s="108" t="s">
        <v>237</v>
      </c>
      <c r="D2" s="17"/>
      <c r="E2" s="17"/>
      <c r="F2" s="17"/>
      <c r="G2" s="17"/>
      <c r="H2" s="17"/>
      <c r="I2" s="17"/>
      <c r="J2" s="17"/>
      <c r="K2" s="17"/>
      <c r="L2" s="17"/>
      <c r="M2" s="94"/>
      <c r="N2" s="17"/>
      <c r="O2" s="17"/>
      <c r="P2" s="17"/>
      <c r="Q2" s="17"/>
      <c r="R2" s="94"/>
      <c r="S2" s="17"/>
      <c r="T2" s="17"/>
      <c r="U2" s="17"/>
      <c r="V2" s="17"/>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94"/>
      <c r="BJ2" s="94"/>
      <c r="BK2" s="94"/>
      <c r="BL2" s="94"/>
      <c r="BM2" s="94"/>
      <c r="BN2" s="94"/>
      <c r="BO2" s="94"/>
      <c r="BP2" s="94"/>
      <c r="BQ2" s="94"/>
      <c r="BR2" s="94"/>
      <c r="BS2" s="481"/>
      <c r="BT2" s="617"/>
      <c r="BU2" s="17"/>
      <c r="BV2" s="94"/>
      <c r="BW2" s="94"/>
      <c r="BX2" s="94"/>
      <c r="BY2" s="94"/>
      <c r="BZ2" s="17"/>
      <c r="CA2" s="17"/>
      <c r="CB2" s="17"/>
      <c r="CC2" s="17"/>
      <c r="CD2" s="17"/>
      <c r="CE2" s="17"/>
      <c r="CF2" s="617"/>
      <c r="CG2" s="617"/>
      <c r="CH2" s="617"/>
      <c r="CI2" s="617"/>
      <c r="CJ2" s="617"/>
      <c r="CK2" s="617"/>
      <c r="CL2" s="640"/>
      <c r="CM2" s="617"/>
      <c r="CN2" s="225"/>
      <c r="CO2" s="225"/>
      <c r="CP2" s="225"/>
      <c r="CQ2" s="225"/>
      <c r="CR2" s="225"/>
      <c r="CS2" s="225"/>
      <c r="CT2" s="225"/>
      <c r="CU2" s="225"/>
      <c r="CV2" s="225"/>
      <c r="CW2" s="225"/>
      <c r="CX2" s="225"/>
      <c r="CY2" s="225"/>
      <c r="CZ2" s="618"/>
      <c r="DA2" s="94"/>
      <c r="DB2" s="94"/>
      <c r="DC2" s="94"/>
      <c r="DD2" s="94"/>
      <c r="DE2" s="618"/>
      <c r="DF2" s="94"/>
      <c r="DG2" s="94"/>
      <c r="DH2" s="94"/>
      <c r="DI2" s="94"/>
      <c r="DJ2" s="646"/>
      <c r="DK2" s="94"/>
      <c r="DL2" s="94"/>
      <c r="DM2" s="94"/>
      <c r="DN2" s="94"/>
      <c r="DO2" s="618"/>
      <c r="DP2" s="93"/>
      <c r="DQ2" s="93"/>
      <c r="DR2" s="94"/>
      <c r="DS2" s="94"/>
      <c r="DT2" s="94"/>
      <c r="DU2" s="94"/>
      <c r="DV2" s="94"/>
      <c r="DW2" s="94"/>
      <c r="DX2" s="94"/>
      <c r="DY2" s="94"/>
      <c r="DZ2" s="94"/>
      <c r="EA2" s="94"/>
      <c r="EB2" s="94"/>
      <c r="EC2" s="94"/>
      <c r="ED2" s="94"/>
      <c r="EE2" s="94"/>
      <c r="EF2" s="94"/>
      <c r="EG2" s="94"/>
      <c r="EH2" s="94"/>
      <c r="EI2" s="94"/>
      <c r="EJ2" s="94"/>
      <c r="EK2" s="94"/>
      <c r="EL2" s="94"/>
      <c r="EM2" s="94"/>
      <c r="EN2" s="94"/>
      <c r="EO2" s="94"/>
      <c r="EP2" s="94"/>
      <c r="EQ2" s="94"/>
      <c r="ER2" s="94"/>
      <c r="ES2" s="94"/>
    </row>
    <row r="3" spans="1:149">
      <c r="A3" s="929"/>
      <c r="B3" s="94"/>
      <c r="C3" s="898" t="s">
        <v>569</v>
      </c>
      <c r="ES3" s="94"/>
    </row>
    <row r="4" spans="1:149">
      <c r="A4" s="930"/>
      <c r="B4" s="482"/>
      <c r="C4" s="1623"/>
      <c r="D4" s="1630" t="str">
        <f>Income!D4</f>
        <v>1998A</v>
      </c>
      <c r="E4" s="1630" t="str">
        <f>Income!E4</f>
        <v>1999A</v>
      </c>
      <c r="F4" s="1630" t="str">
        <f>Income!F4</f>
        <v>2000A</v>
      </c>
      <c r="G4" s="1630" t="str">
        <f>Income!G4</f>
        <v>2001A</v>
      </c>
      <c r="H4" s="1630" t="str">
        <f>Income!H4</f>
        <v>2002A</v>
      </c>
      <c r="I4" s="1609" t="str">
        <f>Income!I4</f>
        <v>1Q03A</v>
      </c>
      <c r="J4" s="1609" t="str">
        <f>Income!J4</f>
        <v>2Q03A</v>
      </c>
      <c r="K4" s="1609" t="str">
        <f>Income!K4</f>
        <v>3Q03A</v>
      </c>
      <c r="L4" s="1609" t="str">
        <f>Income!L4</f>
        <v>4Q03A</v>
      </c>
      <c r="M4" s="1630" t="str">
        <f>Income!M4</f>
        <v>2003A</v>
      </c>
      <c r="N4" s="1609" t="str">
        <f>Income!N4</f>
        <v>1Q04A</v>
      </c>
      <c r="O4" s="1609" t="str">
        <f>Income!O4</f>
        <v>2Q04A</v>
      </c>
      <c r="P4" s="1609" t="str">
        <f>Income!P4</f>
        <v>3Q04A</v>
      </c>
      <c r="Q4" s="1609" t="str">
        <f>Income!Q4</f>
        <v>4Q04A</v>
      </c>
      <c r="R4" s="1630" t="str">
        <f>Income!R4</f>
        <v>2004A</v>
      </c>
      <c r="S4" s="1609" t="str">
        <f>Income!S4</f>
        <v>1Q05A</v>
      </c>
      <c r="T4" s="1609" t="str">
        <f>Income!T4</f>
        <v>2Q05A</v>
      </c>
      <c r="U4" s="1609" t="str">
        <f>Income!U4</f>
        <v>3Q05A</v>
      </c>
      <c r="V4" s="1609" t="str">
        <f>Income!V4</f>
        <v>4Q05A</v>
      </c>
      <c r="W4" s="1630" t="str">
        <f>Income!W4</f>
        <v>2005A</v>
      </c>
      <c r="X4" s="1609" t="str">
        <f>Income!X4</f>
        <v>1Q06A</v>
      </c>
      <c r="Y4" s="1609" t="str">
        <f>Income!Y4</f>
        <v>2Q06A</v>
      </c>
      <c r="Z4" s="1609" t="str">
        <f>Income!Z4</f>
        <v>3Q06A</v>
      </c>
      <c r="AA4" s="1609" t="str">
        <f>Income!AA4</f>
        <v>4Q06A</v>
      </c>
      <c r="AB4" s="1630" t="str">
        <f>Income!AB4</f>
        <v>2006A</v>
      </c>
      <c r="AC4" s="1609" t="str">
        <f>Income!AC4</f>
        <v>1Q07A</v>
      </c>
      <c r="AD4" s="1609" t="str">
        <f>Income!AD4</f>
        <v>2Q07A</v>
      </c>
      <c r="AE4" s="1609" t="str">
        <f>Income!AE4</f>
        <v>3Q07A</v>
      </c>
      <c r="AF4" s="1609" t="str">
        <f>Income!AF4</f>
        <v>4Q07A</v>
      </c>
      <c r="AG4" s="1630" t="str">
        <f>Income!AG4</f>
        <v>2007A</v>
      </c>
      <c r="AH4" s="1609" t="str">
        <f>Income!AH4</f>
        <v>1Q08A</v>
      </c>
      <c r="AI4" s="1609" t="str">
        <f>Income!AI4</f>
        <v>2Q08A</v>
      </c>
      <c r="AJ4" s="1609" t="str">
        <f>Income!AJ4</f>
        <v>3Q08A</v>
      </c>
      <c r="AK4" s="1609" t="str">
        <f>Income!AK4</f>
        <v>4Q08A</v>
      </c>
      <c r="AL4" s="1630" t="str">
        <f>Income!AL4</f>
        <v>2008A</v>
      </c>
      <c r="AM4" s="1609" t="str">
        <f>Income!AM4</f>
        <v>1Q09A</v>
      </c>
      <c r="AN4" s="1609" t="str">
        <f>Income!AN4</f>
        <v>2Q09A</v>
      </c>
      <c r="AO4" s="1609" t="str">
        <f>Income!AO4</f>
        <v>3Q09A</v>
      </c>
      <c r="AP4" s="1609" t="str">
        <f>Income!AP4</f>
        <v>4Q09A</v>
      </c>
      <c r="AQ4" s="1630" t="str">
        <f>Income!AQ4</f>
        <v>2009A</v>
      </c>
      <c r="AR4" s="1609" t="str">
        <f>Income!AR4</f>
        <v>1Q10A</v>
      </c>
      <c r="AS4" s="1609" t="str">
        <f>Income!AS4</f>
        <v>2Q10A</v>
      </c>
      <c r="AT4" s="1609" t="str">
        <f>Income!AT4</f>
        <v>3Q10A</v>
      </c>
      <c r="AU4" s="1609" t="str">
        <f>Income!AU4</f>
        <v>4Q10A</v>
      </c>
      <c r="AV4" s="1630" t="str">
        <f>Income!AV4</f>
        <v>2010A</v>
      </c>
      <c r="AW4" s="1609" t="str">
        <f>Income!AW4</f>
        <v>1Q11A</v>
      </c>
      <c r="AX4" s="1609" t="str">
        <f>Income!AX4</f>
        <v>2Q11A</v>
      </c>
      <c r="AY4" s="1609" t="str">
        <f>Income!AY4</f>
        <v>3Q11A</v>
      </c>
      <c r="AZ4" s="1609" t="str">
        <f>Income!AZ4</f>
        <v>4Q11A</v>
      </c>
      <c r="BA4" s="1630" t="str">
        <f>Income!BA4</f>
        <v>2011A</v>
      </c>
      <c r="BB4" s="1609" t="str">
        <f>Income!BB4</f>
        <v>1Q12A</v>
      </c>
      <c r="BC4" s="1609" t="str">
        <f>Income!BC4</f>
        <v>2Q12A</v>
      </c>
      <c r="BD4" s="1609" t="str">
        <f>Income!BD4</f>
        <v>3Q12A</v>
      </c>
      <c r="BE4" s="1609" t="str">
        <f>Income!BE4</f>
        <v>4Q12A</v>
      </c>
      <c r="BF4" s="1630" t="str">
        <f>Income!BF4</f>
        <v>2012A</v>
      </c>
      <c r="BG4" s="1609" t="str">
        <f>Income!BG4</f>
        <v>1Q13A</v>
      </c>
      <c r="BH4" s="1609" t="str">
        <f>Income!BH4</f>
        <v>2Q13A</v>
      </c>
      <c r="BI4" s="1609" t="str">
        <f>Income!BI4</f>
        <v>3Q13A</v>
      </c>
      <c r="BJ4" s="1609" t="str">
        <f>Income!BJ4</f>
        <v>4Q13A</v>
      </c>
      <c r="BK4" s="1630" t="str">
        <f>Income!BK4</f>
        <v>2013A</v>
      </c>
      <c r="BL4" s="1609" t="str">
        <f>Income!BL4</f>
        <v>1Q14A</v>
      </c>
      <c r="BM4" s="1609" t="str">
        <f>Income!BM4</f>
        <v>2Q14A</v>
      </c>
      <c r="BN4" s="1609" t="str">
        <f>Income!BN4</f>
        <v>3Q14A</v>
      </c>
      <c r="BO4" s="1609" t="str">
        <f>Income!BO4</f>
        <v>4Q14A</v>
      </c>
      <c r="BP4" s="1630" t="str">
        <f>Income!BP4</f>
        <v>2014A</v>
      </c>
      <c r="BQ4" s="1609" t="str">
        <f>Income!BQ4</f>
        <v>1Q15A</v>
      </c>
      <c r="BR4" s="1609" t="str">
        <f>Income!BR4</f>
        <v>2Q15A</v>
      </c>
      <c r="BS4" s="1609" t="str">
        <f>Income!BS4</f>
        <v>3Q15A</v>
      </c>
      <c r="BT4" s="1609" t="str">
        <f>Income!BT4</f>
        <v>4Q15A</v>
      </c>
      <c r="BU4" s="1624" t="str">
        <f>Income!BU4</f>
        <v>2015A</v>
      </c>
      <c r="BV4" s="1609" t="str">
        <f>Income!BV4</f>
        <v>1Q16A</v>
      </c>
      <c r="BW4" s="1609" t="str">
        <f>Income!BW4</f>
        <v>2Q16A</v>
      </c>
      <c r="BX4" s="1609" t="str">
        <f>Income!BX4</f>
        <v>3Q16A</v>
      </c>
      <c r="BY4" s="1609" t="str">
        <f>Income!BY4</f>
        <v>4Q16A</v>
      </c>
      <c r="BZ4" s="1624" t="str">
        <f>Income!BZ4</f>
        <v>2016A</v>
      </c>
      <c r="CA4" s="1609" t="str">
        <f>Income!CA4</f>
        <v>1Q17A</v>
      </c>
      <c r="CB4" s="1609" t="str">
        <f>Income!CB4</f>
        <v>2Q17A</v>
      </c>
      <c r="CC4" s="1609" t="str">
        <f>Income!CC4</f>
        <v>3Q17A</v>
      </c>
      <c r="CD4" s="1609" t="str">
        <f>Income!CD4</f>
        <v>4Q17A</v>
      </c>
      <c r="CE4" s="1624" t="str">
        <f>Income!CE4</f>
        <v>2017A</v>
      </c>
      <c r="CF4" s="1609" t="str">
        <f>Income!CF4</f>
        <v>1Q18A</v>
      </c>
      <c r="CG4" s="1609" t="str">
        <f>Income!CG4</f>
        <v>2Q18A</v>
      </c>
      <c r="CH4" s="1609" t="str">
        <f>Income!CH4</f>
        <v>3Q18A</v>
      </c>
      <c r="CI4" s="1609" t="str">
        <f>Income!CI4</f>
        <v>4Q18A</v>
      </c>
      <c r="CJ4" s="1624" t="str">
        <f>Income!CJ4</f>
        <v>2018A</v>
      </c>
      <c r="CK4" s="1609" t="str">
        <f>Income!CK4</f>
        <v>1Q19A</v>
      </c>
      <c r="CL4" s="1609" t="str">
        <f>Income!CL4</f>
        <v>2Q19A</v>
      </c>
      <c r="CM4" s="1609" t="str">
        <f>Income!CM4</f>
        <v>3Q19A</v>
      </c>
      <c r="CN4" s="1609" t="str">
        <f>Income!CN4</f>
        <v>4Q19A</v>
      </c>
      <c r="CO4" s="1624" t="str">
        <f>Income!CO4</f>
        <v>2019A</v>
      </c>
      <c r="CP4" s="1609" t="str">
        <f>Income!CP4</f>
        <v>1Q20A</v>
      </c>
      <c r="CQ4" s="1609" t="str">
        <f>Income!CQ4</f>
        <v>2Q20A</v>
      </c>
      <c r="CR4" s="1609" t="str">
        <f>Income!CR4</f>
        <v>3Q20A</v>
      </c>
      <c r="CS4" s="1609" t="str">
        <f>Income!CS4</f>
        <v>4Q20A</v>
      </c>
      <c r="CT4" s="1624" t="str">
        <f>Income!CT4</f>
        <v>2020A</v>
      </c>
      <c r="CU4" s="1609" t="str">
        <f>Income!CU4</f>
        <v>1Q21A</v>
      </c>
      <c r="CV4" s="1609" t="str">
        <f>Income!CV4</f>
        <v>2Q21A</v>
      </c>
      <c r="CW4" s="1609" t="str">
        <f>Income!CW4</f>
        <v>3Q21A</v>
      </c>
      <c r="CX4" s="1609" t="str">
        <f>Income!CX4</f>
        <v>4Q21A</v>
      </c>
      <c r="CY4" s="1624" t="str">
        <f>Income!CY4</f>
        <v>2021A</v>
      </c>
      <c r="CZ4" s="1609" t="str">
        <f>Income!CZ4</f>
        <v>1Q22A</v>
      </c>
      <c r="DA4" s="1609" t="str">
        <f>Income!DA4</f>
        <v>2Q22A</v>
      </c>
      <c r="DB4" s="1609" t="str">
        <f>Income!DB4</f>
        <v>3Q22A</v>
      </c>
      <c r="DC4" s="1609" t="str">
        <f>Income!DC4</f>
        <v>4Q22A</v>
      </c>
      <c r="DD4" s="1624" t="str">
        <f>Income!DD4</f>
        <v>2022A</v>
      </c>
      <c r="DE4" s="1609" t="str">
        <f>Income!DE4</f>
        <v>1Q23A</v>
      </c>
      <c r="DF4" s="1609" t="str">
        <f>Income!DF4</f>
        <v>2Q23A</v>
      </c>
      <c r="DG4" s="1609" t="str">
        <f>Income!DG4</f>
        <v>3Q23A</v>
      </c>
      <c r="DH4" s="1609" t="str">
        <f>Income!DH4</f>
        <v>4Q23A</v>
      </c>
      <c r="DI4" s="1624" t="str">
        <f>Income!DI4</f>
        <v>2023A</v>
      </c>
      <c r="DJ4" s="1609" t="str">
        <f>Income!DJ4</f>
        <v>1Q24A</v>
      </c>
      <c r="DK4" s="1609" t="str">
        <f>Income!DK4</f>
        <v>2Q24A</v>
      </c>
      <c r="DL4" s="1609" t="str">
        <f>Income!DL4</f>
        <v>3Q24A</v>
      </c>
      <c r="DM4" s="1609" t="str">
        <f>Income!DM4</f>
        <v>4Q24A</v>
      </c>
      <c r="DN4" s="1624" t="str">
        <f>Income!DN4</f>
        <v>2024A</v>
      </c>
      <c r="DO4" s="1609" t="str">
        <f>Income!DO4</f>
        <v>1Q25A</v>
      </c>
      <c r="DP4" s="1609" t="str">
        <f>Income!DP4</f>
        <v>2Q25A</v>
      </c>
      <c r="DQ4" s="1609" t="str">
        <f>Income!DQ4</f>
        <v>3Q25A</v>
      </c>
      <c r="DR4" s="1609" t="str">
        <f>Income!DR4</f>
        <v>4Q25A</v>
      </c>
      <c r="DS4" s="1624" t="str">
        <f>Income!DS4</f>
        <v>2025A</v>
      </c>
      <c r="DT4" s="1609" t="str">
        <f>Income!DT4</f>
        <v>1Q26A</v>
      </c>
      <c r="DU4" s="1609" t="str">
        <f>Income!DU4</f>
        <v>2Q26A</v>
      </c>
      <c r="DV4" s="1609" t="str">
        <f>Income!DV4</f>
        <v>3Q26E</v>
      </c>
      <c r="DW4" s="1609" t="str">
        <f>Income!DW4</f>
        <v>4Q26E</v>
      </c>
      <c r="DX4" s="1624" t="str">
        <f>Income!DX4</f>
        <v>2026E</v>
      </c>
      <c r="DY4" s="1609" t="str">
        <f>Income!DY4</f>
        <v>1Q27E</v>
      </c>
      <c r="DZ4" s="1609" t="str">
        <f>Income!DZ4</f>
        <v>2Q27E</v>
      </c>
      <c r="EA4" s="1609" t="str">
        <f>Income!EA4</f>
        <v>3Q27E</v>
      </c>
      <c r="EB4" s="1609" t="str">
        <f>Income!EB4</f>
        <v>4Q27E</v>
      </c>
      <c r="EC4" s="1624" t="str">
        <f>Income!EC4</f>
        <v>2027E</v>
      </c>
      <c r="ED4" s="1609" t="str">
        <f>Income!ED4</f>
        <v>1Q28E</v>
      </c>
      <c r="EE4" s="1609" t="str">
        <f>Income!EE4</f>
        <v>2Q28E</v>
      </c>
      <c r="EF4" s="1609" t="str">
        <f>Income!EF4</f>
        <v>3Q28E</v>
      </c>
      <c r="EG4" s="1609" t="str">
        <f>Income!EG4</f>
        <v>4Q28E</v>
      </c>
      <c r="EH4" s="1624" t="str">
        <f>Income!EH4</f>
        <v>2028E</v>
      </c>
      <c r="EI4" s="1609" t="str">
        <f>Income!EI4</f>
        <v>1Q29E</v>
      </c>
      <c r="EJ4" s="1609" t="str">
        <f>Income!EJ4</f>
        <v>2Q29E</v>
      </c>
      <c r="EK4" s="1609" t="str">
        <f>Income!EK4</f>
        <v>3Q29E</v>
      </c>
      <c r="EL4" s="1609" t="str">
        <f>Income!EL4</f>
        <v>4Q29E</v>
      </c>
      <c r="EM4" s="1624" t="str">
        <f>Income!EM4</f>
        <v>2029E</v>
      </c>
      <c r="EN4" s="1609" t="str">
        <f>Income!EN4</f>
        <v>1Q30E</v>
      </c>
      <c r="EO4" s="1609" t="str">
        <f>Income!EO4</f>
        <v>2Q30E</v>
      </c>
      <c r="EP4" s="1609" t="str">
        <f>Income!EP4</f>
        <v>3Q30E</v>
      </c>
      <c r="EQ4" s="1609" t="str">
        <f>Income!EQ4</f>
        <v>4Q30E</v>
      </c>
      <c r="ER4" s="1624" t="str">
        <f>Income!ER4</f>
        <v>2030E</v>
      </c>
      <c r="ES4" s="94"/>
    </row>
    <row r="5" spans="1:149">
      <c r="A5" s="930"/>
      <c r="B5" s="482"/>
      <c r="C5" s="228" t="s">
        <v>176</v>
      </c>
      <c r="D5" s="682">
        <v>1998</v>
      </c>
      <c r="E5" s="682">
        <f>+D5+1</f>
        <v>1999</v>
      </c>
      <c r="F5" s="682">
        <f>+E5+1</f>
        <v>2000</v>
      </c>
      <c r="G5" s="682">
        <f>+F5+1</f>
        <v>2001</v>
      </c>
      <c r="H5" s="682">
        <f>+G5+1</f>
        <v>2002</v>
      </c>
      <c r="I5" s="683">
        <v>37711</v>
      </c>
      <c r="J5" s="684">
        <f>EOMONTH(I5,3)</f>
        <v>37802</v>
      </c>
      <c r="K5" s="684">
        <f>EOMONTH(J5,3)</f>
        <v>37894</v>
      </c>
      <c r="L5" s="684">
        <f>EOMONTH(K5,3)</f>
        <v>37986</v>
      </c>
      <c r="M5" s="682">
        <f>+H5+1</f>
        <v>2003</v>
      </c>
      <c r="N5" s="684">
        <f>EOMONTH(I5,12)</f>
        <v>38077</v>
      </c>
      <c r="O5" s="684">
        <f>EOMONTH(N5,3)</f>
        <v>38168</v>
      </c>
      <c r="P5" s="684">
        <f>EOMONTH(O5,3)</f>
        <v>38260</v>
      </c>
      <c r="Q5" s="684">
        <f>EOMONTH(P5,3)</f>
        <v>38352</v>
      </c>
      <c r="R5" s="682">
        <f>+M5+1</f>
        <v>2004</v>
      </c>
      <c r="S5" s="684">
        <f>EOMONTH(N5,12)</f>
        <v>38442</v>
      </c>
      <c r="T5" s="684">
        <f>EOMONTH(S5,3)</f>
        <v>38533</v>
      </c>
      <c r="U5" s="684">
        <f>EOMONTH(T5,3)</f>
        <v>38625</v>
      </c>
      <c r="V5" s="684">
        <f>EOMONTH(U5,3)</f>
        <v>38717</v>
      </c>
      <c r="W5" s="682">
        <f>+R5+1</f>
        <v>2005</v>
      </c>
      <c r="X5" s="684">
        <f>EOMONTH(S5,12)</f>
        <v>38807</v>
      </c>
      <c r="Y5" s="684">
        <f>EOMONTH(X5,3)</f>
        <v>38898</v>
      </c>
      <c r="Z5" s="684">
        <f>EOMONTH(Y5,3)</f>
        <v>38990</v>
      </c>
      <c r="AA5" s="684">
        <f>EOMONTH(Z5,3)</f>
        <v>39082</v>
      </c>
      <c r="AB5" s="682">
        <f>+W5+1</f>
        <v>2006</v>
      </c>
      <c r="AC5" s="684">
        <f>EOMONTH(X5,12)</f>
        <v>39172</v>
      </c>
      <c r="AD5" s="684">
        <f>EOMONTH(AC5,3)</f>
        <v>39263</v>
      </c>
      <c r="AE5" s="684">
        <f>EOMONTH(AD5,3)</f>
        <v>39355</v>
      </c>
      <c r="AF5" s="684">
        <f>EOMONTH(AE5,3)</f>
        <v>39447</v>
      </c>
      <c r="AG5" s="682">
        <f>+AB5+1</f>
        <v>2007</v>
      </c>
      <c r="AH5" s="684">
        <f>EOMONTH(AC5,12)</f>
        <v>39538</v>
      </c>
      <c r="AI5" s="684">
        <f>EOMONTH(AH5,3)</f>
        <v>39629</v>
      </c>
      <c r="AJ5" s="684">
        <f>EOMONTH(AI5,3)</f>
        <v>39721</v>
      </c>
      <c r="AK5" s="684">
        <f>EOMONTH(AJ5,3)</f>
        <v>39813</v>
      </c>
      <c r="AL5" s="682">
        <f>+AG5+1</f>
        <v>2008</v>
      </c>
      <c r="AM5" s="684">
        <f>EOMONTH(AH5,12)</f>
        <v>39903</v>
      </c>
      <c r="AN5" s="684">
        <f>EOMONTH(AM5,3)</f>
        <v>39994</v>
      </c>
      <c r="AO5" s="684">
        <f>EOMONTH(AN5,3)</f>
        <v>40086</v>
      </c>
      <c r="AP5" s="684">
        <f>EOMONTH(AO5,3)</f>
        <v>40178</v>
      </c>
      <c r="AQ5" s="682">
        <f>+AL5+1</f>
        <v>2009</v>
      </c>
      <c r="AR5" s="684">
        <f>EOMONTH(AM5,12)</f>
        <v>40268</v>
      </c>
      <c r="AS5" s="684">
        <f>EOMONTH(AR5,3)</f>
        <v>40359</v>
      </c>
      <c r="AT5" s="684">
        <f>EOMONTH(AS5,3)</f>
        <v>40451</v>
      </c>
      <c r="AU5" s="684">
        <f>EOMONTH(AT5,3)</f>
        <v>40543</v>
      </c>
      <c r="AV5" s="682">
        <f>+AQ5+1</f>
        <v>2010</v>
      </c>
      <c r="AW5" s="684">
        <f>EOMONTH(AR5,12)</f>
        <v>40633</v>
      </c>
      <c r="AX5" s="684">
        <f>EOMONTH(AW5,3)</f>
        <v>40724</v>
      </c>
      <c r="AY5" s="684">
        <f>EOMONTH(AX5,3)</f>
        <v>40816</v>
      </c>
      <c r="AZ5" s="684">
        <f>EOMONTH(AY5,3)</f>
        <v>40908</v>
      </c>
      <c r="BA5" s="682">
        <f>+AV5+1</f>
        <v>2011</v>
      </c>
      <c r="BB5" s="684">
        <f>EOMONTH(AW5,12)</f>
        <v>40999</v>
      </c>
      <c r="BC5" s="684">
        <f>EOMONTH(BB5,3)</f>
        <v>41090</v>
      </c>
      <c r="BD5" s="684">
        <f>EOMONTH(BC5,3)</f>
        <v>41182</v>
      </c>
      <c r="BE5" s="684">
        <f>EOMONTH(BD5,3)</f>
        <v>41274</v>
      </c>
      <c r="BF5" s="682">
        <f>+BA5+1</f>
        <v>2012</v>
      </c>
      <c r="BG5" s="684">
        <f>EOMONTH(BB5,12)</f>
        <v>41364</v>
      </c>
      <c r="BH5" s="684">
        <f>EOMONTH(BG5,3)</f>
        <v>41455</v>
      </c>
      <c r="BI5" s="684">
        <f>EOMONTH(BH5,3)</f>
        <v>41547</v>
      </c>
      <c r="BJ5" s="684">
        <f>EOMONTH(BI5,3)</f>
        <v>41639</v>
      </c>
      <c r="BK5" s="682">
        <f>+BF5+1</f>
        <v>2013</v>
      </c>
      <c r="BL5" s="684">
        <f>EOMONTH(BG5,12)</f>
        <v>41729</v>
      </c>
      <c r="BM5" s="684">
        <f>EOMONTH(BL5,3)</f>
        <v>41820</v>
      </c>
      <c r="BN5" s="684">
        <f>EOMONTH(BM5,3)</f>
        <v>41912</v>
      </c>
      <c r="BO5" s="684">
        <f>EOMONTH(BN5,3)</f>
        <v>42004</v>
      </c>
      <c r="BP5" s="682">
        <f>+BK5+1</f>
        <v>2014</v>
      </c>
      <c r="BQ5" s="684">
        <f>EOMONTH(BL5,12)</f>
        <v>42094</v>
      </c>
      <c r="BR5" s="684">
        <f>EOMONTH(BQ5,3)</f>
        <v>42185</v>
      </c>
      <c r="BS5" s="684">
        <f>EOMONTH(BR5,3)</f>
        <v>42277</v>
      </c>
      <c r="BT5" s="684">
        <f>EOMONTH(BS5,3)</f>
        <v>42369</v>
      </c>
      <c r="BU5" s="682">
        <f>+BP5+1</f>
        <v>2015</v>
      </c>
      <c r="BV5" s="684">
        <f>EOMONTH(BQ5,12)</f>
        <v>42460</v>
      </c>
      <c r="BW5" s="684">
        <f>EOMONTH(BV5,3)</f>
        <v>42551</v>
      </c>
      <c r="BX5" s="684">
        <f>EOMONTH(BW5,3)</f>
        <v>42643</v>
      </c>
      <c r="BY5" s="684">
        <f>EOMONTH(BX5,3)</f>
        <v>42735</v>
      </c>
      <c r="BZ5" s="682">
        <f>+BU5+1</f>
        <v>2016</v>
      </c>
      <c r="CA5" s="684">
        <f>EOMONTH(BV5,12)</f>
        <v>42825</v>
      </c>
      <c r="CB5" s="684">
        <f>EOMONTH(CA5,3)</f>
        <v>42916</v>
      </c>
      <c r="CC5" s="684">
        <f>EOMONTH(CB5,3)</f>
        <v>43008</v>
      </c>
      <c r="CD5" s="684">
        <f>EOMONTH(CC5,3)</f>
        <v>43100</v>
      </c>
      <c r="CE5" s="682">
        <f>+BZ5+1</f>
        <v>2017</v>
      </c>
      <c r="CF5" s="684">
        <f>EOMONTH(CA5,12)</f>
        <v>43190</v>
      </c>
      <c r="CG5" s="684">
        <f>EOMONTH(CF5,3)</f>
        <v>43281</v>
      </c>
      <c r="CH5" s="684">
        <f>EOMONTH(CG5,3)</f>
        <v>43373</v>
      </c>
      <c r="CI5" s="684">
        <f>EOMONTH(CH5,3)</f>
        <v>43465</v>
      </c>
      <c r="CJ5" s="682">
        <f>+CE5+1</f>
        <v>2018</v>
      </c>
      <c r="CK5" s="684">
        <f>EOMONTH(CF5,12)</f>
        <v>43555</v>
      </c>
      <c r="CL5" s="684">
        <f>EOMONTH(CK5,3)</f>
        <v>43646</v>
      </c>
      <c r="CM5" s="684">
        <f>EOMONTH(CL5,3)</f>
        <v>43738</v>
      </c>
      <c r="CN5" s="684">
        <f>EOMONTH(CM5,3)</f>
        <v>43830</v>
      </c>
      <c r="CO5" s="682">
        <f>+CJ5+1</f>
        <v>2019</v>
      </c>
      <c r="CP5" s="684">
        <f>EOMONTH(CK5,12)</f>
        <v>43921</v>
      </c>
      <c r="CQ5" s="684">
        <f>EOMONTH(CP5,3)</f>
        <v>44012</v>
      </c>
      <c r="CR5" s="684">
        <f>EOMONTH(CQ5,3)</f>
        <v>44104</v>
      </c>
      <c r="CS5" s="684">
        <f>EOMONTH(CR5,3)</f>
        <v>44196</v>
      </c>
      <c r="CT5" s="682">
        <f>+CO5+1</f>
        <v>2020</v>
      </c>
      <c r="CU5" s="684">
        <f>EOMONTH(CP5,12)</f>
        <v>44286</v>
      </c>
      <c r="CV5" s="684">
        <f>EOMONTH(CU5,3)</f>
        <v>44377</v>
      </c>
      <c r="CW5" s="684">
        <f>EOMONTH(CV5,3)</f>
        <v>44469</v>
      </c>
      <c r="CX5" s="684">
        <f>EOMONTH(CW5,3)</f>
        <v>44561</v>
      </c>
      <c r="CY5" s="682">
        <f>+CT5+1</f>
        <v>2021</v>
      </c>
      <c r="CZ5" s="684">
        <f>EOMONTH(CU5,12)</f>
        <v>44651</v>
      </c>
      <c r="DA5" s="684">
        <f>EOMONTH(CZ5,3)</f>
        <v>44742</v>
      </c>
      <c r="DB5" s="684">
        <f>EOMONTH(DA5,3)</f>
        <v>44834</v>
      </c>
      <c r="DC5" s="684">
        <f>EOMONTH(DB5,3)</f>
        <v>44926</v>
      </c>
      <c r="DD5" s="682">
        <f>+CY5+1</f>
        <v>2022</v>
      </c>
      <c r="DE5" s="684">
        <f>EOMONTH(CZ5,12)</f>
        <v>45016</v>
      </c>
      <c r="DF5" s="684">
        <f>EOMONTH(DE5,3)</f>
        <v>45107</v>
      </c>
      <c r="DG5" s="684">
        <f>EOMONTH(DF5,3)</f>
        <v>45199</v>
      </c>
      <c r="DH5" s="684">
        <f>EOMONTH(DG5,3)</f>
        <v>45291</v>
      </c>
      <c r="DI5" s="682">
        <f>+DD5+1</f>
        <v>2023</v>
      </c>
      <c r="DJ5" s="684">
        <f>EOMONTH(DE5,12)</f>
        <v>45382</v>
      </c>
      <c r="DK5" s="684">
        <f>EOMONTH(DJ5,3)</f>
        <v>45473</v>
      </c>
      <c r="DL5" s="684">
        <f>EOMONTH(DK5,3)</f>
        <v>45565</v>
      </c>
      <c r="DM5" s="684">
        <f>EOMONTH(DL5,3)</f>
        <v>45657</v>
      </c>
      <c r="DN5" s="682">
        <f>+DI5+1</f>
        <v>2024</v>
      </c>
      <c r="DO5" s="684">
        <f>EOMONTH(DJ5,12)</f>
        <v>45747</v>
      </c>
      <c r="DP5" s="684">
        <f>EOMONTH(DO5,3)</f>
        <v>45838</v>
      </c>
      <c r="DQ5" s="684">
        <f>EOMONTH(DP5,3)</f>
        <v>45930</v>
      </c>
      <c r="DR5" s="684">
        <f>EOMONTH(DQ5,3)</f>
        <v>46022</v>
      </c>
      <c r="DS5" s="682">
        <f>+DN5+1</f>
        <v>2025</v>
      </c>
      <c r="DT5" s="684">
        <f>EOMONTH(DO5,12)</f>
        <v>46112</v>
      </c>
      <c r="DU5" s="684">
        <f>EOMONTH(DT5,3)</f>
        <v>46203</v>
      </c>
      <c r="DV5" s="684">
        <f>EOMONTH(DU5,3)</f>
        <v>46295</v>
      </c>
      <c r="DW5" s="684">
        <f>EOMONTH(DV5,3)</f>
        <v>46387</v>
      </c>
      <c r="DX5" s="682">
        <f>+DS5+1</f>
        <v>2026</v>
      </c>
      <c r="DY5" s="684">
        <f>EOMONTH(DT5,12)</f>
        <v>46477</v>
      </c>
      <c r="DZ5" s="684">
        <f>EOMONTH(DY5,3)</f>
        <v>46568</v>
      </c>
      <c r="EA5" s="684">
        <f>EOMONTH(DZ5,3)</f>
        <v>46660</v>
      </c>
      <c r="EB5" s="684">
        <f>EOMONTH(EA5,3)</f>
        <v>46752</v>
      </c>
      <c r="EC5" s="682">
        <f>+DX5+1</f>
        <v>2027</v>
      </c>
      <c r="ED5" s="684">
        <f>EOMONTH(DY5,12)</f>
        <v>46843</v>
      </c>
      <c r="EE5" s="684">
        <f>EOMONTH(ED5,3)</f>
        <v>46934</v>
      </c>
      <c r="EF5" s="684">
        <f>EOMONTH(EE5,3)</f>
        <v>47026</v>
      </c>
      <c r="EG5" s="684">
        <f>EOMONTH(EF5,3)</f>
        <v>47118</v>
      </c>
      <c r="EH5" s="682">
        <f>+EC5+1</f>
        <v>2028</v>
      </c>
      <c r="EI5" s="684">
        <f>EOMONTH(ED5,12)</f>
        <v>47208</v>
      </c>
      <c r="EJ5" s="684">
        <f>EOMONTH(EI5,3)</f>
        <v>47299</v>
      </c>
      <c r="EK5" s="684">
        <f>EOMONTH(EJ5,3)</f>
        <v>47391</v>
      </c>
      <c r="EL5" s="684">
        <f>EOMONTH(EK5,3)</f>
        <v>47483</v>
      </c>
      <c r="EM5" s="682">
        <f>+EH5+1</f>
        <v>2029</v>
      </c>
      <c r="EN5" s="684">
        <f>EOMONTH(EI5,12)</f>
        <v>47573</v>
      </c>
      <c r="EO5" s="684">
        <f>EOMONTH(EN5,3)</f>
        <v>47664</v>
      </c>
      <c r="EP5" s="684">
        <f>EOMONTH(EO5,3)</f>
        <v>47756</v>
      </c>
      <c r="EQ5" s="684">
        <f>EOMONTH(EP5,3)</f>
        <v>47848</v>
      </c>
      <c r="ER5" s="682">
        <f>+EM5+1</f>
        <v>2030</v>
      </c>
      <c r="ES5" s="682" t="s">
        <v>820</v>
      </c>
    </row>
    <row r="6" spans="1:149" ht="12" customHeight="1">
      <c r="A6" s="931"/>
      <c r="B6" s="484"/>
      <c r="C6" s="647" t="s">
        <v>178</v>
      </c>
      <c r="D6" s="509"/>
      <c r="E6" s="509"/>
      <c r="F6" s="509"/>
      <c r="G6" s="509"/>
      <c r="H6" s="509"/>
      <c r="I6" s="510"/>
      <c r="J6" s="510"/>
      <c r="K6" s="510"/>
      <c r="L6" s="510"/>
      <c r="M6" s="511"/>
      <c r="N6" s="510"/>
      <c r="O6" s="510"/>
      <c r="P6" s="510"/>
      <c r="Q6" s="510"/>
      <c r="R6" s="511"/>
      <c r="S6" s="510"/>
      <c r="T6" s="510"/>
      <c r="U6" s="510"/>
      <c r="V6" s="510"/>
      <c r="W6" s="511"/>
      <c r="X6" s="512"/>
      <c r="Y6" s="512"/>
      <c r="Z6" s="512"/>
      <c r="AA6" s="512"/>
      <c r="AB6" s="511"/>
      <c r="AC6" s="512"/>
      <c r="AD6" s="512"/>
      <c r="AE6" s="512"/>
      <c r="AF6" s="512"/>
      <c r="AG6" s="511"/>
      <c r="AH6" s="510"/>
      <c r="AI6" s="510"/>
      <c r="AJ6" s="510"/>
      <c r="AK6" s="510"/>
      <c r="AL6" s="511"/>
      <c r="AM6" s="510"/>
      <c r="AN6" s="510"/>
      <c r="AO6" s="510"/>
      <c r="AP6" s="510"/>
      <c r="AQ6" s="511"/>
      <c r="AR6" s="510"/>
      <c r="AS6" s="510"/>
      <c r="AT6" s="510"/>
      <c r="AU6" s="513"/>
      <c r="AV6" s="511"/>
      <c r="AW6" s="510"/>
      <c r="AX6" s="510"/>
      <c r="AY6" s="510"/>
      <c r="AZ6" s="513"/>
      <c r="BA6" s="511"/>
      <c r="BB6" s="513"/>
      <c r="BC6" s="513"/>
      <c r="BD6" s="513"/>
      <c r="BE6" s="513"/>
      <c r="BF6" s="514"/>
      <c r="BG6" s="515"/>
      <c r="BH6" s="515"/>
      <c r="BI6" s="515"/>
      <c r="BJ6" s="515"/>
      <c r="BK6" s="514"/>
      <c r="BL6" s="515"/>
      <c r="BM6" s="515"/>
      <c r="BN6" s="515"/>
      <c r="BO6" s="515"/>
      <c r="BP6" s="514"/>
      <c r="BQ6" s="515">
        <f>BQ39+BQ73</f>
        <v>37.347999999999999</v>
      </c>
      <c r="BR6" s="515">
        <f>BR39+BR73</f>
        <v>44.926000000000002</v>
      </c>
      <c r="BS6" s="515">
        <f>BS39+BS73</f>
        <v>52.786000000000001</v>
      </c>
      <c r="BT6" s="515">
        <f>BT39+BT73</f>
        <v>70.173000000000002</v>
      </c>
      <c r="BU6" s="514">
        <f>+SUM(BQ6:BT6)</f>
        <v>205.233</v>
      </c>
      <c r="BV6" s="515">
        <f>BV39+BV73</f>
        <v>72.722000000000008</v>
      </c>
      <c r="BW6" s="515">
        <f>BW39+BW73</f>
        <v>86.646999999999991</v>
      </c>
      <c r="BX6" s="515">
        <f>BX39+BX73</f>
        <v>99.578000000000003</v>
      </c>
      <c r="BY6" s="515">
        <f>BY39+BY73</f>
        <v>130.38299999999998</v>
      </c>
      <c r="BZ6" s="1436">
        <f>+SUM(BV6:BY6)</f>
        <v>389.33</v>
      </c>
      <c r="CA6" s="515">
        <f>CA39+CA73</f>
        <v>127.379</v>
      </c>
      <c r="CB6" s="515">
        <f>CB39+CB73</f>
        <v>151.655</v>
      </c>
      <c r="CC6" s="515">
        <f>CC39+CC73</f>
        <v>171.45600000000002</v>
      </c>
      <c r="CD6" s="515">
        <f>CD39+CD73</f>
        <v>222.81399999999999</v>
      </c>
      <c r="CE6" s="514">
        <f>+SUM(CA6:CD6)</f>
        <v>673.30399999999997</v>
      </c>
      <c r="CF6" s="515">
        <f>CF39+CF73</f>
        <v>214.33999999999997</v>
      </c>
      <c r="CG6" s="515">
        <f>CG39+CG73</f>
        <v>244.96299999999999</v>
      </c>
      <c r="CH6" s="515">
        <f>CH39+CH73</f>
        <v>270.06399999999996</v>
      </c>
      <c r="CI6" s="515">
        <f>CI39+CI73</f>
        <v>343.86199999999997</v>
      </c>
      <c r="CJ6" s="1436">
        <f>+SUM(CF6:CI6)</f>
        <v>1073.2289999999998</v>
      </c>
      <c r="CK6" s="515">
        <f>CK39+CK73</f>
        <v>320.48199999999997</v>
      </c>
      <c r="CL6" s="515">
        <f>CL39+CL73</f>
        <v>361.97899999999998</v>
      </c>
      <c r="CM6" s="515">
        <f>CM39+CM73</f>
        <v>390.55200000000002</v>
      </c>
      <c r="CN6" s="515">
        <f>CN39+CN73</f>
        <v>505.16</v>
      </c>
      <c r="CO6" s="1436">
        <f>+SUM(CK6:CN6)</f>
        <v>1578.173</v>
      </c>
      <c r="CP6" s="515">
        <f>CP39+CP73</f>
        <v>470.00099999999998</v>
      </c>
      <c r="CQ6" s="515">
        <f>CQ39+CQ73</f>
        <v>714.34100000000001</v>
      </c>
      <c r="CR6" s="515">
        <f>CR39+CR73</f>
        <v>767.40499999999997</v>
      </c>
      <c r="CS6" s="515">
        <f>CS39+CS73</f>
        <v>977.74399999999991</v>
      </c>
      <c r="CT6" s="1436">
        <f>+SUM(CP6:CS6)</f>
        <v>2929.491</v>
      </c>
      <c r="CU6" s="515">
        <f>CU39+CU73</f>
        <v>988.64699999999993</v>
      </c>
      <c r="CV6" s="515">
        <f>CV39+CV73</f>
        <v>1119.4449999999999</v>
      </c>
      <c r="CW6" s="515">
        <f>CW39+CW73</f>
        <v>1123.74</v>
      </c>
      <c r="CX6" s="515">
        <f>CX39+CX73</f>
        <v>1380.0240000000001</v>
      </c>
      <c r="CY6" s="1436">
        <f>+SUM(CU6:CX6)</f>
        <v>4611.8559999999998</v>
      </c>
      <c r="CZ6" s="515">
        <f>CZ39+CZ73</f>
        <v>1203.623</v>
      </c>
      <c r="DA6" s="515">
        <f>DA39+DA73</f>
        <v>1295.0630000000001</v>
      </c>
      <c r="DB6" s="515">
        <f>DB39+DB73</f>
        <v>1366.2</v>
      </c>
      <c r="DC6" s="515">
        <f>DC39+DC73</f>
        <v>1734.9780000000001</v>
      </c>
      <c r="DD6" s="1436">
        <f>+SUM(CZ6:DC6)</f>
        <v>5599.8640000000005</v>
      </c>
      <c r="DE6" s="515">
        <f>DE39+DE73</f>
        <v>1508</v>
      </c>
      <c r="DF6" s="515">
        <f>DF39+DF73</f>
        <v>1694</v>
      </c>
      <c r="DG6" s="515">
        <f>DG39+DG73</f>
        <v>1714</v>
      </c>
      <c r="DH6" s="515">
        <f>DH39+DH73</f>
        <v>2144</v>
      </c>
      <c r="DI6" s="1436">
        <f>+SUM(DE6:DH6)</f>
        <v>7060</v>
      </c>
      <c r="DJ6" s="515">
        <f>DJ39+DJ73</f>
        <v>1861</v>
      </c>
      <c r="DK6" s="515">
        <f>DK39+DK73</f>
        <v>2045</v>
      </c>
      <c r="DL6" s="515">
        <f>DL39+DL73</f>
        <v>2162</v>
      </c>
      <c r="DM6" s="515">
        <f>DM39+DM73</f>
        <v>2812</v>
      </c>
      <c r="DN6" s="1436">
        <f>+SUM(DJ6:DM6)</f>
        <v>8880</v>
      </c>
      <c r="DO6" s="515">
        <f>DO39+DO73</f>
        <v>2360</v>
      </c>
      <c r="DP6" s="515">
        <f>DP39+DP73</f>
        <v>2680</v>
      </c>
      <c r="DQ6" s="515">
        <f>DQ39+DQ73</f>
        <v>2844</v>
      </c>
      <c r="DR6" s="1660">
        <f>DR39+DR73</f>
        <v>3672</v>
      </c>
      <c r="DS6" s="1436">
        <f>+SUM(DO6:DR6)</f>
        <v>11556</v>
      </c>
      <c r="DT6" s="515">
        <f>DT39+DT73</f>
        <v>3170</v>
      </c>
      <c r="DU6" s="515">
        <f>DU39+DU73</f>
        <v>3583</v>
      </c>
      <c r="DV6" s="515">
        <f>DV39+DV73</f>
        <v>3708.9235770421878</v>
      </c>
      <c r="DW6" s="515">
        <f>DW39+DW73</f>
        <v>4749.7619467274999</v>
      </c>
      <c r="DX6" s="1436">
        <f>+SUM(DT6:DW6)</f>
        <v>15211.685523769687</v>
      </c>
      <c r="DY6" s="515">
        <f>DY39+DY73</f>
        <v>4035.1215649375008</v>
      </c>
      <c r="DZ6" s="515">
        <f>DZ39+DZ73</f>
        <v>4541.7451572134005</v>
      </c>
      <c r="EA6" s="515">
        <f>EA39+EA73</f>
        <v>4641.6759010306196</v>
      </c>
      <c r="EB6" s="515">
        <f>EB39+EB73</f>
        <v>5915.7369784106504</v>
      </c>
      <c r="EC6" s="1436">
        <f>+SUM(DY6:EB6)</f>
        <v>19134.27960159217</v>
      </c>
      <c r="ED6" s="515">
        <f>ED39+ED73</f>
        <v>4877.1061895107905</v>
      </c>
      <c r="EE6" s="515">
        <f>EE39+EE73</f>
        <v>5485.0483787334051</v>
      </c>
      <c r="EF6" s="515">
        <f>EF39+EF73</f>
        <v>5598.7043163702683</v>
      </c>
      <c r="EG6" s="515">
        <f>EG39+EG73</f>
        <v>7136.4533443181272</v>
      </c>
      <c r="EH6" s="1436">
        <f>+SUM(ED6:EG6)</f>
        <v>23097.312228932591</v>
      </c>
      <c r="EI6" s="515">
        <f>EI39+EI73</f>
        <v>5779.8548168393081</v>
      </c>
      <c r="EJ6" s="515">
        <f>EJ39+EJ73</f>
        <v>6501.3574876201383</v>
      </c>
      <c r="EK6" s="515">
        <f>EK39+EK73</f>
        <v>6635.6828467144514</v>
      </c>
      <c r="EL6" s="515">
        <f>EL39+EL73</f>
        <v>8462.5924451817737</v>
      </c>
      <c r="EM6" s="1436">
        <f>+SUM(EI6:EL6)</f>
        <v>27379.487596355673</v>
      </c>
      <c r="EN6" s="515">
        <f>EN39+EN73</f>
        <v>6780.4433050578218</v>
      </c>
      <c r="EO6" s="515">
        <f>EO39+EO73</f>
        <v>7626.9991574219666</v>
      </c>
      <c r="EP6" s="515">
        <f>EP39+EP73</f>
        <v>7785.0765012543943</v>
      </c>
      <c r="EQ6" s="515">
        <f>EQ39+EQ73</f>
        <v>9929.2938974884855</v>
      </c>
      <c r="ER6" s="1436">
        <f>+SUM(EN6:EQ6)</f>
        <v>32121.812861222668</v>
      </c>
      <c r="ES6" s="516"/>
    </row>
    <row r="7" spans="1:149" ht="12" customHeight="1">
      <c r="A7" s="931"/>
      <c r="B7" s="484"/>
      <c r="C7" s="648" t="s">
        <v>130</v>
      </c>
      <c r="D7" s="517"/>
      <c r="E7" s="517"/>
      <c r="F7" s="517"/>
      <c r="G7" s="517"/>
      <c r="H7" s="517"/>
      <c r="I7" s="518"/>
      <c r="J7" s="518"/>
      <c r="K7" s="518"/>
      <c r="L7" s="518"/>
      <c r="M7" s="519"/>
      <c r="N7" s="518"/>
      <c r="O7" s="518"/>
      <c r="P7" s="518"/>
      <c r="Q7" s="518"/>
      <c r="R7" s="519"/>
      <c r="S7" s="518"/>
      <c r="T7" s="518"/>
      <c r="U7" s="518"/>
      <c r="V7" s="518"/>
      <c r="W7" s="519"/>
      <c r="X7" s="520"/>
      <c r="Y7" s="520"/>
      <c r="Z7" s="520"/>
      <c r="AA7" s="520"/>
      <c r="AB7" s="519"/>
      <c r="AC7" s="520"/>
      <c r="AD7" s="520"/>
      <c r="AE7" s="520"/>
      <c r="AF7" s="520"/>
      <c r="AG7" s="519"/>
      <c r="AH7" s="518"/>
      <c r="AI7" s="518"/>
      <c r="AJ7" s="518"/>
      <c r="AK7" s="518"/>
      <c r="AL7" s="519"/>
      <c r="AM7" s="518"/>
      <c r="AN7" s="518"/>
      <c r="AO7" s="518"/>
      <c r="AP7" s="518"/>
      <c r="AQ7" s="519"/>
      <c r="AR7" s="518"/>
      <c r="AS7" s="518"/>
      <c r="AT7" s="518"/>
      <c r="AU7" s="521"/>
      <c r="AV7" s="519"/>
      <c r="AW7" s="518"/>
      <c r="AX7" s="518"/>
      <c r="AY7" s="518"/>
      <c r="AZ7" s="521"/>
      <c r="BA7" s="519"/>
      <c r="BB7" s="521"/>
      <c r="BC7" s="521"/>
      <c r="BD7" s="521"/>
      <c r="BE7" s="521"/>
      <c r="BF7" s="522"/>
      <c r="BG7" s="523"/>
      <c r="BH7" s="523"/>
      <c r="BI7" s="523"/>
      <c r="BJ7" s="523"/>
      <c r="BK7" s="519"/>
      <c r="BL7" s="590"/>
      <c r="BM7" s="590"/>
      <c r="BN7" s="590"/>
      <c r="BO7" s="590"/>
      <c r="BP7" s="591"/>
      <c r="BQ7" s="590" t="e">
        <f>BQ6/BO6-1</f>
        <v>#DIV/0!</v>
      </c>
      <c r="BR7" s="590">
        <f>BR6/BQ6-1</f>
        <v>0.20290243118774764</v>
      </c>
      <c r="BS7" s="590">
        <f>BS6/BR6-1</f>
        <v>0.17495436940747</v>
      </c>
      <c r="BT7" s="590">
        <f>BT6/BS6-1</f>
        <v>0.32938657977494024</v>
      </c>
      <c r="BU7" s="591"/>
      <c r="BV7" s="590">
        <f>BV6/BT6-1</f>
        <v>3.6324512276801668E-2</v>
      </c>
      <c r="BW7" s="590">
        <f>BW6/BV6-1</f>
        <v>0.1914826324908554</v>
      </c>
      <c r="BX7" s="590">
        <f>BX6/BW6-1</f>
        <v>0.14923771163456334</v>
      </c>
      <c r="BY7" s="590">
        <f>BY6/BX6-1</f>
        <v>0.30935548012613201</v>
      </c>
      <c r="BZ7" s="591"/>
      <c r="CA7" s="590">
        <f>CA6/BY6-1</f>
        <v>-2.3039813472615078E-2</v>
      </c>
      <c r="CB7" s="590">
        <f>CB6/CA6-1</f>
        <v>0.19058086497774362</v>
      </c>
      <c r="CC7" s="590">
        <f>CC6/CB6-1</f>
        <v>0.13056608750123644</v>
      </c>
      <c r="CD7" s="590">
        <f>CD6/CC6-1</f>
        <v>0.29954040686823435</v>
      </c>
      <c r="CE7" s="591"/>
      <c r="CF7" s="590">
        <f>CF6/CD6-1</f>
        <v>-3.8031721525577433E-2</v>
      </c>
      <c r="CG7" s="590">
        <f>CG6/CF6-1</f>
        <v>0.14287113931137463</v>
      </c>
      <c r="CH7" s="590">
        <f>CH6/CG6-1</f>
        <v>0.10246853606463002</v>
      </c>
      <c r="CI7" s="590">
        <f>CI6/CH6-1</f>
        <v>0.27326115291190245</v>
      </c>
      <c r="CJ7" s="591"/>
      <c r="CK7" s="590">
        <f>CK6/CI6-1</f>
        <v>-6.7992392296909787E-2</v>
      </c>
      <c r="CL7" s="590">
        <f>CL6/CK6-1</f>
        <v>0.12948309109403966</v>
      </c>
      <c r="CM7" s="590">
        <f>CM6/CL6-1</f>
        <v>7.8935518358799861E-2</v>
      </c>
      <c r="CN7" s="590">
        <f>CN6/CM6-1</f>
        <v>0.2934513201827158</v>
      </c>
      <c r="CO7" s="591"/>
      <c r="CP7" s="590">
        <f>CP6/CN6-1</f>
        <v>-6.9599730778367341E-2</v>
      </c>
      <c r="CQ7" s="590">
        <f>CQ6/CP6-1</f>
        <v>0.51987123431652282</v>
      </c>
      <c r="CR7" s="590">
        <f>CR6/CQ6-1</f>
        <v>7.4283850429976761E-2</v>
      </c>
      <c r="CS7" s="590">
        <f>CS6/CR6-1</f>
        <v>0.27409125559515513</v>
      </c>
      <c r="CT7" s="591"/>
      <c r="CU7" s="590">
        <f>CU6/CS6-1</f>
        <v>1.1151180677150707E-2</v>
      </c>
      <c r="CV7" s="590">
        <f>CV6/CU6-1</f>
        <v>0.13230000192181834</v>
      </c>
      <c r="CW7" s="590">
        <f>CW6/CV6-1</f>
        <v>3.8367226616762284E-3</v>
      </c>
      <c r="CX7" s="590">
        <f>CX6/CW6-1</f>
        <v>0.22806343104276805</v>
      </c>
      <c r="CY7" s="591"/>
      <c r="CZ7" s="353">
        <f>CZ6/CX6-1</f>
        <v>-0.12782458855788015</v>
      </c>
      <c r="DA7" s="353">
        <f>DA6/CY6-1</f>
        <v>-0.71918832678210243</v>
      </c>
      <c r="DB7" s="353">
        <f>DB6/DA6-1</f>
        <v>5.4929374092225647E-2</v>
      </c>
      <c r="DC7" s="353">
        <f>DC6/DB6-1</f>
        <v>0.26992973210364513</v>
      </c>
      <c r="DD7" s="352"/>
      <c r="DE7" s="353">
        <f>DE6/DC6-1</f>
        <v>-0.13082471362749271</v>
      </c>
      <c r="DF7" s="353">
        <f>DF6/DE6-1</f>
        <v>0.12334217506631306</v>
      </c>
      <c r="DG7" s="353">
        <f>DG6/DF6-1</f>
        <v>1.1806375442739103E-2</v>
      </c>
      <c r="DH7" s="353">
        <f>DH6/DG6-1</f>
        <v>0.25087514585764303</v>
      </c>
      <c r="DI7" s="352"/>
      <c r="DJ7" s="353">
        <f>DJ6/DH6-1</f>
        <v>-0.13199626865671643</v>
      </c>
      <c r="DK7" s="353">
        <f>DK6/DJ6-1</f>
        <v>9.8871574422353614E-2</v>
      </c>
      <c r="DL7" s="353">
        <f>DL6/DK6-1</f>
        <v>5.7212713936430237E-2</v>
      </c>
      <c r="DM7" s="353">
        <f>DM6/DL6-1</f>
        <v>0.3006475485661424</v>
      </c>
      <c r="DN7" s="352"/>
      <c r="DO7" s="353">
        <f>DO6/DM6-1</f>
        <v>-0.16073968705547648</v>
      </c>
      <c r="DP7" s="353">
        <f>DP6/DO6-1</f>
        <v>0.13559322033898313</v>
      </c>
      <c r="DQ7" s="353">
        <f>DQ6/DP6-1</f>
        <v>6.119402985074629E-2</v>
      </c>
      <c r="DR7" s="353">
        <f>DR6/DQ6-1</f>
        <v>0.29113924050632911</v>
      </c>
      <c r="DS7" s="352"/>
      <c r="DT7" s="353">
        <f>DT6/DR6-1</f>
        <v>-0.13671023965141615</v>
      </c>
      <c r="DU7" s="353">
        <f>DU6/DT6-1</f>
        <v>0.13028391167192432</v>
      </c>
      <c r="DV7" s="353">
        <f>DV6/DU6-1</f>
        <v>3.5144732638065168E-2</v>
      </c>
      <c r="DW7" s="353">
        <f>DW6/DV6-1</f>
        <v>0.28063084829463247</v>
      </c>
      <c r="DX7" s="352"/>
      <c r="DY7" s="353">
        <f>DY6/DW6-1</f>
        <v>-0.15045814712511507</v>
      </c>
      <c r="DZ7" s="353">
        <f>DZ6/DY6-1</f>
        <v>0.12555348931197474</v>
      </c>
      <c r="EA7" s="353">
        <f>EA6/DZ6-1</f>
        <v>2.2002719298000351E-2</v>
      </c>
      <c r="EB7" s="353">
        <f>EB6/EA6-1</f>
        <v>0.27448298945153482</v>
      </c>
      <c r="EC7" s="352"/>
      <c r="ED7" s="353">
        <f>ED6/EB6-1</f>
        <v>-0.17557081944148623</v>
      </c>
      <c r="EE7" s="353">
        <f>EE6/ED6-1</f>
        <v>0.12465223548548487</v>
      </c>
      <c r="EF7" s="353">
        <f>EF6/EE6-1</f>
        <v>2.07210456114717E-2</v>
      </c>
      <c r="EG7" s="353">
        <f>EG6/EF6-1</f>
        <v>0.27466158972739008</v>
      </c>
      <c r="EH7" s="352"/>
      <c r="EI7" s="353">
        <f>EI6/EG6-1</f>
        <v>-0.19009421935882342</v>
      </c>
      <c r="EJ7" s="353">
        <f>EJ6/EI6-1</f>
        <v>0.1248305872110782</v>
      </c>
      <c r="EK7" s="353">
        <f>EK6/EJ6-1</f>
        <v>2.0661124903544437E-2</v>
      </c>
      <c r="EL7" s="353">
        <f>EL6/EK6-1</f>
        <v>0.27531599093405834</v>
      </c>
      <c r="EM7" s="352"/>
      <c r="EN7" s="353">
        <f>EN6/EL6-1</f>
        <v>-0.19877468411960375</v>
      </c>
      <c r="EO7" s="353">
        <f>EO6/EN6-1</f>
        <v>0.12485258179692504</v>
      </c>
      <c r="EP7" s="353">
        <f>EP6/EO6-1</f>
        <v>2.0726020885763363E-2</v>
      </c>
      <c r="EQ7" s="353">
        <f>EQ6/EP6-1</f>
        <v>0.27542663143883006</v>
      </c>
      <c r="ER7" s="352"/>
      <c r="ES7" s="516"/>
    </row>
    <row r="8" spans="1:149" ht="12" customHeight="1">
      <c r="A8" s="931"/>
      <c r="B8" s="484"/>
      <c r="C8" s="648" t="s">
        <v>129</v>
      </c>
      <c r="D8" s="517"/>
      <c r="E8" s="517"/>
      <c r="F8" s="517"/>
      <c r="G8" s="517"/>
      <c r="H8" s="517"/>
      <c r="I8" s="518"/>
      <c r="J8" s="518"/>
      <c r="K8" s="518"/>
      <c r="L8" s="518"/>
      <c r="M8" s="519"/>
      <c r="N8" s="518"/>
      <c r="O8" s="518"/>
      <c r="P8" s="518"/>
      <c r="Q8" s="518"/>
      <c r="R8" s="519"/>
      <c r="S8" s="518"/>
      <c r="T8" s="518"/>
      <c r="U8" s="518"/>
      <c r="V8" s="518"/>
      <c r="W8" s="519"/>
      <c r="X8" s="520"/>
      <c r="Y8" s="520"/>
      <c r="Z8" s="520"/>
      <c r="AA8" s="520"/>
      <c r="AB8" s="519"/>
      <c r="AC8" s="520"/>
      <c r="AD8" s="520"/>
      <c r="AE8" s="520"/>
      <c r="AF8" s="520"/>
      <c r="AG8" s="519"/>
      <c r="AH8" s="518"/>
      <c r="AI8" s="518"/>
      <c r="AJ8" s="518"/>
      <c r="AK8" s="518"/>
      <c r="AL8" s="519"/>
      <c r="AM8" s="518"/>
      <c r="AN8" s="518"/>
      <c r="AO8" s="518"/>
      <c r="AP8" s="518"/>
      <c r="AQ8" s="519"/>
      <c r="AR8" s="518"/>
      <c r="AS8" s="518"/>
      <c r="AT8" s="518"/>
      <c r="AU8" s="521"/>
      <c r="AV8" s="519"/>
      <c r="AW8" s="518"/>
      <c r="AX8" s="518"/>
      <c r="AY8" s="518"/>
      <c r="AZ8" s="521"/>
      <c r="BA8" s="519"/>
      <c r="BB8" s="521"/>
      <c r="BC8" s="521"/>
      <c r="BD8" s="521"/>
      <c r="BE8" s="521"/>
      <c r="BF8" s="522"/>
      <c r="BG8" s="523"/>
      <c r="BH8" s="523"/>
      <c r="BI8" s="523"/>
      <c r="BJ8" s="523"/>
      <c r="BK8" s="519"/>
      <c r="BL8" s="590"/>
      <c r="BM8" s="590"/>
      <c r="BN8" s="590"/>
      <c r="BO8" s="590"/>
      <c r="BP8" s="591"/>
      <c r="BQ8" s="590"/>
      <c r="BR8" s="590"/>
      <c r="BS8" s="590"/>
      <c r="BT8" s="590"/>
      <c r="BU8" s="591"/>
      <c r="BV8" s="590">
        <f t="shared" ref="BV8:DA8" si="0">BV6/BQ6-1</f>
        <v>0.94714576416407859</v>
      </c>
      <c r="BW8" s="590">
        <f t="shared" si="0"/>
        <v>0.92866046387392576</v>
      </c>
      <c r="BX8" s="590">
        <f t="shared" si="0"/>
        <v>0.88644716402076318</v>
      </c>
      <c r="BY8" s="590">
        <f t="shared" si="0"/>
        <v>0.8580223162754903</v>
      </c>
      <c r="BZ8" s="591">
        <f t="shared" si="0"/>
        <v>0.89701461265975735</v>
      </c>
      <c r="CA8" s="590">
        <f t="shared" si="0"/>
        <v>0.75158824014741055</v>
      </c>
      <c r="CB8" s="590">
        <f t="shared" si="0"/>
        <v>0.7502625595808281</v>
      </c>
      <c r="CC8" s="590">
        <f t="shared" si="0"/>
        <v>0.72182610616802911</v>
      </c>
      <c r="CD8" s="590">
        <f t="shared" si="0"/>
        <v>0.70891910755236509</v>
      </c>
      <c r="CE8" s="591">
        <f t="shared" si="0"/>
        <v>0.72939151876300312</v>
      </c>
      <c r="CF8" s="590">
        <f t="shared" si="0"/>
        <v>0.68269494971698608</v>
      </c>
      <c r="CG8" s="590">
        <f t="shared" si="0"/>
        <v>0.61526491048761978</v>
      </c>
      <c r="CH8" s="590">
        <f t="shared" si="0"/>
        <v>0.57512131392310528</v>
      </c>
      <c r="CI8" s="590">
        <f t="shared" si="0"/>
        <v>0.54326927392354141</v>
      </c>
      <c r="CJ8" s="591">
        <f t="shared" si="0"/>
        <v>0.59397389589249405</v>
      </c>
      <c r="CK8" s="590">
        <f t="shared" si="0"/>
        <v>0.49520388168330687</v>
      </c>
      <c r="CL8" s="590">
        <f t="shared" si="0"/>
        <v>0.47768846723790936</v>
      </c>
      <c r="CM8" s="590">
        <f t="shared" si="0"/>
        <v>0.44614609870253008</v>
      </c>
      <c r="CN8" s="590">
        <f t="shared" si="0"/>
        <v>0.46907771140748356</v>
      </c>
      <c r="CO8" s="591">
        <f t="shared" si="0"/>
        <v>0.47049045450691351</v>
      </c>
      <c r="CP8" s="590">
        <f t="shared" si="0"/>
        <v>0.46654414288477986</v>
      </c>
      <c r="CQ8" s="590">
        <f t="shared" si="0"/>
        <v>0.97343216042919622</v>
      </c>
      <c r="CR8" s="590">
        <f t="shared" si="0"/>
        <v>0.96492400499805386</v>
      </c>
      <c r="CS8" s="590">
        <f t="shared" si="0"/>
        <v>0.93551350067305372</v>
      </c>
      <c r="CT8" s="591">
        <f t="shared" si="0"/>
        <v>0.856254669164914</v>
      </c>
      <c r="CU8" s="590">
        <f t="shared" si="0"/>
        <v>1.1034997797877026</v>
      </c>
      <c r="CV8" s="590">
        <f t="shared" si="0"/>
        <v>0.56710170632793022</v>
      </c>
      <c r="CW8" s="590">
        <f t="shared" si="0"/>
        <v>0.46433760530619428</v>
      </c>
      <c r="CX8" s="590">
        <f t="shared" si="0"/>
        <v>0.4114369405488556</v>
      </c>
      <c r="CY8" s="591">
        <f t="shared" si="0"/>
        <v>0.57428577182862139</v>
      </c>
      <c r="CZ8" s="353">
        <f t="shared" si="0"/>
        <v>0.2174446491012465</v>
      </c>
      <c r="DA8" s="353">
        <f t="shared" si="0"/>
        <v>0.15687952512182401</v>
      </c>
      <c r="DB8" s="353">
        <f t="shared" ref="DB8:EC8" si="1">DB6/CW6-1</f>
        <v>0.2157616530514177</v>
      </c>
      <c r="DC8" s="353">
        <f t="shared" si="1"/>
        <v>0.25720857028573407</v>
      </c>
      <c r="DD8" s="352">
        <f t="shared" si="1"/>
        <v>0.21423218764853047</v>
      </c>
      <c r="DE8" s="353">
        <f t="shared" si="1"/>
        <v>0.25288400105348607</v>
      </c>
      <c r="DF8" s="353">
        <f t="shared" si="1"/>
        <v>0.30804447351209929</v>
      </c>
      <c r="DG8" s="353">
        <f t="shared" si="1"/>
        <v>0.25457473283560228</v>
      </c>
      <c r="DH8" s="353">
        <f t="shared" si="1"/>
        <v>0.2357505397762969</v>
      </c>
      <c r="DI8" s="352">
        <f t="shared" si="1"/>
        <v>0.26074490380480664</v>
      </c>
      <c r="DJ8" s="353">
        <f t="shared" si="1"/>
        <v>0.23408488063660471</v>
      </c>
      <c r="DK8" s="353">
        <f t="shared" si="1"/>
        <v>0.20720188902007086</v>
      </c>
      <c r="DL8" s="353">
        <f t="shared" si="1"/>
        <v>0.26137689614935833</v>
      </c>
      <c r="DM8" s="353">
        <f t="shared" si="1"/>
        <v>0.31156716417910446</v>
      </c>
      <c r="DN8" s="352">
        <f t="shared" si="1"/>
        <v>0.25779036827195467</v>
      </c>
      <c r="DO8" s="353">
        <f>DO6/DJ6-1</f>
        <v>0.26813541106931749</v>
      </c>
      <c r="DP8" s="353">
        <f t="shared" si="1"/>
        <v>0.31051344743276288</v>
      </c>
      <c r="DQ8" s="353">
        <f t="shared" si="1"/>
        <v>0.31544865864939875</v>
      </c>
      <c r="DR8" s="353">
        <f t="shared" si="1"/>
        <v>0.30583214793741109</v>
      </c>
      <c r="DS8" s="352">
        <f t="shared" si="1"/>
        <v>0.30135135135135127</v>
      </c>
      <c r="DT8" s="353">
        <f>DT6/DO6-1</f>
        <v>0.34322033898305082</v>
      </c>
      <c r="DU8" s="353">
        <f t="shared" si="1"/>
        <v>0.33694029850746277</v>
      </c>
      <c r="DV8" s="353">
        <f t="shared" si="1"/>
        <v>0.30412221414985519</v>
      </c>
      <c r="DW8" s="353">
        <f t="shared" si="1"/>
        <v>0.29350815542687902</v>
      </c>
      <c r="DX8" s="352">
        <f t="shared" si="1"/>
        <v>0.31634523397107017</v>
      </c>
      <c r="DY8" s="353">
        <f t="shared" si="1"/>
        <v>0.27290901102129372</v>
      </c>
      <c r="DZ8" s="353">
        <f t="shared" si="1"/>
        <v>0.26758167937856547</v>
      </c>
      <c r="EA8" s="353">
        <f t="shared" si="1"/>
        <v>0.25148868792068457</v>
      </c>
      <c r="EB8" s="353">
        <f t="shared" si="1"/>
        <v>0.24548073035249396</v>
      </c>
      <c r="EC8" s="352">
        <f t="shared" si="1"/>
        <v>0.25786715559515483</v>
      </c>
      <c r="ED8" s="353">
        <f t="shared" ref="ED8" si="2">ED6/DY6-1</f>
        <v>0.20866400454686951</v>
      </c>
      <c r="EE8" s="353">
        <f t="shared" ref="EE8" si="3">EE6/DZ6-1</f>
        <v>0.20769620242161957</v>
      </c>
      <c r="EF8" s="353">
        <f t="shared" ref="EF8" si="4">EF6/EA6-1</f>
        <v>0.20618165415796352</v>
      </c>
      <c r="EG8" s="353">
        <f t="shared" ref="EG8" si="5">EG6/EB6-1</f>
        <v>0.20635068299392856</v>
      </c>
      <c r="EH8" s="352">
        <f t="shared" ref="EH8" si="6">EH6/EC6-1</f>
        <v>0.20711689751887263</v>
      </c>
      <c r="EI8" s="353">
        <f t="shared" ref="EI8" si="7">EI6/ED6-1</f>
        <v>0.18509923554054697</v>
      </c>
      <c r="EJ8" s="353">
        <f t="shared" ref="EJ8" si="8">EJ6/EE6-1</f>
        <v>0.18528717318650467</v>
      </c>
      <c r="EK8" s="353">
        <f t="shared" ref="EK8" si="9">EK6/EF6-1</f>
        <v>0.18521759174031049</v>
      </c>
      <c r="EL8" s="353">
        <f t="shared" ref="EL8" si="10">EL6/EG6-1</f>
        <v>0.18582607310387411</v>
      </c>
      <c r="EM8" s="352">
        <f t="shared" ref="EM8" si="11">EM6/EH6-1</f>
        <v>0.18539712867798808</v>
      </c>
      <c r="EN8" s="353">
        <f t="shared" ref="EN8" si="12">EN6/EI6-1</f>
        <v>0.17311654356842165</v>
      </c>
      <c r="EO8" s="353">
        <f t="shared" ref="EO8" si="13">EO6/EJ6-1</f>
        <v>0.1731394823227721</v>
      </c>
      <c r="EP8" s="353">
        <f t="shared" ref="EP8" si="14">EP6/EK6-1</f>
        <v>0.17321407322971227</v>
      </c>
      <c r="EQ8" s="353">
        <f t="shared" ref="EQ8" si="15">EQ6/EL6-1</f>
        <v>0.1733158558453074</v>
      </c>
      <c r="ER8" s="352">
        <f t="shared" ref="ER8" si="16">ER6/EM6-1</f>
        <v>0.1732072321725342</v>
      </c>
      <c r="ES8" s="516"/>
    </row>
    <row r="9" spans="1:149" ht="12" customHeight="1">
      <c r="A9" s="931"/>
      <c r="B9" s="484"/>
      <c r="C9" s="880" t="s">
        <v>206</v>
      </c>
      <c r="D9" s="485"/>
      <c r="E9" s="485"/>
      <c r="F9" s="485"/>
      <c r="G9" s="485"/>
      <c r="H9" s="485"/>
      <c r="I9" s="486"/>
      <c r="J9" s="486"/>
      <c r="K9" s="486"/>
      <c r="L9" s="486"/>
      <c r="M9" s="487"/>
      <c r="N9" s="486"/>
      <c r="O9" s="486"/>
      <c r="P9" s="486"/>
      <c r="Q9" s="486"/>
      <c r="R9" s="487"/>
      <c r="S9" s="486"/>
      <c r="T9" s="486"/>
      <c r="U9" s="486"/>
      <c r="V9" s="486"/>
      <c r="W9" s="487"/>
      <c r="X9" s="488"/>
      <c r="Y9" s="488"/>
      <c r="Z9" s="488"/>
      <c r="AA9" s="488"/>
      <c r="AB9" s="487"/>
      <c r="AC9" s="488"/>
      <c r="AD9" s="488"/>
      <c r="AE9" s="488"/>
      <c r="AF9" s="488"/>
      <c r="AG9" s="487"/>
      <c r="AH9" s="486"/>
      <c r="AI9" s="486"/>
      <c r="AJ9" s="486"/>
      <c r="AK9" s="486"/>
      <c r="AL9" s="487"/>
      <c r="AM9" s="486"/>
      <c r="AN9" s="486"/>
      <c r="AO9" s="486"/>
      <c r="AP9" s="486"/>
      <c r="AQ9" s="487"/>
      <c r="AR9" s="486"/>
      <c r="AS9" s="486"/>
      <c r="AT9" s="486"/>
      <c r="AU9" s="489"/>
      <c r="AV9" s="487"/>
      <c r="AW9" s="486"/>
      <c r="AX9" s="486"/>
      <c r="AY9" s="486"/>
      <c r="AZ9" s="489"/>
      <c r="BA9" s="487"/>
      <c r="BB9" s="489"/>
      <c r="BC9" s="489"/>
      <c r="BD9" s="489"/>
      <c r="BE9" s="489"/>
      <c r="BF9" s="524"/>
      <c r="BG9" s="525"/>
      <c r="BH9" s="525"/>
      <c r="BI9" s="525"/>
      <c r="BJ9" s="525"/>
      <c r="BK9" s="487"/>
      <c r="BL9" s="525"/>
      <c r="BM9" s="525"/>
      <c r="BN9" s="525"/>
      <c r="BO9" s="525"/>
      <c r="BP9" s="487"/>
      <c r="BQ9" s="525"/>
      <c r="BR9" s="525"/>
      <c r="BS9" s="525"/>
      <c r="BT9" s="525"/>
      <c r="BU9" s="526"/>
      <c r="BV9" s="525"/>
      <c r="BW9" s="525"/>
      <c r="BX9" s="525"/>
      <c r="BY9" s="525"/>
      <c r="BZ9" s="526"/>
      <c r="CA9" s="525"/>
      <c r="CB9" s="525"/>
      <c r="CC9" s="525"/>
      <c r="CD9" s="525"/>
      <c r="CE9" s="526"/>
      <c r="CF9" s="525"/>
      <c r="CG9" s="525"/>
      <c r="CH9" s="525"/>
      <c r="CI9" s="525"/>
      <c r="CJ9" s="527"/>
      <c r="CK9" s="528"/>
      <c r="CL9" s="528"/>
      <c r="CM9" s="528"/>
      <c r="CN9" s="528"/>
      <c r="CO9" s="527"/>
      <c r="CP9" s="528"/>
      <c r="CQ9" s="528"/>
      <c r="CR9" s="405"/>
      <c r="CS9" s="528"/>
      <c r="CT9" s="527"/>
      <c r="CU9" s="529"/>
      <c r="CV9" s="529"/>
      <c r="CW9" s="529"/>
      <c r="CX9" s="529"/>
      <c r="CY9" s="530"/>
      <c r="CZ9" s="529"/>
      <c r="DA9" s="529"/>
      <c r="DB9" s="529"/>
      <c r="DC9" s="529"/>
      <c r="DD9" s="530"/>
      <c r="DE9" s="529"/>
      <c r="DF9" s="529"/>
      <c r="DG9" s="529"/>
      <c r="DH9" s="529"/>
      <c r="DI9" s="530"/>
      <c r="DJ9" s="529"/>
      <c r="DK9" s="876">
        <v>1861</v>
      </c>
      <c r="DL9" s="876">
        <v>1861</v>
      </c>
      <c r="DM9" s="876">
        <v>1861</v>
      </c>
      <c r="DN9" s="877">
        <v>8880</v>
      </c>
      <c r="DO9" s="876">
        <v>2360</v>
      </c>
      <c r="DP9" s="876">
        <v>2680</v>
      </c>
      <c r="DQ9" s="876">
        <v>2844</v>
      </c>
      <c r="DR9" s="876">
        <v>3672</v>
      </c>
      <c r="DS9" s="877">
        <v>11556</v>
      </c>
      <c r="DT9" s="876">
        <v>3170</v>
      </c>
      <c r="DU9" s="876">
        <v>3583</v>
      </c>
      <c r="DV9" s="876">
        <v>3651.5129999999999</v>
      </c>
      <c r="DW9" s="876">
        <v>4656.4146000000001</v>
      </c>
      <c r="DX9" s="877">
        <v>14977.527</v>
      </c>
      <c r="DY9" s="876">
        <v>3937.7521999999999</v>
      </c>
      <c r="DZ9" s="876">
        <v>4343.4364999999998</v>
      </c>
      <c r="EA9" s="876">
        <v>4506.5663999999997</v>
      </c>
      <c r="EB9" s="876">
        <v>5729.2650000000003</v>
      </c>
      <c r="EC9" s="877">
        <v>18667.963</v>
      </c>
      <c r="ED9" s="876">
        <v>4745.0110000000004</v>
      </c>
      <c r="EE9" s="876">
        <v>5245.9165000000003</v>
      </c>
      <c r="EF9" s="876">
        <v>5463.5033999999996</v>
      </c>
      <c r="EG9" s="876">
        <v>6948.6405999999997</v>
      </c>
      <c r="EH9" s="877">
        <v>23471.11</v>
      </c>
      <c r="EI9" s="876" t="e">
        <v>#N/A</v>
      </c>
      <c r="EJ9" s="876" t="e">
        <v>#N/A</v>
      </c>
      <c r="EK9" s="876" t="e">
        <v>#N/A</v>
      </c>
      <c r="EL9" s="876" t="e">
        <v>#N/A</v>
      </c>
      <c r="EM9" s="877">
        <v>28231.14</v>
      </c>
      <c r="EN9" s="876" t="e">
        <v>#N/A</v>
      </c>
      <c r="EO9" s="876" t="e">
        <v>#N/A</v>
      </c>
      <c r="EP9" s="876" t="e">
        <v>#N/A</v>
      </c>
      <c r="EQ9" s="876" t="e">
        <v>#N/A</v>
      </c>
      <c r="ER9" s="877">
        <v>33373.300000000003</v>
      </c>
      <c r="ES9" s="490"/>
    </row>
    <row r="10" spans="1:149" ht="12" customHeight="1">
      <c r="A10" s="931"/>
      <c r="B10" s="484"/>
      <c r="C10" s="880" t="s">
        <v>361</v>
      </c>
      <c r="D10" s="485"/>
      <c r="E10" s="485"/>
      <c r="F10" s="485"/>
      <c r="G10" s="485"/>
      <c r="H10" s="485"/>
      <c r="I10" s="486"/>
      <c r="J10" s="486"/>
      <c r="K10" s="486"/>
      <c r="L10" s="486"/>
      <c r="M10" s="487"/>
      <c r="N10" s="486"/>
      <c r="O10" s="486"/>
      <c r="P10" s="486"/>
      <c r="Q10" s="486"/>
      <c r="R10" s="487"/>
      <c r="S10" s="486"/>
      <c r="T10" s="486"/>
      <c r="U10" s="486"/>
      <c r="V10" s="486"/>
      <c r="W10" s="487"/>
      <c r="X10" s="488"/>
      <c r="Y10" s="488"/>
      <c r="Z10" s="488"/>
      <c r="AA10" s="488"/>
      <c r="AB10" s="487"/>
      <c r="AC10" s="488"/>
      <c r="AD10" s="488"/>
      <c r="AE10" s="488"/>
      <c r="AF10" s="488"/>
      <c r="AG10" s="487"/>
      <c r="AH10" s="486"/>
      <c r="AI10" s="486"/>
      <c r="AJ10" s="486"/>
      <c r="AK10" s="486"/>
      <c r="AL10" s="487"/>
      <c r="AM10" s="486"/>
      <c r="AN10" s="486"/>
      <c r="AO10" s="486"/>
      <c r="AP10" s="486"/>
      <c r="AQ10" s="487"/>
      <c r="AR10" s="486"/>
      <c r="AS10" s="486"/>
      <c r="AT10" s="486"/>
      <c r="AU10" s="489"/>
      <c r="AV10" s="487"/>
      <c r="AW10" s="486"/>
      <c r="AX10" s="486"/>
      <c r="AY10" s="486"/>
      <c r="AZ10" s="489"/>
      <c r="BA10" s="487"/>
      <c r="BB10" s="489"/>
      <c r="BC10" s="489"/>
      <c r="BD10" s="489"/>
      <c r="BE10" s="489"/>
      <c r="BF10" s="524"/>
      <c r="BG10" s="525"/>
      <c r="BH10" s="525"/>
      <c r="BI10" s="525"/>
      <c r="BJ10" s="525"/>
      <c r="BK10" s="487"/>
      <c r="BL10" s="525"/>
      <c r="BM10" s="525"/>
      <c r="BN10" s="525"/>
      <c r="BO10" s="525"/>
      <c r="BP10" s="487"/>
      <c r="BQ10" s="525"/>
      <c r="BR10" s="525"/>
      <c r="BS10" s="525"/>
      <c r="BT10" s="525"/>
      <c r="BU10" s="526"/>
      <c r="BV10" s="525"/>
      <c r="BW10" s="525"/>
      <c r="BX10" s="525"/>
      <c r="BY10" s="525"/>
      <c r="BZ10" s="526"/>
      <c r="CA10" s="525"/>
      <c r="CB10" s="525"/>
      <c r="CC10" s="525"/>
      <c r="CD10" s="525"/>
      <c r="CE10" s="526"/>
      <c r="CF10" s="525"/>
      <c r="CG10" s="525"/>
      <c r="CH10" s="525"/>
      <c r="CI10" s="525"/>
      <c r="CJ10" s="527"/>
      <c r="CK10" s="528"/>
      <c r="CL10" s="528"/>
      <c r="CM10" s="528"/>
      <c r="CN10" s="528"/>
      <c r="CO10" s="527"/>
      <c r="CP10" s="528"/>
      <c r="CQ10" s="528"/>
      <c r="CR10" s="405"/>
      <c r="CS10" s="528"/>
      <c r="CT10" s="527"/>
      <c r="CU10" s="531"/>
      <c r="CV10" s="531"/>
      <c r="CW10" s="531"/>
      <c r="CX10" s="531"/>
      <c r="CY10" s="532"/>
      <c r="CZ10" s="533"/>
      <c r="DA10" s="533"/>
      <c r="DB10" s="533"/>
      <c r="DC10" s="533"/>
      <c r="DD10" s="532"/>
      <c r="DE10" s="533"/>
      <c r="DF10" s="533"/>
      <c r="DG10" s="533"/>
      <c r="DH10" s="533"/>
      <c r="DI10" s="532"/>
      <c r="DJ10" s="533"/>
      <c r="DK10" s="878">
        <f t="shared" ref="DK10:EC10" si="17">+DK6/DK9-1</f>
        <v>9.8871574422353614E-2</v>
      </c>
      <c r="DL10" s="878">
        <f t="shared" si="17"/>
        <v>0.16174099946265441</v>
      </c>
      <c r="DM10" s="878">
        <f t="shared" si="17"/>
        <v>0.5110155830198817</v>
      </c>
      <c r="DN10" s="879">
        <f t="shared" si="17"/>
        <v>0</v>
      </c>
      <c r="DO10" s="878">
        <f t="shared" ref="DO10:DP10" si="18">+DO6/DO9-1</f>
        <v>0</v>
      </c>
      <c r="DP10" s="878">
        <f t="shared" si="18"/>
        <v>0</v>
      </c>
      <c r="DQ10" s="878">
        <f t="shared" ref="DQ10" si="19">+DQ6/DQ9-1</f>
        <v>0</v>
      </c>
      <c r="DR10" s="878">
        <f t="shared" si="17"/>
        <v>0</v>
      </c>
      <c r="DS10" s="879">
        <f t="shared" si="17"/>
        <v>0</v>
      </c>
      <c r="DT10" s="878">
        <f t="shared" si="17"/>
        <v>0</v>
      </c>
      <c r="DU10" s="878">
        <f t="shared" si="17"/>
        <v>0</v>
      </c>
      <c r="DV10" s="878">
        <f t="shared" si="17"/>
        <v>1.5722407955876871E-2</v>
      </c>
      <c r="DW10" s="878">
        <f t="shared" si="17"/>
        <v>2.0047043647595242E-2</v>
      </c>
      <c r="DX10" s="879">
        <f t="shared" si="17"/>
        <v>1.5633991096773769E-2</v>
      </c>
      <c r="DY10" s="878">
        <f t="shared" si="17"/>
        <v>2.4727143809989194E-2</v>
      </c>
      <c r="DZ10" s="878">
        <f t="shared" si="17"/>
        <v>4.5657086782182832E-2</v>
      </c>
      <c r="EA10" s="878">
        <f t="shared" si="17"/>
        <v>2.9980585891427269E-2</v>
      </c>
      <c r="EB10" s="878">
        <f t="shared" si="17"/>
        <v>3.2547277602039681E-2</v>
      </c>
      <c r="EC10" s="879">
        <f t="shared" si="17"/>
        <v>2.4979511775985896E-2</v>
      </c>
      <c r="ED10" s="878">
        <f t="shared" ref="ED10:ER10" si="20">+ED6/ED9-1</f>
        <v>2.7838753063120336E-2</v>
      </c>
      <c r="EE10" s="878">
        <f t="shared" si="20"/>
        <v>4.5584385251538961E-2</v>
      </c>
      <c r="EF10" s="878">
        <f t="shared" si="20"/>
        <v>2.4746194240543362E-2</v>
      </c>
      <c r="EG10" s="878">
        <f t="shared" si="20"/>
        <v>2.7028703185214109E-2</v>
      </c>
      <c r="EH10" s="879">
        <f t="shared" si="20"/>
        <v>-1.5925866781222098E-2</v>
      </c>
      <c r="EI10" s="878" t="e">
        <f t="shared" si="20"/>
        <v>#N/A</v>
      </c>
      <c r="EJ10" s="878" t="e">
        <f t="shared" si="20"/>
        <v>#N/A</v>
      </c>
      <c r="EK10" s="878" t="e">
        <f t="shared" si="20"/>
        <v>#N/A</v>
      </c>
      <c r="EL10" s="878" t="e">
        <f t="shared" si="20"/>
        <v>#N/A</v>
      </c>
      <c r="EM10" s="879">
        <f t="shared" si="20"/>
        <v>-3.0167127634389779E-2</v>
      </c>
      <c r="EN10" s="878" t="e">
        <f t="shared" si="20"/>
        <v>#N/A</v>
      </c>
      <c r="EO10" s="878" t="e">
        <f t="shared" si="20"/>
        <v>#N/A</v>
      </c>
      <c r="EP10" s="878" t="e">
        <f t="shared" si="20"/>
        <v>#N/A</v>
      </c>
      <c r="EQ10" s="878" t="e">
        <f t="shared" si="20"/>
        <v>#N/A</v>
      </c>
      <c r="ER10" s="879">
        <f t="shared" si="20"/>
        <v>-3.7499652080475565E-2</v>
      </c>
      <c r="ES10" s="490"/>
    </row>
    <row r="11" spans="1:149" ht="12" customHeight="1">
      <c r="A11" s="931"/>
      <c r="B11" s="484"/>
      <c r="C11" s="600" t="s">
        <v>765</v>
      </c>
      <c r="D11" s="566"/>
      <c r="E11" s="566"/>
      <c r="F11" s="566"/>
      <c r="G11" s="566"/>
      <c r="H11" s="566"/>
      <c r="I11" s="566"/>
      <c r="J11" s="566"/>
      <c r="K11" s="566"/>
      <c r="L11" s="566"/>
      <c r="M11" s="571"/>
      <c r="N11" s="568"/>
      <c r="O11" s="568"/>
      <c r="P11" s="568"/>
      <c r="Q11" s="568"/>
      <c r="R11" s="571"/>
      <c r="S11" s="566"/>
      <c r="T11" s="566"/>
      <c r="U11" s="566"/>
      <c r="V11" s="566"/>
      <c r="W11" s="571"/>
      <c r="X11" s="569"/>
      <c r="Y11" s="569"/>
      <c r="Z11" s="569"/>
      <c r="AA11" s="569"/>
      <c r="AB11" s="571"/>
      <c r="AC11" s="569"/>
      <c r="AD11" s="569"/>
      <c r="AE11" s="569"/>
      <c r="AF11" s="569"/>
      <c r="AG11" s="571"/>
      <c r="AH11" s="570"/>
      <c r="AI11" s="571"/>
      <c r="AJ11" s="571"/>
      <c r="AK11" s="571"/>
      <c r="AL11" s="571"/>
      <c r="AM11" s="571"/>
      <c r="AN11" s="571"/>
      <c r="AO11" s="571"/>
      <c r="AP11" s="571"/>
      <c r="AQ11" s="571"/>
      <c r="AR11" s="571"/>
      <c r="AS11" s="571"/>
      <c r="AT11" s="571"/>
      <c r="AU11" s="571"/>
      <c r="AV11" s="571"/>
      <c r="AW11" s="359"/>
      <c r="AX11" s="359"/>
      <c r="AY11" s="359"/>
      <c r="AZ11" s="359"/>
      <c r="BA11" s="359"/>
      <c r="BB11" s="359"/>
      <c r="BC11" s="359"/>
      <c r="BD11" s="359"/>
      <c r="BE11" s="359"/>
      <c r="BF11" s="359"/>
      <c r="BG11" s="359"/>
      <c r="BH11" s="359"/>
      <c r="BI11" s="359"/>
      <c r="BJ11" s="359"/>
      <c r="BK11" s="359"/>
      <c r="BL11" s="244"/>
      <c r="BM11" s="244"/>
      <c r="BN11" s="244"/>
      <c r="BO11" s="244"/>
      <c r="BP11" s="244"/>
      <c r="BQ11" s="244"/>
      <c r="BR11" s="244"/>
      <c r="BS11" s="244"/>
      <c r="BT11" s="1080"/>
      <c r="BU11" s="1066"/>
      <c r="BV11" s="1080"/>
      <c r="BW11" s="1080"/>
      <c r="BX11" s="1080"/>
      <c r="BY11" s="1080"/>
      <c r="BZ11" s="1066"/>
      <c r="CA11" s="1080"/>
      <c r="CB11" s="1080"/>
      <c r="CC11" s="1080"/>
      <c r="CD11" s="1080"/>
      <c r="CE11" s="1066"/>
      <c r="CF11" s="1080"/>
      <c r="CG11" s="1080"/>
      <c r="CH11" s="1080"/>
      <c r="CI11" s="1080"/>
      <c r="CJ11" s="1066"/>
      <c r="CK11" s="1080"/>
      <c r="CL11" s="1080"/>
      <c r="CM11" s="1080"/>
      <c r="CN11" s="1080"/>
      <c r="CO11" s="1066"/>
      <c r="CP11" s="1080"/>
      <c r="CQ11" s="1080"/>
      <c r="CR11" s="1080"/>
      <c r="CS11" s="1080"/>
      <c r="CT11" s="1066"/>
      <c r="CU11" s="1080"/>
      <c r="CV11" s="1080"/>
      <c r="CW11" s="1080"/>
      <c r="CX11" s="1080"/>
      <c r="CY11" s="1066"/>
      <c r="CZ11" s="1080"/>
      <c r="DA11" s="1080"/>
      <c r="DB11" s="1080"/>
      <c r="DC11" s="1080"/>
      <c r="DD11" s="1066"/>
      <c r="DE11" s="1426">
        <v>-18</v>
      </c>
      <c r="DF11" s="1426">
        <v>-6</v>
      </c>
      <c r="DG11" s="1426">
        <v>6</v>
      </c>
      <c r="DH11" s="1426">
        <v>9</v>
      </c>
      <c r="DI11" s="1066"/>
      <c r="DJ11" s="1426">
        <v>0</v>
      </c>
      <c r="DK11" s="1426">
        <v>-5</v>
      </c>
      <c r="DL11" s="1426">
        <v>3</v>
      </c>
      <c r="DM11" s="1426">
        <v>-5</v>
      </c>
      <c r="DN11" s="1066"/>
      <c r="DO11" s="1426">
        <v>-18</v>
      </c>
      <c r="DP11" s="1426">
        <v>17</v>
      </c>
      <c r="DQ11" s="1426">
        <v>17</v>
      </c>
      <c r="DR11" s="1426">
        <v>33</v>
      </c>
      <c r="DS11" s="1066"/>
      <c r="DT11" s="1426">
        <v>54</v>
      </c>
      <c r="DU11" s="1426">
        <v>16</v>
      </c>
      <c r="DV11" s="1080"/>
      <c r="DW11" s="1080"/>
      <c r="DX11" s="1066"/>
      <c r="DY11" s="1080"/>
      <c r="DZ11" s="1080"/>
      <c r="EA11" s="1080"/>
      <c r="EB11" s="1080"/>
      <c r="EC11" s="1066"/>
      <c r="ED11" s="1080"/>
      <c r="EE11" s="1080"/>
      <c r="EF11" s="1080"/>
      <c r="EG11" s="1080"/>
      <c r="EH11" s="1066"/>
      <c r="EI11" s="1080"/>
      <c r="EJ11" s="1080"/>
      <c r="EK11" s="1080"/>
      <c r="EL11" s="1080"/>
      <c r="EM11" s="1066"/>
      <c r="EN11" s="1080"/>
      <c r="EO11" s="1080"/>
      <c r="EP11" s="1080"/>
      <c r="EQ11" s="1080"/>
      <c r="ER11" s="1066"/>
      <c r="ES11" s="484"/>
    </row>
    <row r="12" spans="1:149" ht="12" customHeight="1">
      <c r="A12" s="931"/>
      <c r="B12" s="484"/>
      <c r="C12" s="600" t="s">
        <v>766</v>
      </c>
      <c r="D12" s="566"/>
      <c r="E12" s="566"/>
      <c r="F12" s="566"/>
      <c r="G12" s="566"/>
      <c r="H12" s="566"/>
      <c r="I12" s="566"/>
      <c r="J12" s="566"/>
      <c r="K12" s="566"/>
      <c r="L12" s="566"/>
      <c r="M12" s="571"/>
      <c r="N12" s="568"/>
      <c r="O12" s="568"/>
      <c r="P12" s="568"/>
      <c r="Q12" s="568"/>
      <c r="R12" s="571"/>
      <c r="S12" s="566"/>
      <c r="T12" s="566"/>
      <c r="U12" s="566"/>
      <c r="V12" s="566"/>
      <c r="W12" s="571"/>
      <c r="X12" s="569"/>
      <c r="Y12" s="569"/>
      <c r="Z12" s="569"/>
      <c r="AA12" s="569"/>
      <c r="AB12" s="571"/>
      <c r="AC12" s="569"/>
      <c r="AD12" s="569"/>
      <c r="AE12" s="569"/>
      <c r="AF12" s="569"/>
      <c r="AG12" s="571"/>
      <c r="AH12" s="570"/>
      <c r="AI12" s="571"/>
      <c r="AJ12" s="571"/>
      <c r="AK12" s="571"/>
      <c r="AL12" s="571"/>
      <c r="AM12" s="571"/>
      <c r="AN12" s="571"/>
      <c r="AO12" s="571"/>
      <c r="AP12" s="571"/>
      <c r="AQ12" s="571"/>
      <c r="AR12" s="571"/>
      <c r="AS12" s="571"/>
      <c r="AT12" s="571"/>
      <c r="AU12" s="571"/>
      <c r="AV12" s="571"/>
      <c r="AW12" s="359"/>
      <c r="AX12" s="359"/>
      <c r="AY12" s="359"/>
      <c r="AZ12" s="359"/>
      <c r="BA12" s="359"/>
      <c r="BB12" s="359"/>
      <c r="BC12" s="359"/>
      <c r="BD12" s="359"/>
      <c r="BE12" s="359"/>
      <c r="BF12" s="359"/>
      <c r="BG12" s="359"/>
      <c r="BH12" s="359"/>
      <c r="BI12" s="359"/>
      <c r="BJ12" s="359"/>
      <c r="BK12" s="359"/>
      <c r="BL12" s="244"/>
      <c r="BM12" s="244"/>
      <c r="BN12" s="244"/>
      <c r="BO12" s="244"/>
      <c r="BP12" s="244"/>
      <c r="BQ12" s="244"/>
      <c r="BR12" s="244"/>
      <c r="BS12" s="244"/>
      <c r="BT12" s="1080"/>
      <c r="BU12" s="1066"/>
      <c r="BV12" s="1080"/>
      <c r="BW12" s="1080"/>
      <c r="BX12" s="1080"/>
      <c r="BY12" s="1080"/>
      <c r="BZ12" s="1066"/>
      <c r="CA12" s="1080"/>
      <c r="CB12" s="1080"/>
      <c r="CC12" s="1080"/>
      <c r="CD12" s="1080"/>
      <c r="CE12" s="1066"/>
      <c r="CF12" s="1080"/>
      <c r="CG12" s="1080"/>
      <c r="CH12" s="1080"/>
      <c r="CI12" s="1080"/>
      <c r="CJ12" s="1066"/>
      <c r="CK12" s="1080"/>
      <c r="CL12" s="1080"/>
      <c r="CM12" s="1080"/>
      <c r="CN12" s="1080"/>
      <c r="CO12" s="1066"/>
      <c r="CP12" s="1080"/>
      <c r="CQ12" s="1080"/>
      <c r="CR12" s="1080"/>
      <c r="CS12" s="1080"/>
      <c r="CT12" s="1066"/>
      <c r="CU12" s="1080"/>
      <c r="CV12" s="1080"/>
      <c r="CW12" s="1080"/>
      <c r="CX12" s="1080"/>
      <c r="CY12" s="1066"/>
      <c r="CZ12" s="1080"/>
      <c r="DA12" s="1080"/>
      <c r="DB12" s="1080"/>
      <c r="DC12" s="1080"/>
      <c r="DD12" s="1066"/>
      <c r="DE12" s="1080">
        <f>+DE6-DE11</f>
        <v>1526</v>
      </c>
      <c r="DF12" s="1080">
        <f>+DF6-DF11</f>
        <v>1700</v>
      </c>
      <c r="DG12" s="1080">
        <f>+DG6-DG11</f>
        <v>1708</v>
      </c>
      <c r="DH12" s="1080">
        <f>+DH6-DH11</f>
        <v>2135</v>
      </c>
      <c r="DI12" s="1066"/>
      <c r="DJ12" s="1080">
        <f>+DJ6-DJ11</f>
        <v>1861</v>
      </c>
      <c r="DK12" s="1080">
        <f>+DK6-DK11</f>
        <v>2050</v>
      </c>
      <c r="DL12" s="1080">
        <f>+DL6-DL11</f>
        <v>2159</v>
      </c>
      <c r="DM12" s="1080">
        <f>+DM6-DM11</f>
        <v>2817</v>
      </c>
      <c r="DN12" s="1066"/>
      <c r="DO12" s="1080">
        <f>+DO6-DO11</f>
        <v>2378</v>
      </c>
      <c r="DP12" s="1080">
        <f>+DP6-DP11</f>
        <v>2663</v>
      </c>
      <c r="DQ12" s="1080">
        <f>+DQ6-DQ11</f>
        <v>2827</v>
      </c>
      <c r="DR12" s="1080">
        <f>+DR6-DR11</f>
        <v>3639</v>
      </c>
      <c r="DS12" s="1066"/>
      <c r="DT12" s="1080">
        <f>+DT6-DT11</f>
        <v>3116</v>
      </c>
      <c r="DU12" s="1080">
        <f>+DU6-DU11</f>
        <v>3567</v>
      </c>
      <c r="DV12" s="1080"/>
      <c r="DW12" s="1080"/>
      <c r="DX12" s="1066"/>
      <c r="DY12" s="1080"/>
      <c r="DZ12" s="1080"/>
      <c r="EA12" s="1080"/>
      <c r="EB12" s="1080"/>
      <c r="EC12" s="1066"/>
      <c r="ED12" s="1080"/>
      <c r="EE12" s="1080"/>
      <c r="EF12" s="1080"/>
      <c r="EG12" s="1080"/>
      <c r="EH12" s="1066"/>
      <c r="EI12" s="1080"/>
      <c r="EJ12" s="1080"/>
      <c r="EK12" s="1080"/>
      <c r="EL12" s="1080"/>
      <c r="EM12" s="1066"/>
      <c r="EN12" s="1080"/>
      <c r="EO12" s="1080"/>
      <c r="EP12" s="1080"/>
      <c r="EQ12" s="1080"/>
      <c r="ER12" s="1066"/>
      <c r="ES12" s="484"/>
    </row>
    <row r="13" spans="1:149" ht="12" customHeight="1">
      <c r="A13" s="931"/>
      <c r="B13" s="484"/>
      <c r="C13" s="600" t="s">
        <v>767</v>
      </c>
      <c r="D13" s="566"/>
      <c r="E13" s="566"/>
      <c r="F13" s="566"/>
      <c r="G13" s="566"/>
      <c r="H13" s="566"/>
      <c r="I13" s="566"/>
      <c r="J13" s="566"/>
      <c r="K13" s="566"/>
      <c r="L13" s="566"/>
      <c r="M13" s="571"/>
      <c r="N13" s="568"/>
      <c r="O13" s="568"/>
      <c r="P13" s="568"/>
      <c r="Q13" s="568"/>
      <c r="R13" s="571"/>
      <c r="S13" s="566"/>
      <c r="T13" s="566"/>
      <c r="U13" s="566"/>
      <c r="V13" s="566"/>
      <c r="W13" s="571"/>
      <c r="X13" s="569"/>
      <c r="Y13" s="569"/>
      <c r="Z13" s="569"/>
      <c r="AA13" s="569"/>
      <c r="AB13" s="571"/>
      <c r="AC13" s="569"/>
      <c r="AD13" s="569"/>
      <c r="AE13" s="569"/>
      <c r="AF13" s="569"/>
      <c r="AG13" s="571"/>
      <c r="AH13" s="570"/>
      <c r="AI13" s="571"/>
      <c r="AJ13" s="571"/>
      <c r="AK13" s="571"/>
      <c r="AL13" s="571"/>
      <c r="AM13" s="571"/>
      <c r="AN13" s="571"/>
      <c r="AO13" s="571"/>
      <c r="AP13" s="571"/>
      <c r="AQ13" s="571"/>
      <c r="AR13" s="571"/>
      <c r="AS13" s="571"/>
      <c r="AT13" s="571"/>
      <c r="AU13" s="571"/>
      <c r="AV13" s="571"/>
      <c r="AW13" s="359"/>
      <c r="AX13" s="359"/>
      <c r="AY13" s="359"/>
      <c r="AZ13" s="359"/>
      <c r="BA13" s="359"/>
      <c r="BB13" s="359"/>
      <c r="BC13" s="359"/>
      <c r="BD13" s="359"/>
      <c r="BE13" s="359"/>
      <c r="BF13" s="359"/>
      <c r="BG13" s="359"/>
      <c r="BH13" s="359"/>
      <c r="BI13" s="359"/>
      <c r="BJ13" s="359"/>
      <c r="BK13" s="359"/>
      <c r="BL13" s="244"/>
      <c r="BM13" s="244"/>
      <c r="BN13" s="244"/>
      <c r="BO13" s="244"/>
      <c r="BP13" s="244"/>
      <c r="BQ13" s="244"/>
      <c r="BR13" s="244"/>
      <c r="BS13" s="244"/>
      <c r="BT13" s="1080"/>
      <c r="BU13" s="1066"/>
      <c r="BV13" s="1080"/>
      <c r="BW13" s="1080"/>
      <c r="BX13" s="1080"/>
      <c r="BY13" s="1080"/>
      <c r="BZ13" s="1066"/>
      <c r="CA13" s="1080"/>
      <c r="CB13" s="1080"/>
      <c r="CC13" s="1080"/>
      <c r="CD13" s="1080"/>
      <c r="CE13" s="1066"/>
      <c r="CF13" s="1080"/>
      <c r="CG13" s="1080"/>
      <c r="CH13" s="1080"/>
      <c r="CI13" s="1080"/>
      <c r="CJ13" s="1066"/>
      <c r="CK13" s="1080"/>
      <c r="CL13" s="1080"/>
      <c r="CM13" s="1080"/>
      <c r="CN13" s="1080"/>
      <c r="CO13" s="1066"/>
      <c r="CP13" s="1080"/>
      <c r="CQ13" s="1080"/>
      <c r="CR13" s="1080"/>
      <c r="CS13" s="1080"/>
      <c r="CT13" s="1066"/>
      <c r="CU13" s="1080"/>
      <c r="CV13" s="1080"/>
      <c r="CW13" s="1080"/>
      <c r="CX13" s="1080"/>
      <c r="CY13" s="1066"/>
      <c r="CZ13" s="1080"/>
      <c r="DA13" s="1080"/>
      <c r="DB13" s="1080"/>
      <c r="DC13" s="1080"/>
      <c r="DD13" s="1066"/>
      <c r="DE13" s="244">
        <f>+DE12/CZ6-1</f>
        <v>0.26783884987242668</v>
      </c>
      <c r="DF13" s="244">
        <f>+DF12/DA6-1</f>
        <v>0.31267745275712455</v>
      </c>
      <c r="DG13" s="244">
        <f>+DG12/DB6-1</f>
        <v>0.25018298931342398</v>
      </c>
      <c r="DH13" s="244">
        <f>+DH12/DC6-1</f>
        <v>0.23056315411492245</v>
      </c>
      <c r="DI13" s="1066"/>
      <c r="DJ13" s="244">
        <f>+DJ12/DE6-1</f>
        <v>0.23408488063660471</v>
      </c>
      <c r="DK13" s="244">
        <f>+DK12/DF6-1</f>
        <v>0.21015348288075564</v>
      </c>
      <c r="DL13" s="244">
        <f>+DL12/DG6-1</f>
        <v>0.25962660443407226</v>
      </c>
      <c r="DM13" s="244">
        <f>+DM12/DH6-1</f>
        <v>0.3138992537313432</v>
      </c>
      <c r="DN13" s="1066"/>
      <c r="DO13" s="244">
        <f>+DO12/DJ6-1</f>
        <v>0.27780763030628686</v>
      </c>
      <c r="DP13" s="244">
        <f>+DP12/DK6-1</f>
        <v>0.30220048899755492</v>
      </c>
      <c r="DQ13" s="244">
        <f>+DQ12/DL6-1</f>
        <v>0.30758556891766875</v>
      </c>
      <c r="DR13" s="629">
        <f>+DR12/DM6-1</f>
        <v>0.29409672830725464</v>
      </c>
      <c r="DS13" s="1066"/>
      <c r="DT13" s="244">
        <f>+DT12/DO6-1</f>
        <v>0.3203389830508474</v>
      </c>
      <c r="DU13" s="244">
        <f>+DU12/DP6-1</f>
        <v>0.33097014925373136</v>
      </c>
      <c r="DV13" s="1080"/>
      <c r="DW13" s="1080"/>
      <c r="DX13" s="1066"/>
      <c r="DY13" s="1080"/>
      <c r="DZ13" s="1080"/>
      <c r="EA13" s="1080"/>
      <c r="EB13" s="1080"/>
      <c r="EC13" s="1066"/>
      <c r="ED13" s="1080"/>
      <c r="EE13" s="1080"/>
      <c r="EF13" s="1080"/>
      <c r="EG13" s="1080"/>
      <c r="EH13" s="1066"/>
      <c r="EI13" s="1080"/>
      <c r="EJ13" s="1080"/>
      <c r="EK13" s="1080"/>
      <c r="EL13" s="1080"/>
      <c r="EM13" s="1066"/>
      <c r="EN13" s="1080"/>
      <c r="EO13" s="1080"/>
      <c r="EP13" s="1080"/>
      <c r="EQ13" s="1080"/>
      <c r="ER13" s="1066"/>
      <c r="ES13" s="484"/>
    </row>
    <row r="14" spans="1:149" ht="12" customHeight="1">
      <c r="A14" s="931"/>
      <c r="B14" s="484"/>
      <c r="C14" s="600"/>
      <c r="D14" s="566"/>
      <c r="E14" s="566"/>
      <c r="F14" s="566"/>
      <c r="G14" s="566"/>
      <c r="H14" s="566"/>
      <c r="I14" s="566"/>
      <c r="J14" s="566"/>
      <c r="K14" s="566"/>
      <c r="L14" s="566"/>
      <c r="M14" s="571"/>
      <c r="N14" s="568"/>
      <c r="O14" s="568"/>
      <c r="P14" s="568"/>
      <c r="Q14" s="568"/>
      <c r="R14" s="571"/>
      <c r="S14" s="566"/>
      <c r="T14" s="566"/>
      <c r="U14" s="566"/>
      <c r="V14" s="566"/>
      <c r="W14" s="571"/>
      <c r="X14" s="569"/>
      <c r="Y14" s="569"/>
      <c r="Z14" s="569"/>
      <c r="AA14" s="569"/>
      <c r="AB14" s="571"/>
      <c r="AC14" s="569"/>
      <c r="AD14" s="569"/>
      <c r="AE14" s="569"/>
      <c r="AF14" s="569"/>
      <c r="AG14" s="571"/>
      <c r="AH14" s="570"/>
      <c r="AI14" s="571"/>
      <c r="AJ14" s="571"/>
      <c r="AK14" s="571"/>
      <c r="AL14" s="571"/>
      <c r="AM14" s="571"/>
      <c r="AN14" s="571"/>
      <c r="AO14" s="571"/>
      <c r="AP14" s="571"/>
      <c r="AQ14" s="571"/>
      <c r="AR14" s="571"/>
      <c r="AS14" s="571"/>
      <c r="AT14" s="571"/>
      <c r="AU14" s="571"/>
      <c r="AV14" s="571"/>
      <c r="AW14" s="359"/>
      <c r="AX14" s="359"/>
      <c r="AY14" s="359"/>
      <c r="AZ14" s="359"/>
      <c r="BA14" s="359"/>
      <c r="BB14" s="359"/>
      <c r="BC14" s="359"/>
      <c r="BD14" s="359"/>
      <c r="BE14" s="359"/>
      <c r="BF14" s="359"/>
      <c r="BG14" s="359"/>
      <c r="BH14" s="359"/>
      <c r="BI14" s="359"/>
      <c r="BJ14" s="359"/>
      <c r="BK14" s="359"/>
      <c r="BL14" s="244"/>
      <c r="BM14" s="244"/>
      <c r="BN14" s="244"/>
      <c r="BO14" s="244"/>
      <c r="BP14" s="244"/>
      <c r="BQ14" s="244"/>
      <c r="BR14" s="244"/>
      <c r="BS14" s="244"/>
      <c r="BT14" s="1080"/>
      <c r="BU14" s="1066"/>
      <c r="BV14" s="1080"/>
      <c r="BW14" s="1080"/>
      <c r="BX14" s="1080"/>
      <c r="BY14" s="1080"/>
      <c r="BZ14" s="1066"/>
      <c r="CA14" s="1080"/>
      <c r="CB14" s="1080"/>
      <c r="CC14" s="1080"/>
      <c r="CD14" s="1080"/>
      <c r="CE14" s="1066"/>
      <c r="CF14" s="1080"/>
      <c r="CG14" s="1080"/>
      <c r="CH14" s="1080"/>
      <c r="CI14" s="1080"/>
      <c r="CJ14" s="1066"/>
      <c r="CK14" s="1080"/>
      <c r="CL14" s="1080"/>
      <c r="CM14" s="1080"/>
      <c r="CN14" s="1080"/>
      <c r="CO14" s="1066"/>
      <c r="CP14" s="1080"/>
      <c r="CQ14" s="1080"/>
      <c r="CR14" s="1080"/>
      <c r="CS14" s="1080"/>
      <c r="CT14" s="1066"/>
      <c r="CU14" s="1080"/>
      <c r="CV14" s="1080"/>
      <c r="CW14" s="1080"/>
      <c r="CX14" s="1080"/>
      <c r="CY14" s="1066"/>
      <c r="CZ14" s="1080"/>
      <c r="DA14" s="1080"/>
      <c r="DB14" s="1080"/>
      <c r="DC14" s="1080"/>
      <c r="DD14" s="1066"/>
      <c r="DE14" s="244"/>
      <c r="DF14" s="244"/>
      <c r="DG14" s="244"/>
      <c r="DH14" s="244"/>
      <c r="DI14" s="1066"/>
      <c r="DJ14" s="244"/>
      <c r="DK14" s="244"/>
      <c r="DL14" s="244"/>
      <c r="DM14" s="244"/>
      <c r="DN14" s="1066"/>
      <c r="DO14" s="244"/>
      <c r="DP14" s="244"/>
      <c r="DQ14" s="244"/>
      <c r="DR14" s="629"/>
      <c r="DS14" s="1066"/>
      <c r="DT14" s="244">
        <f>DT8-DT13</f>
        <v>2.2881355932203418E-2</v>
      </c>
      <c r="DU14" s="244"/>
      <c r="DV14" s="1080"/>
      <c r="DW14" s="1080"/>
      <c r="DX14" s="1066"/>
      <c r="DY14" s="1080"/>
      <c r="DZ14" s="1080"/>
      <c r="EA14" s="1080"/>
      <c r="EB14" s="1080"/>
      <c r="EC14" s="1066"/>
      <c r="ED14" s="1080"/>
      <c r="EE14" s="1080"/>
      <c r="EF14" s="1080"/>
      <c r="EG14" s="1080"/>
      <c r="EH14" s="1066"/>
      <c r="EI14" s="1080"/>
      <c r="EJ14" s="1080"/>
      <c r="EK14" s="1080"/>
      <c r="EL14" s="1080"/>
      <c r="EM14" s="1066"/>
      <c r="EN14" s="1080"/>
      <c r="EO14" s="1080"/>
      <c r="EP14" s="1080"/>
      <c r="EQ14" s="1080"/>
      <c r="ER14" s="1066"/>
      <c r="ES14" s="484"/>
    </row>
    <row r="15" spans="1:149" ht="12" customHeight="1">
      <c r="A15" s="931"/>
      <c r="B15" s="484"/>
      <c r="C15" s="941" t="s">
        <v>486</v>
      </c>
      <c r="D15" s="485"/>
      <c r="E15" s="485"/>
      <c r="F15" s="485"/>
      <c r="G15" s="485"/>
      <c r="H15" s="485"/>
      <c r="I15" s="486"/>
      <c r="J15" s="486"/>
      <c r="K15" s="486"/>
      <c r="L15" s="486"/>
      <c r="M15" s="487"/>
      <c r="N15" s="486"/>
      <c r="O15" s="486"/>
      <c r="P15" s="486"/>
      <c r="Q15" s="486"/>
      <c r="R15" s="487"/>
      <c r="S15" s="486"/>
      <c r="T15" s="486"/>
      <c r="U15" s="486"/>
      <c r="V15" s="486"/>
      <c r="W15" s="487"/>
      <c r="X15" s="488"/>
      <c r="Y15" s="488"/>
      <c r="Z15" s="488"/>
      <c r="AA15" s="488"/>
      <c r="AB15" s="487"/>
      <c r="AC15" s="488"/>
      <c r="AD15" s="488"/>
      <c r="AE15" s="488"/>
      <c r="AF15" s="488"/>
      <c r="AG15" s="487"/>
      <c r="AH15" s="486"/>
      <c r="AI15" s="486"/>
      <c r="AJ15" s="486"/>
      <c r="AK15" s="486"/>
      <c r="AL15" s="487"/>
      <c r="AM15" s="486"/>
      <c r="AN15" s="486"/>
      <c r="AO15" s="486"/>
      <c r="AP15" s="486"/>
      <c r="AQ15" s="487"/>
      <c r="AR15" s="486"/>
      <c r="AS15" s="486"/>
      <c r="AT15" s="486"/>
      <c r="AU15" s="489"/>
      <c r="AV15" s="487"/>
      <c r="AW15" s="486"/>
      <c r="AX15" s="486"/>
      <c r="AY15" s="486"/>
      <c r="AZ15" s="489"/>
      <c r="BA15" s="487"/>
      <c r="BB15" s="489"/>
      <c r="BC15" s="489"/>
      <c r="BD15" s="489"/>
      <c r="BE15" s="489"/>
      <c r="BF15" s="524"/>
      <c r="BG15" s="525"/>
      <c r="BH15" s="525"/>
      <c r="BI15" s="525"/>
      <c r="BJ15" s="525"/>
      <c r="BK15" s="487"/>
      <c r="BL15" s="525"/>
      <c r="BM15" s="525"/>
      <c r="BN15" s="525"/>
      <c r="BO15" s="525"/>
      <c r="BP15" s="487"/>
      <c r="BQ15" s="525"/>
      <c r="BR15" s="525"/>
      <c r="BS15" s="525"/>
      <c r="BT15" s="525"/>
      <c r="BU15" s="526"/>
      <c r="BV15" s="525"/>
      <c r="BW15" s="525"/>
      <c r="BX15" s="525"/>
      <c r="BY15" s="525"/>
      <c r="BZ15" s="526"/>
      <c r="CA15" s="525"/>
      <c r="CB15" s="525"/>
      <c r="CC15" s="525"/>
      <c r="CD15" s="525"/>
      <c r="CE15" s="526"/>
      <c r="CF15" s="525"/>
      <c r="CG15" s="525"/>
      <c r="CH15" s="525"/>
      <c r="CI15" s="525"/>
      <c r="CJ15" s="527"/>
      <c r="CK15" s="528"/>
      <c r="CL15" s="528"/>
      <c r="CM15" s="528"/>
      <c r="CN15" s="528"/>
      <c r="CO15" s="527"/>
      <c r="CP15" s="528"/>
      <c r="CQ15" s="528"/>
      <c r="CR15" s="405"/>
      <c r="CS15" s="528"/>
      <c r="CT15" s="527"/>
      <c r="CU15" s="528"/>
      <c r="CV15" s="528"/>
      <c r="CW15" s="528"/>
      <c r="CX15" s="528"/>
      <c r="CY15" s="527"/>
      <c r="CZ15" s="528"/>
      <c r="DA15" s="528"/>
      <c r="DB15" s="528"/>
      <c r="DC15" s="528"/>
      <c r="DD15" s="527"/>
      <c r="DE15" s="528"/>
      <c r="DF15" s="528"/>
      <c r="DG15" s="528"/>
      <c r="DH15" s="528"/>
      <c r="DI15" s="527"/>
      <c r="DJ15" s="528"/>
      <c r="DK15" s="528"/>
      <c r="DL15" s="528"/>
      <c r="DM15" s="528"/>
      <c r="DN15" s="527"/>
      <c r="DO15" s="528"/>
      <c r="DP15" s="528"/>
      <c r="DQ15" s="528"/>
      <c r="DR15" s="528"/>
      <c r="DS15" s="527"/>
      <c r="DT15" s="528"/>
      <c r="DU15" s="528"/>
      <c r="DV15" s="528"/>
      <c r="DW15" s="528"/>
      <c r="DX15" s="527"/>
      <c r="DY15" s="528"/>
      <c r="DZ15" s="528"/>
      <c r="EA15" s="528"/>
      <c r="EB15" s="528"/>
      <c r="EC15" s="527"/>
      <c r="ED15" s="528"/>
      <c r="EE15" s="528"/>
      <c r="EF15" s="528"/>
      <c r="EG15" s="528"/>
      <c r="EH15" s="527"/>
      <c r="EI15" s="528"/>
      <c r="EJ15" s="528"/>
      <c r="EK15" s="528"/>
      <c r="EL15" s="528"/>
      <c r="EM15" s="527"/>
      <c r="EN15" s="528"/>
      <c r="EO15" s="528"/>
      <c r="EP15" s="528"/>
      <c r="EQ15" s="528"/>
      <c r="ER15" s="527"/>
      <c r="ES15" s="490"/>
    </row>
    <row r="16" spans="1:149" s="1068" customFormat="1" ht="12" customHeight="1">
      <c r="A16" s="932"/>
      <c r="B16" s="89"/>
      <c r="C16" s="394" t="s">
        <v>380</v>
      </c>
      <c r="D16" s="500"/>
      <c r="E16" s="643"/>
      <c r="F16" s="643"/>
      <c r="G16" s="643"/>
      <c r="H16" s="643"/>
      <c r="I16" s="502"/>
      <c r="J16" s="502"/>
      <c r="K16" s="502"/>
      <c r="L16" s="502"/>
      <c r="M16" s="643"/>
      <c r="N16" s="644"/>
      <c r="O16" s="644"/>
      <c r="P16" s="644"/>
      <c r="Q16" s="644"/>
      <c r="R16" s="643"/>
      <c r="S16" s="644"/>
      <c r="T16" s="644"/>
      <c r="U16" s="644"/>
      <c r="V16" s="644"/>
      <c r="W16" s="643"/>
      <c r="X16" s="644"/>
      <c r="Y16" s="644"/>
      <c r="Z16" s="644"/>
      <c r="AA16" s="644"/>
      <c r="AB16" s="643"/>
      <c r="AC16" s="644"/>
      <c r="AD16" s="644"/>
      <c r="AE16" s="644"/>
      <c r="AF16" s="644"/>
      <c r="AG16" s="643"/>
      <c r="AH16" s="644"/>
      <c r="AI16" s="644"/>
      <c r="AJ16" s="644"/>
      <c r="AK16" s="644"/>
      <c r="AL16" s="643"/>
      <c r="AM16" s="644"/>
      <c r="AN16" s="644"/>
      <c r="AO16" s="644"/>
      <c r="AP16" s="644"/>
      <c r="AQ16" s="643"/>
      <c r="AR16" s="644"/>
      <c r="AS16" s="644"/>
      <c r="AT16" s="644"/>
      <c r="AU16" s="644"/>
      <c r="AV16" s="643"/>
      <c r="AW16" s="644"/>
      <c r="AX16" s="644"/>
      <c r="AY16" s="644"/>
      <c r="AZ16" s="644"/>
      <c r="BA16" s="643"/>
      <c r="BB16" s="644"/>
      <c r="BC16" s="644"/>
      <c r="BD16" s="644"/>
      <c r="BE16" s="644"/>
      <c r="BF16" s="643"/>
      <c r="BG16" s="654"/>
      <c r="BH16" s="654"/>
      <c r="BI16" s="654"/>
      <c r="BJ16" s="654"/>
      <c r="BK16" s="643"/>
      <c r="BL16" s="644"/>
      <c r="BM16" s="644"/>
      <c r="BN16" s="644"/>
      <c r="BO16" s="644"/>
      <c r="BP16" s="643"/>
      <c r="BQ16" s="644"/>
      <c r="BR16" s="644"/>
      <c r="BS16" s="644"/>
      <c r="BT16" s="553">
        <v>165</v>
      </c>
      <c r="BU16" s="1037">
        <v>165</v>
      </c>
      <c r="BV16" s="1038">
        <f>BU16*(1+BV18)</f>
        <v>219.94499999999999</v>
      </c>
      <c r="BW16" s="1038">
        <f>BV16*(1+BW18)</f>
        <v>280</v>
      </c>
      <c r="BX16" s="1038">
        <f>BW16*(1+BX18)</f>
        <v>320</v>
      </c>
      <c r="BY16" s="553">
        <v>377.5</v>
      </c>
      <c r="BZ16" s="1037">
        <v>377.5</v>
      </c>
      <c r="CA16" s="1038">
        <f>BZ16*(1+CA18)</f>
        <v>419.99999999999994</v>
      </c>
      <c r="CB16" s="1038">
        <f>CA16*(1+CB18)</f>
        <v>499.99999999999994</v>
      </c>
      <c r="CC16" s="1038">
        <f>CB16*(1+CC18)</f>
        <v>569.99999999999989</v>
      </c>
      <c r="CD16" s="553">
        <v>609</v>
      </c>
      <c r="CE16" s="1037">
        <v>609</v>
      </c>
      <c r="CF16" s="1038">
        <f>CE16*(1+CF18)</f>
        <v>650</v>
      </c>
      <c r="CG16" s="1038">
        <f>CF16*(1+CG18)</f>
        <v>700</v>
      </c>
      <c r="CH16" s="1038">
        <f>CG16*(1+CH18)</f>
        <v>759.99999999999989</v>
      </c>
      <c r="CI16" s="553">
        <v>820</v>
      </c>
      <c r="CJ16" s="1037">
        <v>820</v>
      </c>
      <c r="CK16" s="1038">
        <f>CJ16*(1+CK18)</f>
        <v>850</v>
      </c>
      <c r="CL16" s="1038">
        <f>CK16*(1+CL18)</f>
        <v>900</v>
      </c>
      <c r="CM16" s="1038">
        <f>CL16*(1+CM18)</f>
        <v>950</v>
      </c>
      <c r="CN16" s="553">
        <v>1069</v>
      </c>
      <c r="CO16" s="1037">
        <v>1000</v>
      </c>
      <c r="CP16" s="1038">
        <f>CO16*(1+CP18)</f>
        <v>1100</v>
      </c>
      <c r="CQ16" s="1038">
        <f>CP16*(1+CQ18)</f>
        <v>1232.0000000000002</v>
      </c>
      <c r="CR16" s="1038">
        <f>CQ16*(1+CR18)</f>
        <v>1460.1481481481483</v>
      </c>
      <c r="CS16" s="553">
        <v>1749</v>
      </c>
      <c r="CT16" s="1037">
        <v>1749</v>
      </c>
      <c r="CU16" s="1038">
        <f>CT16*(1+CU18)</f>
        <v>1818.96</v>
      </c>
      <c r="CV16" s="1038">
        <f>CU16*(1+CV18)</f>
        <v>1891.7184000000002</v>
      </c>
      <c r="CW16" s="1038">
        <f>CV16*(1+CW18)</f>
        <v>1967.3871360000003</v>
      </c>
      <c r="CX16" s="553">
        <v>2063</v>
      </c>
      <c r="CY16" s="1037">
        <f>CX16</f>
        <v>2063</v>
      </c>
      <c r="CZ16" s="1039">
        <f>CY16*(1+CZ18)</f>
        <v>2083.63</v>
      </c>
      <c r="DA16" s="1039">
        <f>CZ16*(1+DA18)</f>
        <v>2104.4663</v>
      </c>
      <c r="DB16" s="1039">
        <f>DA16*(1+DB18)</f>
        <v>2125.5109630000002</v>
      </c>
      <c r="DC16" s="1039">
        <f>DB16*(1+DC18)</f>
        <v>2444.3376074500002</v>
      </c>
      <c r="DD16" s="1037">
        <f>DC16</f>
        <v>2444.3376074500002</v>
      </c>
      <c r="DE16" s="1039">
        <f>DD16*(1+DE18)</f>
        <v>2810.9882485674998</v>
      </c>
      <c r="DF16" s="1039">
        <f>DE16*(1+DF18)</f>
        <v>2951.5376609958748</v>
      </c>
      <c r="DG16" s="1039">
        <f>DF16*(1+DG18)</f>
        <v>2981.0530376058337</v>
      </c>
      <c r="DH16" s="1039">
        <f>DG16*(1+DH18)</f>
        <v>3055.579363545979</v>
      </c>
      <c r="DI16" s="1037">
        <f>DH16</f>
        <v>3055.579363545979</v>
      </c>
      <c r="DJ16" s="1039">
        <f>DI16*(1+DJ18)</f>
        <v>3131.9688476346282</v>
      </c>
      <c r="DK16" s="1039">
        <f>DJ16*(1+DK18)</f>
        <v>3210.2680688254936</v>
      </c>
      <c r="DL16" s="1039">
        <f>DK16*(1+DL18)</f>
        <v>3290.5247705461306</v>
      </c>
      <c r="DM16" s="1039">
        <f>DL16*(1+DM18)</f>
        <v>3372.7878898097838</v>
      </c>
      <c r="DN16" s="1037">
        <f>DM16</f>
        <v>3372.7878898097838</v>
      </c>
      <c r="DO16" s="1039">
        <f>DN16*(1+DO18)</f>
        <v>3457.107587055028</v>
      </c>
      <c r="DP16" s="1039">
        <f>DO16*(1+DP18)</f>
        <v>3543.5352767314034</v>
      </c>
      <c r="DQ16" s="1039">
        <f>DP16*(1+DQ18)</f>
        <v>3632.1236586496884</v>
      </c>
      <c r="DR16" s="1039">
        <f>DQ16*(1+DR18)</f>
        <v>3722.9267501159302</v>
      </c>
      <c r="DS16" s="1037">
        <f>DR16</f>
        <v>3722.9267501159302</v>
      </c>
      <c r="DT16" s="1039">
        <f>DS16*(1+DT18)</f>
        <v>3815.999918868828</v>
      </c>
      <c r="DU16" s="1039">
        <f>DT16*(1+DU18)</f>
        <v>3911.3999168405485</v>
      </c>
      <c r="DV16" s="1039">
        <f>DU16*(1+DV18)</f>
        <v>4028.7419143457651</v>
      </c>
      <c r="DW16" s="1039">
        <f>DV16*(1+DW18)</f>
        <v>4149.6041717761382</v>
      </c>
      <c r="DX16" s="1037">
        <f>DW16</f>
        <v>4149.6041717761382</v>
      </c>
      <c r="DY16" s="1039">
        <f>DX16*(1+DY18)</f>
        <v>4274.0922969294224</v>
      </c>
      <c r="DZ16" s="1039">
        <f>DY16*(1+DZ18)</f>
        <v>4402.3150658373052</v>
      </c>
      <c r="EA16" s="1039">
        <f>DZ16*(1+EA18)</f>
        <v>4534.3845178124247</v>
      </c>
      <c r="EB16" s="1039">
        <f>EA16*(1+EB18)</f>
        <v>4670.4160533467975</v>
      </c>
      <c r="EC16" s="1037">
        <f>EB16</f>
        <v>4670.4160533467975</v>
      </c>
      <c r="ED16" s="1039">
        <f>EC16*(1+ED18)</f>
        <v>4787.176454680467</v>
      </c>
      <c r="EE16" s="1039">
        <f>ED16*(1+EE18)</f>
        <v>4906.8558660474782</v>
      </c>
      <c r="EF16" s="1039">
        <f>EE16*(1+EF18)</f>
        <v>5029.5272626986643</v>
      </c>
      <c r="EG16" s="1039">
        <f>EF16*(1+EG18)</f>
        <v>5155.2654442661305</v>
      </c>
      <c r="EH16" s="1037">
        <f>EG16</f>
        <v>5155.2654442661305</v>
      </c>
      <c r="EI16" s="1039">
        <f>EH16*(1+EI18)</f>
        <v>5284.1470803727834</v>
      </c>
      <c r="EJ16" s="1039">
        <f>EI16*(1+EJ18)</f>
        <v>5416.2507573821022</v>
      </c>
      <c r="EK16" s="1039">
        <f>EJ16*(1+EK18)</f>
        <v>5551.6570263166541</v>
      </c>
      <c r="EL16" s="1039">
        <f>EK16*(1+EL18)</f>
        <v>5690.4484519745702</v>
      </c>
      <c r="EM16" s="1037">
        <f>EL16</f>
        <v>5690.4484519745702</v>
      </c>
      <c r="EN16" s="1039">
        <f>EM16*(1+EN18)</f>
        <v>5832.709663273934</v>
      </c>
      <c r="EO16" s="1039">
        <f>EN16*(1+EO18)</f>
        <v>5978.5274048557822</v>
      </c>
      <c r="EP16" s="1039">
        <f>EO16*(1+EP18)</f>
        <v>6127.9905899771766</v>
      </c>
      <c r="EQ16" s="1039">
        <f>EP16*(1+EQ18)</f>
        <v>6281.1903547266056</v>
      </c>
      <c r="ER16" s="1037">
        <f>EQ16</f>
        <v>6281.1903547266056</v>
      </c>
      <c r="ES16" s="499"/>
    </row>
    <row r="17" spans="1:149" ht="12" customHeight="1">
      <c r="A17" s="931"/>
      <c r="B17" s="484"/>
      <c r="C17" s="258" t="s">
        <v>269</v>
      </c>
      <c r="D17" s="407"/>
      <c r="E17" s="501"/>
      <c r="F17" s="501"/>
      <c r="G17" s="501"/>
      <c r="H17" s="501"/>
      <c r="I17" s="646"/>
      <c r="J17" s="646"/>
      <c r="K17" s="646"/>
      <c r="L17" s="646"/>
      <c r="M17" s="501"/>
      <c r="N17" s="359"/>
      <c r="O17" s="359"/>
      <c r="P17" s="359"/>
      <c r="Q17" s="359"/>
      <c r="R17" s="501"/>
      <c r="S17" s="359"/>
      <c r="T17" s="359"/>
      <c r="U17" s="359"/>
      <c r="V17" s="359"/>
      <c r="W17" s="501"/>
      <c r="X17" s="359"/>
      <c r="Y17" s="359"/>
      <c r="Z17" s="359"/>
      <c r="AA17" s="359"/>
      <c r="AB17" s="501"/>
      <c r="AC17" s="359"/>
      <c r="AD17" s="359"/>
      <c r="AE17" s="359"/>
      <c r="AF17" s="359"/>
      <c r="AG17" s="501"/>
      <c r="AH17" s="359"/>
      <c r="AI17" s="359"/>
      <c r="AJ17" s="359"/>
      <c r="AK17" s="359"/>
      <c r="AL17" s="501"/>
      <c r="AM17" s="359"/>
      <c r="AN17" s="359"/>
      <c r="AO17" s="359"/>
      <c r="AP17" s="359"/>
      <c r="AQ17" s="501"/>
      <c r="AR17" s="359"/>
      <c r="AS17" s="359"/>
      <c r="AT17" s="359"/>
      <c r="AU17" s="359"/>
      <c r="AV17" s="501"/>
      <c r="AW17" s="359"/>
      <c r="AX17" s="359"/>
      <c r="AY17" s="359"/>
      <c r="AZ17" s="359"/>
      <c r="BA17" s="501"/>
      <c r="BB17" s="359"/>
      <c r="BC17" s="359"/>
      <c r="BD17" s="359"/>
      <c r="BE17" s="359"/>
      <c r="BF17" s="501"/>
      <c r="BG17" s="539"/>
      <c r="BH17" s="539"/>
      <c r="BI17" s="539"/>
      <c r="BJ17" s="539"/>
      <c r="BK17" s="501"/>
      <c r="BL17" s="359"/>
      <c r="BM17" s="359"/>
      <c r="BN17" s="359"/>
      <c r="BO17" s="359"/>
      <c r="BP17" s="501"/>
      <c r="BQ17" s="359"/>
      <c r="BR17" s="359"/>
      <c r="BS17" s="359"/>
      <c r="BT17" s="359"/>
      <c r="BU17" s="534">
        <f>BU16-BP16</f>
        <v>165</v>
      </c>
      <c r="BV17" s="535">
        <f>BV16-BT16</f>
        <v>54.944999999999993</v>
      </c>
      <c r="BW17" s="535">
        <f>BW16-BV16</f>
        <v>60.055000000000007</v>
      </c>
      <c r="BX17" s="535">
        <f>BX16-BW16</f>
        <v>40</v>
      </c>
      <c r="BY17" s="535">
        <f>BY16-BX16</f>
        <v>57.5</v>
      </c>
      <c r="BZ17" s="534">
        <f>BZ16-BU16</f>
        <v>212.5</v>
      </c>
      <c r="CA17" s="535">
        <f>CA16-BY16</f>
        <v>42.499999999999943</v>
      </c>
      <c r="CB17" s="535">
        <f>CB16-CA16</f>
        <v>80</v>
      </c>
      <c r="CC17" s="535">
        <f>CC16-CB16</f>
        <v>69.999999999999943</v>
      </c>
      <c r="CD17" s="535">
        <f>CD16-CC16</f>
        <v>39.000000000000114</v>
      </c>
      <c r="CE17" s="534">
        <f>CE16-BZ16</f>
        <v>231.5</v>
      </c>
      <c r="CF17" s="535">
        <f>CF16-CD16</f>
        <v>41</v>
      </c>
      <c r="CG17" s="535">
        <f>CG16-CF16</f>
        <v>50</v>
      </c>
      <c r="CH17" s="535">
        <f>CH16-CG16</f>
        <v>59.999999999999886</v>
      </c>
      <c r="CI17" s="535">
        <f>CI16-CH16</f>
        <v>60.000000000000114</v>
      </c>
      <c r="CJ17" s="534">
        <f>CJ16-CE16</f>
        <v>211</v>
      </c>
      <c r="CK17" s="535">
        <f>CK16-CI16</f>
        <v>30</v>
      </c>
      <c r="CL17" s="535">
        <f>CL16-CK16</f>
        <v>50</v>
      </c>
      <c r="CM17" s="535">
        <f>CM16-CL16</f>
        <v>50</v>
      </c>
      <c r="CN17" s="535">
        <f>CN16-CM16</f>
        <v>119</v>
      </c>
      <c r="CO17" s="534">
        <f>CO16-CJ16</f>
        <v>180</v>
      </c>
      <c r="CP17" s="535">
        <f>CP16-CN16</f>
        <v>31</v>
      </c>
      <c r="CQ17" s="535">
        <f>CQ16-CP16</f>
        <v>132.00000000000023</v>
      </c>
      <c r="CR17" s="535">
        <f>CR16-CQ16</f>
        <v>228.14814814814804</v>
      </c>
      <c r="CS17" s="535">
        <f>CS16-CR16</f>
        <v>288.85185185185173</v>
      </c>
      <c r="CT17" s="534">
        <f>CT16-CO16</f>
        <v>749</v>
      </c>
      <c r="CU17" s="535">
        <f>CU16-CS16</f>
        <v>69.960000000000036</v>
      </c>
      <c r="CV17" s="535">
        <f>CV16-CU16</f>
        <v>72.758400000000165</v>
      </c>
      <c r="CW17" s="535">
        <f>CW16-CV16</f>
        <v>75.668736000000081</v>
      </c>
      <c r="CX17" s="535">
        <f>CX16-CW16</f>
        <v>95.612863999999718</v>
      </c>
      <c r="CY17" s="534">
        <f>SUM(CU17:CX17)</f>
        <v>314</v>
      </c>
      <c r="CZ17" s="535">
        <f>CZ16-CX16</f>
        <v>20.630000000000109</v>
      </c>
      <c r="DA17" s="535">
        <f>DA16-CZ16</f>
        <v>20.836299999999937</v>
      </c>
      <c r="DB17" s="535">
        <f>DB16-DA16</f>
        <v>21.044663000000128</v>
      </c>
      <c r="DC17" s="535">
        <f>DC16-DB16</f>
        <v>318.82664445</v>
      </c>
      <c r="DD17" s="534">
        <f>SUM(CZ17:DC17)</f>
        <v>381.33760745000018</v>
      </c>
      <c r="DE17" s="535">
        <f>DE16-DC16</f>
        <v>366.65064111749962</v>
      </c>
      <c r="DF17" s="535">
        <f>DF16-DE16</f>
        <v>140.54941242837504</v>
      </c>
      <c r="DG17" s="535">
        <f>DG16-DF16</f>
        <v>29.515376609958821</v>
      </c>
      <c r="DH17" s="535">
        <f>DH16-DG16</f>
        <v>74.526325940145398</v>
      </c>
      <c r="DI17" s="534">
        <f>SUM(DE17:DH17)</f>
        <v>611.24175609597887</v>
      </c>
      <c r="DJ17" s="535">
        <f>DJ16-DI16</f>
        <v>76.389484088649169</v>
      </c>
      <c r="DK17" s="535">
        <f>DK16-DJ16</f>
        <v>78.29922119086541</v>
      </c>
      <c r="DL17" s="535">
        <f>DL16-DK16</f>
        <v>80.256701720637011</v>
      </c>
      <c r="DM17" s="535">
        <f>DM16-DL16</f>
        <v>82.263119263653152</v>
      </c>
      <c r="DN17" s="534">
        <f>SUM(DJ17:DM17)</f>
        <v>317.20852626380474</v>
      </c>
      <c r="DO17" s="535">
        <f>DO16-DN16</f>
        <v>84.319697245244242</v>
      </c>
      <c r="DP17" s="535">
        <f>DP16-DO16</f>
        <v>86.427689676375394</v>
      </c>
      <c r="DQ17" s="535">
        <f>DQ16-DP16</f>
        <v>88.588381918284995</v>
      </c>
      <c r="DR17" s="535">
        <f>DR16-DQ16</f>
        <v>90.803091466241767</v>
      </c>
      <c r="DS17" s="534">
        <f>SUM(DO17:DR17)</f>
        <v>350.1388603061464</v>
      </c>
      <c r="DT17" s="535">
        <f>DT16-DS16</f>
        <v>93.0731687528978</v>
      </c>
      <c r="DU17" s="535">
        <f>DU16-DT16</f>
        <v>95.399997971720495</v>
      </c>
      <c r="DV17" s="535">
        <f>DV16-DU16</f>
        <v>117.34199750521657</v>
      </c>
      <c r="DW17" s="535">
        <f>DW16-DV16</f>
        <v>120.86225743037312</v>
      </c>
      <c r="DX17" s="534">
        <f>SUM(DT17:DW17)</f>
        <v>426.67742166020798</v>
      </c>
      <c r="DY17" s="535">
        <f>DY16-DW16</f>
        <v>124.48812515328427</v>
      </c>
      <c r="DZ17" s="535">
        <f>DZ16-DY16</f>
        <v>128.22276890788271</v>
      </c>
      <c r="EA17" s="535">
        <f>EA16-DZ16</f>
        <v>132.06945197511959</v>
      </c>
      <c r="EB17" s="535">
        <f>EB16-EA16</f>
        <v>136.03153553437278</v>
      </c>
      <c r="EC17" s="534">
        <f>SUM(DY17:EB17)</f>
        <v>520.81188157065935</v>
      </c>
      <c r="ED17" s="535">
        <f>ED16-EB16</f>
        <v>116.76040133366951</v>
      </c>
      <c r="EE17" s="535">
        <f>EE16-ED16</f>
        <v>119.6794113670112</v>
      </c>
      <c r="EF17" s="535">
        <f>EF16-EE16</f>
        <v>122.67139665118611</v>
      </c>
      <c r="EG17" s="535">
        <f>EG16-EF16</f>
        <v>125.7381815674662</v>
      </c>
      <c r="EH17" s="534">
        <f>SUM(ED17:EG17)</f>
        <v>484.84939091933302</v>
      </c>
      <c r="EI17" s="535">
        <f>EI16-EG16</f>
        <v>128.88163610665288</v>
      </c>
      <c r="EJ17" s="535">
        <f>EJ16-EI16</f>
        <v>132.10367700931874</v>
      </c>
      <c r="EK17" s="535">
        <f>EK16-EJ16</f>
        <v>135.40626893455192</v>
      </c>
      <c r="EL17" s="535">
        <f>EL16-EK16</f>
        <v>138.79142565791608</v>
      </c>
      <c r="EM17" s="534">
        <f>SUM(EI17:EL17)</f>
        <v>535.18300770843962</v>
      </c>
      <c r="EN17" s="535">
        <f>EN16-EL16</f>
        <v>142.26121129936382</v>
      </c>
      <c r="EO17" s="535">
        <f>EO16-EN16</f>
        <v>145.81774158184817</v>
      </c>
      <c r="EP17" s="535">
        <f>EP16-EO16</f>
        <v>149.46318512139442</v>
      </c>
      <c r="EQ17" s="535">
        <f>EQ16-EP16</f>
        <v>153.19976474942905</v>
      </c>
      <c r="ER17" s="534">
        <f>SUM(EN17:EQ17)</f>
        <v>590.74190275203546</v>
      </c>
      <c r="ES17" s="490"/>
    </row>
    <row r="18" spans="1:149" ht="12" customHeight="1">
      <c r="A18" s="931"/>
      <c r="B18" s="484"/>
      <c r="C18" s="641" t="s">
        <v>130</v>
      </c>
      <c r="D18" s="500"/>
      <c r="E18" s="501"/>
      <c r="F18" s="501"/>
      <c r="G18" s="501"/>
      <c r="H18" s="501"/>
      <c r="I18" s="502"/>
      <c r="J18" s="502"/>
      <c r="K18" s="502"/>
      <c r="L18" s="502"/>
      <c r="M18" s="501"/>
      <c r="N18" s="359"/>
      <c r="O18" s="359"/>
      <c r="P18" s="359"/>
      <c r="Q18" s="359"/>
      <c r="R18" s="501"/>
      <c r="S18" s="359"/>
      <c r="T18" s="359"/>
      <c r="U18" s="359"/>
      <c r="V18" s="359"/>
      <c r="W18" s="501"/>
      <c r="X18" s="359"/>
      <c r="Y18" s="359"/>
      <c r="Z18" s="359"/>
      <c r="AA18" s="359"/>
      <c r="AB18" s="501"/>
      <c r="AC18" s="359"/>
      <c r="AD18" s="359"/>
      <c r="AE18" s="359"/>
      <c r="AF18" s="359"/>
      <c r="AG18" s="501"/>
      <c r="AH18" s="359"/>
      <c r="AI18" s="359"/>
      <c r="AJ18" s="359"/>
      <c r="AK18" s="359"/>
      <c r="AL18" s="501"/>
      <c r="AM18" s="359"/>
      <c r="AN18" s="359"/>
      <c r="AO18" s="359"/>
      <c r="AP18" s="359"/>
      <c r="AQ18" s="501"/>
      <c r="AR18" s="359"/>
      <c r="AS18" s="359"/>
      <c r="AT18" s="359"/>
      <c r="AU18" s="359"/>
      <c r="AV18" s="501"/>
      <c r="AW18" s="359"/>
      <c r="AX18" s="359"/>
      <c r="AY18" s="359"/>
      <c r="AZ18" s="359"/>
      <c r="BA18" s="501"/>
      <c r="BB18" s="359"/>
      <c r="BC18" s="359"/>
      <c r="BD18" s="359"/>
      <c r="BE18" s="359"/>
      <c r="BF18" s="501"/>
      <c r="BG18" s="242"/>
      <c r="BH18" s="242"/>
      <c r="BI18" s="242"/>
      <c r="BJ18" s="242"/>
      <c r="BK18" s="501"/>
      <c r="BL18" s="244"/>
      <c r="BM18" s="244"/>
      <c r="BN18" s="244"/>
      <c r="BO18" s="244"/>
      <c r="BP18" s="238"/>
      <c r="BQ18" s="536"/>
      <c r="BR18" s="244"/>
      <c r="BS18" s="244"/>
      <c r="BT18" s="244"/>
      <c r="BU18" s="238"/>
      <c r="BV18" s="586">
        <v>0.33300000000000002</v>
      </c>
      <c r="BW18" s="586">
        <v>0.27304553411080046</v>
      </c>
      <c r="BX18" s="586">
        <v>0.14285714285714279</v>
      </c>
      <c r="BY18" s="244">
        <f>BY16/BX16-1</f>
        <v>0.1796875</v>
      </c>
      <c r="BZ18" s="238"/>
      <c r="CA18" s="586">
        <v>0.11258278145695355</v>
      </c>
      <c r="CB18" s="586">
        <v>0.19047619047619047</v>
      </c>
      <c r="CC18" s="586">
        <v>0.1399999999999999</v>
      </c>
      <c r="CD18" s="244">
        <f>CD16/CC16-1</f>
        <v>6.842105263157916E-2</v>
      </c>
      <c r="CE18" s="238"/>
      <c r="CF18" s="586">
        <v>6.7323481116584594E-2</v>
      </c>
      <c r="CG18" s="586">
        <v>7.6923076923076872E-2</v>
      </c>
      <c r="CH18" s="586">
        <v>8.5714285714285632E-2</v>
      </c>
      <c r="CI18" s="244">
        <f>CI16/CH16-1</f>
        <v>7.8947368421052877E-2</v>
      </c>
      <c r="CJ18" s="238"/>
      <c r="CK18" s="586">
        <v>3.6585365853658569E-2</v>
      </c>
      <c r="CL18" s="586">
        <v>5.8823529411764719E-2</v>
      </c>
      <c r="CM18" s="586">
        <v>5.555555555555558E-2</v>
      </c>
      <c r="CN18" s="244">
        <f>CN16/CM16-1</f>
        <v>0.12526315789473674</v>
      </c>
      <c r="CO18" s="238"/>
      <c r="CP18" s="586">
        <v>0.1</v>
      </c>
      <c r="CQ18" s="586">
        <v>0.12</v>
      </c>
      <c r="CR18" s="586">
        <v>0.18518518518518512</v>
      </c>
      <c r="CS18" s="244">
        <f>CS16/CR16-1</f>
        <v>0.19782366071428559</v>
      </c>
      <c r="CT18" s="238"/>
      <c r="CU18" s="586">
        <v>0.04</v>
      </c>
      <c r="CV18" s="586">
        <v>0.04</v>
      </c>
      <c r="CW18" s="586">
        <v>0.04</v>
      </c>
      <c r="CX18" s="244">
        <f>CX16/CW16-1</f>
        <v>4.8598906768494654E-2</v>
      </c>
      <c r="CY18" s="238"/>
      <c r="CZ18" s="586">
        <v>0.01</v>
      </c>
      <c r="DA18" s="586">
        <v>0.01</v>
      </c>
      <c r="DB18" s="586">
        <v>0.01</v>
      </c>
      <c r="DC18" s="586">
        <v>0.15</v>
      </c>
      <c r="DD18" s="238"/>
      <c r="DE18" s="586">
        <v>0.15</v>
      </c>
      <c r="DF18" s="586">
        <v>0.05</v>
      </c>
      <c r="DG18" s="586">
        <v>0.01</v>
      </c>
      <c r="DH18" s="586">
        <v>2.5000000000000001E-2</v>
      </c>
      <c r="DI18" s="238"/>
      <c r="DJ18" s="586">
        <v>2.5000000000000001E-2</v>
      </c>
      <c r="DK18" s="586">
        <v>2.5000000000000001E-2</v>
      </c>
      <c r="DL18" s="586">
        <v>2.5000000000000001E-2</v>
      </c>
      <c r="DM18" s="586">
        <v>2.5000000000000001E-2</v>
      </c>
      <c r="DN18" s="238"/>
      <c r="DO18" s="959">
        <v>2.5000000000000001E-2</v>
      </c>
      <c r="DP18" s="586">
        <v>2.5000000000000001E-2</v>
      </c>
      <c r="DQ18" s="586">
        <v>2.5000000000000001E-2</v>
      </c>
      <c r="DR18" s="1534">
        <v>2.5000000000000001E-2</v>
      </c>
      <c r="DS18" s="238"/>
      <c r="DT18" s="959">
        <v>2.5000000000000001E-2</v>
      </c>
      <c r="DU18" s="586">
        <v>2.5000000000000001E-2</v>
      </c>
      <c r="DV18" s="360">
        <v>0.03</v>
      </c>
      <c r="DW18" s="360">
        <v>0.03</v>
      </c>
      <c r="DX18" s="238"/>
      <c r="DY18" s="360">
        <v>0.03</v>
      </c>
      <c r="DZ18" s="360">
        <v>0.03</v>
      </c>
      <c r="EA18" s="360">
        <v>0.03</v>
      </c>
      <c r="EB18" s="360">
        <v>0.03</v>
      </c>
      <c r="EC18" s="238"/>
      <c r="ED18" s="360">
        <v>2.5000000000000001E-2</v>
      </c>
      <c r="EE18" s="360">
        <v>2.5000000000000001E-2</v>
      </c>
      <c r="EF18" s="360">
        <v>2.5000000000000001E-2</v>
      </c>
      <c r="EG18" s="360">
        <v>2.5000000000000001E-2</v>
      </c>
      <c r="EH18" s="238"/>
      <c r="EI18" s="360">
        <v>2.5000000000000001E-2</v>
      </c>
      <c r="EJ18" s="360">
        <v>2.5000000000000001E-2</v>
      </c>
      <c r="EK18" s="360">
        <v>2.5000000000000001E-2</v>
      </c>
      <c r="EL18" s="360">
        <v>2.5000000000000001E-2</v>
      </c>
      <c r="EM18" s="238"/>
      <c r="EN18" s="360">
        <v>2.5000000000000001E-2</v>
      </c>
      <c r="EO18" s="360">
        <v>2.5000000000000001E-2</v>
      </c>
      <c r="EP18" s="360">
        <v>2.5000000000000001E-2</v>
      </c>
      <c r="EQ18" s="360">
        <v>2.5000000000000001E-2</v>
      </c>
      <c r="ER18" s="238"/>
      <c r="ES18" s="490"/>
    </row>
    <row r="19" spans="1:149" ht="12" customHeight="1">
      <c r="A19" s="931"/>
      <c r="B19" s="484"/>
      <c r="C19" s="641" t="s">
        <v>129</v>
      </c>
      <c r="D19" s="500"/>
      <c r="E19" s="501"/>
      <c r="F19" s="501"/>
      <c r="G19" s="501"/>
      <c r="H19" s="501"/>
      <c r="I19" s="502"/>
      <c r="J19" s="502"/>
      <c r="K19" s="502"/>
      <c r="L19" s="502"/>
      <c r="M19" s="501"/>
      <c r="N19" s="359"/>
      <c r="O19" s="359"/>
      <c r="P19" s="359"/>
      <c r="Q19" s="359"/>
      <c r="R19" s="501"/>
      <c r="S19" s="359"/>
      <c r="T19" s="359"/>
      <c r="U19" s="359"/>
      <c r="V19" s="359"/>
      <c r="W19" s="501"/>
      <c r="X19" s="359"/>
      <c r="Y19" s="359"/>
      <c r="Z19" s="359"/>
      <c r="AA19" s="359"/>
      <c r="AB19" s="501"/>
      <c r="AC19" s="359"/>
      <c r="AD19" s="359"/>
      <c r="AE19" s="359"/>
      <c r="AF19" s="359"/>
      <c r="AG19" s="501"/>
      <c r="AH19" s="359"/>
      <c r="AI19" s="359"/>
      <c r="AJ19" s="359"/>
      <c r="AK19" s="359"/>
      <c r="AL19" s="501"/>
      <c r="AM19" s="359"/>
      <c r="AN19" s="359"/>
      <c r="AO19" s="359"/>
      <c r="AP19" s="359"/>
      <c r="AQ19" s="501"/>
      <c r="AR19" s="359"/>
      <c r="AS19" s="359"/>
      <c r="AT19" s="359"/>
      <c r="AU19" s="359"/>
      <c r="AV19" s="501"/>
      <c r="AW19" s="359"/>
      <c r="AX19" s="359"/>
      <c r="AY19" s="359"/>
      <c r="AZ19" s="359"/>
      <c r="BA19" s="501"/>
      <c r="BB19" s="359"/>
      <c r="BC19" s="359"/>
      <c r="BD19" s="359"/>
      <c r="BE19" s="359"/>
      <c r="BF19" s="501"/>
      <c r="BG19" s="539"/>
      <c r="BH19" s="539"/>
      <c r="BI19" s="539"/>
      <c r="BJ19" s="539"/>
      <c r="BK19" s="501"/>
      <c r="BL19" s="359"/>
      <c r="BM19" s="359"/>
      <c r="BN19" s="359"/>
      <c r="BO19" s="359"/>
      <c r="BP19" s="501"/>
      <c r="BQ19" s="359"/>
      <c r="BR19" s="359"/>
      <c r="BS19" s="359"/>
      <c r="BT19" s="359"/>
      <c r="BU19" s="243"/>
      <c r="BV19" s="359" t="e">
        <f t="shared" ref="BV19:CZ19" si="21">BV16/BQ16-1</f>
        <v>#DIV/0!</v>
      </c>
      <c r="BW19" s="359" t="e">
        <f t="shared" si="21"/>
        <v>#DIV/0!</v>
      </c>
      <c r="BX19" s="359" t="e">
        <f t="shared" si="21"/>
        <v>#DIV/0!</v>
      </c>
      <c r="BY19" s="359">
        <f t="shared" si="21"/>
        <v>1.2878787878787881</v>
      </c>
      <c r="BZ19" s="243">
        <f t="shared" si="21"/>
        <v>1.2878787878787881</v>
      </c>
      <c r="CA19" s="359">
        <f t="shared" si="21"/>
        <v>0.90956830116620035</v>
      </c>
      <c r="CB19" s="359">
        <f t="shared" si="21"/>
        <v>0.78571428571428559</v>
      </c>
      <c r="CC19" s="359">
        <f t="shared" si="21"/>
        <v>0.78124999999999956</v>
      </c>
      <c r="CD19" s="359">
        <f t="shared" si="21"/>
        <v>0.61324503311258272</v>
      </c>
      <c r="CE19" s="243">
        <f t="shared" si="21"/>
        <v>0.61324503311258272</v>
      </c>
      <c r="CF19" s="359">
        <f t="shared" si="21"/>
        <v>0.54761904761904789</v>
      </c>
      <c r="CG19" s="359">
        <f t="shared" si="21"/>
        <v>0.40000000000000013</v>
      </c>
      <c r="CH19" s="359">
        <f t="shared" si="21"/>
        <v>0.33333333333333348</v>
      </c>
      <c r="CI19" s="359">
        <f t="shared" si="21"/>
        <v>0.34646962233169121</v>
      </c>
      <c r="CJ19" s="243">
        <f t="shared" si="21"/>
        <v>0.34646962233169121</v>
      </c>
      <c r="CK19" s="359">
        <f t="shared" si="21"/>
        <v>0.30769230769230771</v>
      </c>
      <c r="CL19" s="359">
        <f t="shared" si="21"/>
        <v>0.28571428571428581</v>
      </c>
      <c r="CM19" s="359">
        <f t="shared" si="21"/>
        <v>0.25000000000000022</v>
      </c>
      <c r="CN19" s="359">
        <f t="shared" si="21"/>
        <v>0.3036585365853659</v>
      </c>
      <c r="CO19" s="243">
        <f t="shared" si="21"/>
        <v>0.21951219512195119</v>
      </c>
      <c r="CP19" s="359">
        <f t="shared" si="21"/>
        <v>0.29411764705882359</v>
      </c>
      <c r="CQ19" s="359">
        <f t="shared" si="21"/>
        <v>0.36888888888888904</v>
      </c>
      <c r="CR19" s="359">
        <f t="shared" si="21"/>
        <v>0.53699805068226136</v>
      </c>
      <c r="CS19" s="359">
        <f t="shared" si="21"/>
        <v>0.63610851262862478</v>
      </c>
      <c r="CT19" s="243">
        <f t="shared" si="21"/>
        <v>0.74900000000000011</v>
      </c>
      <c r="CU19" s="359">
        <f t="shared" si="21"/>
        <v>0.65359999999999996</v>
      </c>
      <c r="CV19" s="359">
        <f t="shared" si="21"/>
        <v>0.53548571428571412</v>
      </c>
      <c r="CW19" s="359">
        <f t="shared" si="21"/>
        <v>0.34738871428571438</v>
      </c>
      <c r="CX19" s="359">
        <f t="shared" si="21"/>
        <v>0.17953116066323616</v>
      </c>
      <c r="CY19" s="243">
        <f t="shared" si="21"/>
        <v>0.17953116066323616</v>
      </c>
      <c r="CZ19" s="359">
        <f t="shared" si="21"/>
        <v>0.14550622333641194</v>
      </c>
      <c r="DA19" s="359">
        <f t="shared" ref="DA19:EC19" si="22">DA16/CV16-1</f>
        <v>0.11246277458632314</v>
      </c>
      <c r="DB19" s="359">
        <f t="shared" si="22"/>
        <v>8.0372502242486821E-2</v>
      </c>
      <c r="DC19" s="359">
        <f t="shared" si="22"/>
        <v>0.18484615000000004</v>
      </c>
      <c r="DD19" s="243">
        <f t="shared" si="22"/>
        <v>0.18484615000000004</v>
      </c>
      <c r="DE19" s="359">
        <f t="shared" si="22"/>
        <v>0.34908224999999993</v>
      </c>
      <c r="DF19" s="359">
        <f t="shared" si="22"/>
        <v>0.40251124999999988</v>
      </c>
      <c r="DG19" s="359">
        <f t="shared" si="22"/>
        <v>0.40251124999999988</v>
      </c>
      <c r="DH19" s="359">
        <f t="shared" si="22"/>
        <v>0.25006437499999978</v>
      </c>
      <c r="DI19" s="243">
        <f t="shared" si="22"/>
        <v>0.25006437499999978</v>
      </c>
      <c r="DJ19" s="359">
        <f t="shared" si="22"/>
        <v>0.11418781249999976</v>
      </c>
      <c r="DK19" s="359">
        <f t="shared" si="22"/>
        <v>8.76595312499997E-2</v>
      </c>
      <c r="DL19" s="359">
        <f t="shared" si="22"/>
        <v>0.10381289062499954</v>
      </c>
      <c r="DM19" s="359">
        <f t="shared" si="22"/>
        <v>0.10381289062499954</v>
      </c>
      <c r="DN19" s="243">
        <f t="shared" si="22"/>
        <v>0.10381289062499954</v>
      </c>
      <c r="DO19" s="359">
        <f>DO16/DJ16-1</f>
        <v>0.10381289062499954</v>
      </c>
      <c r="DP19" s="359">
        <f t="shared" si="22"/>
        <v>0.10381289062499954</v>
      </c>
      <c r="DQ19" s="359">
        <f t="shared" si="22"/>
        <v>0.10381289062499977</v>
      </c>
      <c r="DR19" s="359">
        <f>DR16/DM16-1</f>
        <v>0.10381289062499954</v>
      </c>
      <c r="DS19" s="243">
        <f>DS16/DN16-1</f>
        <v>0.10381289062499954</v>
      </c>
      <c r="DT19" s="359">
        <f>DT16/DO16-1</f>
        <v>0.10381289062499954</v>
      </c>
      <c r="DU19" s="359">
        <f t="shared" si="22"/>
        <v>0.10381289062499954</v>
      </c>
      <c r="DV19" s="359">
        <f t="shared" si="22"/>
        <v>0.10919734374999979</v>
      </c>
      <c r="DW19" s="359">
        <f t="shared" si="22"/>
        <v>0.11460806249999989</v>
      </c>
      <c r="DX19" s="243">
        <f t="shared" si="22"/>
        <v>0.11460806249999989</v>
      </c>
      <c r="DY19" s="359">
        <f t="shared" si="22"/>
        <v>0.120045175</v>
      </c>
      <c r="DZ19" s="359">
        <f t="shared" si="22"/>
        <v>0.12550881000000014</v>
      </c>
      <c r="EA19" s="359">
        <f t="shared" si="22"/>
        <v>0.12550881000000014</v>
      </c>
      <c r="EB19" s="359">
        <f t="shared" si="22"/>
        <v>0.12550881000000014</v>
      </c>
      <c r="EC19" s="243">
        <f t="shared" si="22"/>
        <v>0.12550881000000014</v>
      </c>
      <c r="ED19" s="359">
        <f t="shared" ref="ED19" si="23">ED16/DY16-1</f>
        <v>0.120045175</v>
      </c>
      <c r="EE19" s="359">
        <f t="shared" ref="EE19" si="24">EE16/DZ16-1</f>
        <v>0.11460806249999989</v>
      </c>
      <c r="EF19" s="359">
        <f t="shared" ref="EF19" si="25">EF16/EA16-1</f>
        <v>0.10919734374999956</v>
      </c>
      <c r="EG19" s="359">
        <f t="shared" ref="EG19" si="26">EG16/EB16-1</f>
        <v>0.10381289062499954</v>
      </c>
      <c r="EH19" s="243">
        <f t="shared" ref="EH19" si="27">EH16/EC16-1</f>
        <v>0.10381289062499954</v>
      </c>
      <c r="EI19" s="359">
        <f t="shared" ref="EI19" si="28">EI16/ED16-1</f>
        <v>0.10381289062499954</v>
      </c>
      <c r="EJ19" s="359">
        <f t="shared" ref="EJ19" si="29">EJ16/EE16-1</f>
        <v>0.10381289062499954</v>
      </c>
      <c r="EK19" s="359">
        <f t="shared" ref="EK19" si="30">EK16/EF16-1</f>
        <v>0.10381289062499954</v>
      </c>
      <c r="EL19" s="359">
        <f t="shared" ref="EL19" si="31">EL16/EG16-1</f>
        <v>0.10381289062499954</v>
      </c>
      <c r="EM19" s="243">
        <f t="shared" ref="EM19" si="32">EM16/EH16-1</f>
        <v>0.10381289062499954</v>
      </c>
      <c r="EN19" s="359">
        <f t="shared" ref="EN19" si="33">EN16/EI16-1</f>
        <v>0.10381289062499954</v>
      </c>
      <c r="EO19" s="359">
        <f t="shared" ref="EO19" si="34">EO16/EJ16-1</f>
        <v>0.10381289062499977</v>
      </c>
      <c r="EP19" s="359">
        <f t="shared" ref="EP19" si="35">EP16/EK16-1</f>
        <v>0.10381289062499977</v>
      </c>
      <c r="EQ19" s="359">
        <f t="shared" ref="EQ19" si="36">EQ16/EL16-1</f>
        <v>0.10381289062499977</v>
      </c>
      <c r="ER19" s="243">
        <f t="shared" ref="ER19" si="37">ER16/EM16-1</f>
        <v>0.10381289062499977</v>
      </c>
      <c r="ES19" s="490"/>
    </row>
    <row r="20" spans="1:149">
      <c r="A20" s="931"/>
      <c r="B20" s="484"/>
      <c r="C20" s="258" t="s">
        <v>309</v>
      </c>
      <c r="D20" s="500"/>
      <c r="E20" s="501"/>
      <c r="F20" s="501"/>
      <c r="G20" s="501"/>
      <c r="H20" s="501"/>
      <c r="I20" s="502"/>
      <c r="J20" s="502"/>
      <c r="K20" s="502"/>
      <c r="L20" s="502"/>
      <c r="M20" s="501"/>
      <c r="N20" s="359"/>
      <c r="O20" s="359"/>
      <c r="P20" s="359"/>
      <c r="Q20" s="359"/>
      <c r="R20" s="501"/>
      <c r="S20" s="359"/>
      <c r="T20" s="359"/>
      <c r="U20" s="359"/>
      <c r="V20" s="359"/>
      <c r="W20" s="501"/>
      <c r="X20" s="359"/>
      <c r="Y20" s="359"/>
      <c r="Z20" s="359"/>
      <c r="AA20" s="359"/>
      <c r="AB20" s="501"/>
      <c r="AC20" s="359"/>
      <c r="AD20" s="359"/>
      <c r="AE20" s="359"/>
      <c r="AF20" s="359"/>
      <c r="AG20" s="501"/>
      <c r="AH20" s="359"/>
      <c r="AI20" s="359"/>
      <c r="AJ20" s="359"/>
      <c r="AK20" s="359"/>
      <c r="AL20" s="501"/>
      <c r="AM20" s="359"/>
      <c r="AN20" s="359"/>
      <c r="AO20" s="359"/>
      <c r="AP20" s="359"/>
      <c r="AQ20" s="501"/>
      <c r="AR20" s="359"/>
      <c r="AS20" s="359"/>
      <c r="AT20" s="359"/>
      <c r="AU20" s="359"/>
      <c r="AV20" s="501"/>
      <c r="AW20" s="359"/>
      <c r="AX20" s="359"/>
      <c r="AY20" s="359"/>
      <c r="AZ20" s="359"/>
      <c r="BA20" s="501"/>
      <c r="BB20" s="359"/>
      <c r="BC20" s="359"/>
      <c r="BD20" s="359"/>
      <c r="BE20" s="359"/>
      <c r="BF20" s="501"/>
      <c r="BG20" s="539"/>
      <c r="BH20" s="539"/>
      <c r="BI20" s="539"/>
      <c r="BJ20" s="539"/>
      <c r="BK20" s="501"/>
      <c r="BL20" s="359"/>
      <c r="BM20" s="359"/>
      <c r="BN20" s="359"/>
      <c r="BO20" s="359"/>
      <c r="BP20" s="501"/>
      <c r="BQ20" s="359"/>
      <c r="BR20" s="359"/>
      <c r="BS20" s="359"/>
      <c r="BT20" s="359"/>
      <c r="BU20" s="243"/>
      <c r="BV20" s="359"/>
      <c r="BW20" s="359"/>
      <c r="BX20" s="359"/>
      <c r="BY20" s="359"/>
      <c r="BZ20" s="1127">
        <f t="shared" ref="BZ20:DE20" si="38">(BZ63*1000000)/(BZ16*1000)</f>
        <v>40726.267549668875</v>
      </c>
      <c r="CA20" s="678">
        <f t="shared" si="38"/>
        <v>11553.392857142859</v>
      </c>
      <c r="CB20" s="678">
        <f t="shared" si="38"/>
        <v>11731.692000000001</v>
      </c>
      <c r="CC20" s="678">
        <f t="shared" si="38"/>
        <v>11282.280701754389</v>
      </c>
      <c r="CD20" s="678">
        <f t="shared" si="38"/>
        <v>15059.078817733991</v>
      </c>
      <c r="CE20" s="1128">
        <f t="shared" si="38"/>
        <v>43218.637110016418</v>
      </c>
      <c r="CF20" s="678">
        <f t="shared" si="38"/>
        <v>12234.510769230768</v>
      </c>
      <c r="CG20" s="678">
        <f t="shared" si="38"/>
        <v>13050.912857142857</v>
      </c>
      <c r="CH20" s="678">
        <f t="shared" si="38"/>
        <v>13150.800000000003</v>
      </c>
      <c r="CI20" s="678">
        <f t="shared" si="38"/>
        <v>17098.242682926826</v>
      </c>
      <c r="CJ20" s="1128">
        <f t="shared" si="38"/>
        <v>50125.9</v>
      </c>
      <c r="CK20" s="678">
        <f t="shared" si="38"/>
        <v>14016.265882352942</v>
      </c>
      <c r="CL20" s="678">
        <f t="shared" si="38"/>
        <v>15302.43888888889</v>
      </c>
      <c r="CM20" s="678">
        <f t="shared" si="38"/>
        <v>15601.168421052631</v>
      </c>
      <c r="CN20" s="678">
        <f t="shared" si="38"/>
        <v>19299.650140318055</v>
      </c>
      <c r="CO20" s="1128">
        <f t="shared" si="38"/>
        <v>61138.457000000002</v>
      </c>
      <c r="CP20" s="678">
        <f t="shared" si="38"/>
        <v>15832.047272727274</v>
      </c>
      <c r="CQ20" s="678">
        <f t="shared" si="38"/>
        <v>24436.254870129866</v>
      </c>
      <c r="CR20" s="678">
        <f t="shared" si="38"/>
        <v>21173.985009131491</v>
      </c>
      <c r="CS20" s="678">
        <f t="shared" si="38"/>
        <v>23521.597484276728</v>
      </c>
      <c r="CT20" s="1128">
        <f t="shared" si="38"/>
        <v>68368.866209262429</v>
      </c>
      <c r="CU20" s="678">
        <f t="shared" si="38"/>
        <v>20531.999604169414</v>
      </c>
      <c r="CV20" s="678">
        <f t="shared" si="38"/>
        <v>22304.255749692977</v>
      </c>
      <c r="CW20" s="678">
        <f t="shared" si="38"/>
        <v>21228.66223722223</v>
      </c>
      <c r="CX20" s="678">
        <f t="shared" si="38"/>
        <v>26202.888996606889</v>
      </c>
      <c r="CY20" s="1128">
        <f t="shared" si="38"/>
        <v>85003.302956858941</v>
      </c>
      <c r="CZ20" s="678">
        <f t="shared" si="38"/>
        <v>20733.024577300192</v>
      </c>
      <c r="DA20" s="678">
        <f t="shared" si="38"/>
        <v>22262.280465123156</v>
      </c>
      <c r="DB20" s="678">
        <f t="shared" si="38"/>
        <v>21735.949992368965</v>
      </c>
      <c r="DC20" s="678">
        <f t="shared" si="38"/>
        <v>24955.636166657383</v>
      </c>
      <c r="DD20" s="1128">
        <f t="shared" si="38"/>
        <v>80696.778709622187</v>
      </c>
      <c r="DE20" s="678">
        <f t="shared" si="38"/>
        <v>17645.039969582416</v>
      </c>
      <c r="DF20" s="678">
        <f t="shared" ref="DF20:EK20" si="39">(DF63*1000000)/(DF16*1000)</f>
        <v>18634.354806586649</v>
      </c>
      <c r="DG20" s="678">
        <f t="shared" si="39"/>
        <v>18852.398562199276</v>
      </c>
      <c r="DH20" s="678">
        <f t="shared" si="39"/>
        <v>24586.17206814028</v>
      </c>
      <c r="DI20" s="1128">
        <f t="shared" si="39"/>
        <v>77211.216574722072</v>
      </c>
      <c r="DJ20" s="678">
        <f t="shared" si="39"/>
        <v>19430.269891081392</v>
      </c>
      <c r="DK20" s="678">
        <f t="shared" si="39"/>
        <v>20946.848848234102</v>
      </c>
      <c r="DL20" s="678">
        <f t="shared" si="39"/>
        <v>21186.590243607054</v>
      </c>
      <c r="DM20" s="678">
        <f t="shared" si="39"/>
        <v>28006.504733188925</v>
      </c>
      <c r="DN20" s="1128">
        <f t="shared" si="39"/>
        <v>86656.798336785869</v>
      </c>
      <c r="DO20" s="678">
        <f t="shared" si="39"/>
        <v>21622.121417307855</v>
      </c>
      <c r="DP20" s="678">
        <f t="shared" si="39"/>
        <v>24787.956980922689</v>
      </c>
      <c r="DQ20" s="678">
        <f t="shared" si="39"/>
        <v>25333.113254796946</v>
      </c>
      <c r="DR20" s="678">
        <f t="shared" si="39"/>
        <v>33264.420256494072</v>
      </c>
      <c r="DS20" s="1127">
        <f t="shared" si="39"/>
        <v>101651.47621779438</v>
      </c>
      <c r="DT20" s="678">
        <f t="shared" ref="DT20:DU20" si="40">(DT63*1000000)/(DT16*1000)</f>
        <v>26400.157793992596</v>
      </c>
      <c r="DU20" s="678">
        <f t="shared" si="40"/>
        <v>29546.198920347113</v>
      </c>
      <c r="DV20" s="678">
        <f t="shared" si="39"/>
        <v>29690.881804580633</v>
      </c>
      <c r="DW20" s="678">
        <f t="shared" si="39"/>
        <v>38498.826246268392</v>
      </c>
      <c r="DX20" s="1128">
        <f t="shared" si="39"/>
        <v>119452.78862292916</v>
      </c>
      <c r="DY20" s="678">
        <f t="shared" si="39"/>
        <v>30170.391990046759</v>
      </c>
      <c r="DZ20" s="678">
        <f t="shared" si="39"/>
        <v>33339.297120953524</v>
      </c>
      <c r="EA20" s="678">
        <f t="shared" si="39"/>
        <v>32974.954905706851</v>
      </c>
      <c r="EB20" s="678">
        <f t="shared" si="39"/>
        <v>42415.078514909896</v>
      </c>
      <c r="EC20" s="1128">
        <f t="shared" si="39"/>
        <v>133465.26550955107</v>
      </c>
      <c r="ED20" s="678">
        <f t="shared" si="39"/>
        <v>32324.116201880974</v>
      </c>
      <c r="EE20" s="678">
        <f t="shared" si="39"/>
        <v>35893.474927330542</v>
      </c>
      <c r="EF20" s="678">
        <f t="shared" si="39"/>
        <v>35674.396544323885</v>
      </c>
      <c r="EG20" s="678">
        <f t="shared" si="39"/>
        <v>46111.161275777835</v>
      </c>
      <c r="EH20" s="1128">
        <f t="shared" si="39"/>
        <v>145095.532016098</v>
      </c>
      <c r="EI20" s="678">
        <f t="shared" si="39"/>
        <v>34408.763350919631</v>
      </c>
      <c r="EJ20" s="678">
        <f t="shared" si="39"/>
        <v>38208.317186559776</v>
      </c>
      <c r="EK20" s="678">
        <f t="shared" si="39"/>
        <v>37975.109998802553</v>
      </c>
      <c r="EL20" s="678">
        <f t="shared" ref="EL20:ER20" si="41">(EL63*1000000)/(EL16*1000)</f>
        <v>49084.962641051308</v>
      </c>
      <c r="EM20" s="1128">
        <f t="shared" si="41"/>
        <v>154453.03417536832</v>
      </c>
      <c r="EN20" s="678">
        <f t="shared" si="41"/>
        <v>36160.263959652271</v>
      </c>
      <c r="EO20" s="678">
        <f t="shared" si="41"/>
        <v>40153.225526577771</v>
      </c>
      <c r="EP20" s="678">
        <f t="shared" si="41"/>
        <v>39908.147452117875</v>
      </c>
      <c r="EQ20" s="678">
        <f t="shared" si="41"/>
        <v>51583.522123373477</v>
      </c>
      <c r="ER20" s="1128">
        <f t="shared" si="41"/>
        <v>162315.11804684607</v>
      </c>
      <c r="ES20" s="490"/>
    </row>
    <row r="21" spans="1:149" ht="12" customHeight="1">
      <c r="A21" s="931"/>
      <c r="B21" s="484"/>
      <c r="C21" s="653" t="s">
        <v>381</v>
      </c>
      <c r="D21" s="500"/>
      <c r="E21" s="643"/>
      <c r="F21" s="643"/>
      <c r="G21" s="643"/>
      <c r="H21" s="643"/>
      <c r="I21" s="502"/>
      <c r="J21" s="502"/>
      <c r="K21" s="502"/>
      <c r="L21" s="502"/>
      <c r="M21" s="643"/>
      <c r="N21" s="644"/>
      <c r="O21" s="644"/>
      <c r="P21" s="644"/>
      <c r="Q21" s="644"/>
      <c r="R21" s="643"/>
      <c r="S21" s="644"/>
      <c r="T21" s="644"/>
      <c r="U21" s="644"/>
      <c r="V21" s="644"/>
      <c r="W21" s="643"/>
      <c r="X21" s="644"/>
      <c r="Y21" s="644"/>
      <c r="Z21" s="644"/>
      <c r="AA21" s="644"/>
      <c r="AB21" s="643"/>
      <c r="AC21" s="644"/>
      <c r="AD21" s="644"/>
      <c r="AE21" s="644"/>
      <c r="AF21" s="644"/>
      <c r="AG21" s="643"/>
      <c r="AH21" s="644"/>
      <c r="AI21" s="644"/>
      <c r="AJ21" s="644"/>
      <c r="AK21" s="644"/>
      <c r="AL21" s="643"/>
      <c r="AM21" s="644"/>
      <c r="AN21" s="644"/>
      <c r="AO21" s="644"/>
      <c r="AP21" s="644"/>
      <c r="AQ21" s="643"/>
      <c r="AR21" s="644"/>
      <c r="AS21" s="644"/>
      <c r="AT21" s="644"/>
      <c r="AU21" s="644"/>
      <c r="AV21" s="643"/>
      <c r="AW21" s="644"/>
      <c r="AX21" s="644"/>
      <c r="AY21" s="644"/>
      <c r="AZ21" s="644"/>
      <c r="BA21" s="643"/>
      <c r="BB21" s="644"/>
      <c r="BC21" s="644"/>
      <c r="BD21" s="644"/>
      <c r="BE21" s="644"/>
      <c r="BF21" s="643"/>
      <c r="BG21" s="654"/>
      <c r="BH21" s="654"/>
      <c r="BI21" s="654"/>
      <c r="BJ21" s="654"/>
      <c r="BK21" s="643"/>
      <c r="BL21" s="644"/>
      <c r="BM21" s="644"/>
      <c r="BN21" s="644"/>
      <c r="BO21" s="644"/>
      <c r="BP21" s="643"/>
      <c r="BQ21" s="644"/>
      <c r="BR21" s="644"/>
      <c r="BS21" s="644"/>
      <c r="BT21" s="644"/>
      <c r="BU21" s="985"/>
      <c r="BV21" s="986">
        <f>(BV39*1000000)/(BV16*1000)</f>
        <v>175.98035872604515</v>
      </c>
      <c r="BW21" s="986">
        <f>(BW39*1000000)/(BW16*1000)</f>
        <v>155.97857142857143</v>
      </c>
      <c r="BX21" s="986">
        <f>(BX39*1000000)/(BX16*1000)</f>
        <v>155.74687499999999</v>
      </c>
      <c r="BY21" s="986">
        <f>(BY39*1000000)/(BY16*1000)</f>
        <v>149.36953642384105</v>
      </c>
      <c r="BZ21" s="985">
        <f>AVERAGE(BV21:BY21)</f>
        <v>159.26883539461443</v>
      </c>
      <c r="CA21" s="986">
        <f>(CA39*1000000)/(CA16*1000)</f>
        <v>147.80952380952382</v>
      </c>
      <c r="CB21" s="986">
        <f>(CB39*1000000)/(CB16*1000)</f>
        <v>143.19600000000003</v>
      </c>
      <c r="CC21" s="986">
        <f>(CC39*1000000)/(CC16*1000)</f>
        <v>144.62280701754389</v>
      </c>
      <c r="CD21" s="986">
        <f>(CD39*1000000)/(CD16*1000)</f>
        <v>154.21674876847291</v>
      </c>
      <c r="CE21" s="985">
        <f>AVERAGE(CA21:CD21)</f>
        <v>147.46126989888518</v>
      </c>
      <c r="CF21" s="986">
        <f>(CF39*1000000)/(CF16*1000)</f>
        <v>154.15076923076924</v>
      </c>
      <c r="CG21" s="986">
        <f>(CG39*1000000)/(CG16*1000)</f>
        <v>158.17285714285714</v>
      </c>
      <c r="CH21" s="986">
        <f>(CH39*1000000)/(CH16*1000)</f>
        <v>158.57500000000002</v>
      </c>
      <c r="CI21" s="986">
        <f>(CI39*1000000)/(CI16*1000)</f>
        <v>162.8780487804878</v>
      </c>
      <c r="CJ21" s="985">
        <f>AVERAGE(CF21:CI21)</f>
        <v>158.44416878852854</v>
      </c>
      <c r="CK21" s="986">
        <f>(CK39*1000000)/(CK16*1000)</f>
        <v>165.23647058823531</v>
      </c>
      <c r="CL21" s="986">
        <f>(CL39*1000000)/(CL16*1000)</f>
        <v>170.05222222222221</v>
      </c>
      <c r="CM21" s="986">
        <f>(CM39*1000000)/(CM16*1000)</f>
        <v>174.29157894736841</v>
      </c>
      <c r="CN21" s="986">
        <f>(CN39*1000000)/(CN16*1000)</f>
        <v>171.34331150608045</v>
      </c>
      <c r="CO21" s="985">
        <f>AVERAGE(CK21:CN21)</f>
        <v>170.2308958159766</v>
      </c>
      <c r="CP21" s="986">
        <f>(CP39*1000000)/(CP16*1000)</f>
        <v>170.55363636363637</v>
      </c>
      <c r="CQ21" s="986">
        <f>(CQ39*1000000)/(CQ16*1000)</f>
        <v>159.44318181818178</v>
      </c>
      <c r="CR21" s="986">
        <f>(CR39*1000000)/(CR16*1000)</f>
        <v>167.9788453733766</v>
      </c>
      <c r="CS21" s="584">
        <f>(CS39*1000000)/(CS16*1000)</f>
        <v>159.77129788450543</v>
      </c>
      <c r="CT21" s="985">
        <f>AVERAGE(CP21:CS21)</f>
        <v>164.43674035992507</v>
      </c>
      <c r="CU21" s="986">
        <f>(CU39*1000000)/(CU16*1000)</f>
        <v>176.29909398777323</v>
      </c>
      <c r="CV21" s="986">
        <f>(CV39*1000000)/(CV16*1000)</f>
        <v>176.68433102939633</v>
      </c>
      <c r="CW21" s="986">
        <f>(CW39*1000000)/(CW16*1000)</f>
        <v>170.89061621271065</v>
      </c>
      <c r="CX21" s="986">
        <f>(CX39*1000000)/(CX16*1000)</f>
        <v>170.241396025206</v>
      </c>
      <c r="CY21" s="985">
        <f>AVERAGE(CU21:CX21)</f>
        <v>173.52885931377156</v>
      </c>
      <c r="CZ21" s="584">
        <f>(CZ39*1000000)/(CZ16*1000)</f>
        <v>165.461718251321</v>
      </c>
      <c r="DA21" s="584">
        <f>(DA39*1000000)/(DA16*1000)</f>
        <v>174.12633312303458</v>
      </c>
      <c r="DB21" s="584">
        <f>(DB39*1000000)/(DB16*1000)</f>
        <v>177.04025363806133</v>
      </c>
      <c r="DC21" s="584">
        <f>(DC39*1000000)/(DC16*1000)</f>
        <v>163.74742947949647</v>
      </c>
      <c r="DD21" s="985">
        <f>AVERAGE(CZ21:DC21)</f>
        <v>170.09393362297834</v>
      </c>
      <c r="DE21" s="584">
        <f>(DE39*1000000)/(DE16*1000)</f>
        <v>135.89526750767101</v>
      </c>
      <c r="DF21" s="584">
        <f>(DF39*1000000)/(DF16*1000)</f>
        <v>150.43006425680858</v>
      </c>
      <c r="DG21" s="584">
        <f>(DG39*1000000)/(DG16*1000)</f>
        <v>163.02963881190121</v>
      </c>
      <c r="DH21" s="584">
        <f>(DH39*1000000)/(DH16*1000)</f>
        <v>171.81684307186219</v>
      </c>
      <c r="DI21" s="985">
        <f>AVERAGE(DE21:DH21)</f>
        <v>155.29295341206074</v>
      </c>
      <c r="DJ21" s="584">
        <f>(DJ39*1000000)/(DJ16*1000)</f>
        <v>163.15615667311792</v>
      </c>
      <c r="DK21" s="584">
        <f>(DK39*1000000)/(DK16*1000)</f>
        <v>175.3747624590051</v>
      </c>
      <c r="DL21" s="584">
        <f>(DL39*1000000)/(DL16*1000)</f>
        <v>185.38076523847528</v>
      </c>
      <c r="DM21" s="584">
        <f>(DM39*1000000)/(DM16*1000)</f>
        <v>197.46275833478535</v>
      </c>
      <c r="DN21" s="985">
        <f>AVERAGE(DJ21:DM21)</f>
        <v>180.34361067634592</v>
      </c>
      <c r="DO21" s="584">
        <f>(DO39*1000000)/(DO16*1000)</f>
        <v>179.34067262516214</v>
      </c>
      <c r="DP21" s="584">
        <f>(DP39*1000000)/(DP16*1000)</f>
        <v>185.1258556130706</v>
      </c>
      <c r="DQ21" s="584">
        <f>(DQ39*1000000)/(DQ16*1000)</f>
        <v>192.44939481489641</v>
      </c>
      <c r="DR21" s="584">
        <f>(DR39*1000000)/(DR16*1000)</f>
        <v>208.70676544355985</v>
      </c>
      <c r="DS21" s="985">
        <f>AVERAGE(DO21:DR21)</f>
        <v>191.40567212417227</v>
      </c>
      <c r="DT21" s="584">
        <f>(DT39*1000000)/(DT16*1000)</f>
        <v>196.540884681759</v>
      </c>
      <c r="DU21" s="584">
        <f>(DU39*1000000)/(DU16*1000)</f>
        <v>205.04167741758792</v>
      </c>
      <c r="DV21" s="584">
        <f>DQ21*(1+DV22)</f>
        <v>213.61882824453502</v>
      </c>
      <c r="DW21" s="584">
        <f>DR21*(1+DW22)</f>
        <v>225.40330667904465</v>
      </c>
      <c r="DX21" s="985">
        <f>AVERAGE(DT21:DW21)</f>
        <v>210.15117425573163</v>
      </c>
      <c r="DY21" s="584">
        <f>DT21*(1+DY22)</f>
        <v>210.29874660948215</v>
      </c>
      <c r="DZ21" s="584">
        <f>DU21*(1+DZ22)</f>
        <v>219.3945948368191</v>
      </c>
      <c r="EA21" s="584">
        <f>DV21*(1+EA22)</f>
        <v>228.5721462216525</v>
      </c>
      <c r="EB21" s="584">
        <f>DW21*(1+EB22)</f>
        <v>241.18153814657779</v>
      </c>
      <c r="EC21" s="985">
        <f>AVERAGE(DY21:EB21)</f>
        <v>224.86175645363289</v>
      </c>
      <c r="ED21" s="584">
        <f>DY21*(1+ED22)</f>
        <v>222.91667140605108</v>
      </c>
      <c r="EE21" s="584">
        <f>DZ21*(1+EE22)</f>
        <v>232.55827052702824</v>
      </c>
      <c r="EF21" s="584">
        <f>EA21*(1+EF22)</f>
        <v>242.28647499495167</v>
      </c>
      <c r="EG21" s="584">
        <f>EB21*(1+EG22)</f>
        <v>255.65243043537248</v>
      </c>
      <c r="EH21" s="985">
        <f>AVERAGE(ED21:EG21)</f>
        <v>238.35346184085085</v>
      </c>
      <c r="EI21" s="584">
        <f>ED21*(1+EI22)</f>
        <v>236.29167169041415</v>
      </c>
      <c r="EJ21" s="584">
        <f>EE21*(1+EJ22)</f>
        <v>246.51176675864994</v>
      </c>
      <c r="EK21" s="584">
        <f>EF21*(1+EK22)</f>
        <v>256.82366349464877</v>
      </c>
      <c r="EL21" s="584">
        <f>EG21*(1+EL22)</f>
        <v>270.99157626149486</v>
      </c>
      <c r="EM21" s="985">
        <f>AVERAGE(EI21:EL21)</f>
        <v>252.65466955130194</v>
      </c>
      <c r="EN21" s="584">
        <f>EI21*(1+EN22)</f>
        <v>250.469171991839</v>
      </c>
      <c r="EO21" s="584">
        <f>EJ21*(1+EO22)</f>
        <v>261.30247276416895</v>
      </c>
      <c r="EP21" s="584">
        <f>EK21*(1+EP22)</f>
        <v>272.23308330432769</v>
      </c>
      <c r="EQ21" s="584">
        <f>EL21*(1+EQ22)</f>
        <v>287.25107083718456</v>
      </c>
      <c r="ER21" s="985">
        <f>AVERAGE(EN21:EQ21)</f>
        <v>267.81394972438005</v>
      </c>
      <c r="ES21" s="490"/>
    </row>
    <row r="22" spans="1:149" ht="12" customHeight="1">
      <c r="A22" s="931"/>
      <c r="B22" s="484"/>
      <c r="C22" s="641" t="s">
        <v>129</v>
      </c>
      <c r="D22" s="500"/>
      <c r="E22" s="501"/>
      <c r="F22" s="501"/>
      <c r="G22" s="501"/>
      <c r="H22" s="501"/>
      <c r="I22" s="502"/>
      <c r="J22" s="502"/>
      <c r="K22" s="502"/>
      <c r="L22" s="502"/>
      <c r="M22" s="501"/>
      <c r="N22" s="359"/>
      <c r="O22" s="359"/>
      <c r="P22" s="359"/>
      <c r="Q22" s="359"/>
      <c r="R22" s="501"/>
      <c r="S22" s="359"/>
      <c r="T22" s="359"/>
      <c r="U22" s="359"/>
      <c r="V22" s="359"/>
      <c r="W22" s="501"/>
      <c r="X22" s="359"/>
      <c r="Y22" s="359"/>
      <c r="Z22" s="359"/>
      <c r="AA22" s="359"/>
      <c r="AB22" s="501"/>
      <c r="AC22" s="359"/>
      <c r="AD22" s="359"/>
      <c r="AE22" s="359"/>
      <c r="AF22" s="359"/>
      <c r="AG22" s="501"/>
      <c r="AH22" s="359"/>
      <c r="AI22" s="359"/>
      <c r="AJ22" s="359"/>
      <c r="AK22" s="359"/>
      <c r="AL22" s="501"/>
      <c r="AM22" s="359"/>
      <c r="AN22" s="359"/>
      <c r="AO22" s="359"/>
      <c r="AP22" s="359"/>
      <c r="AQ22" s="501"/>
      <c r="AR22" s="359"/>
      <c r="AS22" s="359"/>
      <c r="AT22" s="359"/>
      <c r="AU22" s="359"/>
      <c r="AV22" s="501"/>
      <c r="AW22" s="359"/>
      <c r="AX22" s="359"/>
      <c r="AY22" s="359"/>
      <c r="AZ22" s="359"/>
      <c r="BA22" s="501"/>
      <c r="BB22" s="359"/>
      <c r="BC22" s="359"/>
      <c r="BD22" s="359"/>
      <c r="BE22" s="359"/>
      <c r="BF22" s="501"/>
      <c r="BG22" s="539"/>
      <c r="BH22" s="539"/>
      <c r="BI22" s="539"/>
      <c r="BJ22" s="539"/>
      <c r="BK22" s="501"/>
      <c r="BL22" s="359"/>
      <c r="BM22" s="359"/>
      <c r="BN22" s="359"/>
      <c r="BO22" s="359"/>
      <c r="BP22" s="501"/>
      <c r="BQ22" s="359"/>
      <c r="BR22" s="359"/>
      <c r="BS22" s="359"/>
      <c r="BT22" s="359"/>
      <c r="BU22" s="501"/>
      <c r="BV22" s="359"/>
      <c r="BW22" s="359"/>
      <c r="BX22" s="359"/>
      <c r="BY22" s="359"/>
      <c r="BZ22" s="243"/>
      <c r="CA22" s="359">
        <f t="shared" ref="CA22:DQ22" si="42">CA21/BV21-1</f>
        <v>-0.16007942659314534</v>
      </c>
      <c r="CB22" s="359">
        <f t="shared" si="42"/>
        <v>-8.1950817419975119E-2</v>
      </c>
      <c r="CC22" s="359">
        <f t="shared" si="42"/>
        <v>-7.1424020433514923E-2</v>
      </c>
      <c r="CD22" s="359">
        <f t="shared" si="42"/>
        <v>3.2451144059774784E-2</v>
      </c>
      <c r="CE22" s="243">
        <f t="shared" si="42"/>
        <v>-7.4136069787124947E-2</v>
      </c>
      <c r="CF22" s="359">
        <f t="shared" si="42"/>
        <v>4.2901467089611289E-2</v>
      </c>
      <c r="CG22" s="359">
        <f t="shared" si="42"/>
        <v>0.10458991272701135</v>
      </c>
      <c r="CH22" s="359">
        <f t="shared" si="42"/>
        <v>9.647297871049898E-2</v>
      </c>
      <c r="CI22" s="359">
        <f t="shared" si="42"/>
        <v>5.6163160494442588E-2</v>
      </c>
      <c r="CJ22" s="243">
        <f t="shared" si="42"/>
        <v>7.4479888157577889E-2</v>
      </c>
      <c r="CK22" s="359">
        <f t="shared" si="42"/>
        <v>7.1914667781322494E-2</v>
      </c>
      <c r="CL22" s="359">
        <f t="shared" si="42"/>
        <v>7.5103689052262501E-2</v>
      </c>
      <c r="CM22" s="359">
        <f t="shared" si="42"/>
        <v>9.9111328692217393E-2</v>
      </c>
      <c r="CN22" s="359">
        <f t="shared" si="42"/>
        <v>5.1973011642602485E-2</v>
      </c>
      <c r="CO22" s="243">
        <f t="shared" si="42"/>
        <v>7.4390412203679812E-2</v>
      </c>
      <c r="CP22" s="359">
        <f t="shared" si="42"/>
        <v>3.2179129440807808E-2</v>
      </c>
      <c r="CQ22" s="359">
        <f t="shared" si="42"/>
        <v>-6.2386955403479938E-2</v>
      </c>
      <c r="CR22" s="359">
        <f t="shared" si="42"/>
        <v>-3.6219383702399632E-2</v>
      </c>
      <c r="CS22" s="359">
        <f t="shared" si="42"/>
        <v>-6.7537002290074089E-2</v>
      </c>
      <c r="CT22" s="243">
        <f t="shared" si="42"/>
        <v>-3.4037037920044422E-2</v>
      </c>
      <c r="CU22" s="359">
        <f t="shared" si="42"/>
        <v>3.3687101293384369E-2</v>
      </c>
      <c r="CV22" s="359">
        <f t="shared" si="42"/>
        <v>0.1081334994360259</v>
      </c>
      <c r="CW22" s="359">
        <f t="shared" si="42"/>
        <v>1.7334152005044956E-2</v>
      </c>
      <c r="CX22" s="359">
        <f t="shared" si="42"/>
        <v>6.5531783739211535E-2</v>
      </c>
      <c r="CY22" s="243">
        <f t="shared" si="42"/>
        <v>5.5292502964637613E-2</v>
      </c>
      <c r="CZ22" s="359">
        <f t="shared" si="42"/>
        <v>-6.1471533921801269E-2</v>
      </c>
      <c r="DA22" s="359">
        <f t="shared" si="42"/>
        <v>-1.4477785842459068E-2</v>
      </c>
      <c r="DB22" s="359">
        <f t="shared" si="42"/>
        <v>3.5985811050596839E-2</v>
      </c>
      <c r="DC22" s="359">
        <f t="shared" si="42"/>
        <v>-3.8145637296982837E-2</v>
      </c>
      <c r="DD22" s="243">
        <f t="shared" si="42"/>
        <v>-1.979455004992714E-2</v>
      </c>
      <c r="DE22" s="359">
        <f t="shared" si="42"/>
        <v>-0.17869058206407173</v>
      </c>
      <c r="DF22" s="359">
        <f t="shared" si="42"/>
        <v>-0.13608664721310504</v>
      </c>
      <c r="DG22" s="359">
        <f t="shared" si="42"/>
        <v>-7.9138018265626942E-2</v>
      </c>
      <c r="DH22" s="359">
        <f t="shared" si="42"/>
        <v>4.9279635216356921E-2</v>
      </c>
      <c r="DI22" s="243">
        <f t="shared" si="42"/>
        <v>-8.7016508441298712E-2</v>
      </c>
      <c r="DJ22" s="359">
        <f t="shared" si="42"/>
        <v>0.20060219656956102</v>
      </c>
      <c r="DK22" s="359">
        <f t="shared" si="42"/>
        <v>0.1658225589773854</v>
      </c>
      <c r="DL22" s="359">
        <f t="shared" si="42"/>
        <v>0.13709854594207949</v>
      </c>
      <c r="DM22" s="359">
        <f t="shared" si="42"/>
        <v>0.14926310368883211</v>
      </c>
      <c r="DN22" s="243">
        <f t="shared" si="42"/>
        <v>0.16131225991828968</v>
      </c>
      <c r="DO22" s="963">
        <f>DO21/DJ21-1</f>
        <v>9.9196477056454402E-2</v>
      </c>
      <c r="DP22" s="359">
        <f t="shared" si="42"/>
        <v>5.5601461791544127E-2</v>
      </c>
      <c r="DQ22" s="359">
        <f t="shared" si="42"/>
        <v>3.8130329041030642E-2</v>
      </c>
      <c r="DR22" s="627">
        <f>DR21/DM21-1</f>
        <v>5.6942418933047634E-2</v>
      </c>
      <c r="DS22" s="243">
        <f>DS21/DN21-1</f>
        <v>6.1338804332130792E-2</v>
      </c>
      <c r="DT22" s="963">
        <f>DT21/DO21-1</f>
        <v>9.590803806421988E-2</v>
      </c>
      <c r="DU22" s="359">
        <f t="shared" ref="DU22" si="43">DU21/DP21-1</f>
        <v>0.1075799041606762</v>
      </c>
      <c r="DV22" s="360">
        <v>0.11</v>
      </c>
      <c r="DW22" s="360">
        <v>0.08</v>
      </c>
      <c r="DX22" s="243">
        <f>DX21/DS21-1</f>
        <v>9.7935980284839408E-2</v>
      </c>
      <c r="DY22" s="360">
        <v>7.0000000000000007E-2</v>
      </c>
      <c r="DZ22" s="360">
        <v>7.0000000000000007E-2</v>
      </c>
      <c r="EA22" s="360">
        <v>7.0000000000000007E-2</v>
      </c>
      <c r="EB22" s="360">
        <v>7.0000000000000007E-2</v>
      </c>
      <c r="EC22" s="243">
        <f>EC21/DX21-1</f>
        <v>7.0000000000000284E-2</v>
      </c>
      <c r="ED22" s="360">
        <v>0.06</v>
      </c>
      <c r="EE22" s="360">
        <v>0.06</v>
      </c>
      <c r="EF22" s="360">
        <v>0.06</v>
      </c>
      <c r="EG22" s="360">
        <v>0.06</v>
      </c>
      <c r="EH22" s="243">
        <f>EH21/EC21-1</f>
        <v>6.0000000000000053E-2</v>
      </c>
      <c r="EI22" s="360">
        <v>0.06</v>
      </c>
      <c r="EJ22" s="360">
        <v>0.06</v>
      </c>
      <c r="EK22" s="360">
        <v>0.06</v>
      </c>
      <c r="EL22" s="360">
        <v>0.06</v>
      </c>
      <c r="EM22" s="243">
        <f>EM21/EH21-1</f>
        <v>6.0000000000000053E-2</v>
      </c>
      <c r="EN22" s="360">
        <v>0.06</v>
      </c>
      <c r="EO22" s="360">
        <v>0.06</v>
      </c>
      <c r="EP22" s="360">
        <v>0.06</v>
      </c>
      <c r="EQ22" s="360">
        <v>0.06</v>
      </c>
      <c r="ER22" s="243">
        <f>ER21/EM21-1</f>
        <v>6.0000000000000053E-2</v>
      </c>
      <c r="ES22" s="490" t="s">
        <v>760</v>
      </c>
    </row>
    <row r="23" spans="1:149" ht="12" customHeight="1">
      <c r="A23" s="931"/>
      <c r="B23" s="484"/>
      <c r="C23" s="645" t="s">
        <v>596</v>
      </c>
      <c r="D23" s="407"/>
      <c r="E23" s="501"/>
      <c r="F23" s="501"/>
      <c r="G23" s="501"/>
      <c r="H23" s="501"/>
      <c r="I23" s="646"/>
      <c r="J23" s="646"/>
      <c r="K23" s="646"/>
      <c r="L23" s="646"/>
      <c r="M23" s="501"/>
      <c r="N23" s="359"/>
      <c r="O23" s="359"/>
      <c r="P23" s="359"/>
      <c r="Q23" s="359"/>
      <c r="R23" s="501"/>
      <c r="S23" s="359"/>
      <c r="T23" s="359"/>
      <c r="U23" s="359"/>
      <c r="V23" s="359"/>
      <c r="W23" s="501"/>
      <c r="X23" s="359"/>
      <c r="Y23" s="359"/>
      <c r="Z23" s="359"/>
      <c r="AA23" s="359"/>
      <c r="AB23" s="501"/>
      <c r="AC23" s="359"/>
      <c r="AD23" s="359"/>
      <c r="AE23" s="359"/>
      <c r="AF23" s="359"/>
      <c r="AG23" s="501"/>
      <c r="AH23" s="359"/>
      <c r="AI23" s="359"/>
      <c r="AJ23" s="359"/>
      <c r="AK23" s="359"/>
      <c r="AL23" s="501"/>
      <c r="AM23" s="359"/>
      <c r="AN23" s="359"/>
      <c r="AO23" s="359"/>
      <c r="AP23" s="359"/>
      <c r="AQ23" s="501"/>
      <c r="AR23" s="359"/>
      <c r="AS23" s="359"/>
      <c r="AT23" s="359"/>
      <c r="AU23" s="359"/>
      <c r="AV23" s="501"/>
      <c r="AW23" s="359"/>
      <c r="AX23" s="359"/>
      <c r="AY23" s="359"/>
      <c r="AZ23" s="359"/>
      <c r="BA23" s="501"/>
      <c r="BB23" s="359"/>
      <c r="BC23" s="359"/>
      <c r="BD23" s="359"/>
      <c r="BE23" s="359"/>
      <c r="BF23" s="501"/>
      <c r="BG23" s="539"/>
      <c r="BH23" s="539"/>
      <c r="BI23" s="539"/>
      <c r="BJ23" s="539"/>
      <c r="BK23" s="501"/>
      <c r="BL23" s="359"/>
      <c r="BM23" s="359"/>
      <c r="BN23" s="359"/>
      <c r="BO23" s="359"/>
      <c r="BP23" s="501"/>
      <c r="BQ23" s="359"/>
      <c r="BR23" s="359"/>
      <c r="BS23" s="359"/>
      <c r="BT23" s="359"/>
      <c r="BU23" s="501"/>
      <c r="BV23" s="535">
        <f>(BV25*1000000)/(BV16*1000)</f>
        <v>58.10088885857828</v>
      </c>
      <c r="BW23" s="535">
        <f>(BW25*1000000)/(BW16*1000)</f>
        <v>51.553571428571431</v>
      </c>
      <c r="BX23" s="535">
        <f>(BX25*1000000)/(BX16*1000)</f>
        <v>50.868749999999991</v>
      </c>
      <c r="BY23" s="535">
        <f>(BY25*1000000)/(BY16*1000)</f>
        <v>48.903311258278144</v>
      </c>
      <c r="BZ23" s="243"/>
      <c r="CA23" s="535">
        <f>(CA25*1000000)/(CA16*1000)</f>
        <v>49.342857142857149</v>
      </c>
      <c r="CB23" s="535">
        <f>(CB25*1000000)/(CB16*1000)</f>
        <v>47.320000000000007</v>
      </c>
      <c r="CC23" s="535">
        <f>(CC25*1000000)/(CC16*1000)</f>
        <v>47.082456140350885</v>
      </c>
      <c r="CD23" s="535">
        <f>(CD25*1000000)/(CD16*1000)</f>
        <v>49.059113300492612</v>
      </c>
      <c r="CE23" s="243"/>
      <c r="CF23" s="535">
        <f>(CF25*1000000)/(CF16*1000)</f>
        <v>49.94</v>
      </c>
      <c r="CG23" s="535">
        <f>(CG25*1000000)/(CG16*1000)</f>
        <v>50.402857142857144</v>
      </c>
      <c r="CH23" s="535">
        <f>(CH25*1000000)/(CH16*1000)</f>
        <v>49.809210526315795</v>
      </c>
      <c r="CI23" s="535">
        <f>(CI25*1000000)/(CI16*1000)</f>
        <v>49.917073170731705</v>
      </c>
      <c r="CJ23" s="243"/>
      <c r="CK23" s="535">
        <f>(CK25*1000000)/(CK16*1000)</f>
        <v>52.015294117647059</v>
      </c>
      <c r="CL23" s="535">
        <f>(CL25*1000000)/(CL16*1000)</f>
        <v>52.355555555555554</v>
      </c>
      <c r="CM23" s="535">
        <f>(CM25*1000000)/(CM16*1000)</f>
        <v>53.315789473684212</v>
      </c>
      <c r="CN23" s="535">
        <f>(CN25*1000000)/(CN16*1000)</f>
        <v>50.419083255378858</v>
      </c>
      <c r="CO23" s="538">
        <f>AVERAGE(CK23:CN23)</f>
        <v>52.026430600566421</v>
      </c>
      <c r="CP23" s="535">
        <f>(CP25*1000000)/(CP16*1000)</f>
        <v>50.36090909090909</v>
      </c>
      <c r="CQ23" s="535">
        <f>(CQ25*1000000)/(CQ16*1000)</f>
        <v>46.288149350649341</v>
      </c>
      <c r="CR23" s="535">
        <f>(CR25*1000000)/(CR16*1000)</f>
        <v>50.926339285714278</v>
      </c>
      <c r="CS23" s="535">
        <f>(CS25*1000000)/(CS16*1000)</f>
        <v>47.233276157804461</v>
      </c>
      <c r="CT23" s="538">
        <f>AVERAGE(CP23:CS23)</f>
        <v>48.702168471269289</v>
      </c>
      <c r="CU23" s="535">
        <f>(CU25*1000000)/(CU16*1000)</f>
        <v>49.440889299379869</v>
      </c>
      <c r="CV23" s="535">
        <f>(CV25*1000000)/(CV16*1000)</f>
        <v>50.278096359373571</v>
      </c>
      <c r="CW23" s="535">
        <f>(CW25*1000000)/(CW16*1000)</f>
        <v>50.208216874302053</v>
      </c>
      <c r="CX23" s="535">
        <f>(CX25*1000000)/(CX16*1000)</f>
        <v>49.442559379544356</v>
      </c>
      <c r="CY23" s="538">
        <f>AVERAGE(CU23:CX23)</f>
        <v>49.84244047814996</v>
      </c>
      <c r="CZ23" s="535">
        <f>(CZ25*1000000)/(CZ16*1000)</f>
        <v>50.48881039339998</v>
      </c>
      <c r="DA23" s="535">
        <f>(DA25*1000000)/(DA16*1000)</f>
        <v>50.93928089986521</v>
      </c>
      <c r="DB23" s="535">
        <f>(DB25*1000000)/(DB16*1000)</f>
        <v>50.340836562412967</v>
      </c>
      <c r="DC23" s="535">
        <f>(DC25*1000000)/(DC16*1000)</f>
        <v>44.797412463098091</v>
      </c>
      <c r="DD23" s="538">
        <f>AVERAGE(CZ23:DC23)</f>
        <v>49.14158507969406</v>
      </c>
      <c r="DE23" s="535">
        <f>(DE25*1000000)/(DE16*1000)</f>
        <v>40.555132188153131</v>
      </c>
      <c r="DF23" s="535">
        <f>(DF25*1000000)/(DF16*1000)</f>
        <v>45.738870888894503</v>
      </c>
      <c r="DG23" s="535">
        <f>(DG25*1000000)/(DG16*1000)</f>
        <v>45.95691464450713</v>
      </c>
      <c r="DH23" s="535">
        <f>(DH25*1000000)/(DH16*1000)</f>
        <v>47.126905528282201</v>
      </c>
      <c r="DI23" s="538">
        <f>AVERAGE(DE23:DH23)</f>
        <v>44.844455812459245</v>
      </c>
      <c r="DJ23" s="535">
        <f>(DJ25*1000000)/(DJ16*1000)</f>
        <v>48.212484652917425</v>
      </c>
      <c r="DK23" s="535">
        <f>(DK25*1000000)/(DK16*1000)</f>
        <v>52.643578784319473</v>
      </c>
      <c r="DL23" s="535">
        <f>(DL25*1000000)/(DL16*1000)</f>
        <v>53.183006420874051</v>
      </c>
      <c r="DM23" s="535">
        <f>(DM25*1000000)/(DM16*1000)</f>
        <v>52.775331807194881</v>
      </c>
      <c r="DN23" s="538">
        <f>AVERAGE(DJ23:DM23)</f>
        <v>51.703600416326459</v>
      </c>
      <c r="DO23" s="535">
        <f>(DO25*1000000)/(DO16*1000)</f>
        <v>52.645165189966953</v>
      </c>
      <c r="DP23" s="535">
        <f>(DP25*1000000)/(DP16*1000)</f>
        <v>52.207748915271438</v>
      </c>
      <c r="DQ23" s="535">
        <f>(DQ25*1000000)/(DQ16*1000)</f>
        <v>53.136957366630917</v>
      </c>
      <c r="DR23" s="535">
        <f>(DR25*1000000)/(DR16*1000)</f>
        <v>55.06420452500614</v>
      </c>
      <c r="DS23" s="538">
        <f>AVERAGE(DO23:DR23)</f>
        <v>53.263518999218867</v>
      </c>
      <c r="DT23" s="535">
        <f>(DT25*1000000)/(DT16*1000)</f>
        <v>55.555556736710543</v>
      </c>
      <c r="DU23" s="535">
        <f>(DU25*1000000)/(DU16*1000)</f>
        <v>56.501509612577223</v>
      </c>
      <c r="DV23" s="535">
        <f>DQ23*(1+DV24)</f>
        <v>56.325174808628773</v>
      </c>
      <c r="DW23" s="535">
        <f>DR23*(1+DW24)</f>
        <v>55.06420452500614</v>
      </c>
      <c r="DX23" s="538">
        <f>AVERAGE(DT23:DW23)</f>
        <v>55.861611420730675</v>
      </c>
      <c r="DY23" s="535">
        <f>DT23*(1+DY24)</f>
        <v>55.555556736710543</v>
      </c>
      <c r="DZ23" s="535">
        <f>DU23*(1+DZ24)</f>
        <v>56.501509612577223</v>
      </c>
      <c r="EA23" s="535">
        <f>DV23*(1+EA24)</f>
        <v>56.325174808628773</v>
      </c>
      <c r="EB23" s="535">
        <f>DW23*(1+EB24)</f>
        <v>55.06420452500614</v>
      </c>
      <c r="EC23" s="538">
        <f>AVERAGE(DY23:EB23)</f>
        <v>55.861611420730675</v>
      </c>
      <c r="ED23" s="535">
        <f>DY23*(1+ED24)</f>
        <v>55.555556736710543</v>
      </c>
      <c r="EE23" s="535">
        <f>DZ23*(1+EE24)</f>
        <v>56.501509612577223</v>
      </c>
      <c r="EF23" s="535">
        <f>EA23*(1+EF24)</f>
        <v>56.325174808628773</v>
      </c>
      <c r="EG23" s="535">
        <f>EB23*(1+EG24)</f>
        <v>55.06420452500614</v>
      </c>
      <c r="EH23" s="538">
        <f>AVERAGE(ED23:EG23)</f>
        <v>55.861611420730675</v>
      </c>
      <c r="EI23" s="535">
        <f>ED23*(1+EI24)</f>
        <v>55.555556736710543</v>
      </c>
      <c r="EJ23" s="535">
        <f>EE23*(1+EJ24)</f>
        <v>56.501509612577223</v>
      </c>
      <c r="EK23" s="535">
        <f>EF23*(1+EK24)</f>
        <v>56.325174808628773</v>
      </c>
      <c r="EL23" s="535">
        <f>EG23*(1+EL24)</f>
        <v>55.06420452500614</v>
      </c>
      <c r="EM23" s="538">
        <f>AVERAGE(EI23:EL23)</f>
        <v>55.861611420730675</v>
      </c>
      <c r="EN23" s="535">
        <f>EI23*(1+EN24)</f>
        <v>55.555556736710543</v>
      </c>
      <c r="EO23" s="535">
        <f>EJ23*(1+EO24)</f>
        <v>56.501509612577223</v>
      </c>
      <c r="EP23" s="535">
        <f>EK23*(1+EP24)</f>
        <v>56.325174808628773</v>
      </c>
      <c r="EQ23" s="535">
        <f>EL23*(1+EQ24)</f>
        <v>55.06420452500614</v>
      </c>
      <c r="ER23" s="538">
        <f>AVERAGE(EN23:EQ23)</f>
        <v>55.861611420730675</v>
      </c>
      <c r="ES23" s="490"/>
    </row>
    <row r="24" spans="1:149" ht="12" customHeight="1">
      <c r="A24" s="931"/>
      <c r="B24" s="484"/>
      <c r="C24" s="641" t="s">
        <v>129</v>
      </c>
      <c r="D24" s="500"/>
      <c r="E24" s="501"/>
      <c r="F24" s="501"/>
      <c r="G24" s="501"/>
      <c r="H24" s="501"/>
      <c r="I24" s="502"/>
      <c r="J24" s="502"/>
      <c r="K24" s="502"/>
      <c r="L24" s="502"/>
      <c r="M24" s="501"/>
      <c r="N24" s="359"/>
      <c r="O24" s="359"/>
      <c r="P24" s="359"/>
      <c r="Q24" s="359"/>
      <c r="R24" s="501"/>
      <c r="S24" s="359"/>
      <c r="T24" s="359"/>
      <c r="U24" s="359"/>
      <c r="V24" s="359"/>
      <c r="W24" s="501"/>
      <c r="X24" s="359"/>
      <c r="Y24" s="359"/>
      <c r="Z24" s="359"/>
      <c r="AA24" s="359"/>
      <c r="AB24" s="501"/>
      <c r="AC24" s="359"/>
      <c r="AD24" s="359"/>
      <c r="AE24" s="359"/>
      <c r="AF24" s="359"/>
      <c r="AG24" s="501"/>
      <c r="AH24" s="359"/>
      <c r="AI24" s="359"/>
      <c r="AJ24" s="359"/>
      <c r="AK24" s="359"/>
      <c r="AL24" s="501"/>
      <c r="AM24" s="359"/>
      <c r="AN24" s="359"/>
      <c r="AO24" s="359"/>
      <c r="AP24" s="359"/>
      <c r="AQ24" s="501"/>
      <c r="AR24" s="359"/>
      <c r="AS24" s="359"/>
      <c r="AT24" s="359"/>
      <c r="AU24" s="359"/>
      <c r="AV24" s="501"/>
      <c r="AW24" s="359"/>
      <c r="AX24" s="359"/>
      <c r="AY24" s="359"/>
      <c r="AZ24" s="359"/>
      <c r="BA24" s="501"/>
      <c r="BB24" s="359"/>
      <c r="BC24" s="359"/>
      <c r="BD24" s="359"/>
      <c r="BE24" s="359"/>
      <c r="BF24" s="501"/>
      <c r="BG24" s="539"/>
      <c r="BH24" s="539"/>
      <c r="BI24" s="539"/>
      <c r="BJ24" s="539"/>
      <c r="BK24" s="501"/>
      <c r="BL24" s="359"/>
      <c r="BM24" s="359"/>
      <c r="BN24" s="359"/>
      <c r="BO24" s="359"/>
      <c r="BP24" s="501"/>
      <c r="BQ24" s="359"/>
      <c r="BR24" s="359"/>
      <c r="BS24" s="359"/>
      <c r="BT24" s="359"/>
      <c r="BU24" s="501"/>
      <c r="BV24" s="359"/>
      <c r="BW24" s="359"/>
      <c r="BX24" s="359"/>
      <c r="BY24" s="359"/>
      <c r="BZ24" s="243"/>
      <c r="CA24" s="359">
        <f>CA23/BV23-1</f>
        <v>-0.15073834304047928</v>
      </c>
      <c r="CB24" s="359">
        <f>CB23/BW23-1</f>
        <v>-8.211984759265667E-2</v>
      </c>
      <c r="CC24" s="359">
        <f>CC23/BX23-1</f>
        <v>-7.443261058408368E-2</v>
      </c>
      <c r="CD24" s="359">
        <f>CD23/BY23-1</f>
        <v>3.1859200983674896E-3</v>
      </c>
      <c r="CE24" s="243"/>
      <c r="CF24" s="359">
        <f>CF23/CA23-1</f>
        <v>1.2101910828025364E-2</v>
      </c>
      <c r="CG24" s="359">
        <f>CG23/CB23-1</f>
        <v>6.5149136577707933E-2</v>
      </c>
      <c r="CH24" s="359">
        <f>CH23/CC23-1</f>
        <v>5.7914446473152692E-2</v>
      </c>
      <c r="CI24" s="359">
        <f>CI23/CD23-1</f>
        <v>1.7488287343963904E-2</v>
      </c>
      <c r="CJ24" s="243"/>
      <c r="CK24" s="359">
        <f>CK23/CF23-1</f>
        <v>4.155574925204375E-2</v>
      </c>
      <c r="CL24" s="359">
        <f>CL23/CG23-1</f>
        <v>3.874181987667602E-2</v>
      </c>
      <c r="CM24" s="359">
        <f>CM23/CH23-1</f>
        <v>7.04002113327169E-2</v>
      </c>
      <c r="CN24" s="359">
        <f>CN23/CI23-1</f>
        <v>1.0056881398677442E-2</v>
      </c>
      <c r="CO24" s="243"/>
      <c r="CP24" s="359">
        <f>CP23/CK23-1</f>
        <v>-3.1805742038026663E-2</v>
      </c>
      <c r="CQ24" s="359">
        <f>CQ23/CL23-1</f>
        <v>-0.11588848863360768</v>
      </c>
      <c r="CR24" s="359">
        <f>CR23/CM23-1</f>
        <v>-4.4816933436750972E-2</v>
      </c>
      <c r="CS24" s="359">
        <f>CS23/CN23-1</f>
        <v>-6.3186533587647586E-2</v>
      </c>
      <c r="CT24" s="243"/>
      <c r="CU24" s="359">
        <f>CU23/CP23-1</f>
        <v>-1.8268530257633864E-2</v>
      </c>
      <c r="CV24" s="359">
        <f>CV23/CQ23-1</f>
        <v>8.6198024001757911E-2</v>
      </c>
      <c r="CW24" s="359">
        <f>CW23/CR23-1</f>
        <v>-1.4101198348133948E-2</v>
      </c>
      <c r="CX24" s="359">
        <f>CX23/CS23-1</f>
        <v>4.6773872181949949E-2</v>
      </c>
      <c r="CY24" s="243"/>
      <c r="CZ24" s="359">
        <f>CZ23/CU23-1</f>
        <v>2.1195433756755921E-2</v>
      </c>
      <c r="DA24" s="359">
        <f>DA23/CV23-1</f>
        <v>1.3150548417061758E-2</v>
      </c>
      <c r="DB24" s="359">
        <f>DB23/CW23-1</f>
        <v>2.6413941057283896E-3</v>
      </c>
      <c r="DC24" s="359">
        <f>DC23/CX23-1</f>
        <v>-9.395037341792789E-2</v>
      </c>
      <c r="DD24" s="243"/>
      <c r="DE24" s="359">
        <f>DE23/CZ23-1</f>
        <v>-0.19675009428515677</v>
      </c>
      <c r="DF24" s="359">
        <f>DF23/DA23-1</f>
        <v>-0.10209036953610529</v>
      </c>
      <c r="DG24" s="359">
        <f>DG23/DB23-1</f>
        <v>-8.7084804649017244E-2</v>
      </c>
      <c r="DH24" s="359">
        <f>DH23/DC23-1</f>
        <v>5.2000616488798945E-2</v>
      </c>
      <c r="DI24" s="243"/>
      <c r="DJ24" s="359">
        <f>DJ23/DE23-1</f>
        <v>0.18881340169817373</v>
      </c>
      <c r="DK24" s="359">
        <f>DK23/DF23-1</f>
        <v>0.15095929919646189</v>
      </c>
      <c r="DL24" s="359">
        <f>DL23/DG23-1</f>
        <v>0.15723622510917634</v>
      </c>
      <c r="DM24" s="359">
        <f>DM23/DH23-1</f>
        <v>0.11985565815525279</v>
      </c>
      <c r="DN24" s="243"/>
      <c r="DO24" s="963">
        <f>DO23/DJ23-1</f>
        <v>9.1940512275201725E-2</v>
      </c>
      <c r="DP24" s="359">
        <f>DP23/DK23-1</f>
        <v>-8.2788799529307511E-3</v>
      </c>
      <c r="DQ24" s="359">
        <f>DQ23/DL23-1</f>
        <v>-8.6586030655577684E-4</v>
      </c>
      <c r="DR24" s="627">
        <f>DR23/DM23-1</f>
        <v>4.3370124628931528E-2</v>
      </c>
      <c r="DS24" s="243"/>
      <c r="DT24" s="963">
        <f>DT23/DO23-1</f>
        <v>5.5283168667846549E-2</v>
      </c>
      <c r="DU24" s="359">
        <f>DU23/DP23-1</f>
        <v>8.2243743247275125E-2</v>
      </c>
      <c r="DV24" s="360">
        <v>0.06</v>
      </c>
      <c r="DW24" s="360">
        <v>0</v>
      </c>
      <c r="DX24" s="243"/>
      <c r="DY24" s="360">
        <v>0</v>
      </c>
      <c r="DZ24" s="360">
        <v>0</v>
      </c>
      <c r="EA24" s="360">
        <v>0</v>
      </c>
      <c r="EB24" s="360">
        <v>0</v>
      </c>
      <c r="EC24" s="243"/>
      <c r="ED24" s="360">
        <v>0</v>
      </c>
      <c r="EE24" s="360">
        <v>0</v>
      </c>
      <c r="EF24" s="360">
        <v>0</v>
      </c>
      <c r="EG24" s="360">
        <v>0</v>
      </c>
      <c r="EH24" s="243"/>
      <c r="EI24" s="360">
        <v>0</v>
      </c>
      <c r="EJ24" s="360">
        <v>0</v>
      </c>
      <c r="EK24" s="360">
        <v>0</v>
      </c>
      <c r="EL24" s="360">
        <v>0</v>
      </c>
      <c r="EM24" s="243"/>
      <c r="EN24" s="360">
        <v>0</v>
      </c>
      <c r="EO24" s="360">
        <v>0</v>
      </c>
      <c r="EP24" s="360">
        <v>0</v>
      </c>
      <c r="EQ24" s="360">
        <v>0</v>
      </c>
      <c r="ER24" s="243"/>
      <c r="ES24" s="490" t="s">
        <v>759</v>
      </c>
    </row>
    <row r="25" spans="1:149" ht="12" customHeight="1">
      <c r="A25" s="932"/>
      <c r="B25" s="89"/>
      <c r="C25" s="394" t="s">
        <v>379</v>
      </c>
      <c r="D25" s="491"/>
      <c r="E25" s="491"/>
      <c r="F25" s="491"/>
      <c r="G25" s="491"/>
      <c r="H25" s="491"/>
      <c r="I25" s="492"/>
      <c r="J25" s="492"/>
      <c r="K25" s="492"/>
      <c r="L25" s="492"/>
      <c r="M25" s="493"/>
      <c r="N25" s="492"/>
      <c r="O25" s="492"/>
      <c r="P25" s="492"/>
      <c r="Q25" s="492"/>
      <c r="R25" s="493"/>
      <c r="S25" s="492"/>
      <c r="T25" s="492"/>
      <c r="U25" s="492"/>
      <c r="V25" s="492"/>
      <c r="W25" s="493"/>
      <c r="X25" s="492"/>
      <c r="Y25" s="492"/>
      <c r="Z25" s="492"/>
      <c r="AA25" s="492"/>
      <c r="AB25" s="493"/>
      <c r="AC25" s="492"/>
      <c r="AD25" s="492"/>
      <c r="AE25" s="492"/>
      <c r="AF25" s="492"/>
      <c r="AG25" s="493"/>
      <c r="AH25" s="492"/>
      <c r="AI25" s="492"/>
      <c r="AJ25" s="492"/>
      <c r="AK25" s="492"/>
      <c r="AL25" s="493"/>
      <c r="AM25" s="492"/>
      <c r="AN25" s="492"/>
      <c r="AO25" s="492"/>
      <c r="AP25" s="492"/>
      <c r="AQ25" s="493"/>
      <c r="AR25" s="492"/>
      <c r="AS25" s="492"/>
      <c r="AT25" s="492"/>
      <c r="AU25" s="492"/>
      <c r="AV25" s="493"/>
      <c r="AW25" s="492"/>
      <c r="AX25" s="492"/>
      <c r="AY25" s="492"/>
      <c r="AZ25" s="492"/>
      <c r="BA25" s="493"/>
      <c r="BB25" s="492"/>
      <c r="BC25" s="492"/>
      <c r="BD25" s="492"/>
      <c r="BE25" s="492"/>
      <c r="BF25" s="494"/>
      <c r="BG25" s="492"/>
      <c r="BH25" s="492"/>
      <c r="BI25" s="492"/>
      <c r="BJ25" s="492"/>
      <c r="BK25" s="493"/>
      <c r="BL25" s="492"/>
      <c r="BM25" s="492"/>
      <c r="BN25" s="492"/>
      <c r="BO25" s="492"/>
      <c r="BP25" s="495"/>
      <c r="BQ25" s="492">
        <v>7.4</v>
      </c>
      <c r="BR25" s="492">
        <v>8.5</v>
      </c>
      <c r="BS25" s="492">
        <v>9.7530000000000001</v>
      </c>
      <c r="BT25" s="492">
        <v>11.335000000000001</v>
      </c>
      <c r="BU25" s="495">
        <f>BT25</f>
        <v>11.335000000000001</v>
      </c>
      <c r="BV25" s="492">
        <v>12.779</v>
      </c>
      <c r="BW25" s="492">
        <v>14.435</v>
      </c>
      <c r="BX25" s="492">
        <v>16.277999999999999</v>
      </c>
      <c r="BY25" s="492">
        <v>18.460999999999999</v>
      </c>
      <c r="BZ25" s="495">
        <f>BY25</f>
        <v>18.460999999999999</v>
      </c>
      <c r="CA25" s="492">
        <v>20.724</v>
      </c>
      <c r="CB25" s="492">
        <v>23.66</v>
      </c>
      <c r="CC25" s="492">
        <v>26.837</v>
      </c>
      <c r="CD25" s="492">
        <v>29.876999999999999</v>
      </c>
      <c r="CE25" s="495">
        <f>CD25</f>
        <v>29.876999999999999</v>
      </c>
      <c r="CF25" s="492">
        <v>32.460999999999999</v>
      </c>
      <c r="CG25" s="492">
        <v>35.281999999999996</v>
      </c>
      <c r="CH25" s="492">
        <v>37.854999999999997</v>
      </c>
      <c r="CI25" s="496">
        <v>40.932000000000002</v>
      </c>
      <c r="CJ25" s="495">
        <f>CI25</f>
        <v>40.932000000000002</v>
      </c>
      <c r="CK25" s="497">
        <v>44.213000000000001</v>
      </c>
      <c r="CL25" s="497">
        <v>47.12</v>
      </c>
      <c r="CM25" s="497">
        <v>50.65</v>
      </c>
      <c r="CN25" s="497">
        <v>53.898000000000003</v>
      </c>
      <c r="CO25" s="495">
        <f>CN25</f>
        <v>53.898000000000003</v>
      </c>
      <c r="CP25" s="497">
        <v>55.396999999999998</v>
      </c>
      <c r="CQ25" s="497">
        <v>57.027000000000001</v>
      </c>
      <c r="CR25" s="497">
        <v>74.36</v>
      </c>
      <c r="CS25" s="497">
        <v>82.611000000000004</v>
      </c>
      <c r="CT25" s="495">
        <f>CS25</f>
        <v>82.611000000000004</v>
      </c>
      <c r="CU25" s="497">
        <v>89.930999999999997</v>
      </c>
      <c r="CV25" s="497">
        <v>95.111999999999995</v>
      </c>
      <c r="CW25" s="497">
        <v>98.778999999999996</v>
      </c>
      <c r="CX25" s="497">
        <v>102</v>
      </c>
      <c r="CY25" s="495">
        <f>CX25</f>
        <v>102</v>
      </c>
      <c r="CZ25" s="497">
        <v>105.2</v>
      </c>
      <c r="DA25" s="497">
        <v>107.2</v>
      </c>
      <c r="DB25" s="497">
        <v>107</v>
      </c>
      <c r="DC25" s="497">
        <v>109.5</v>
      </c>
      <c r="DD25" s="495">
        <f>DC25</f>
        <v>109.5</v>
      </c>
      <c r="DE25" s="497">
        <v>114</v>
      </c>
      <c r="DF25" s="497">
        <v>135</v>
      </c>
      <c r="DG25" s="497">
        <v>137</v>
      </c>
      <c r="DH25" s="497">
        <v>144</v>
      </c>
      <c r="DI25" s="495">
        <f>DH25</f>
        <v>144</v>
      </c>
      <c r="DJ25" s="497">
        <v>151</v>
      </c>
      <c r="DK25" s="497">
        <v>169</v>
      </c>
      <c r="DL25" s="497">
        <v>175</v>
      </c>
      <c r="DM25" s="497">
        <v>178</v>
      </c>
      <c r="DN25" s="495">
        <f>DM25</f>
        <v>178</v>
      </c>
      <c r="DO25" s="1286">
        <v>182</v>
      </c>
      <c r="DP25" s="497">
        <v>185</v>
      </c>
      <c r="DQ25" s="497">
        <v>193</v>
      </c>
      <c r="DR25" s="1535">
        <v>205</v>
      </c>
      <c r="DS25" s="495">
        <f>DR25</f>
        <v>205</v>
      </c>
      <c r="DT25" s="1286">
        <v>212</v>
      </c>
      <c r="DU25" s="497">
        <v>221</v>
      </c>
      <c r="DV25" s="498">
        <f>DV16*DV23/1000</f>
        <v>226.91959258437495</v>
      </c>
      <c r="DW25" s="498">
        <f>DW16*DW23/1000</f>
        <v>228.49465281249999</v>
      </c>
      <c r="DX25" s="495">
        <f>DW25</f>
        <v>228.49465281249999</v>
      </c>
      <c r="DY25" s="498">
        <f>DY16*DY23/1000</f>
        <v>237.44957710000003</v>
      </c>
      <c r="DZ25" s="498">
        <f>DZ16*DZ23/1000</f>
        <v>248.73744701000004</v>
      </c>
      <c r="EA25" s="498">
        <f>EA16*EA23/1000</f>
        <v>255.4000006153247</v>
      </c>
      <c r="EB25" s="498">
        <f>EB16*EB23/1000</f>
        <v>257.17274477836003</v>
      </c>
      <c r="EC25" s="495">
        <f>EB25</f>
        <v>257.17274477836003</v>
      </c>
      <c r="ED25" s="498">
        <f>ED16*ED23/1000</f>
        <v>265.95425313664555</v>
      </c>
      <c r="EE25" s="498">
        <f>EE16*EE23/1000</f>
        <v>277.24476388301252</v>
      </c>
      <c r="EF25" s="498">
        <f>EF16*EF23/1000</f>
        <v>283.28900227626644</v>
      </c>
      <c r="EG25" s="498">
        <f>EG16*EG23/1000</f>
        <v>283.87059080376685</v>
      </c>
      <c r="EH25" s="495">
        <f>EG25</f>
        <v>283.87059080376685</v>
      </c>
      <c r="EI25" s="498">
        <f>EI16*EI23/1000</f>
        <v>293.5637329287735</v>
      </c>
      <c r="EJ25" s="498">
        <f>EJ16*EJ23/1000</f>
        <v>306.02634423235349</v>
      </c>
      <c r="EK25" s="498">
        <f>EK16*EK23/1000</f>
        <v>312.69805248483772</v>
      </c>
      <c r="EL25" s="498">
        <f>EL16*EL23/1000</f>
        <v>313.34001739853232</v>
      </c>
      <c r="EM25" s="495">
        <f>EL25</f>
        <v>313.34001739853232</v>
      </c>
      <c r="EN25" s="498">
        <f>EN16*EN23/1000</f>
        <v>324.0394326267749</v>
      </c>
      <c r="EO25" s="498">
        <f>EO16*EO23/1000</f>
        <v>337.79582363451533</v>
      </c>
      <c r="EP25" s="498">
        <f>EP16*EP23/1000</f>
        <v>345.16014120609663</v>
      </c>
      <c r="EQ25" s="498">
        <f>EQ16*EQ23/1000</f>
        <v>345.86875035316166</v>
      </c>
      <c r="ER25" s="495">
        <f>EQ25</f>
        <v>345.86875035316166</v>
      </c>
      <c r="ES25" s="499"/>
    </row>
    <row r="26" spans="1:149" ht="12" customHeight="1">
      <c r="A26" s="931"/>
      <c r="B26" s="484"/>
      <c r="C26" s="600" t="s">
        <v>130</v>
      </c>
      <c r="D26" s="500"/>
      <c r="E26" s="501"/>
      <c r="F26" s="501"/>
      <c r="G26" s="501"/>
      <c r="H26" s="501"/>
      <c r="I26" s="502"/>
      <c r="J26" s="502"/>
      <c r="K26" s="502"/>
      <c r="L26" s="502"/>
      <c r="M26" s="501"/>
      <c r="N26" s="359"/>
      <c r="O26" s="359"/>
      <c r="P26" s="359"/>
      <c r="Q26" s="359"/>
      <c r="R26" s="501"/>
      <c r="S26" s="359"/>
      <c r="T26" s="359"/>
      <c r="U26" s="359"/>
      <c r="V26" s="359"/>
      <c r="W26" s="501"/>
      <c r="X26" s="359"/>
      <c r="Y26" s="359"/>
      <c r="Z26" s="359"/>
      <c r="AA26" s="359"/>
      <c r="AB26" s="501"/>
      <c r="AC26" s="359"/>
      <c r="AD26" s="359"/>
      <c r="AE26" s="359"/>
      <c r="AF26" s="359"/>
      <c r="AG26" s="501"/>
      <c r="AH26" s="359"/>
      <c r="AI26" s="359"/>
      <c r="AJ26" s="359"/>
      <c r="AK26" s="359"/>
      <c r="AL26" s="501"/>
      <c r="AM26" s="359"/>
      <c r="AN26" s="359"/>
      <c r="AO26" s="359"/>
      <c r="AP26" s="359"/>
      <c r="AQ26" s="501"/>
      <c r="AR26" s="359"/>
      <c r="AS26" s="359"/>
      <c r="AT26" s="359"/>
      <c r="AU26" s="359"/>
      <c r="AV26" s="501"/>
      <c r="AW26" s="359"/>
      <c r="AX26" s="359"/>
      <c r="AY26" s="359"/>
      <c r="AZ26" s="359"/>
      <c r="BA26" s="501"/>
      <c r="BB26" s="359"/>
      <c r="BC26" s="359"/>
      <c r="BD26" s="359"/>
      <c r="BE26" s="359"/>
      <c r="BF26" s="501"/>
      <c r="BG26" s="503"/>
      <c r="BH26" s="503"/>
      <c r="BI26" s="503"/>
      <c r="BJ26" s="503"/>
      <c r="BK26" s="501"/>
      <c r="BL26" s="244"/>
      <c r="BM26" s="244"/>
      <c r="BN26" s="244"/>
      <c r="BO26" s="244"/>
      <c r="BP26" s="504"/>
      <c r="BQ26" s="244"/>
      <c r="BR26" s="244">
        <f>BR25/BQ25-1</f>
        <v>0.14864864864864868</v>
      </c>
      <c r="BS26" s="244">
        <f>BS25/BR25-1</f>
        <v>0.14741176470588235</v>
      </c>
      <c r="BT26" s="244">
        <f>BT25/BS25-1</f>
        <v>0.16220650056392905</v>
      </c>
      <c r="BU26" s="504"/>
      <c r="BV26" s="244">
        <f>BV25/BT25-1</f>
        <v>0.12739303043670036</v>
      </c>
      <c r="BW26" s="244">
        <f>BW25/BV25-1</f>
        <v>0.12958760466390173</v>
      </c>
      <c r="BX26" s="244">
        <f>BX25/BW25-1</f>
        <v>0.1276757880152406</v>
      </c>
      <c r="BY26" s="244">
        <f>BY25/BX25-1</f>
        <v>0.13410738419953305</v>
      </c>
      <c r="BZ26" s="504"/>
      <c r="CA26" s="244">
        <f>CA25/BY25-1</f>
        <v>0.12258274199664165</v>
      </c>
      <c r="CB26" s="244">
        <f>CB25/CA25-1</f>
        <v>0.14167149198996332</v>
      </c>
      <c r="CC26" s="244">
        <f>CC25/CB25-1</f>
        <v>0.13427726120033801</v>
      </c>
      <c r="CD26" s="244">
        <f>CD25/CC25-1</f>
        <v>0.11327644669672465</v>
      </c>
      <c r="CE26" s="504"/>
      <c r="CF26" s="244">
        <f>CF25/CD25-1</f>
        <v>8.6487933862168243E-2</v>
      </c>
      <c r="CG26" s="244">
        <f>CG25/CF25-1</f>
        <v>8.6904285142170634E-2</v>
      </c>
      <c r="CH26" s="244">
        <f>CH25/CG25-1</f>
        <v>7.2926704835326817E-2</v>
      </c>
      <c r="CI26" s="244">
        <f>CI25/CH25-1</f>
        <v>8.12838462554486E-2</v>
      </c>
      <c r="CJ26" s="504"/>
      <c r="CK26" s="244">
        <f>CK25/CI25-1</f>
        <v>8.0157334115117829E-2</v>
      </c>
      <c r="CL26" s="244">
        <f>CL25/CK25-1</f>
        <v>6.5749892565534873E-2</v>
      </c>
      <c r="CM26" s="244">
        <f>CM25/CL25-1</f>
        <v>7.4915110356536641E-2</v>
      </c>
      <c r="CN26" s="244">
        <f>CN25/CM25-1</f>
        <v>6.4126357354393093E-2</v>
      </c>
      <c r="CO26" s="504"/>
      <c r="CP26" s="244">
        <f>CP25/CN25-1</f>
        <v>2.781179264536715E-2</v>
      </c>
      <c r="CQ26" s="244">
        <f>CQ25/CP25-1</f>
        <v>2.9423976027582732E-2</v>
      </c>
      <c r="CR26" s="244">
        <f>CR25/CQ25-1</f>
        <v>0.30394374594490325</v>
      </c>
      <c r="CS26" s="244">
        <f>CS25/CR25-1</f>
        <v>0.11096019365250132</v>
      </c>
      <c r="CT26" s="504"/>
      <c r="CU26" s="244">
        <f>CU25/CS25-1</f>
        <v>8.8608054617423715E-2</v>
      </c>
      <c r="CV26" s="244">
        <f>CV25/CU25-1</f>
        <v>5.761083497347963E-2</v>
      </c>
      <c r="CW26" s="244">
        <f>CW25/CV25-1</f>
        <v>3.8554546219194297E-2</v>
      </c>
      <c r="CX26" s="245">
        <f>CX25/CW25-1</f>
        <v>3.2608145456018089E-2</v>
      </c>
      <c r="CY26" s="504"/>
      <c r="CZ26" s="244">
        <f>CZ25/CX25-1</f>
        <v>3.1372549019607954E-2</v>
      </c>
      <c r="DA26" s="244">
        <f>DA25/CY25-1</f>
        <v>5.0980392156862786E-2</v>
      </c>
      <c r="DB26" s="244">
        <f>DB25/DA25-1</f>
        <v>-1.8656716417910779E-3</v>
      </c>
      <c r="DC26" s="244">
        <f>DC25/DB25-1</f>
        <v>2.3364485981308469E-2</v>
      </c>
      <c r="DD26" s="504"/>
      <c r="DE26" s="244">
        <f>DE25/DC25-1</f>
        <v>4.1095890410958846E-2</v>
      </c>
      <c r="DF26" s="244">
        <f>DF25/DE25-1</f>
        <v>0.18421052631578938</v>
      </c>
      <c r="DG26" s="244">
        <f>DG25/DF25-1</f>
        <v>1.4814814814814836E-2</v>
      </c>
      <c r="DH26" s="244">
        <f>DH25/DG25-1</f>
        <v>5.1094890510948954E-2</v>
      </c>
      <c r="DI26" s="504"/>
      <c r="DJ26" s="244">
        <f>DJ25/DI25-1</f>
        <v>4.861111111111116E-2</v>
      </c>
      <c r="DK26" s="244">
        <f>DK25/DJ25-1</f>
        <v>0.11920529801324498</v>
      </c>
      <c r="DL26" s="244">
        <f>DL25/DK25-1</f>
        <v>3.5502958579881616E-2</v>
      </c>
      <c r="DM26" s="244">
        <f>DM25/DL25-1</f>
        <v>1.7142857142857126E-2</v>
      </c>
      <c r="DN26" s="504"/>
      <c r="DO26" s="244">
        <f>DO25/DN25-1</f>
        <v>2.2471910112359605E-2</v>
      </c>
      <c r="DP26" s="244">
        <f>DP25/DO25-1</f>
        <v>1.6483516483516425E-2</v>
      </c>
      <c r="DQ26" s="244">
        <f>DQ25/DP25-1</f>
        <v>4.3243243243243246E-2</v>
      </c>
      <c r="DR26" s="244">
        <f>DR25/DQ25-1</f>
        <v>6.2176165803108807E-2</v>
      </c>
      <c r="DS26" s="504"/>
      <c r="DT26" s="244">
        <f>DT25/DS25-1</f>
        <v>3.4146341463414664E-2</v>
      </c>
      <c r="DU26" s="244">
        <f>DU25/DT25-1</f>
        <v>4.2452830188679291E-2</v>
      </c>
      <c r="DV26" s="244">
        <f>DV25/DU25-1</f>
        <v>2.6785486807126446E-2</v>
      </c>
      <c r="DW26" s="244">
        <f>DW25/DV25-1</f>
        <v>6.9410499560076389E-3</v>
      </c>
      <c r="DX26" s="238"/>
      <c r="DY26" s="244">
        <f>DY25/DW25-1</f>
        <v>3.9190957763236334E-2</v>
      </c>
      <c r="DZ26" s="244">
        <f>DZ25/DY25-1</f>
        <v>4.7537965945697147E-2</v>
      </c>
      <c r="EA26" s="244">
        <f>EA25/DZ25-1</f>
        <v>2.6785486807126446E-2</v>
      </c>
      <c r="EB26" s="244">
        <f>EB25/EA25-1</f>
        <v>6.9410499560076389E-3</v>
      </c>
      <c r="EC26" s="238"/>
      <c r="ED26" s="244">
        <f>ED25/EB25-1</f>
        <v>3.4146341463414887E-2</v>
      </c>
      <c r="EE26" s="244">
        <f>EE25/ED25-1</f>
        <v>4.2452830188679069E-2</v>
      </c>
      <c r="EF26" s="244">
        <f>EF25/EE25-1</f>
        <v>2.1801091240101433E-2</v>
      </c>
      <c r="EG26" s="244">
        <f>EG25/EF25-1</f>
        <v>2.0529866067064972E-3</v>
      </c>
      <c r="EH26" s="238"/>
      <c r="EI26" s="244">
        <f>EI25/EG25-1</f>
        <v>3.4146341463414664E-2</v>
      </c>
      <c r="EJ26" s="244">
        <f>EJ25/EI25-1</f>
        <v>4.2452830188679291E-2</v>
      </c>
      <c r="EK26" s="244">
        <f>EK25/EJ25-1</f>
        <v>2.1801091240101433E-2</v>
      </c>
      <c r="EL26" s="244">
        <f>EL25/EK25-1</f>
        <v>2.0529866067064972E-3</v>
      </c>
      <c r="EM26" s="238"/>
      <c r="EN26" s="244">
        <f>EN25/EL25-1</f>
        <v>3.4146341463414664E-2</v>
      </c>
      <c r="EO26" s="244">
        <f>EO25/EN25-1</f>
        <v>4.2452830188679291E-2</v>
      </c>
      <c r="EP26" s="244">
        <f>EP25/EO25-1</f>
        <v>2.1801091240101433E-2</v>
      </c>
      <c r="EQ26" s="244">
        <f>EQ25/EP25-1</f>
        <v>2.0529866067064972E-3</v>
      </c>
      <c r="ER26" s="238"/>
      <c r="ES26" s="490"/>
    </row>
    <row r="27" spans="1:149" ht="12" customHeight="1">
      <c r="A27" s="931"/>
      <c r="B27" s="484"/>
      <c r="C27" s="600" t="s">
        <v>129</v>
      </c>
      <c r="D27" s="500"/>
      <c r="E27" s="501"/>
      <c r="F27" s="501"/>
      <c r="G27" s="501"/>
      <c r="H27" s="501"/>
      <c r="I27" s="502"/>
      <c r="J27" s="502"/>
      <c r="K27" s="502"/>
      <c r="L27" s="502"/>
      <c r="M27" s="501"/>
      <c r="N27" s="359"/>
      <c r="O27" s="359"/>
      <c r="P27" s="359"/>
      <c r="Q27" s="359"/>
      <c r="R27" s="501"/>
      <c r="S27" s="359"/>
      <c r="T27" s="359"/>
      <c r="U27" s="359"/>
      <c r="V27" s="359"/>
      <c r="W27" s="501"/>
      <c r="X27" s="359"/>
      <c r="Y27" s="359"/>
      <c r="Z27" s="359"/>
      <c r="AA27" s="359"/>
      <c r="AB27" s="501"/>
      <c r="AC27" s="359"/>
      <c r="AD27" s="359"/>
      <c r="AE27" s="359"/>
      <c r="AF27" s="359"/>
      <c r="AG27" s="501"/>
      <c r="AH27" s="359"/>
      <c r="AI27" s="359"/>
      <c r="AJ27" s="359"/>
      <c r="AK27" s="359"/>
      <c r="AL27" s="501"/>
      <c r="AM27" s="359"/>
      <c r="AN27" s="359"/>
      <c r="AO27" s="359"/>
      <c r="AP27" s="359"/>
      <c r="AQ27" s="501"/>
      <c r="AR27" s="359"/>
      <c r="AS27" s="359"/>
      <c r="AT27" s="359"/>
      <c r="AU27" s="359"/>
      <c r="AV27" s="501"/>
      <c r="AW27" s="359"/>
      <c r="AX27" s="359"/>
      <c r="AY27" s="359"/>
      <c r="AZ27" s="359"/>
      <c r="BA27" s="501"/>
      <c r="BB27" s="359"/>
      <c r="BC27" s="359"/>
      <c r="BD27" s="359"/>
      <c r="BE27" s="359"/>
      <c r="BF27" s="501"/>
      <c r="BG27" s="242"/>
      <c r="BH27" s="242"/>
      <c r="BI27" s="242"/>
      <c r="BJ27" s="242"/>
      <c r="BK27" s="501"/>
      <c r="BL27" s="244"/>
      <c r="BM27" s="244"/>
      <c r="BN27" s="244"/>
      <c r="BO27" s="244"/>
      <c r="BP27" s="243"/>
      <c r="BQ27" s="244"/>
      <c r="BR27" s="244"/>
      <c r="BS27" s="244"/>
      <c r="BT27" s="244"/>
      <c r="BU27" s="243"/>
      <c r="BV27" s="244">
        <f t="shared" ref="BV27:DA27" si="44">BV25/BQ25-1</f>
        <v>0.72689189189189185</v>
      </c>
      <c r="BW27" s="244">
        <f t="shared" si="44"/>
        <v>0.69823529411764707</v>
      </c>
      <c r="BX27" s="244">
        <f t="shared" si="44"/>
        <v>0.66902491541064268</v>
      </c>
      <c r="BY27" s="244">
        <f t="shared" si="44"/>
        <v>0.62867225408028204</v>
      </c>
      <c r="BZ27" s="243">
        <f t="shared" si="44"/>
        <v>0.62867225408028204</v>
      </c>
      <c r="CA27" s="244">
        <f t="shared" si="44"/>
        <v>0.62172313952578451</v>
      </c>
      <c r="CB27" s="244">
        <f t="shared" si="44"/>
        <v>0.63907170072739872</v>
      </c>
      <c r="CC27" s="244">
        <f t="shared" si="44"/>
        <v>0.6486669123971005</v>
      </c>
      <c r="CD27" s="244">
        <f t="shared" si="44"/>
        <v>0.61838470288716763</v>
      </c>
      <c r="CE27" s="243">
        <f t="shared" si="44"/>
        <v>0.61838470288716763</v>
      </c>
      <c r="CF27" s="244">
        <f t="shared" si="44"/>
        <v>0.56634819532908698</v>
      </c>
      <c r="CG27" s="244">
        <f t="shared" si="44"/>
        <v>0.49120879120879102</v>
      </c>
      <c r="CH27" s="244">
        <f t="shared" si="44"/>
        <v>0.41055259529753685</v>
      </c>
      <c r="CI27" s="244">
        <f t="shared" si="44"/>
        <v>0.3700170699869465</v>
      </c>
      <c r="CJ27" s="243">
        <f t="shared" si="44"/>
        <v>0.3700170699869465</v>
      </c>
      <c r="CK27" s="244">
        <f t="shared" si="44"/>
        <v>0.3620344413295955</v>
      </c>
      <c r="CL27" s="244">
        <f t="shared" si="44"/>
        <v>0.33552519698429806</v>
      </c>
      <c r="CM27" s="244">
        <f t="shared" si="44"/>
        <v>0.33800026416589635</v>
      </c>
      <c r="CN27" s="244">
        <f t="shared" si="44"/>
        <v>0.31676927587217829</v>
      </c>
      <c r="CO27" s="243">
        <f t="shared" si="44"/>
        <v>0.31676927587217829</v>
      </c>
      <c r="CP27" s="244">
        <f t="shared" si="44"/>
        <v>0.25295727500961251</v>
      </c>
      <c r="CQ27" s="244">
        <f t="shared" si="44"/>
        <v>0.21025042444821751</v>
      </c>
      <c r="CR27" s="244">
        <f t="shared" si="44"/>
        <v>0.46811451135241855</v>
      </c>
      <c r="CS27" s="244">
        <f t="shared" si="44"/>
        <v>0.53272848714238008</v>
      </c>
      <c r="CT27" s="243">
        <f t="shared" si="44"/>
        <v>0.53272848714238008</v>
      </c>
      <c r="CU27" s="244">
        <f t="shared" si="44"/>
        <v>0.62339115836597658</v>
      </c>
      <c r="CV27" s="244">
        <f t="shared" si="44"/>
        <v>0.6678415487400704</v>
      </c>
      <c r="CW27" s="244">
        <f t="shared" si="44"/>
        <v>0.32838891877353404</v>
      </c>
      <c r="CX27" s="245">
        <f t="shared" si="44"/>
        <v>0.23470240040672552</v>
      </c>
      <c r="CY27" s="243">
        <f t="shared" si="44"/>
        <v>0.23470240040672552</v>
      </c>
      <c r="CZ27" s="244">
        <f t="shared" si="44"/>
        <v>0.16978572461109076</v>
      </c>
      <c r="DA27" s="244">
        <f t="shared" si="44"/>
        <v>0.12709227016569957</v>
      </c>
      <c r="DB27" s="244">
        <f t="shared" ref="DB27:EC27" si="45">DB25/CW25-1</f>
        <v>8.3226191801901273E-2</v>
      </c>
      <c r="DC27" s="244">
        <f t="shared" si="45"/>
        <v>7.3529411764705843E-2</v>
      </c>
      <c r="DD27" s="243">
        <f t="shared" si="45"/>
        <v>7.3529411764705843E-2</v>
      </c>
      <c r="DE27" s="244">
        <f t="shared" si="45"/>
        <v>8.365019011406849E-2</v>
      </c>
      <c r="DF27" s="244">
        <f t="shared" si="45"/>
        <v>0.25932835820895517</v>
      </c>
      <c r="DG27" s="244">
        <f t="shared" si="45"/>
        <v>0.28037383177570097</v>
      </c>
      <c r="DH27" s="244">
        <f t="shared" si="45"/>
        <v>0.31506849315068486</v>
      </c>
      <c r="DI27" s="243">
        <f t="shared" si="45"/>
        <v>0.31506849315068486</v>
      </c>
      <c r="DJ27" s="244">
        <f t="shared" si="45"/>
        <v>0.32456140350877183</v>
      </c>
      <c r="DK27" s="244">
        <f t="shared" si="45"/>
        <v>0.25185185185185177</v>
      </c>
      <c r="DL27" s="244">
        <f t="shared" si="45"/>
        <v>0.27737226277372273</v>
      </c>
      <c r="DM27" s="244">
        <f t="shared" si="45"/>
        <v>0.23611111111111116</v>
      </c>
      <c r="DN27" s="243">
        <f t="shared" si="45"/>
        <v>0.23611111111111116</v>
      </c>
      <c r="DO27" s="244">
        <f>DO25/DJ25-1</f>
        <v>0.20529801324503305</v>
      </c>
      <c r="DP27" s="244">
        <f t="shared" si="45"/>
        <v>9.4674556213017791E-2</v>
      </c>
      <c r="DQ27" s="244">
        <f t="shared" si="45"/>
        <v>0.10285714285714276</v>
      </c>
      <c r="DR27" s="244">
        <f>DR25/DM25-1</f>
        <v>0.151685393258427</v>
      </c>
      <c r="DS27" s="243">
        <f>DS25/DN25-1</f>
        <v>0.151685393258427</v>
      </c>
      <c r="DT27" s="244">
        <f>DT25/DO25-1</f>
        <v>0.16483516483516492</v>
      </c>
      <c r="DU27" s="244">
        <f t="shared" si="45"/>
        <v>0.19459459459459461</v>
      </c>
      <c r="DV27" s="244">
        <f t="shared" si="45"/>
        <v>0.17574918437499987</v>
      </c>
      <c r="DW27" s="244">
        <f t="shared" si="45"/>
        <v>0.11460806249999989</v>
      </c>
      <c r="DX27" s="243">
        <f t="shared" si="45"/>
        <v>0.11460806249999989</v>
      </c>
      <c r="DY27" s="244">
        <f t="shared" si="45"/>
        <v>0.12004517500000023</v>
      </c>
      <c r="DZ27" s="244">
        <f t="shared" si="45"/>
        <v>0.12550881000000014</v>
      </c>
      <c r="EA27" s="244">
        <f t="shared" si="45"/>
        <v>0.12550881000000014</v>
      </c>
      <c r="EB27" s="244">
        <f t="shared" si="45"/>
        <v>0.12550881000000014</v>
      </c>
      <c r="EC27" s="243">
        <f t="shared" si="45"/>
        <v>0.12550881000000014</v>
      </c>
      <c r="ED27" s="244">
        <f t="shared" ref="ED27" si="46">ED25/DY25-1</f>
        <v>0.120045175</v>
      </c>
      <c r="EE27" s="244">
        <f t="shared" ref="EE27" si="47">EE25/DZ25-1</f>
        <v>0.11460806249999989</v>
      </c>
      <c r="EF27" s="244">
        <f t="shared" ref="EF27" si="48">EF25/EA25-1</f>
        <v>0.10919734374999979</v>
      </c>
      <c r="EG27" s="244">
        <f t="shared" ref="EG27" si="49">EG25/EB25-1</f>
        <v>0.10381289062499954</v>
      </c>
      <c r="EH27" s="243">
        <f t="shared" ref="EH27" si="50">EH25/EC25-1</f>
        <v>0.10381289062499954</v>
      </c>
      <c r="EI27" s="244">
        <f t="shared" ref="EI27" si="51">EI25/ED25-1</f>
        <v>0.10381289062499932</v>
      </c>
      <c r="EJ27" s="244">
        <f t="shared" ref="EJ27" si="52">EJ25/EE25-1</f>
        <v>0.10381289062499932</v>
      </c>
      <c r="EK27" s="244">
        <f t="shared" ref="EK27" si="53">EK25/EF25-1</f>
        <v>0.10381289062499954</v>
      </c>
      <c r="EL27" s="244">
        <f t="shared" ref="EL27" si="54">EL25/EG25-1</f>
        <v>0.10381289062499954</v>
      </c>
      <c r="EM27" s="243">
        <f t="shared" ref="EM27" si="55">EM25/EH25-1</f>
        <v>0.10381289062499954</v>
      </c>
      <c r="EN27" s="244">
        <f t="shared" ref="EN27" si="56">EN25/EI25-1</f>
        <v>0.10381289062499977</v>
      </c>
      <c r="EO27" s="244">
        <f t="shared" ref="EO27" si="57">EO25/EJ25-1</f>
        <v>0.10381289062499977</v>
      </c>
      <c r="EP27" s="244">
        <f t="shared" ref="EP27" si="58">EP25/EK25-1</f>
        <v>0.10381289062499977</v>
      </c>
      <c r="EQ27" s="244">
        <f t="shared" ref="EQ27" si="59">EQ25/EL25-1</f>
        <v>0.10381289062499977</v>
      </c>
      <c r="ER27" s="243">
        <f t="shared" ref="ER27" si="60">ER25/EM25-1</f>
        <v>0.10381289062499977</v>
      </c>
      <c r="ES27" s="490"/>
    </row>
    <row r="28" spans="1:149" ht="12" customHeight="1">
      <c r="A28" s="1425"/>
      <c r="B28" s="484"/>
      <c r="C28" s="956" t="s">
        <v>261</v>
      </c>
      <c r="D28" s="643"/>
      <c r="E28" s="501"/>
      <c r="F28" s="501"/>
      <c r="G28" s="501"/>
      <c r="H28" s="501"/>
      <c r="I28" s="644"/>
      <c r="J28" s="644"/>
      <c r="K28" s="644"/>
      <c r="L28" s="644"/>
      <c r="M28" s="501"/>
      <c r="N28" s="359"/>
      <c r="O28" s="359"/>
      <c r="P28" s="359"/>
      <c r="Q28" s="359"/>
      <c r="R28" s="501"/>
      <c r="S28" s="359"/>
      <c r="T28" s="359"/>
      <c r="U28" s="359"/>
      <c r="V28" s="359"/>
      <c r="W28" s="501"/>
      <c r="X28" s="359"/>
      <c r="Y28" s="359"/>
      <c r="Z28" s="359"/>
      <c r="AA28" s="359"/>
      <c r="AB28" s="501"/>
      <c r="AC28" s="359"/>
      <c r="AD28" s="359"/>
      <c r="AE28" s="359"/>
      <c r="AF28" s="359"/>
      <c r="AG28" s="501"/>
      <c r="AH28" s="359"/>
      <c r="AI28" s="359"/>
      <c r="AJ28" s="359"/>
      <c r="AK28" s="359"/>
      <c r="AL28" s="501"/>
      <c r="AM28" s="359"/>
      <c r="AN28" s="359"/>
      <c r="AO28" s="359"/>
      <c r="AP28" s="359"/>
      <c r="AQ28" s="501"/>
      <c r="AR28" s="359"/>
      <c r="AS28" s="359"/>
      <c r="AT28" s="359"/>
      <c r="AU28" s="359"/>
      <c r="AV28" s="501"/>
      <c r="AW28" s="359"/>
      <c r="AX28" s="359"/>
      <c r="AY28" s="359"/>
      <c r="AZ28" s="359"/>
      <c r="BA28" s="501"/>
      <c r="BB28" s="359"/>
      <c r="BC28" s="359"/>
      <c r="BD28" s="359"/>
      <c r="BE28" s="359"/>
      <c r="BF28" s="501"/>
      <c r="BG28" s="505"/>
      <c r="BH28" s="505"/>
      <c r="BI28" s="505"/>
      <c r="BJ28" s="505"/>
      <c r="BK28" s="501"/>
      <c r="BL28" s="359"/>
      <c r="BM28" s="359"/>
      <c r="BN28" s="359"/>
      <c r="BO28" s="359"/>
      <c r="BP28" s="501"/>
      <c r="BQ28" s="359"/>
      <c r="BR28" s="359"/>
      <c r="BS28" s="359"/>
      <c r="BT28" s="359"/>
      <c r="BU28" s="954" t="s">
        <v>262</v>
      </c>
      <c r="BV28" s="359"/>
      <c r="BW28" s="359"/>
      <c r="BX28" s="359"/>
      <c r="BY28" s="359"/>
      <c r="BZ28" s="954" t="s">
        <v>262</v>
      </c>
      <c r="CA28" s="359"/>
      <c r="CB28" s="359"/>
      <c r="CC28" s="359"/>
      <c r="CD28" s="359"/>
      <c r="CE28" s="954" t="s">
        <v>262</v>
      </c>
      <c r="CF28" s="359"/>
      <c r="CG28" s="359"/>
      <c r="CH28" s="359"/>
      <c r="CI28" s="359"/>
      <c r="CJ28" s="243"/>
      <c r="CK28" s="506"/>
      <c r="CL28" s="506"/>
      <c r="CM28" s="506"/>
      <c r="CN28" s="506"/>
      <c r="CO28" s="243"/>
      <c r="CP28" s="244"/>
      <c r="CQ28" s="244"/>
      <c r="CR28" s="244"/>
      <c r="CS28" s="244"/>
      <c r="CT28" s="243"/>
      <c r="CU28" s="244"/>
      <c r="CV28" s="244"/>
      <c r="CW28" s="244"/>
      <c r="CX28" s="245"/>
      <c r="CY28" s="243"/>
      <c r="CZ28" s="244"/>
      <c r="DA28" s="244"/>
      <c r="DB28" s="244"/>
      <c r="DC28" s="244"/>
      <c r="DD28" s="243"/>
      <c r="DE28" s="244"/>
      <c r="DF28" s="244"/>
      <c r="DG28" s="244"/>
      <c r="DH28" s="244"/>
      <c r="DI28" s="243"/>
      <c r="DJ28" s="244"/>
      <c r="DK28" s="244"/>
      <c r="DL28" s="244"/>
      <c r="DM28" s="244"/>
      <c r="DN28" s="243"/>
      <c r="DO28" s="244"/>
      <c r="DP28" s="244"/>
      <c r="DQ28" s="244"/>
      <c r="DR28" s="1485"/>
      <c r="DS28" s="243"/>
      <c r="DT28" s="244"/>
      <c r="DU28" s="244"/>
      <c r="DV28" s="244"/>
      <c r="DW28" s="244"/>
      <c r="DX28" s="243"/>
      <c r="DY28" s="244"/>
      <c r="DZ28" s="244"/>
      <c r="EA28" s="244"/>
      <c r="EB28" s="244"/>
      <c r="EC28" s="243"/>
      <c r="ED28" s="244"/>
      <c r="EE28" s="244"/>
      <c r="EF28" s="244"/>
      <c r="EG28" s="244"/>
      <c r="EH28" s="243"/>
      <c r="EI28" s="244"/>
      <c r="EJ28" s="244"/>
      <c r="EK28" s="244"/>
      <c r="EL28" s="244"/>
      <c r="EM28" s="243"/>
      <c r="EN28" s="244"/>
      <c r="EO28" s="244"/>
      <c r="EP28" s="244"/>
      <c r="EQ28" s="244"/>
      <c r="ER28" s="243"/>
      <c r="ES28" s="490"/>
    </row>
    <row r="29" spans="1:149" ht="12" customHeight="1">
      <c r="A29" s="931"/>
      <c r="B29" s="484"/>
      <c r="C29" s="1424" t="s">
        <v>289</v>
      </c>
      <c r="D29" s="500"/>
      <c r="E29" s="501"/>
      <c r="F29" s="501"/>
      <c r="G29" s="501"/>
      <c r="H29" s="501"/>
      <c r="I29" s="502"/>
      <c r="J29" s="502"/>
      <c r="K29" s="502"/>
      <c r="L29" s="502"/>
      <c r="M29" s="501"/>
      <c r="N29" s="359"/>
      <c r="O29" s="359"/>
      <c r="P29" s="359"/>
      <c r="Q29" s="359"/>
      <c r="R29" s="501"/>
      <c r="S29" s="359"/>
      <c r="T29" s="359"/>
      <c r="U29" s="359"/>
      <c r="V29" s="359"/>
      <c r="W29" s="501"/>
      <c r="X29" s="359"/>
      <c r="Y29" s="359"/>
      <c r="Z29" s="359"/>
      <c r="AA29" s="359"/>
      <c r="AB29" s="501"/>
      <c r="AC29" s="359"/>
      <c r="AD29" s="359"/>
      <c r="AE29" s="359"/>
      <c r="AF29" s="359"/>
      <c r="AG29" s="501"/>
      <c r="AH29" s="359"/>
      <c r="AI29" s="359"/>
      <c r="AJ29" s="359"/>
      <c r="AK29" s="359"/>
      <c r="AL29" s="501"/>
      <c r="AM29" s="359"/>
      <c r="AN29" s="359"/>
      <c r="AO29" s="359"/>
      <c r="AP29" s="359"/>
      <c r="AQ29" s="501"/>
      <c r="AR29" s="359"/>
      <c r="AS29" s="359"/>
      <c r="AT29" s="359"/>
      <c r="AU29" s="359"/>
      <c r="AV29" s="501"/>
      <c r="AW29" s="359"/>
      <c r="AX29" s="359"/>
      <c r="AY29" s="359"/>
      <c r="AZ29" s="359"/>
      <c r="BA29" s="501"/>
      <c r="BB29" s="359"/>
      <c r="BC29" s="359"/>
      <c r="BD29" s="359"/>
      <c r="BE29" s="359"/>
      <c r="BF29" s="501"/>
      <c r="BG29" s="242"/>
      <c r="BH29" s="242"/>
      <c r="BI29" s="242"/>
      <c r="BJ29" s="242"/>
      <c r="BK29" s="501"/>
      <c r="BL29" s="244"/>
      <c r="BM29" s="244"/>
      <c r="BN29" s="244"/>
      <c r="BO29" s="244"/>
      <c r="BP29" s="243"/>
      <c r="BQ29" s="244"/>
      <c r="BR29" s="244"/>
      <c r="BS29" s="244"/>
      <c r="BT29" s="244"/>
      <c r="BU29" s="243"/>
      <c r="BV29" s="244"/>
      <c r="BW29" s="244"/>
      <c r="BX29" s="244"/>
      <c r="BY29" s="244"/>
      <c r="BZ29" s="243"/>
      <c r="CA29" s="244"/>
      <c r="CB29" s="244"/>
      <c r="CC29" s="244"/>
      <c r="CD29" s="244"/>
      <c r="CE29" s="243"/>
      <c r="CF29" s="244"/>
      <c r="CG29" s="244"/>
      <c r="CH29" s="244"/>
      <c r="CI29" s="244"/>
      <c r="CJ29" s="243"/>
      <c r="CK29" s="244"/>
      <c r="CL29" s="244"/>
      <c r="CM29" s="244"/>
      <c r="CN29" s="244"/>
      <c r="CO29" s="243"/>
      <c r="CP29" s="244"/>
      <c r="CQ29" s="244"/>
      <c r="CR29" s="244"/>
      <c r="CS29" s="244"/>
      <c r="CT29" s="243"/>
      <c r="CU29" s="244"/>
      <c r="CV29" s="244"/>
      <c r="CW29" s="244"/>
      <c r="CX29" s="244"/>
      <c r="CY29" s="243"/>
      <c r="CZ29" s="244"/>
      <c r="DA29" s="244"/>
      <c r="DB29" s="244"/>
      <c r="DC29" s="244"/>
      <c r="DD29" s="243"/>
      <c r="DE29" s="244"/>
      <c r="DF29" s="244"/>
      <c r="DG29" s="244"/>
      <c r="DH29" s="244"/>
      <c r="DI29" s="243"/>
      <c r="DJ29" s="244"/>
      <c r="DK29" s="244"/>
      <c r="DL29" s="244"/>
      <c r="DM29" s="244"/>
      <c r="DN29" s="243"/>
      <c r="DO29" s="244"/>
      <c r="DP29" s="244"/>
      <c r="DQ29" s="244"/>
      <c r="DR29" s="244"/>
      <c r="DS29" s="243"/>
      <c r="DT29" s="244"/>
      <c r="DU29" s="244"/>
      <c r="DV29" s="244"/>
      <c r="DW29" s="244"/>
      <c r="DX29" s="243"/>
      <c r="DY29" s="244"/>
      <c r="DZ29" s="244"/>
      <c r="EA29" s="244"/>
      <c r="EB29" s="244"/>
      <c r="EC29" s="243"/>
      <c r="ED29" s="244"/>
      <c r="EE29" s="244"/>
      <c r="EF29" s="244"/>
      <c r="EG29" s="244"/>
      <c r="EH29" s="243"/>
      <c r="EI29" s="244"/>
      <c r="EJ29" s="244"/>
      <c r="EK29" s="244"/>
      <c r="EL29" s="244"/>
      <c r="EM29" s="243"/>
      <c r="EN29" s="244"/>
      <c r="EO29" s="244"/>
      <c r="EP29" s="244"/>
      <c r="EQ29" s="244"/>
      <c r="ER29" s="243"/>
      <c r="ES29" s="490"/>
    </row>
    <row r="30" spans="1:149" ht="12" customHeight="1">
      <c r="A30" s="931"/>
      <c r="B30" s="484"/>
      <c r="C30" s="649" t="s">
        <v>290</v>
      </c>
      <c r="D30" s="500"/>
      <c r="E30" s="501"/>
      <c r="F30" s="501"/>
      <c r="G30" s="501"/>
      <c r="H30" s="501"/>
      <c r="I30" s="502"/>
      <c r="J30" s="502"/>
      <c r="K30" s="502"/>
      <c r="L30" s="502"/>
      <c r="M30" s="501"/>
      <c r="N30" s="359"/>
      <c r="O30" s="359"/>
      <c r="P30" s="359"/>
      <c r="Q30" s="359"/>
      <c r="R30" s="501"/>
      <c r="S30" s="359"/>
      <c r="T30" s="359"/>
      <c r="U30" s="359"/>
      <c r="V30" s="359"/>
      <c r="W30" s="501"/>
      <c r="X30" s="359"/>
      <c r="Y30" s="359"/>
      <c r="Z30" s="359"/>
      <c r="AA30" s="359"/>
      <c r="AB30" s="501"/>
      <c r="AC30" s="359"/>
      <c r="AD30" s="359"/>
      <c r="AE30" s="359"/>
      <c r="AF30" s="359"/>
      <c r="AG30" s="501"/>
      <c r="AH30" s="359"/>
      <c r="AI30" s="359"/>
      <c r="AJ30" s="359"/>
      <c r="AK30" s="359"/>
      <c r="AL30" s="501"/>
      <c r="AM30" s="359"/>
      <c r="AN30" s="359"/>
      <c r="AO30" s="359"/>
      <c r="AP30" s="359"/>
      <c r="AQ30" s="501"/>
      <c r="AR30" s="359"/>
      <c r="AS30" s="359"/>
      <c r="AT30" s="359"/>
      <c r="AU30" s="359"/>
      <c r="AV30" s="501"/>
      <c r="AW30" s="359"/>
      <c r="AX30" s="359"/>
      <c r="AY30" s="359"/>
      <c r="AZ30" s="359"/>
      <c r="BA30" s="501"/>
      <c r="BB30" s="359"/>
      <c r="BC30" s="359"/>
      <c r="BD30" s="359"/>
      <c r="BE30" s="359"/>
      <c r="BF30" s="501"/>
      <c r="BG30" s="242"/>
      <c r="BH30" s="242"/>
      <c r="BI30" s="242"/>
      <c r="BJ30" s="242"/>
      <c r="BK30" s="501"/>
      <c r="BL30" s="244"/>
      <c r="BM30" s="244"/>
      <c r="BN30" s="244"/>
      <c r="BO30" s="244"/>
      <c r="BP30" s="243"/>
      <c r="BQ30" s="244"/>
      <c r="BR30" s="244"/>
      <c r="BS30" s="244"/>
      <c r="BT30" s="244"/>
      <c r="BU30" s="243"/>
      <c r="BV30" s="244"/>
      <c r="BW30" s="244"/>
      <c r="BX30" s="244"/>
      <c r="BY30" s="244"/>
      <c r="BZ30" s="243"/>
      <c r="CA30" s="244"/>
      <c r="CB30" s="244"/>
      <c r="CC30" s="244"/>
      <c r="CD30" s="244"/>
      <c r="CE30" s="243"/>
      <c r="CF30" s="244"/>
      <c r="CG30" s="244"/>
      <c r="CH30" s="580">
        <v>0.7</v>
      </c>
      <c r="CI30" s="580">
        <v>0.66</v>
      </c>
      <c r="CJ30" s="243"/>
      <c r="CK30" s="580">
        <v>0.68</v>
      </c>
      <c r="CL30" s="580">
        <v>0.66</v>
      </c>
      <c r="CM30" s="580">
        <v>0.65</v>
      </c>
      <c r="CN30" s="580">
        <v>0.63</v>
      </c>
      <c r="CO30" s="243"/>
      <c r="CP30" s="580">
        <v>0.63</v>
      </c>
      <c r="CQ30" s="580">
        <v>0.62</v>
      </c>
      <c r="CR30" s="580">
        <v>0.59</v>
      </c>
      <c r="CS30" s="580">
        <v>0.63</v>
      </c>
      <c r="CT30" s="243"/>
      <c r="CU30" s="580">
        <v>0.6</v>
      </c>
      <c r="CV30" s="580">
        <v>0.61</v>
      </c>
      <c r="CW30" s="580">
        <v>0.63</v>
      </c>
      <c r="CX30" s="580">
        <v>0.61</v>
      </c>
      <c r="CY30" s="243"/>
      <c r="CZ30" s="359">
        <f>1-CZ31-CZ32</f>
        <v>0.56999999999999995</v>
      </c>
      <c r="DA30" s="359">
        <f>1-DA31-DA32</f>
        <v>0.55999999999999994</v>
      </c>
      <c r="DB30" s="359">
        <f>1-DB31-DB32</f>
        <v>0.52999999999999992</v>
      </c>
      <c r="DC30" s="359">
        <f>1-DC31-DC32</f>
        <v>0.5099999999999999</v>
      </c>
      <c r="DD30" s="501"/>
      <c r="DE30" s="580">
        <f>1-DE31-DE32</f>
        <v>0.59</v>
      </c>
      <c r="DF30" s="580">
        <f>1-DF31-DF32</f>
        <v>0.59</v>
      </c>
      <c r="DG30" s="580">
        <f>1-DG31-DG32</f>
        <v>0.6</v>
      </c>
      <c r="DH30" s="580">
        <f>1-DH31-DH32</f>
        <v>0.57000000000000006</v>
      </c>
      <c r="DI30" s="501"/>
      <c r="DJ30" s="586">
        <f>1-DJ31-DJ32</f>
        <v>0.6</v>
      </c>
      <c r="DK30" s="586">
        <f>1-DK31-DK32</f>
        <v>0.6</v>
      </c>
      <c r="DL30" s="586">
        <f>1-DL31-DL32</f>
        <v>0.57999999999999996</v>
      </c>
      <c r="DM30" s="586">
        <f>1-DM31-DM32</f>
        <v>0.54</v>
      </c>
      <c r="DN30" s="501"/>
      <c r="DO30" s="359">
        <f t="shared" ref="DO30:DR30" si="61">1-DO32-DO31</f>
        <v>0.52</v>
      </c>
      <c r="DP30" s="359">
        <f t="shared" si="61"/>
        <v>0.48000000000000004</v>
      </c>
      <c r="DQ30" s="359">
        <f t="shared" si="61"/>
        <v>0.48000000000000004</v>
      </c>
      <c r="DR30" s="359">
        <f t="shared" si="61"/>
        <v>0.42000000000000004</v>
      </c>
      <c r="DS30" s="501"/>
      <c r="DT30" s="359">
        <f>1-DT32-DT31</f>
        <v>0.46000000000000008</v>
      </c>
      <c r="DU30" s="359">
        <f t="shared" ref="DU30" si="62">1-DU32-DU31</f>
        <v>0.45</v>
      </c>
      <c r="DV30" s="359">
        <f>1-DV31-DV32</f>
        <v>0.44000000000000006</v>
      </c>
      <c r="DW30" s="359">
        <f>1-DW31-DW32</f>
        <v>0.39</v>
      </c>
      <c r="DX30" s="501"/>
      <c r="DY30" s="359">
        <f>1-DY31-DY32</f>
        <v>0.39</v>
      </c>
      <c r="DZ30" s="359">
        <f>1-DZ31-DZ32</f>
        <v>0.39</v>
      </c>
      <c r="EA30" s="359">
        <f>1-EA31-EA32</f>
        <v>0.39</v>
      </c>
      <c r="EB30" s="359">
        <f>1-EB31-EB32</f>
        <v>0.39</v>
      </c>
      <c r="EC30" s="501"/>
      <c r="ED30" s="359">
        <f>1-ED31-ED32</f>
        <v>0.39</v>
      </c>
      <c r="EE30" s="359">
        <f>1-EE31-EE32</f>
        <v>0.39</v>
      </c>
      <c r="EF30" s="359">
        <f>1-EF31-EF32</f>
        <v>0.39</v>
      </c>
      <c r="EG30" s="359">
        <f>1-EG31-EG32</f>
        <v>0.39</v>
      </c>
      <c r="EH30" s="501"/>
      <c r="EI30" s="359">
        <f>1-EI31-EI32</f>
        <v>0.39</v>
      </c>
      <c r="EJ30" s="359">
        <f>1-EJ31-EJ32</f>
        <v>0.39</v>
      </c>
      <c r="EK30" s="359">
        <f>1-EK31-EK32</f>
        <v>0.39</v>
      </c>
      <c r="EL30" s="359">
        <f>1-EL31-EL32</f>
        <v>0.39</v>
      </c>
      <c r="EM30" s="501"/>
      <c r="EN30" s="359">
        <f>1-EN31-EN32</f>
        <v>0.39</v>
      </c>
      <c r="EO30" s="359">
        <f>1-EO31-EO32</f>
        <v>0.39</v>
      </c>
      <c r="EP30" s="359">
        <f>1-EP31-EP32</f>
        <v>0.39</v>
      </c>
      <c r="EQ30" s="359">
        <f>1-EQ31-EQ32</f>
        <v>0.39</v>
      </c>
      <c r="ER30" s="501"/>
      <c r="ES30" s="490"/>
    </row>
    <row r="31" spans="1:149" ht="12" customHeight="1">
      <c r="A31" s="931"/>
      <c r="B31" s="484"/>
      <c r="C31" s="649" t="s">
        <v>291</v>
      </c>
      <c r="D31" s="500"/>
      <c r="E31" s="501"/>
      <c r="F31" s="501"/>
      <c r="G31" s="501"/>
      <c r="H31" s="501"/>
      <c r="I31" s="502"/>
      <c r="J31" s="502"/>
      <c r="K31" s="502"/>
      <c r="L31" s="502"/>
      <c r="M31" s="501"/>
      <c r="N31" s="359"/>
      <c r="O31" s="359"/>
      <c r="P31" s="359"/>
      <c r="Q31" s="359"/>
      <c r="R31" s="501"/>
      <c r="S31" s="359"/>
      <c r="T31" s="359"/>
      <c r="U31" s="359"/>
      <c r="V31" s="359"/>
      <c r="W31" s="501"/>
      <c r="X31" s="359"/>
      <c r="Y31" s="359"/>
      <c r="Z31" s="359"/>
      <c r="AA31" s="359"/>
      <c r="AB31" s="501"/>
      <c r="AC31" s="359"/>
      <c r="AD31" s="359"/>
      <c r="AE31" s="359"/>
      <c r="AF31" s="359"/>
      <c r="AG31" s="501"/>
      <c r="AH31" s="359"/>
      <c r="AI31" s="359"/>
      <c r="AJ31" s="359"/>
      <c r="AK31" s="359"/>
      <c r="AL31" s="501"/>
      <c r="AM31" s="359"/>
      <c r="AN31" s="359"/>
      <c r="AO31" s="359"/>
      <c r="AP31" s="359"/>
      <c r="AQ31" s="501"/>
      <c r="AR31" s="359"/>
      <c r="AS31" s="359"/>
      <c r="AT31" s="359"/>
      <c r="AU31" s="359"/>
      <c r="AV31" s="501"/>
      <c r="AW31" s="359"/>
      <c r="AX31" s="359"/>
      <c r="AY31" s="359"/>
      <c r="AZ31" s="359"/>
      <c r="BA31" s="501"/>
      <c r="BB31" s="359"/>
      <c r="BC31" s="359"/>
      <c r="BD31" s="359"/>
      <c r="BE31" s="359"/>
      <c r="BF31" s="501"/>
      <c r="BG31" s="242"/>
      <c r="BH31" s="242"/>
      <c r="BI31" s="242"/>
      <c r="BJ31" s="242"/>
      <c r="BK31" s="501"/>
      <c r="BL31" s="244"/>
      <c r="BM31" s="244"/>
      <c r="BN31" s="244"/>
      <c r="BO31" s="244"/>
      <c r="BP31" s="243"/>
      <c r="BQ31" s="244"/>
      <c r="BR31" s="244"/>
      <c r="BS31" s="244"/>
      <c r="BT31" s="244"/>
      <c r="BU31" s="243"/>
      <c r="BV31" s="244"/>
      <c r="BW31" s="244"/>
      <c r="BX31" s="244"/>
      <c r="BY31" s="244"/>
      <c r="BZ31" s="243"/>
      <c r="CA31" s="244"/>
      <c r="CB31" s="244"/>
      <c r="CC31" s="244"/>
      <c r="CD31" s="244"/>
      <c r="CE31" s="243"/>
      <c r="CF31" s="244"/>
      <c r="CG31" s="244"/>
      <c r="CH31" s="580">
        <v>0.22</v>
      </c>
      <c r="CI31" s="580">
        <v>0.22</v>
      </c>
      <c r="CJ31" s="243"/>
      <c r="CK31" s="580">
        <v>0.23</v>
      </c>
      <c r="CL31" s="580">
        <v>0.23</v>
      </c>
      <c r="CM31" s="580">
        <v>0.23</v>
      </c>
      <c r="CN31" s="580">
        <v>0.23</v>
      </c>
      <c r="CO31" s="243"/>
      <c r="CP31" s="580">
        <v>0.24</v>
      </c>
      <c r="CQ31" s="580">
        <v>0.24</v>
      </c>
      <c r="CR31" s="580">
        <v>0.22</v>
      </c>
      <c r="CS31" s="580">
        <v>0.21</v>
      </c>
      <c r="CT31" s="243"/>
      <c r="CU31" s="580">
        <v>0.21</v>
      </c>
      <c r="CV31" s="580">
        <v>0.22</v>
      </c>
      <c r="CW31" s="580">
        <v>0.23</v>
      </c>
      <c r="CX31" s="580">
        <v>0.24</v>
      </c>
      <c r="CY31" s="243"/>
      <c r="CZ31" s="580">
        <v>0.3</v>
      </c>
      <c r="DA31" s="580">
        <v>0.31</v>
      </c>
      <c r="DB31" s="580">
        <v>0.33</v>
      </c>
      <c r="DC31" s="580">
        <v>0.34</v>
      </c>
      <c r="DD31" s="243"/>
      <c r="DE31" s="580">
        <f>+DE49</f>
        <v>0.3</v>
      </c>
      <c r="DF31" s="580">
        <f>+DF49</f>
        <v>0.27</v>
      </c>
      <c r="DG31" s="580">
        <f>+DG49</f>
        <v>0.26</v>
      </c>
      <c r="DH31" s="580">
        <f>+DH49</f>
        <v>0.25</v>
      </c>
      <c r="DI31" s="243"/>
      <c r="DJ31" s="586">
        <f>+DJ49</f>
        <v>0.27</v>
      </c>
      <c r="DK31" s="586">
        <f>+DK49</f>
        <v>0.26</v>
      </c>
      <c r="DL31" s="586">
        <f>+DL49</f>
        <v>0.27</v>
      </c>
      <c r="DM31" s="586">
        <f>+DM49</f>
        <v>0.26</v>
      </c>
      <c r="DN31" s="243"/>
      <c r="DO31" s="580">
        <v>0.34</v>
      </c>
      <c r="DP31" s="586">
        <v>0.34</v>
      </c>
      <c r="DQ31" s="586">
        <v>0.34</v>
      </c>
      <c r="DR31" s="959">
        <v>0.35</v>
      </c>
      <c r="DS31" s="243"/>
      <c r="DT31" s="580">
        <v>0.35</v>
      </c>
      <c r="DU31" s="580">
        <v>0.34</v>
      </c>
      <c r="DV31" s="360">
        <v>0.35</v>
      </c>
      <c r="DW31" s="360">
        <v>0.36</v>
      </c>
      <c r="DX31" s="243"/>
      <c r="DY31" s="360">
        <f>DW31</f>
        <v>0.36</v>
      </c>
      <c r="DZ31" s="360">
        <f t="shared" ref="DZ31:EB32" si="63">DY31</f>
        <v>0.36</v>
      </c>
      <c r="EA31" s="360">
        <f t="shared" si="63"/>
        <v>0.36</v>
      </c>
      <c r="EB31" s="360">
        <f t="shared" si="63"/>
        <v>0.36</v>
      </c>
      <c r="EC31" s="243"/>
      <c r="ED31" s="360">
        <f>EB31</f>
        <v>0.36</v>
      </c>
      <c r="EE31" s="360">
        <f t="shared" ref="EE31:EE32" si="64">ED31</f>
        <v>0.36</v>
      </c>
      <c r="EF31" s="360">
        <f t="shared" ref="EF31:EF32" si="65">EE31</f>
        <v>0.36</v>
      </c>
      <c r="EG31" s="360">
        <f t="shared" ref="EG31:EG32" si="66">EF31</f>
        <v>0.36</v>
      </c>
      <c r="EH31" s="243"/>
      <c r="EI31" s="360">
        <f>EG31</f>
        <v>0.36</v>
      </c>
      <c r="EJ31" s="360">
        <f t="shared" ref="EJ31:EJ32" si="67">EI31</f>
        <v>0.36</v>
      </c>
      <c r="EK31" s="360">
        <f t="shared" ref="EK31:EK32" si="68">EJ31</f>
        <v>0.36</v>
      </c>
      <c r="EL31" s="360">
        <f t="shared" ref="EL31:EL32" si="69">EK31</f>
        <v>0.36</v>
      </c>
      <c r="EM31" s="243"/>
      <c r="EN31" s="360">
        <f>EL31</f>
        <v>0.36</v>
      </c>
      <c r="EO31" s="360">
        <f t="shared" ref="EO31:EO32" si="70">EN31</f>
        <v>0.36</v>
      </c>
      <c r="EP31" s="360">
        <f t="shared" ref="EP31:EP32" si="71">EO31</f>
        <v>0.36</v>
      </c>
      <c r="EQ31" s="360">
        <f t="shared" ref="EQ31:EQ32" si="72">EP31</f>
        <v>0.36</v>
      </c>
      <c r="ER31" s="243"/>
      <c r="ES31" s="490"/>
    </row>
    <row r="32" spans="1:149" ht="12" customHeight="1">
      <c r="A32" s="931"/>
      <c r="B32" s="484"/>
      <c r="C32" s="649" t="s">
        <v>292</v>
      </c>
      <c r="D32" s="500"/>
      <c r="E32" s="501"/>
      <c r="F32" s="501"/>
      <c r="G32" s="501"/>
      <c r="H32" s="501"/>
      <c r="I32" s="502"/>
      <c r="J32" s="502"/>
      <c r="K32" s="502"/>
      <c r="L32" s="502"/>
      <c r="M32" s="501"/>
      <c r="N32" s="359"/>
      <c r="O32" s="359"/>
      <c r="P32" s="359"/>
      <c r="Q32" s="359"/>
      <c r="R32" s="501"/>
      <c r="S32" s="359"/>
      <c r="T32" s="359"/>
      <c r="U32" s="359"/>
      <c r="V32" s="359"/>
      <c r="W32" s="501"/>
      <c r="X32" s="359"/>
      <c r="Y32" s="359"/>
      <c r="Z32" s="359"/>
      <c r="AA32" s="359"/>
      <c r="AB32" s="501"/>
      <c r="AC32" s="359"/>
      <c r="AD32" s="359"/>
      <c r="AE32" s="359"/>
      <c r="AF32" s="359"/>
      <c r="AG32" s="501"/>
      <c r="AH32" s="359"/>
      <c r="AI32" s="359"/>
      <c r="AJ32" s="359"/>
      <c r="AK32" s="359"/>
      <c r="AL32" s="501"/>
      <c r="AM32" s="359"/>
      <c r="AN32" s="359"/>
      <c r="AO32" s="359"/>
      <c r="AP32" s="359"/>
      <c r="AQ32" s="501"/>
      <c r="AR32" s="359"/>
      <c r="AS32" s="359"/>
      <c r="AT32" s="359"/>
      <c r="AU32" s="359"/>
      <c r="AV32" s="501"/>
      <c r="AW32" s="359"/>
      <c r="AX32" s="359"/>
      <c r="AY32" s="359"/>
      <c r="AZ32" s="359"/>
      <c r="BA32" s="501"/>
      <c r="BB32" s="359"/>
      <c r="BC32" s="359"/>
      <c r="BD32" s="359"/>
      <c r="BE32" s="359"/>
      <c r="BF32" s="501"/>
      <c r="BG32" s="242"/>
      <c r="BH32" s="242"/>
      <c r="BI32" s="242"/>
      <c r="BJ32" s="242"/>
      <c r="BK32" s="501"/>
      <c r="BL32" s="244"/>
      <c r="BM32" s="244"/>
      <c r="BN32" s="244"/>
      <c r="BO32" s="244"/>
      <c r="BP32" s="243"/>
      <c r="BQ32" s="244"/>
      <c r="BR32" s="244"/>
      <c r="BS32" s="244"/>
      <c r="BT32" s="244"/>
      <c r="BU32" s="243"/>
      <c r="BV32" s="244"/>
      <c r="BW32" s="244"/>
      <c r="BX32" s="244"/>
      <c r="BY32" s="244"/>
      <c r="BZ32" s="243"/>
      <c r="CA32" s="244"/>
      <c r="CB32" s="244"/>
      <c r="CC32" s="244"/>
      <c r="CD32" s="244"/>
      <c r="CE32" s="243"/>
      <c r="CF32" s="244"/>
      <c r="CG32" s="244"/>
      <c r="CH32" s="580">
        <v>0.09</v>
      </c>
      <c r="CI32" s="580">
        <v>0.12</v>
      </c>
      <c r="CJ32" s="243"/>
      <c r="CK32" s="580">
        <v>0.09</v>
      </c>
      <c r="CL32" s="580">
        <v>0.1</v>
      </c>
      <c r="CM32" s="580">
        <v>0.11</v>
      </c>
      <c r="CN32" s="580">
        <v>0.14000000000000001</v>
      </c>
      <c r="CO32" s="243"/>
      <c r="CP32" s="580">
        <v>0.13</v>
      </c>
      <c r="CQ32" s="580">
        <v>0.14000000000000001</v>
      </c>
      <c r="CR32" s="580">
        <v>0.2</v>
      </c>
      <c r="CS32" s="580">
        <v>0.16</v>
      </c>
      <c r="CT32" s="243"/>
      <c r="CU32" s="580">
        <v>0.19</v>
      </c>
      <c r="CV32" s="580">
        <v>0.17</v>
      </c>
      <c r="CW32" s="580">
        <v>0.14000000000000001</v>
      </c>
      <c r="CX32" s="580">
        <v>0.14000000000000001</v>
      </c>
      <c r="CY32" s="243"/>
      <c r="CZ32" s="586">
        <v>0.13</v>
      </c>
      <c r="DA32" s="586">
        <v>0.13</v>
      </c>
      <c r="DB32" s="586">
        <v>0.14000000000000001</v>
      </c>
      <c r="DC32" s="586">
        <v>0.15</v>
      </c>
      <c r="DD32" s="243"/>
      <c r="DE32" s="580">
        <f>+DE51</f>
        <v>0.11</v>
      </c>
      <c r="DF32" s="580">
        <f>+DF51</f>
        <v>0.14000000000000001</v>
      </c>
      <c r="DG32" s="580">
        <f>+DG51</f>
        <v>0.14000000000000001</v>
      </c>
      <c r="DH32" s="580">
        <f>+DH51</f>
        <v>0.18</v>
      </c>
      <c r="DI32" s="243"/>
      <c r="DJ32" s="586">
        <f>+DJ51</f>
        <v>0.13</v>
      </c>
      <c r="DK32" s="586">
        <f>+DK51</f>
        <v>0.14000000000000001</v>
      </c>
      <c r="DL32" s="586">
        <f>+DL51</f>
        <v>0.15</v>
      </c>
      <c r="DM32" s="586">
        <f>+DM51</f>
        <v>0.2</v>
      </c>
      <c r="DN32" s="243"/>
      <c r="DO32" s="959">
        <f>+DO51</f>
        <v>0.14000000000000001</v>
      </c>
      <c r="DP32" s="959">
        <f>+DP51</f>
        <v>0.18</v>
      </c>
      <c r="DQ32" s="959">
        <f>+DQ51</f>
        <v>0.18</v>
      </c>
      <c r="DR32" s="959">
        <f>+DR51</f>
        <v>0.23</v>
      </c>
      <c r="DS32" s="243"/>
      <c r="DT32" s="586">
        <f>+DT51</f>
        <v>0.19</v>
      </c>
      <c r="DU32" s="959">
        <f>+DU51</f>
        <v>0.21</v>
      </c>
      <c r="DV32" s="360">
        <f t="shared" ref="DV32:DW32" si="73">+DV51</f>
        <v>0.21</v>
      </c>
      <c r="DW32" s="360">
        <f t="shared" si="73"/>
        <v>0.25</v>
      </c>
      <c r="DX32" s="243"/>
      <c r="DY32" s="360">
        <f>DW32</f>
        <v>0.25</v>
      </c>
      <c r="DZ32" s="360">
        <f t="shared" si="63"/>
        <v>0.25</v>
      </c>
      <c r="EA32" s="360">
        <f t="shared" si="63"/>
        <v>0.25</v>
      </c>
      <c r="EB32" s="360">
        <f t="shared" si="63"/>
        <v>0.25</v>
      </c>
      <c r="EC32" s="243"/>
      <c r="ED32" s="360">
        <f>EB32</f>
        <v>0.25</v>
      </c>
      <c r="EE32" s="360">
        <f t="shared" si="64"/>
        <v>0.25</v>
      </c>
      <c r="EF32" s="360">
        <f t="shared" si="65"/>
        <v>0.25</v>
      </c>
      <c r="EG32" s="360">
        <f t="shared" si="66"/>
        <v>0.25</v>
      </c>
      <c r="EH32" s="243"/>
      <c r="EI32" s="360">
        <f>EG32</f>
        <v>0.25</v>
      </c>
      <c r="EJ32" s="360">
        <f t="shared" si="67"/>
        <v>0.25</v>
      </c>
      <c r="EK32" s="360">
        <f t="shared" si="68"/>
        <v>0.25</v>
      </c>
      <c r="EL32" s="360">
        <f t="shared" si="69"/>
        <v>0.25</v>
      </c>
      <c r="EM32" s="243"/>
      <c r="EN32" s="360">
        <f>EL32</f>
        <v>0.25</v>
      </c>
      <c r="EO32" s="360">
        <f t="shared" si="70"/>
        <v>0.25</v>
      </c>
      <c r="EP32" s="360">
        <f t="shared" si="71"/>
        <v>0.25</v>
      </c>
      <c r="EQ32" s="360">
        <f t="shared" si="72"/>
        <v>0.25</v>
      </c>
      <c r="ER32" s="243"/>
      <c r="ES32" s="490"/>
    </row>
    <row r="33" spans="1:149" ht="12" customHeight="1">
      <c r="A33" s="931"/>
      <c r="B33" s="484"/>
      <c r="C33" s="649" t="s">
        <v>68</v>
      </c>
      <c r="D33" s="500"/>
      <c r="E33" s="501"/>
      <c r="F33" s="501"/>
      <c r="G33" s="501"/>
      <c r="H33" s="501"/>
      <c r="I33" s="502"/>
      <c r="J33" s="502"/>
      <c r="K33" s="502"/>
      <c r="L33" s="502"/>
      <c r="M33" s="501"/>
      <c r="N33" s="359"/>
      <c r="O33" s="359"/>
      <c r="P33" s="359"/>
      <c r="Q33" s="359"/>
      <c r="R33" s="501"/>
      <c r="S33" s="359"/>
      <c r="T33" s="359"/>
      <c r="U33" s="359"/>
      <c r="V33" s="359"/>
      <c r="W33" s="501"/>
      <c r="X33" s="359"/>
      <c r="Y33" s="359"/>
      <c r="Z33" s="359"/>
      <c r="AA33" s="359"/>
      <c r="AB33" s="501"/>
      <c r="AC33" s="359"/>
      <c r="AD33" s="359"/>
      <c r="AE33" s="359"/>
      <c r="AF33" s="359"/>
      <c r="AG33" s="501"/>
      <c r="AH33" s="359"/>
      <c r="AI33" s="359"/>
      <c r="AJ33" s="359"/>
      <c r="AK33" s="359"/>
      <c r="AL33" s="501"/>
      <c r="AM33" s="359"/>
      <c r="AN33" s="359"/>
      <c r="AO33" s="359"/>
      <c r="AP33" s="359"/>
      <c r="AQ33" s="501"/>
      <c r="AR33" s="359"/>
      <c r="AS33" s="359"/>
      <c r="AT33" s="359"/>
      <c r="AU33" s="359"/>
      <c r="AV33" s="501"/>
      <c r="AW33" s="359"/>
      <c r="AX33" s="359"/>
      <c r="AY33" s="359"/>
      <c r="AZ33" s="359"/>
      <c r="BA33" s="501"/>
      <c r="BB33" s="359"/>
      <c r="BC33" s="359"/>
      <c r="BD33" s="359"/>
      <c r="BE33" s="359"/>
      <c r="BF33" s="501"/>
      <c r="BG33" s="242"/>
      <c r="BH33" s="242"/>
      <c r="BI33" s="242"/>
      <c r="BJ33" s="242"/>
      <c r="BK33" s="501"/>
      <c r="BL33" s="244"/>
      <c r="BM33" s="244"/>
      <c r="BN33" s="244"/>
      <c r="BO33" s="244"/>
      <c r="BP33" s="243"/>
      <c r="BQ33" s="244"/>
      <c r="BR33" s="244"/>
      <c r="BS33" s="244"/>
      <c r="BT33" s="244"/>
      <c r="BU33" s="243"/>
      <c r="BV33" s="244"/>
      <c r="BW33" s="244"/>
      <c r="BX33" s="244"/>
      <c r="BY33" s="244"/>
      <c r="BZ33" s="243"/>
      <c r="CA33" s="244"/>
      <c r="CB33" s="244"/>
      <c r="CC33" s="244"/>
      <c r="CD33" s="244"/>
      <c r="CE33" s="243"/>
      <c r="CF33" s="244"/>
      <c r="CG33" s="244"/>
      <c r="CH33" s="580">
        <f>1-SUM(CH30:CH32)</f>
        <v>-1.0000000000000009E-2</v>
      </c>
      <c r="CI33" s="580">
        <f>1-SUM(CI30:CI32)</f>
        <v>0</v>
      </c>
      <c r="CJ33" s="243"/>
      <c r="CK33" s="580">
        <f>1-SUM(CK30:CK32)</f>
        <v>0</v>
      </c>
      <c r="CL33" s="580">
        <f>1-SUM(CL30:CL32)</f>
        <v>1.0000000000000009E-2</v>
      </c>
      <c r="CM33" s="580">
        <f>1-SUM(CM30:CM32)</f>
        <v>1.0000000000000009E-2</v>
      </c>
      <c r="CN33" s="580">
        <f>1-SUM(CN30:CN32)</f>
        <v>0</v>
      </c>
      <c r="CO33" s="243"/>
      <c r="CP33" s="580">
        <f>1-SUM(CP30:CP32)</f>
        <v>0</v>
      </c>
      <c r="CQ33" s="580">
        <f>1-SUM(CQ30:CQ32)</f>
        <v>0</v>
      </c>
      <c r="CR33" s="580">
        <f>1-SUM(CR30:CR32)</f>
        <v>-1.0000000000000009E-2</v>
      </c>
      <c r="CS33" s="580">
        <f>1-SUM(CS30:CS32)</f>
        <v>0</v>
      </c>
      <c r="CT33" s="243"/>
      <c r="CU33" s="580">
        <f>1-SUM(CU30:CU32)</f>
        <v>0</v>
      </c>
      <c r="CV33" s="580">
        <f>1-SUM(CV30:CV32)</f>
        <v>0</v>
      </c>
      <c r="CW33" s="580">
        <f>1-SUM(CW30:CW32)</f>
        <v>0</v>
      </c>
      <c r="CX33" s="580">
        <v>0</v>
      </c>
      <c r="CY33" s="243"/>
      <c r="CZ33" s="360"/>
      <c r="DA33" s="360"/>
      <c r="DB33" s="360"/>
      <c r="DC33" s="360"/>
      <c r="DD33" s="243"/>
      <c r="DE33" s="360"/>
      <c r="DF33" s="360"/>
      <c r="DG33" s="360"/>
      <c r="DH33" s="360"/>
      <c r="DI33" s="243"/>
      <c r="DJ33" s="360"/>
      <c r="DK33" s="360"/>
      <c r="DL33" s="360"/>
      <c r="DM33" s="360"/>
      <c r="DN33" s="243"/>
      <c r="DO33" s="360"/>
      <c r="DP33" s="360"/>
      <c r="DQ33" s="360"/>
      <c r="DR33" s="1214"/>
      <c r="DS33" s="243"/>
      <c r="DT33" s="360"/>
      <c r="DU33" s="360"/>
      <c r="DV33" s="360"/>
      <c r="DW33" s="360"/>
      <c r="DX33" s="243"/>
      <c r="DY33" s="360"/>
      <c r="DZ33" s="360"/>
      <c r="EA33" s="360"/>
      <c r="EB33" s="360"/>
      <c r="EC33" s="243"/>
      <c r="ED33" s="360"/>
      <c r="EE33" s="360"/>
      <c r="EF33" s="360"/>
      <c r="EG33" s="360"/>
      <c r="EH33" s="243"/>
      <c r="EI33" s="360"/>
      <c r="EJ33" s="360"/>
      <c r="EK33" s="360"/>
      <c r="EL33" s="360"/>
      <c r="EM33" s="243"/>
      <c r="EN33" s="360"/>
      <c r="EO33" s="360"/>
      <c r="EP33" s="360"/>
      <c r="EQ33" s="360"/>
      <c r="ER33" s="243"/>
      <c r="ES33" s="490"/>
    </row>
    <row r="34" spans="1:149" ht="12" customHeight="1">
      <c r="A34" s="1425"/>
      <c r="B34" s="484"/>
      <c r="C34" s="645" t="s">
        <v>272</v>
      </c>
      <c r="D34" s="643"/>
      <c r="E34" s="501"/>
      <c r="F34" s="501"/>
      <c r="G34" s="501"/>
      <c r="H34" s="501"/>
      <c r="I34" s="644"/>
      <c r="J34" s="644"/>
      <c r="K34" s="644"/>
      <c r="L34" s="644"/>
      <c r="M34" s="501"/>
      <c r="N34" s="359"/>
      <c r="O34" s="359"/>
      <c r="P34" s="359"/>
      <c r="Q34" s="359"/>
      <c r="R34" s="501"/>
      <c r="S34" s="359"/>
      <c r="T34" s="359"/>
      <c r="U34" s="359"/>
      <c r="V34" s="359"/>
      <c r="W34" s="501"/>
      <c r="X34" s="359"/>
      <c r="Y34" s="359"/>
      <c r="Z34" s="359"/>
      <c r="AA34" s="359"/>
      <c r="AB34" s="501"/>
      <c r="AC34" s="359"/>
      <c r="AD34" s="359"/>
      <c r="AE34" s="359"/>
      <c r="AF34" s="359"/>
      <c r="AG34" s="501"/>
      <c r="AH34" s="359"/>
      <c r="AI34" s="359"/>
      <c r="AJ34" s="359"/>
      <c r="AK34" s="359"/>
      <c r="AL34" s="501"/>
      <c r="AM34" s="359"/>
      <c r="AN34" s="359"/>
      <c r="AO34" s="359"/>
      <c r="AP34" s="359"/>
      <c r="AQ34" s="501"/>
      <c r="AR34" s="359"/>
      <c r="AS34" s="359"/>
      <c r="AT34" s="359"/>
      <c r="AU34" s="359"/>
      <c r="AV34" s="501"/>
      <c r="AW34" s="359"/>
      <c r="AX34" s="359"/>
      <c r="AY34" s="359"/>
      <c r="AZ34" s="359"/>
      <c r="BA34" s="501"/>
      <c r="BB34" s="359"/>
      <c r="BC34" s="359"/>
      <c r="BD34" s="359"/>
      <c r="BE34" s="359"/>
      <c r="BF34" s="501"/>
      <c r="BG34" s="505"/>
      <c r="BH34" s="505"/>
      <c r="BI34" s="505"/>
      <c r="BJ34" s="505"/>
      <c r="BK34" s="501"/>
      <c r="BL34" s="359"/>
      <c r="BM34" s="359"/>
      <c r="BN34" s="359"/>
      <c r="BO34" s="359"/>
      <c r="BP34" s="501"/>
      <c r="BQ34" s="507">
        <f>BQ25*3</f>
        <v>22.200000000000003</v>
      </c>
      <c r="BR34" s="507">
        <f>BR25*3</f>
        <v>25.5</v>
      </c>
      <c r="BS34" s="507">
        <f>BS25*3</f>
        <v>29.259</v>
      </c>
      <c r="BT34" s="507">
        <f>BT25*3</f>
        <v>34.005000000000003</v>
      </c>
      <c r="BU34" s="238">
        <f>SUM(BQ34:BT34)</f>
        <v>110.964</v>
      </c>
      <c r="BV34" s="507">
        <f>BV25*3</f>
        <v>38.337000000000003</v>
      </c>
      <c r="BW34" s="507">
        <f>BW25*3</f>
        <v>43.305</v>
      </c>
      <c r="BX34" s="507">
        <f>BX25*3</f>
        <v>48.833999999999996</v>
      </c>
      <c r="BY34" s="507">
        <f>BY25*3</f>
        <v>55.382999999999996</v>
      </c>
      <c r="BZ34" s="238">
        <f>SUM(BV34:BY34)</f>
        <v>185.85899999999998</v>
      </c>
      <c r="CA34" s="507">
        <f>CA25*3</f>
        <v>62.171999999999997</v>
      </c>
      <c r="CB34" s="507">
        <f>CB25*3</f>
        <v>70.98</v>
      </c>
      <c r="CC34" s="507">
        <f>CC25*3</f>
        <v>80.510999999999996</v>
      </c>
      <c r="CD34" s="507">
        <f>CD25*3</f>
        <v>89.631</v>
      </c>
      <c r="CE34" s="238">
        <f>SUM(CA34:CD34)</f>
        <v>303.29399999999998</v>
      </c>
      <c r="CF34" s="507">
        <f>CF25*3</f>
        <v>97.382999999999996</v>
      </c>
      <c r="CG34" s="507">
        <f>CG25*3</f>
        <v>105.84599999999999</v>
      </c>
      <c r="CH34" s="507">
        <f>CH25*3</f>
        <v>113.565</v>
      </c>
      <c r="CI34" s="507">
        <f>CI25*3</f>
        <v>122.79600000000001</v>
      </c>
      <c r="CJ34" s="238">
        <f>SUM(CF34:CI34)</f>
        <v>439.59</v>
      </c>
      <c r="CK34" s="507">
        <f>CK25*3</f>
        <v>132.63900000000001</v>
      </c>
      <c r="CL34" s="507">
        <f>CL25*3</f>
        <v>141.35999999999999</v>
      </c>
      <c r="CM34" s="507">
        <f>CM25*3</f>
        <v>151.94999999999999</v>
      </c>
      <c r="CN34" s="507">
        <f>CN25*3</f>
        <v>161.69400000000002</v>
      </c>
      <c r="CO34" s="238">
        <f>SUM(CK34:CN34)</f>
        <v>587.64300000000003</v>
      </c>
      <c r="CP34" s="507">
        <f>CP25*3</f>
        <v>166.191</v>
      </c>
      <c r="CQ34" s="507">
        <f>CQ25*3</f>
        <v>171.08100000000002</v>
      </c>
      <c r="CR34" s="507">
        <f>CR25*3</f>
        <v>223.07999999999998</v>
      </c>
      <c r="CS34" s="507">
        <f>CS25*3</f>
        <v>247.83300000000003</v>
      </c>
      <c r="CT34" s="238">
        <f>SUM(CP34:CS34)</f>
        <v>808.18500000000017</v>
      </c>
      <c r="CU34" s="507">
        <f>CU25*3</f>
        <v>269.79300000000001</v>
      </c>
      <c r="CV34" s="507">
        <f>CV25*3</f>
        <v>285.33600000000001</v>
      </c>
      <c r="CW34" s="507">
        <f>CW25*3</f>
        <v>296.33699999999999</v>
      </c>
      <c r="CX34" s="508">
        <f>CX25*3</f>
        <v>306</v>
      </c>
      <c r="CY34" s="238">
        <f>SUM(CU34:CX34)</f>
        <v>1157.4659999999999</v>
      </c>
      <c r="CZ34" s="507">
        <f>CZ25*3</f>
        <v>315.60000000000002</v>
      </c>
      <c r="DA34" s="507">
        <f>DA25*3</f>
        <v>321.60000000000002</v>
      </c>
      <c r="DB34" s="507">
        <f>DB25*3</f>
        <v>321</v>
      </c>
      <c r="DC34" s="507">
        <f>DC25*3</f>
        <v>328.5</v>
      </c>
      <c r="DD34" s="238">
        <f>SUM(CZ34:DC34)</f>
        <v>1286.7</v>
      </c>
      <c r="DE34" s="507">
        <f>DE25*3</f>
        <v>342</v>
      </c>
      <c r="DF34" s="507">
        <f>DF25*3</f>
        <v>405</v>
      </c>
      <c r="DG34" s="507">
        <f>DG25*3</f>
        <v>411</v>
      </c>
      <c r="DH34" s="507">
        <f>DH25*3</f>
        <v>432</v>
      </c>
      <c r="DI34" s="238">
        <f>SUM(DE34:DH34)</f>
        <v>1590</v>
      </c>
      <c r="DJ34" s="507">
        <f>DJ25*3</f>
        <v>453</v>
      </c>
      <c r="DK34" s="507">
        <f>DK25*3</f>
        <v>507</v>
      </c>
      <c r="DL34" s="507">
        <f>DL25*3</f>
        <v>525</v>
      </c>
      <c r="DM34" s="507">
        <f>DM25*3</f>
        <v>534</v>
      </c>
      <c r="DN34" s="238">
        <f>SUM(DJ34:DM34)</f>
        <v>2019</v>
      </c>
      <c r="DO34" s="507">
        <f>DO25*3</f>
        <v>546</v>
      </c>
      <c r="DP34" s="507">
        <f>DP25*3</f>
        <v>555</v>
      </c>
      <c r="DQ34" s="507">
        <f>DQ25*3</f>
        <v>579</v>
      </c>
      <c r="DR34" s="507">
        <f>DR25*3</f>
        <v>615</v>
      </c>
      <c r="DS34" s="238">
        <f>SUM(DO34:DR34)</f>
        <v>2295</v>
      </c>
      <c r="DT34" s="507">
        <f>DT25*3</f>
        <v>636</v>
      </c>
      <c r="DU34" s="507">
        <f>DU25*3</f>
        <v>663</v>
      </c>
      <c r="DV34" s="507">
        <f>DV25*3</f>
        <v>680.75877775312483</v>
      </c>
      <c r="DW34" s="507">
        <f>DW25*3</f>
        <v>685.48395843749995</v>
      </c>
      <c r="DX34" s="238">
        <f>SUM(DT34:DW34)</f>
        <v>2665.2427361906248</v>
      </c>
      <c r="DY34" s="507">
        <f>DY25*3</f>
        <v>712.34873130000005</v>
      </c>
      <c r="DZ34" s="507">
        <f>DZ25*3</f>
        <v>746.21234103000006</v>
      </c>
      <c r="EA34" s="507">
        <f>EA25*3</f>
        <v>766.20000184597416</v>
      </c>
      <c r="EB34" s="507">
        <f>EB25*3</f>
        <v>771.51823433508002</v>
      </c>
      <c r="EC34" s="238">
        <f>SUM(DY34:EB34)</f>
        <v>2996.2793085110543</v>
      </c>
      <c r="ED34" s="507">
        <f>ED25*3</f>
        <v>797.86275940993664</v>
      </c>
      <c r="EE34" s="507">
        <f>EE25*3</f>
        <v>831.73429164903757</v>
      </c>
      <c r="EF34" s="507">
        <f>EF25*3</f>
        <v>849.86700682879928</v>
      </c>
      <c r="EG34" s="507">
        <f>EG25*3</f>
        <v>851.61177241130054</v>
      </c>
      <c r="EH34" s="238">
        <f>SUM(ED34:EG34)</f>
        <v>3331.0758302990739</v>
      </c>
      <c r="EI34" s="507">
        <f>EI25*3</f>
        <v>880.69119878632046</v>
      </c>
      <c r="EJ34" s="507">
        <f>EJ25*3</f>
        <v>918.07903269706048</v>
      </c>
      <c r="EK34" s="507">
        <f>EK25*3</f>
        <v>938.09415745451315</v>
      </c>
      <c r="EL34" s="507">
        <f>EL25*3</f>
        <v>940.02005219559692</v>
      </c>
      <c r="EM34" s="238">
        <f>SUM(EI34:EL34)</f>
        <v>3676.8844411334912</v>
      </c>
      <c r="EN34" s="507">
        <f>EN25*3</f>
        <v>972.11829788032469</v>
      </c>
      <c r="EO34" s="507">
        <f>EO25*3</f>
        <v>1013.387470903546</v>
      </c>
      <c r="EP34" s="507">
        <f>EP25*3</f>
        <v>1035.4804236182899</v>
      </c>
      <c r="EQ34" s="507">
        <f>EQ25*3</f>
        <v>1037.606251059485</v>
      </c>
      <c r="ER34" s="238">
        <f>SUM(EN34:EQ34)</f>
        <v>4058.5924434616454</v>
      </c>
      <c r="ES34" s="490"/>
    </row>
    <row r="35" spans="1:149" ht="12" customHeight="1">
      <c r="A35" s="931"/>
      <c r="B35" s="484"/>
      <c r="C35" s="641" t="s">
        <v>129</v>
      </c>
      <c r="D35" s="500"/>
      <c r="E35" s="501"/>
      <c r="F35" s="501"/>
      <c r="G35" s="501"/>
      <c r="H35" s="501"/>
      <c r="I35" s="502"/>
      <c r="J35" s="502"/>
      <c r="K35" s="502"/>
      <c r="L35" s="502"/>
      <c r="M35" s="501"/>
      <c r="N35" s="359"/>
      <c r="O35" s="359"/>
      <c r="P35" s="359"/>
      <c r="Q35" s="359"/>
      <c r="R35" s="501"/>
      <c r="S35" s="359"/>
      <c r="T35" s="359"/>
      <c r="U35" s="359"/>
      <c r="V35" s="359"/>
      <c r="W35" s="501"/>
      <c r="X35" s="359"/>
      <c r="Y35" s="359"/>
      <c r="Z35" s="359"/>
      <c r="AA35" s="359"/>
      <c r="AB35" s="501"/>
      <c r="AC35" s="359"/>
      <c r="AD35" s="359"/>
      <c r="AE35" s="359"/>
      <c r="AF35" s="359"/>
      <c r="AG35" s="501"/>
      <c r="AH35" s="359"/>
      <c r="AI35" s="359"/>
      <c r="AJ35" s="359"/>
      <c r="AK35" s="359"/>
      <c r="AL35" s="501"/>
      <c r="AM35" s="359"/>
      <c r="AN35" s="359"/>
      <c r="AO35" s="359"/>
      <c r="AP35" s="359"/>
      <c r="AQ35" s="501"/>
      <c r="AR35" s="359"/>
      <c r="AS35" s="359"/>
      <c r="AT35" s="359"/>
      <c r="AU35" s="359"/>
      <c r="AV35" s="501"/>
      <c r="AW35" s="359"/>
      <c r="AX35" s="359"/>
      <c r="AY35" s="359"/>
      <c r="AZ35" s="359"/>
      <c r="BA35" s="501"/>
      <c r="BB35" s="359"/>
      <c r="BC35" s="359"/>
      <c r="BD35" s="359"/>
      <c r="BE35" s="359"/>
      <c r="BF35" s="501"/>
      <c r="BG35" s="242"/>
      <c r="BH35" s="242"/>
      <c r="BI35" s="242"/>
      <c r="BJ35" s="242"/>
      <c r="BK35" s="501"/>
      <c r="BL35" s="244"/>
      <c r="BM35" s="244"/>
      <c r="BN35" s="244"/>
      <c r="BO35" s="244"/>
      <c r="BP35" s="243"/>
      <c r="BQ35" s="244"/>
      <c r="BR35" s="244"/>
      <c r="BS35" s="244"/>
      <c r="BT35" s="244"/>
      <c r="BU35" s="243"/>
      <c r="BV35" s="244">
        <f t="shared" ref="BV35:DA35" si="74">BV34/BQ34-1</f>
        <v>0.72689189189189185</v>
      </c>
      <c r="BW35" s="244">
        <f t="shared" si="74"/>
        <v>0.69823529411764707</v>
      </c>
      <c r="BX35" s="244">
        <f t="shared" si="74"/>
        <v>0.66902491541064268</v>
      </c>
      <c r="BY35" s="244">
        <f t="shared" si="74"/>
        <v>0.62867225408028204</v>
      </c>
      <c r="BZ35" s="243">
        <f t="shared" si="74"/>
        <v>0.67494863198875299</v>
      </c>
      <c r="CA35" s="244">
        <f t="shared" si="74"/>
        <v>0.62172313952578429</v>
      </c>
      <c r="CB35" s="244">
        <f t="shared" si="74"/>
        <v>0.63907170072739872</v>
      </c>
      <c r="CC35" s="244">
        <f t="shared" si="74"/>
        <v>0.6486669123971005</v>
      </c>
      <c r="CD35" s="244">
        <f t="shared" si="74"/>
        <v>0.61838470288716763</v>
      </c>
      <c r="CE35" s="243">
        <f t="shared" si="74"/>
        <v>0.63184995076913153</v>
      </c>
      <c r="CF35" s="244">
        <f t="shared" si="74"/>
        <v>0.56634819532908698</v>
      </c>
      <c r="CG35" s="244">
        <f t="shared" si="74"/>
        <v>0.49120879120879102</v>
      </c>
      <c r="CH35" s="244">
        <f t="shared" si="74"/>
        <v>0.41055259529753707</v>
      </c>
      <c r="CI35" s="244">
        <f t="shared" si="74"/>
        <v>0.3700170699869465</v>
      </c>
      <c r="CJ35" s="243">
        <f t="shared" si="74"/>
        <v>0.44938574452511415</v>
      </c>
      <c r="CK35" s="244">
        <f t="shared" si="74"/>
        <v>0.36203444132959572</v>
      </c>
      <c r="CL35" s="244">
        <f t="shared" si="74"/>
        <v>0.33552519698429784</v>
      </c>
      <c r="CM35" s="244">
        <f t="shared" si="74"/>
        <v>0.33800026416589612</v>
      </c>
      <c r="CN35" s="244">
        <f t="shared" si="74"/>
        <v>0.31676927587217829</v>
      </c>
      <c r="CO35" s="243">
        <f t="shared" si="74"/>
        <v>0.33679792533952102</v>
      </c>
      <c r="CP35" s="244">
        <f t="shared" si="74"/>
        <v>0.25295727500961251</v>
      </c>
      <c r="CQ35" s="244">
        <f t="shared" si="74"/>
        <v>0.21025042444821751</v>
      </c>
      <c r="CR35" s="244">
        <f t="shared" si="74"/>
        <v>0.46811451135241855</v>
      </c>
      <c r="CS35" s="244">
        <f t="shared" si="74"/>
        <v>0.53272848714238008</v>
      </c>
      <c r="CT35" s="243">
        <f t="shared" si="74"/>
        <v>0.37529928885394725</v>
      </c>
      <c r="CU35" s="244">
        <f t="shared" si="74"/>
        <v>0.62339115836597658</v>
      </c>
      <c r="CV35" s="244">
        <f t="shared" si="74"/>
        <v>0.6678415487400704</v>
      </c>
      <c r="CW35" s="244">
        <f t="shared" si="74"/>
        <v>0.32838891877353427</v>
      </c>
      <c r="CX35" s="245">
        <f t="shared" si="74"/>
        <v>0.2347024004067253</v>
      </c>
      <c r="CY35" s="243">
        <f t="shared" si="74"/>
        <v>0.43217951335399651</v>
      </c>
      <c r="CZ35" s="244">
        <f t="shared" si="74"/>
        <v>0.16978572461109076</v>
      </c>
      <c r="DA35" s="244">
        <f t="shared" si="74"/>
        <v>0.12709227016569935</v>
      </c>
      <c r="DB35" s="244">
        <f t="shared" ref="DB35:EC35" si="75">DB34/CW34-1</f>
        <v>8.3226191801901273E-2</v>
      </c>
      <c r="DC35" s="244">
        <f t="shared" si="75"/>
        <v>7.3529411764705843E-2</v>
      </c>
      <c r="DD35" s="243">
        <f t="shared" si="75"/>
        <v>0.11165252370264023</v>
      </c>
      <c r="DE35" s="244">
        <f t="shared" si="75"/>
        <v>8.3650190114068268E-2</v>
      </c>
      <c r="DF35" s="244">
        <f t="shared" si="75"/>
        <v>0.25932835820895517</v>
      </c>
      <c r="DG35" s="244">
        <f t="shared" si="75"/>
        <v>0.28037383177570097</v>
      </c>
      <c r="DH35" s="244">
        <f t="shared" si="75"/>
        <v>0.31506849315068486</v>
      </c>
      <c r="DI35" s="243">
        <f t="shared" si="75"/>
        <v>0.23571928188388891</v>
      </c>
      <c r="DJ35" s="244">
        <f t="shared" si="75"/>
        <v>0.32456140350877183</v>
      </c>
      <c r="DK35" s="244">
        <f t="shared" si="75"/>
        <v>0.25185185185185177</v>
      </c>
      <c r="DL35" s="244">
        <f t="shared" si="75"/>
        <v>0.27737226277372273</v>
      </c>
      <c r="DM35" s="244">
        <f t="shared" si="75"/>
        <v>0.23611111111111116</v>
      </c>
      <c r="DN35" s="243">
        <f t="shared" si="75"/>
        <v>0.26981132075471703</v>
      </c>
      <c r="DO35" s="244">
        <f>DO34/DJ34-1</f>
        <v>0.20529801324503305</v>
      </c>
      <c r="DP35" s="244">
        <f t="shared" si="75"/>
        <v>9.4674556213017791E-2</v>
      </c>
      <c r="DQ35" s="244">
        <f t="shared" si="75"/>
        <v>0.10285714285714276</v>
      </c>
      <c r="DR35" s="244">
        <f>DR34/DM34-1</f>
        <v>0.151685393258427</v>
      </c>
      <c r="DS35" s="243">
        <f>DS34/DN34-1</f>
        <v>0.13670133729569089</v>
      </c>
      <c r="DT35" s="244">
        <f>DT34/DO34-1</f>
        <v>0.16483516483516492</v>
      </c>
      <c r="DU35" s="244">
        <f t="shared" si="75"/>
        <v>0.19459459459459461</v>
      </c>
      <c r="DV35" s="244">
        <f t="shared" si="75"/>
        <v>0.17574918437499965</v>
      </c>
      <c r="DW35" s="244">
        <f t="shared" si="75"/>
        <v>0.11460806249999989</v>
      </c>
      <c r="DX35" s="243">
        <f t="shared" si="75"/>
        <v>0.16132581097630716</v>
      </c>
      <c r="DY35" s="244">
        <f t="shared" si="75"/>
        <v>0.120045175</v>
      </c>
      <c r="DZ35" s="244">
        <f t="shared" si="75"/>
        <v>0.12550881000000014</v>
      </c>
      <c r="EA35" s="244">
        <f t="shared" si="75"/>
        <v>0.12550881000000014</v>
      </c>
      <c r="EB35" s="244">
        <f t="shared" si="75"/>
        <v>0.12550880999999992</v>
      </c>
      <c r="EC35" s="243">
        <f t="shared" si="75"/>
        <v>0.12420503687164075</v>
      </c>
      <c r="ED35" s="244">
        <f t="shared" ref="ED35" si="76">ED34/DY34-1</f>
        <v>0.12004517500000023</v>
      </c>
      <c r="EE35" s="244">
        <f t="shared" ref="EE35" si="77">EE34/DZ34-1</f>
        <v>0.11460806249999989</v>
      </c>
      <c r="EF35" s="244">
        <f t="shared" ref="EF35" si="78">EF34/EA34-1</f>
        <v>0.10919734374999956</v>
      </c>
      <c r="EG35" s="244">
        <f t="shared" ref="EG35" si="79">EG34/EB34-1</f>
        <v>0.10381289062499954</v>
      </c>
      <c r="EH35" s="243">
        <f t="shared" ref="EH35" si="80">EH34/EC34-1</f>
        <v>0.11173742075280368</v>
      </c>
      <c r="EI35" s="244">
        <f t="shared" ref="EI35" si="81">EI34/ED34-1</f>
        <v>0.10381289062499932</v>
      </c>
      <c r="EJ35" s="244">
        <f t="shared" ref="EJ35" si="82">EJ34/EE34-1</f>
        <v>0.10381289062499932</v>
      </c>
      <c r="EK35" s="244">
        <f t="shared" ref="EK35" si="83">EK34/EF34-1</f>
        <v>0.10381289062499954</v>
      </c>
      <c r="EL35" s="244">
        <f t="shared" ref="EL35" si="84">EL34/EG34-1</f>
        <v>0.10381289062499954</v>
      </c>
      <c r="EM35" s="243">
        <f t="shared" ref="EM35" si="85">EM34/EH34-1</f>
        <v>0.10381289062499954</v>
      </c>
      <c r="EN35" s="244">
        <f t="shared" ref="EN35" si="86">EN34/EI34-1</f>
        <v>0.10381289062499977</v>
      </c>
      <c r="EO35" s="244">
        <f t="shared" ref="EO35" si="87">EO34/EJ34-1</f>
        <v>0.10381289062499977</v>
      </c>
      <c r="EP35" s="244">
        <f t="shared" ref="EP35" si="88">EP34/EK34-1</f>
        <v>0.10381289062499977</v>
      </c>
      <c r="EQ35" s="244">
        <f t="shared" ref="EQ35" si="89">EQ34/EL34-1</f>
        <v>0.10381289062499977</v>
      </c>
      <c r="ER35" s="243">
        <f t="shared" ref="ER35" si="90">ER34/EM34-1</f>
        <v>0.10381289062499977</v>
      </c>
      <c r="ES35" s="490"/>
    </row>
    <row r="36" spans="1:149" ht="12" customHeight="1">
      <c r="A36" s="931"/>
      <c r="B36" s="484"/>
      <c r="C36" s="645" t="s">
        <v>270</v>
      </c>
      <c r="D36" s="407"/>
      <c r="E36" s="501"/>
      <c r="F36" s="501"/>
      <c r="G36" s="501"/>
      <c r="H36" s="501"/>
      <c r="I36" s="646"/>
      <c r="J36" s="646"/>
      <c r="K36" s="646"/>
      <c r="L36" s="646"/>
      <c r="M36" s="501"/>
      <c r="N36" s="359"/>
      <c r="O36" s="359"/>
      <c r="P36" s="359"/>
      <c r="Q36" s="359"/>
      <c r="R36" s="501"/>
      <c r="S36" s="359"/>
      <c r="T36" s="359"/>
      <c r="U36" s="359"/>
      <c r="V36" s="359"/>
      <c r="W36" s="501"/>
      <c r="X36" s="359"/>
      <c r="Y36" s="359"/>
      <c r="Z36" s="359"/>
      <c r="AA36" s="359"/>
      <c r="AB36" s="501"/>
      <c r="AC36" s="359"/>
      <c r="AD36" s="359"/>
      <c r="AE36" s="359"/>
      <c r="AF36" s="359"/>
      <c r="AG36" s="501"/>
      <c r="AH36" s="359"/>
      <c r="AI36" s="359"/>
      <c r="AJ36" s="359"/>
      <c r="AK36" s="359"/>
      <c r="AL36" s="501"/>
      <c r="AM36" s="359"/>
      <c r="AN36" s="359"/>
      <c r="AO36" s="359"/>
      <c r="AP36" s="359"/>
      <c r="AQ36" s="501"/>
      <c r="AR36" s="359"/>
      <c r="AS36" s="359"/>
      <c r="AT36" s="359"/>
      <c r="AU36" s="359"/>
      <c r="AV36" s="501"/>
      <c r="AW36" s="359"/>
      <c r="AX36" s="359"/>
      <c r="AY36" s="359"/>
      <c r="AZ36" s="359"/>
      <c r="BA36" s="501"/>
      <c r="BB36" s="359"/>
      <c r="BC36" s="359"/>
      <c r="BD36" s="359"/>
      <c r="BE36" s="359"/>
      <c r="BF36" s="501"/>
      <c r="BG36" s="539"/>
      <c r="BH36" s="539"/>
      <c r="BI36" s="539"/>
      <c r="BJ36" s="539"/>
      <c r="BK36" s="501"/>
      <c r="BL36" s="359"/>
      <c r="BM36" s="359"/>
      <c r="BN36" s="359"/>
      <c r="BO36" s="359"/>
      <c r="BP36" s="501"/>
      <c r="BQ36" s="507">
        <f>BQ25*12</f>
        <v>88.800000000000011</v>
      </c>
      <c r="BR36" s="507">
        <f>BR25*12</f>
        <v>102</v>
      </c>
      <c r="BS36" s="507">
        <f>BS25*12</f>
        <v>117.036</v>
      </c>
      <c r="BT36" s="507">
        <f>BT25*12</f>
        <v>136.02000000000001</v>
      </c>
      <c r="BU36" s="238">
        <f>BT36</f>
        <v>136.02000000000001</v>
      </c>
      <c r="BV36" s="507">
        <f>BV25*12</f>
        <v>153.34800000000001</v>
      </c>
      <c r="BW36" s="507">
        <f>BW25*12</f>
        <v>173.22</v>
      </c>
      <c r="BX36" s="507">
        <f>BX25*12</f>
        <v>195.33599999999998</v>
      </c>
      <c r="BY36" s="507">
        <f>BY25*12</f>
        <v>221.53199999999998</v>
      </c>
      <c r="BZ36" s="238">
        <f>BY36</f>
        <v>221.53199999999998</v>
      </c>
      <c r="CA36" s="507">
        <f>CA25*12</f>
        <v>248.68799999999999</v>
      </c>
      <c r="CB36" s="507">
        <f>CB25*12</f>
        <v>283.92</v>
      </c>
      <c r="CC36" s="507">
        <f>CC25*12</f>
        <v>322.04399999999998</v>
      </c>
      <c r="CD36" s="507">
        <f>CD25*12</f>
        <v>358.524</v>
      </c>
      <c r="CE36" s="238">
        <f>CD36</f>
        <v>358.524</v>
      </c>
      <c r="CF36" s="507">
        <f>CF25*12</f>
        <v>389.53199999999998</v>
      </c>
      <c r="CG36" s="507">
        <f>CG25*12</f>
        <v>423.38399999999996</v>
      </c>
      <c r="CH36" s="507">
        <f>CH25*12</f>
        <v>454.26</v>
      </c>
      <c r="CI36" s="507">
        <f>CI25*12</f>
        <v>491.18400000000003</v>
      </c>
      <c r="CJ36" s="238">
        <f>CI36</f>
        <v>491.18400000000003</v>
      </c>
      <c r="CK36" s="507">
        <f>CK25*12</f>
        <v>530.55600000000004</v>
      </c>
      <c r="CL36" s="507">
        <f>CL25*12</f>
        <v>565.43999999999994</v>
      </c>
      <c r="CM36" s="507">
        <f>CM25*12</f>
        <v>607.79999999999995</v>
      </c>
      <c r="CN36" s="507">
        <f>CN25*12</f>
        <v>646.77600000000007</v>
      </c>
      <c r="CO36" s="238">
        <f>CN36</f>
        <v>646.77600000000007</v>
      </c>
      <c r="CP36" s="507">
        <f>CP25*12</f>
        <v>664.76400000000001</v>
      </c>
      <c r="CQ36" s="507">
        <f>CQ25*12</f>
        <v>684.32400000000007</v>
      </c>
      <c r="CR36" s="507">
        <f>CR25*12</f>
        <v>892.31999999999994</v>
      </c>
      <c r="CS36" s="507">
        <f>CS25*12</f>
        <v>991.33200000000011</v>
      </c>
      <c r="CT36" s="238">
        <f>CS36</f>
        <v>991.33200000000011</v>
      </c>
      <c r="CU36" s="507">
        <f>CU25*12</f>
        <v>1079.172</v>
      </c>
      <c r="CV36" s="507">
        <f>CV25*12</f>
        <v>1141.3440000000001</v>
      </c>
      <c r="CW36" s="507">
        <f>CW25*12</f>
        <v>1185.348</v>
      </c>
      <c r="CX36" s="508">
        <f>CX25*12</f>
        <v>1224</v>
      </c>
      <c r="CY36" s="238">
        <f>CX36</f>
        <v>1224</v>
      </c>
      <c r="CZ36" s="507">
        <f>CZ25*12</f>
        <v>1262.4000000000001</v>
      </c>
      <c r="DA36" s="507">
        <f>DA25*12</f>
        <v>1286.4000000000001</v>
      </c>
      <c r="DB36" s="507">
        <f>DB25*12</f>
        <v>1284</v>
      </c>
      <c r="DC36" s="507">
        <f>DC25*12</f>
        <v>1314</v>
      </c>
      <c r="DD36" s="238">
        <f>DC36</f>
        <v>1314</v>
      </c>
      <c r="DE36" s="507">
        <f>DE25*12</f>
        <v>1368</v>
      </c>
      <c r="DF36" s="507">
        <f>DF25*12</f>
        <v>1620</v>
      </c>
      <c r="DG36" s="507">
        <f>DG25*12</f>
        <v>1644</v>
      </c>
      <c r="DH36" s="507">
        <f>DH25*12</f>
        <v>1728</v>
      </c>
      <c r="DI36" s="238">
        <f>DH36</f>
        <v>1728</v>
      </c>
      <c r="DJ36" s="507">
        <f>DJ25*12</f>
        <v>1812</v>
      </c>
      <c r="DK36" s="507">
        <f>DK25*12</f>
        <v>2028</v>
      </c>
      <c r="DL36" s="507">
        <f>DL25*12</f>
        <v>2100</v>
      </c>
      <c r="DM36" s="507">
        <f>DM25*12</f>
        <v>2136</v>
      </c>
      <c r="DN36" s="238">
        <f>DM36</f>
        <v>2136</v>
      </c>
      <c r="DO36" s="507">
        <f>DO25*12</f>
        <v>2184</v>
      </c>
      <c r="DP36" s="507">
        <f>DP25*12</f>
        <v>2220</v>
      </c>
      <c r="DQ36" s="507">
        <f>DQ25*12</f>
        <v>2316</v>
      </c>
      <c r="DR36" s="507">
        <f>DR25*12</f>
        <v>2460</v>
      </c>
      <c r="DS36" s="238">
        <f>DR36</f>
        <v>2460</v>
      </c>
      <c r="DT36" s="507">
        <f>DT25*12</f>
        <v>2544</v>
      </c>
      <c r="DU36" s="507">
        <f>DU25*12</f>
        <v>2652</v>
      </c>
      <c r="DV36" s="507">
        <f>DV25*12</f>
        <v>2723.0351110124993</v>
      </c>
      <c r="DW36" s="507">
        <f>DW25*12</f>
        <v>2741.9358337499998</v>
      </c>
      <c r="DX36" s="238">
        <f>DW36</f>
        <v>2741.9358337499998</v>
      </c>
      <c r="DY36" s="507">
        <f>DY25*12</f>
        <v>2849.3949252000002</v>
      </c>
      <c r="DZ36" s="507">
        <f>DZ25*12</f>
        <v>2984.8493641200002</v>
      </c>
      <c r="EA36" s="507">
        <f>EA25*12</f>
        <v>3064.8000073838966</v>
      </c>
      <c r="EB36" s="507">
        <f>EB25*12</f>
        <v>3086.0729373403201</v>
      </c>
      <c r="EC36" s="238">
        <f>EB36</f>
        <v>3086.0729373403201</v>
      </c>
      <c r="ED36" s="507">
        <f>ED25*12</f>
        <v>3191.4510376397466</v>
      </c>
      <c r="EE36" s="507">
        <f>EE25*12</f>
        <v>3326.9371665961503</v>
      </c>
      <c r="EF36" s="507">
        <f>EF25*12</f>
        <v>3399.4680273151971</v>
      </c>
      <c r="EG36" s="507">
        <f>EG25*12</f>
        <v>3406.4470896452021</v>
      </c>
      <c r="EH36" s="238">
        <f>EG36</f>
        <v>3406.4470896452021</v>
      </c>
      <c r="EI36" s="507">
        <f>EI25*12</f>
        <v>3522.7647951452818</v>
      </c>
      <c r="EJ36" s="507">
        <f>EJ25*12</f>
        <v>3672.3161307882419</v>
      </c>
      <c r="EK36" s="507">
        <f>EK25*12</f>
        <v>3752.3766298180526</v>
      </c>
      <c r="EL36" s="507">
        <f>EL25*12</f>
        <v>3760.0802087823877</v>
      </c>
      <c r="EM36" s="238">
        <f>EL36</f>
        <v>3760.0802087823877</v>
      </c>
      <c r="EN36" s="507">
        <f>EN25*12</f>
        <v>3888.4731915212988</v>
      </c>
      <c r="EO36" s="507">
        <f>EO25*12</f>
        <v>4053.5498836141842</v>
      </c>
      <c r="EP36" s="507">
        <f>EP25*12</f>
        <v>4141.9216944731597</v>
      </c>
      <c r="EQ36" s="507">
        <f>EQ25*12</f>
        <v>4150.4250042379399</v>
      </c>
      <c r="ER36" s="238">
        <f>EQ36</f>
        <v>4150.4250042379399</v>
      </c>
      <c r="ES36" s="490"/>
    </row>
    <row r="37" spans="1:149" ht="12" customHeight="1">
      <c r="A37" s="931"/>
      <c r="B37" s="484"/>
      <c r="C37" s="641" t="s">
        <v>129</v>
      </c>
      <c r="D37" s="500"/>
      <c r="E37" s="501"/>
      <c r="F37" s="501"/>
      <c r="G37" s="501"/>
      <c r="H37" s="501"/>
      <c r="I37" s="502"/>
      <c r="J37" s="502"/>
      <c r="K37" s="502"/>
      <c r="L37" s="502"/>
      <c r="M37" s="501"/>
      <c r="N37" s="359"/>
      <c r="O37" s="359"/>
      <c r="P37" s="359"/>
      <c r="Q37" s="359"/>
      <c r="R37" s="501"/>
      <c r="S37" s="359"/>
      <c r="T37" s="359"/>
      <c r="U37" s="359"/>
      <c r="V37" s="359"/>
      <c r="W37" s="501"/>
      <c r="X37" s="359"/>
      <c r="Y37" s="359"/>
      <c r="Z37" s="359"/>
      <c r="AA37" s="359"/>
      <c r="AB37" s="501"/>
      <c r="AC37" s="359"/>
      <c r="AD37" s="359"/>
      <c r="AE37" s="359"/>
      <c r="AF37" s="359"/>
      <c r="AG37" s="501"/>
      <c r="AH37" s="359"/>
      <c r="AI37" s="359"/>
      <c r="AJ37" s="359"/>
      <c r="AK37" s="359"/>
      <c r="AL37" s="501"/>
      <c r="AM37" s="359"/>
      <c r="AN37" s="359"/>
      <c r="AO37" s="359"/>
      <c r="AP37" s="359"/>
      <c r="AQ37" s="501"/>
      <c r="AR37" s="359"/>
      <c r="AS37" s="359"/>
      <c r="AT37" s="359"/>
      <c r="AU37" s="359"/>
      <c r="AV37" s="501"/>
      <c r="AW37" s="359"/>
      <c r="AX37" s="359"/>
      <c r="AY37" s="359"/>
      <c r="AZ37" s="359"/>
      <c r="BA37" s="501"/>
      <c r="BB37" s="359"/>
      <c r="BC37" s="359"/>
      <c r="BD37" s="359"/>
      <c r="BE37" s="359"/>
      <c r="BF37" s="501"/>
      <c r="BG37" s="242"/>
      <c r="BH37" s="242"/>
      <c r="BI37" s="242"/>
      <c r="BJ37" s="242"/>
      <c r="BK37" s="501"/>
      <c r="BL37" s="244"/>
      <c r="BM37" s="244"/>
      <c r="BN37" s="244"/>
      <c r="BO37" s="244"/>
      <c r="BP37" s="243"/>
      <c r="BQ37" s="244"/>
      <c r="BR37" s="244"/>
      <c r="BS37" s="244"/>
      <c r="BT37" s="244"/>
      <c r="BU37" s="243"/>
      <c r="BV37" s="244">
        <f t="shared" ref="BV37:DA37" si="91">BV36/BQ36-1</f>
        <v>0.72689189189189185</v>
      </c>
      <c r="BW37" s="244">
        <f t="shared" si="91"/>
        <v>0.69823529411764707</v>
      </c>
      <c r="BX37" s="244">
        <f t="shared" si="91"/>
        <v>0.66902491541064268</v>
      </c>
      <c r="BY37" s="244">
        <f t="shared" si="91"/>
        <v>0.62867225408028204</v>
      </c>
      <c r="BZ37" s="243">
        <f t="shared" si="91"/>
        <v>0.62867225408028204</v>
      </c>
      <c r="CA37" s="244">
        <f t="shared" si="91"/>
        <v>0.62172313952578429</v>
      </c>
      <c r="CB37" s="244">
        <f t="shared" si="91"/>
        <v>0.63907170072739872</v>
      </c>
      <c r="CC37" s="244">
        <f t="shared" si="91"/>
        <v>0.6486669123971005</v>
      </c>
      <c r="CD37" s="244">
        <f t="shared" si="91"/>
        <v>0.61838470288716763</v>
      </c>
      <c r="CE37" s="243">
        <f t="shared" si="91"/>
        <v>0.61838470288716763</v>
      </c>
      <c r="CF37" s="244">
        <f t="shared" si="91"/>
        <v>0.56634819532908698</v>
      </c>
      <c r="CG37" s="244">
        <f t="shared" si="91"/>
        <v>0.49120879120879102</v>
      </c>
      <c r="CH37" s="244">
        <f t="shared" si="91"/>
        <v>0.41055259529753707</v>
      </c>
      <c r="CI37" s="244">
        <f t="shared" si="91"/>
        <v>0.3700170699869465</v>
      </c>
      <c r="CJ37" s="243">
        <f t="shared" si="91"/>
        <v>0.3700170699869465</v>
      </c>
      <c r="CK37" s="244">
        <f t="shared" si="91"/>
        <v>0.36203444132959572</v>
      </c>
      <c r="CL37" s="244">
        <f t="shared" si="91"/>
        <v>0.33552519698429784</v>
      </c>
      <c r="CM37" s="244">
        <f t="shared" si="91"/>
        <v>0.33800026416589612</v>
      </c>
      <c r="CN37" s="244">
        <f t="shared" si="91"/>
        <v>0.31676927587217829</v>
      </c>
      <c r="CO37" s="243">
        <f t="shared" si="91"/>
        <v>0.31676927587217829</v>
      </c>
      <c r="CP37" s="244">
        <f t="shared" si="91"/>
        <v>0.25295727500961251</v>
      </c>
      <c r="CQ37" s="244">
        <f t="shared" si="91"/>
        <v>0.21025042444821751</v>
      </c>
      <c r="CR37" s="244">
        <f t="shared" si="91"/>
        <v>0.46811451135241855</v>
      </c>
      <c r="CS37" s="244">
        <f t="shared" si="91"/>
        <v>0.53272848714238008</v>
      </c>
      <c r="CT37" s="243">
        <f t="shared" si="91"/>
        <v>0.53272848714238008</v>
      </c>
      <c r="CU37" s="244">
        <f t="shared" si="91"/>
        <v>0.62339115836597658</v>
      </c>
      <c r="CV37" s="244">
        <f t="shared" si="91"/>
        <v>0.6678415487400704</v>
      </c>
      <c r="CW37" s="244">
        <f t="shared" si="91"/>
        <v>0.32838891877353427</v>
      </c>
      <c r="CX37" s="245">
        <f t="shared" si="91"/>
        <v>0.2347024004067253</v>
      </c>
      <c r="CY37" s="243">
        <f t="shared" si="91"/>
        <v>0.2347024004067253</v>
      </c>
      <c r="CZ37" s="244">
        <f t="shared" si="91"/>
        <v>0.16978572461109076</v>
      </c>
      <c r="DA37" s="244">
        <f t="shared" si="91"/>
        <v>0.12709227016569935</v>
      </c>
      <c r="DB37" s="244">
        <f t="shared" ref="DB37:EC37" si="92">DB36/CW36-1</f>
        <v>8.3226191801901273E-2</v>
      </c>
      <c r="DC37" s="244">
        <f t="shared" si="92"/>
        <v>7.3529411764705843E-2</v>
      </c>
      <c r="DD37" s="243">
        <f t="shared" si="92"/>
        <v>7.3529411764705843E-2</v>
      </c>
      <c r="DE37" s="244">
        <f t="shared" si="92"/>
        <v>8.3650190114068268E-2</v>
      </c>
      <c r="DF37" s="244">
        <f t="shared" si="92"/>
        <v>0.25932835820895517</v>
      </c>
      <c r="DG37" s="244">
        <f t="shared" si="92"/>
        <v>0.28037383177570097</v>
      </c>
      <c r="DH37" s="244">
        <f t="shared" si="92"/>
        <v>0.31506849315068486</v>
      </c>
      <c r="DI37" s="243">
        <f t="shared" si="92"/>
        <v>0.31506849315068486</v>
      </c>
      <c r="DJ37" s="244">
        <f t="shared" si="92"/>
        <v>0.32456140350877183</v>
      </c>
      <c r="DK37" s="244">
        <f t="shared" si="92"/>
        <v>0.25185185185185177</v>
      </c>
      <c r="DL37" s="244">
        <f t="shared" si="92"/>
        <v>0.27737226277372273</v>
      </c>
      <c r="DM37" s="244">
        <f t="shared" si="92"/>
        <v>0.23611111111111116</v>
      </c>
      <c r="DN37" s="243">
        <f t="shared" si="92"/>
        <v>0.23611111111111116</v>
      </c>
      <c r="DO37" s="244">
        <f>DO36/DJ36-1</f>
        <v>0.20529801324503305</v>
      </c>
      <c r="DP37" s="244">
        <f t="shared" si="92"/>
        <v>9.4674556213017791E-2</v>
      </c>
      <c r="DQ37" s="244">
        <f t="shared" si="92"/>
        <v>0.10285714285714276</v>
      </c>
      <c r="DR37" s="244">
        <f>DR36/DM36-1</f>
        <v>0.151685393258427</v>
      </c>
      <c r="DS37" s="243">
        <f>DS36/DN36-1</f>
        <v>0.151685393258427</v>
      </c>
      <c r="DT37" s="244">
        <f>DT36/DO36-1</f>
        <v>0.16483516483516492</v>
      </c>
      <c r="DU37" s="244">
        <f t="shared" si="92"/>
        <v>0.19459459459459461</v>
      </c>
      <c r="DV37" s="244">
        <f t="shared" si="92"/>
        <v>0.17574918437499965</v>
      </c>
      <c r="DW37" s="244">
        <f t="shared" si="92"/>
        <v>0.11460806249999989</v>
      </c>
      <c r="DX37" s="243">
        <f t="shared" si="92"/>
        <v>0.11460806249999989</v>
      </c>
      <c r="DY37" s="244">
        <f t="shared" si="92"/>
        <v>0.120045175</v>
      </c>
      <c r="DZ37" s="244">
        <f t="shared" si="92"/>
        <v>0.12550881000000014</v>
      </c>
      <c r="EA37" s="244">
        <f t="shared" si="92"/>
        <v>0.12550881000000014</v>
      </c>
      <c r="EB37" s="244">
        <f t="shared" si="92"/>
        <v>0.12550880999999992</v>
      </c>
      <c r="EC37" s="243">
        <f t="shared" si="92"/>
        <v>0.12550880999999992</v>
      </c>
      <c r="ED37" s="244">
        <f t="shared" ref="ED37" si="93">ED36/DY36-1</f>
        <v>0.12004517500000023</v>
      </c>
      <c r="EE37" s="244">
        <f t="shared" ref="EE37" si="94">EE36/DZ36-1</f>
        <v>0.11460806249999989</v>
      </c>
      <c r="EF37" s="244">
        <f t="shared" ref="EF37" si="95">EF36/EA36-1</f>
        <v>0.10919734374999956</v>
      </c>
      <c r="EG37" s="244">
        <f t="shared" ref="EG37" si="96">EG36/EB36-1</f>
        <v>0.10381289062499954</v>
      </c>
      <c r="EH37" s="243">
        <f t="shared" ref="EH37" si="97">EH36/EC36-1</f>
        <v>0.10381289062499954</v>
      </c>
      <c r="EI37" s="244">
        <f t="shared" ref="EI37" si="98">EI36/ED36-1</f>
        <v>0.10381289062499932</v>
      </c>
      <c r="EJ37" s="244">
        <f t="shared" ref="EJ37" si="99">EJ36/EE36-1</f>
        <v>0.10381289062499932</v>
      </c>
      <c r="EK37" s="244">
        <f t="shared" ref="EK37" si="100">EK36/EF36-1</f>
        <v>0.10381289062499954</v>
      </c>
      <c r="EL37" s="244">
        <f t="shared" ref="EL37" si="101">EL36/EG36-1</f>
        <v>0.10381289062499954</v>
      </c>
      <c r="EM37" s="243">
        <f t="shared" ref="EM37" si="102">EM36/EH36-1</f>
        <v>0.10381289062499954</v>
      </c>
      <c r="EN37" s="244">
        <f t="shared" ref="EN37" si="103">EN36/EI36-1</f>
        <v>0.10381289062499977</v>
      </c>
      <c r="EO37" s="244">
        <f t="shared" ref="EO37" si="104">EO36/EJ36-1</f>
        <v>0.10381289062499977</v>
      </c>
      <c r="EP37" s="244">
        <f t="shared" ref="EP37" si="105">EP36/EK36-1</f>
        <v>0.10381289062499977</v>
      </c>
      <c r="EQ37" s="244">
        <f t="shared" ref="EQ37" si="106">EQ36/EL36-1</f>
        <v>0.10381289062499977</v>
      </c>
      <c r="ER37" s="243">
        <f t="shared" ref="ER37" si="107">ER36/EM36-1</f>
        <v>0.10381289062499977</v>
      </c>
      <c r="ES37" s="490"/>
    </row>
    <row r="38" spans="1:149" ht="12" customHeight="1">
      <c r="A38" s="931"/>
      <c r="B38" s="484"/>
      <c r="C38" s="641" t="s">
        <v>621</v>
      </c>
      <c r="D38" s="500"/>
      <c r="E38" s="501"/>
      <c r="F38" s="501"/>
      <c r="G38" s="501"/>
      <c r="H38" s="501"/>
      <c r="I38" s="502"/>
      <c r="J38" s="502"/>
      <c r="K38" s="502"/>
      <c r="L38" s="502"/>
      <c r="M38" s="501"/>
      <c r="N38" s="359"/>
      <c r="O38" s="359"/>
      <c r="P38" s="359"/>
      <c r="Q38" s="359"/>
      <c r="R38" s="501"/>
      <c r="S38" s="359"/>
      <c r="T38" s="359"/>
      <c r="U38" s="359"/>
      <c r="V38" s="359"/>
      <c r="W38" s="501"/>
      <c r="X38" s="359"/>
      <c r="Y38" s="359"/>
      <c r="Z38" s="359"/>
      <c r="AA38" s="359"/>
      <c r="AB38" s="501"/>
      <c r="AC38" s="359"/>
      <c r="AD38" s="359"/>
      <c r="AE38" s="359"/>
      <c r="AF38" s="359"/>
      <c r="AG38" s="501"/>
      <c r="AH38" s="359"/>
      <c r="AI38" s="359"/>
      <c r="AJ38" s="359"/>
      <c r="AK38" s="359"/>
      <c r="AL38" s="501"/>
      <c r="AM38" s="359"/>
      <c r="AN38" s="359"/>
      <c r="AO38" s="359"/>
      <c r="AP38" s="359"/>
      <c r="AQ38" s="501"/>
      <c r="AR38" s="359"/>
      <c r="AS38" s="359"/>
      <c r="AT38" s="359"/>
      <c r="AU38" s="359"/>
      <c r="AV38" s="501"/>
      <c r="AW38" s="359"/>
      <c r="AX38" s="359"/>
      <c r="AY38" s="359"/>
      <c r="AZ38" s="359"/>
      <c r="BA38" s="501"/>
      <c r="BB38" s="359"/>
      <c r="BC38" s="359"/>
      <c r="BD38" s="359"/>
      <c r="BE38" s="359"/>
      <c r="BF38" s="501"/>
      <c r="BG38" s="242"/>
      <c r="BH38" s="242"/>
      <c r="BI38" s="242"/>
      <c r="BJ38" s="242"/>
      <c r="BK38" s="501"/>
      <c r="BL38" s="244"/>
      <c r="BM38" s="244"/>
      <c r="BN38" s="244"/>
      <c r="BO38" s="244"/>
      <c r="BP38" s="243"/>
      <c r="BQ38" s="244">
        <f t="shared" ref="BQ38:CV38" si="108">BQ6/BQ63</f>
        <v>2.8206712273106949E-2</v>
      </c>
      <c r="BR38" s="244">
        <f t="shared" si="108"/>
        <v>2.748488747200336E-2</v>
      </c>
      <c r="BS38" s="244">
        <f t="shared" si="108"/>
        <v>2.764731731563436E-2</v>
      </c>
      <c r="BT38" s="244">
        <f t="shared" si="108"/>
        <v>2.4719726498857772E-2</v>
      </c>
      <c r="BU38" s="243">
        <f t="shared" si="108"/>
        <v>2.6630599166098005E-2</v>
      </c>
      <c r="BV38" s="244">
        <f t="shared" si="108"/>
        <v>2.7218344479996829E-2</v>
      </c>
      <c r="BW38" s="244">
        <f t="shared" si="108"/>
        <v>2.5736485501079837E-2</v>
      </c>
      <c r="BX38" s="244">
        <f t="shared" si="108"/>
        <v>2.6133481840696984E-2</v>
      </c>
      <c r="BY38" s="244">
        <f t="shared" si="108"/>
        <v>2.3597430368097329E-2</v>
      </c>
      <c r="BZ38" s="243">
        <f t="shared" si="108"/>
        <v>2.532365007636837E-2</v>
      </c>
      <c r="CA38" s="244">
        <f t="shared" si="108"/>
        <v>2.6250586047182594E-2</v>
      </c>
      <c r="CB38" s="244">
        <f t="shared" si="108"/>
        <v>2.5853900699063702E-2</v>
      </c>
      <c r="CC38" s="244">
        <f t="shared" si="108"/>
        <v>2.6661276026683674E-2</v>
      </c>
      <c r="CD38" s="244">
        <f t="shared" si="108"/>
        <v>2.4295552306902023E-2</v>
      </c>
      <c r="CE38" s="243">
        <f t="shared" si="108"/>
        <v>2.5581313176406668E-2</v>
      </c>
      <c r="CF38" s="244">
        <f t="shared" si="108"/>
        <v>2.6952761117605278E-2</v>
      </c>
      <c r="CG38" s="244">
        <f t="shared" si="108"/>
        <v>2.6813997356944601E-2</v>
      </c>
      <c r="CH38" s="244">
        <f t="shared" si="108"/>
        <v>2.702096970686594E-2</v>
      </c>
      <c r="CI38" s="244">
        <f t="shared" si="108"/>
        <v>2.452555565009926E-2</v>
      </c>
      <c r="CJ38" s="243">
        <f t="shared" si="108"/>
        <v>2.611057065625827E-2</v>
      </c>
      <c r="CK38" s="244">
        <f t="shared" si="108"/>
        <v>2.6900006765249049E-2</v>
      </c>
      <c r="CL38" s="244">
        <f t="shared" si="108"/>
        <v>2.6283319398251331E-2</v>
      </c>
      <c r="CM38" s="244">
        <f t="shared" si="108"/>
        <v>2.6351062774650481E-2</v>
      </c>
      <c r="CN38" s="244">
        <f t="shared" si="108"/>
        <v>2.4485096110642621E-2</v>
      </c>
      <c r="CO38" s="243">
        <f t="shared" si="108"/>
        <v>2.5813098292618016E-2</v>
      </c>
      <c r="CP38" s="244">
        <f t="shared" si="108"/>
        <v>2.6987895437861016E-2</v>
      </c>
      <c r="CQ38" s="244">
        <f t="shared" si="108"/>
        <v>2.3727950266572855E-2</v>
      </c>
      <c r="CR38" s="244">
        <f t="shared" si="108"/>
        <v>2.4821333010750828E-2</v>
      </c>
      <c r="CS38" s="244">
        <f t="shared" si="108"/>
        <v>2.3766680957957594E-2</v>
      </c>
      <c r="CT38" s="243">
        <f t="shared" si="108"/>
        <v>2.4498753093682692E-2</v>
      </c>
      <c r="CU38" s="244">
        <f t="shared" si="108"/>
        <v>2.6472006260441633E-2</v>
      </c>
      <c r="CV38" s="244">
        <f t="shared" si="108"/>
        <v>2.653130037891497E-2</v>
      </c>
      <c r="CW38" s="244">
        <f t="shared" ref="CW38:EB38" si="109">CW6/CW63</f>
        <v>2.6906263156202308E-2</v>
      </c>
      <c r="CX38" s="245">
        <f t="shared" si="109"/>
        <v>2.5529260463484908E-2</v>
      </c>
      <c r="CY38" s="243">
        <f t="shared" si="109"/>
        <v>2.629908926466739E-2</v>
      </c>
      <c r="CZ38" s="244">
        <f t="shared" si="109"/>
        <v>2.7861674475934607E-2</v>
      </c>
      <c r="DA38" s="244">
        <f t="shared" si="109"/>
        <v>2.7642624253261232E-2</v>
      </c>
      <c r="DB38" s="244">
        <f t="shared" si="109"/>
        <v>2.9571428571428571E-2</v>
      </c>
      <c r="DC38" s="244">
        <f t="shared" si="109"/>
        <v>2.8442262295081969E-2</v>
      </c>
      <c r="DD38" s="243">
        <f t="shared" si="109"/>
        <v>2.8389653461948078E-2</v>
      </c>
      <c r="DE38" s="244">
        <f t="shared" si="109"/>
        <v>3.0403225806451613E-2</v>
      </c>
      <c r="DF38" s="244">
        <f t="shared" si="109"/>
        <v>3.0800000000000001E-2</v>
      </c>
      <c r="DG38" s="244">
        <f t="shared" si="109"/>
        <v>3.0498220640569396E-2</v>
      </c>
      <c r="DH38" s="244">
        <f t="shared" si="109"/>
        <v>2.853910149750416E-2</v>
      </c>
      <c r="DI38" s="243">
        <f t="shared" si="109"/>
        <v>2.9924764225919255E-2</v>
      </c>
      <c r="DJ38" s="244">
        <f t="shared" si="109"/>
        <v>3.0580888998438912E-2</v>
      </c>
      <c r="DK38" s="244">
        <f t="shared" si="109"/>
        <v>3.0411182987582719E-2</v>
      </c>
      <c r="DL38" s="244">
        <f t="shared" si="109"/>
        <v>3.1011977336297784E-2</v>
      </c>
      <c r="DM38" s="244">
        <f t="shared" si="109"/>
        <v>2.9769214482320561E-2</v>
      </c>
      <c r="DN38" s="243">
        <f t="shared" si="109"/>
        <v>3.0382345393892739E-2</v>
      </c>
      <c r="DO38" s="244">
        <f t="shared" si="109"/>
        <v>3.1571906354515053E-2</v>
      </c>
      <c r="DP38" s="244">
        <f t="shared" si="109"/>
        <v>3.0511060259344011E-2</v>
      </c>
      <c r="DQ38" s="244">
        <f t="shared" si="109"/>
        <v>3.0908675947963874E-2</v>
      </c>
      <c r="DR38" s="244">
        <f t="shared" si="109"/>
        <v>2.9650923361406966E-2</v>
      </c>
      <c r="DS38" s="243">
        <f t="shared" si="109"/>
        <v>3.0535803467383292E-2</v>
      </c>
      <c r="DT38" s="244">
        <f t="shared" ref="DT38:DU38" si="110">DT6/DT63</f>
        <v>3.1466206088760509E-2</v>
      </c>
      <c r="DU38" s="244">
        <f t="shared" si="110"/>
        <v>3.100366021442107E-2</v>
      </c>
      <c r="DV38" s="244">
        <f t="shared" si="109"/>
        <v>3.1006685318230011E-2</v>
      </c>
      <c r="DW38" s="244">
        <f t="shared" si="109"/>
        <v>2.9731559057300214E-2</v>
      </c>
      <c r="DX38" s="243">
        <f t="shared" si="109"/>
        <v>3.0688409037115699E-2</v>
      </c>
      <c r="DY38" s="244">
        <f t="shared" si="109"/>
        <v>3.1291888494559647E-2</v>
      </c>
      <c r="DZ38" s="244">
        <f t="shared" si="109"/>
        <v>3.0944623371242742E-2</v>
      </c>
      <c r="EA38" s="244">
        <f t="shared" si="109"/>
        <v>3.1043612740544988E-2</v>
      </c>
      <c r="EB38" s="244">
        <f t="shared" si="109"/>
        <v>2.986297087839079E-2</v>
      </c>
      <c r="EC38" s="243">
        <f t="shared" ref="EC38:ER38" si="111">EC6/EC63</f>
        <v>3.0696459740461993E-2</v>
      </c>
      <c r="ED38" s="244">
        <f t="shared" si="111"/>
        <v>3.1517816048057146E-2</v>
      </c>
      <c r="EE38" s="244">
        <f t="shared" si="111"/>
        <v>3.1143086775680964E-2</v>
      </c>
      <c r="EF38" s="244">
        <f t="shared" si="111"/>
        <v>3.1203530138691486E-2</v>
      </c>
      <c r="EG38" s="244">
        <f t="shared" si="111"/>
        <v>3.0021012762812108E-2</v>
      </c>
      <c r="EH38" s="243">
        <f t="shared" si="111"/>
        <v>3.0878512705599551E-2</v>
      </c>
      <c r="EI38" s="244">
        <f t="shared" si="111"/>
        <v>3.1788714642093707E-2</v>
      </c>
      <c r="EJ38" s="244">
        <f t="shared" si="111"/>
        <v>3.1415745777573535E-2</v>
      </c>
      <c r="EK38" s="244">
        <f t="shared" si="111"/>
        <v>3.1474870506192444E-2</v>
      </c>
      <c r="EL38" s="244">
        <f t="shared" si="111"/>
        <v>3.0297616744788741E-2</v>
      </c>
      <c r="EM38" s="243">
        <f t="shared" si="111"/>
        <v>3.1151744935374023E-2</v>
      </c>
      <c r="EN38" s="244">
        <f t="shared" si="111"/>
        <v>3.2148161246048142E-2</v>
      </c>
      <c r="EO38" s="244">
        <f t="shared" si="111"/>
        <v>3.1771596326108993E-2</v>
      </c>
      <c r="EP38" s="244">
        <f t="shared" si="111"/>
        <v>3.1833414681851531E-2</v>
      </c>
      <c r="EQ38" s="244">
        <f t="shared" si="111"/>
        <v>3.0645408724987E-2</v>
      </c>
      <c r="ER38" s="243">
        <f t="shared" si="111"/>
        <v>3.1506424528426648E-2</v>
      </c>
      <c r="ES38" s="490"/>
    </row>
    <row r="39" spans="1:149" ht="12" customHeight="1">
      <c r="A39" s="931"/>
      <c r="B39" s="484"/>
      <c r="C39" s="1694" t="s">
        <v>691</v>
      </c>
      <c r="D39" s="540"/>
      <c r="E39" s="540"/>
      <c r="F39" s="540"/>
      <c r="G39" s="540"/>
      <c r="H39" s="540"/>
      <c r="I39" s="1695"/>
      <c r="J39" s="1695"/>
      <c r="K39" s="1695"/>
      <c r="L39" s="1695"/>
      <c r="M39" s="541"/>
      <c r="N39" s="1695"/>
      <c r="O39" s="1695"/>
      <c r="P39" s="1695"/>
      <c r="Q39" s="1695"/>
      <c r="R39" s="541"/>
      <c r="S39" s="1695"/>
      <c r="T39" s="1695"/>
      <c r="U39" s="1695"/>
      <c r="V39" s="1695"/>
      <c r="W39" s="541"/>
      <c r="X39" s="1696"/>
      <c r="Y39" s="1696"/>
      <c r="Z39" s="1696"/>
      <c r="AA39" s="1696"/>
      <c r="AB39" s="541"/>
      <c r="AC39" s="1696"/>
      <c r="AD39" s="1696"/>
      <c r="AE39" s="1696"/>
      <c r="AF39" s="1696"/>
      <c r="AG39" s="541"/>
      <c r="AH39" s="1695"/>
      <c r="AI39" s="1695"/>
      <c r="AJ39" s="1695"/>
      <c r="AK39" s="1695"/>
      <c r="AL39" s="541"/>
      <c r="AM39" s="1695"/>
      <c r="AN39" s="1695"/>
      <c r="AO39" s="1695"/>
      <c r="AP39" s="1695"/>
      <c r="AQ39" s="541"/>
      <c r="AR39" s="1695"/>
      <c r="AS39" s="1695"/>
      <c r="AT39" s="1695"/>
      <c r="AU39" s="1697"/>
      <c r="AV39" s="541"/>
      <c r="AW39" s="1695"/>
      <c r="AX39" s="1695"/>
      <c r="AY39" s="1695"/>
      <c r="AZ39" s="1697"/>
      <c r="BA39" s="541"/>
      <c r="BB39" s="1697"/>
      <c r="BC39" s="1697"/>
      <c r="BD39" s="1697"/>
      <c r="BE39" s="1697"/>
      <c r="BF39" s="542"/>
      <c r="BG39" s="1698"/>
      <c r="BH39" s="1698"/>
      <c r="BI39" s="1698"/>
      <c r="BJ39" s="1698"/>
      <c r="BK39" s="541"/>
      <c r="BL39" s="1698"/>
      <c r="BM39" s="1698"/>
      <c r="BN39" s="1698"/>
      <c r="BO39" s="1698"/>
      <c r="BP39" s="543"/>
      <c r="BQ39" s="1661">
        <f>Income!BQ6</f>
        <v>22.352</v>
      </c>
      <c r="BR39" s="1661">
        <f>Income!BR6</f>
        <v>25.459</v>
      </c>
      <c r="BS39" s="1661">
        <f>Income!BS6</f>
        <v>29.56</v>
      </c>
      <c r="BT39" s="1661">
        <f>Income!BT6</f>
        <v>34.607999999999997</v>
      </c>
      <c r="BU39" s="543">
        <f>SUM(BQ39:BT39)</f>
        <v>111.97899999999998</v>
      </c>
      <c r="BV39" s="1661">
        <f>Income!BV6</f>
        <v>38.706000000000003</v>
      </c>
      <c r="BW39" s="1661">
        <f>Income!BW6</f>
        <v>43.673999999999999</v>
      </c>
      <c r="BX39" s="1661">
        <f>Income!BX6</f>
        <v>49.838999999999999</v>
      </c>
      <c r="BY39" s="1661">
        <f>Income!BY6</f>
        <v>56.387</v>
      </c>
      <c r="BZ39" s="543">
        <f>SUM(BV39:BY39)</f>
        <v>188.60599999999999</v>
      </c>
      <c r="CA39" s="1661">
        <f>Income!CA6</f>
        <v>62.08</v>
      </c>
      <c r="CB39" s="1661">
        <f>Income!CB6</f>
        <v>71.597999999999999</v>
      </c>
      <c r="CC39" s="1661">
        <f>Income!CC6</f>
        <v>82.435000000000002</v>
      </c>
      <c r="CD39" s="1661">
        <f>Income!CD6</f>
        <v>93.918000000000006</v>
      </c>
      <c r="CE39" s="543">
        <f>SUM(CA39:CD39)</f>
        <v>310.03100000000001</v>
      </c>
      <c r="CF39" s="1661">
        <f>Income!CF6</f>
        <v>100.19799999999999</v>
      </c>
      <c r="CG39" s="1661">
        <f>Income!CG6</f>
        <v>110.721</v>
      </c>
      <c r="CH39" s="1661">
        <f>Income!CH6</f>
        <v>120.517</v>
      </c>
      <c r="CI39" s="1661">
        <f>Income!CI6</f>
        <v>133.56</v>
      </c>
      <c r="CJ39" s="543">
        <f>SUM(CF39:CI39)</f>
        <v>464.99599999999998</v>
      </c>
      <c r="CK39" s="1661">
        <f>Income!CK6</f>
        <v>140.45099999999999</v>
      </c>
      <c r="CL39" s="1661">
        <f>Income!CL6</f>
        <v>153.047</v>
      </c>
      <c r="CM39" s="1661">
        <f>Income!CM6</f>
        <v>165.577</v>
      </c>
      <c r="CN39" s="1661">
        <f>Income!CN6</f>
        <v>183.166</v>
      </c>
      <c r="CO39" s="543">
        <f>SUM(CK39:CN39)</f>
        <v>642.24099999999999</v>
      </c>
      <c r="CP39" s="1661">
        <f>Income!CP6</f>
        <v>187.60900000000001</v>
      </c>
      <c r="CQ39" s="1661">
        <f>Income!CQ6</f>
        <v>196.434</v>
      </c>
      <c r="CR39" s="1661">
        <f>Income!CR6</f>
        <v>245.274</v>
      </c>
      <c r="CS39" s="1661">
        <f>Income!CS6</f>
        <v>279.44</v>
      </c>
      <c r="CT39" s="543">
        <f>SUM(CP39:CS39)</f>
        <v>908.75700000000006</v>
      </c>
      <c r="CU39" s="1661">
        <f>Income!CU6</f>
        <v>320.68099999999998</v>
      </c>
      <c r="CV39" s="1661">
        <f>Income!CV6</f>
        <v>334.23700000000002</v>
      </c>
      <c r="CW39" s="1661">
        <f>Income!CW6</f>
        <v>336.20800000000003</v>
      </c>
      <c r="CX39" s="1661">
        <f>Income!CX6</f>
        <v>351.20800000000003</v>
      </c>
      <c r="CY39" s="543">
        <f>SUM(CU39:CX39)</f>
        <v>1342.3340000000001</v>
      </c>
      <c r="CZ39" s="1661">
        <f>Income!CZ6</f>
        <v>344.76100000000002</v>
      </c>
      <c r="DA39" s="1661">
        <f>Income!DA6</f>
        <v>366.44299999999998</v>
      </c>
      <c r="DB39" s="1661">
        <f>Income!DB6</f>
        <v>376.30099999999999</v>
      </c>
      <c r="DC39" s="1661">
        <f>Income!DC6</f>
        <v>400.25400000000002</v>
      </c>
      <c r="DD39" s="543">
        <f>SUM(CZ39:DC39)</f>
        <v>1487.759</v>
      </c>
      <c r="DE39" s="1661">
        <f>Income!DE6</f>
        <v>382</v>
      </c>
      <c r="DF39" s="1661">
        <f>Income!DF6</f>
        <v>444</v>
      </c>
      <c r="DG39" s="1661">
        <f>Income!DG6</f>
        <v>486</v>
      </c>
      <c r="DH39" s="1661">
        <f>Income!DH6</f>
        <v>525</v>
      </c>
      <c r="DI39" s="543">
        <f>SUM(DE39:DH39)</f>
        <v>1837</v>
      </c>
      <c r="DJ39" s="1661">
        <f>Income!DJ6</f>
        <v>511</v>
      </c>
      <c r="DK39" s="1661">
        <f>Income!DK6</f>
        <v>563</v>
      </c>
      <c r="DL39" s="1661">
        <f>Income!DL6</f>
        <v>610</v>
      </c>
      <c r="DM39" s="1661">
        <f>Income!DM6</f>
        <v>666</v>
      </c>
      <c r="DN39" s="543">
        <f>SUM(DJ39:DM39)</f>
        <v>2350</v>
      </c>
      <c r="DO39" s="1661">
        <f>Income!DO6</f>
        <v>620</v>
      </c>
      <c r="DP39" s="1661">
        <f>Income!DP6</f>
        <v>656</v>
      </c>
      <c r="DQ39" s="1661">
        <f>Income!DQ6</f>
        <v>699</v>
      </c>
      <c r="DR39" s="1661">
        <f>Income!DR6</f>
        <v>777</v>
      </c>
      <c r="DS39" s="543">
        <f>SUM(DO39:DR39)</f>
        <v>2752</v>
      </c>
      <c r="DT39" s="1661">
        <f>Income!DT6</f>
        <v>750</v>
      </c>
      <c r="DU39" s="1661">
        <f>Income!DU6</f>
        <v>802</v>
      </c>
      <c r="DV39" s="1699">
        <f>(DV16*DV21)/1000</f>
        <v>860.61512704218728</v>
      </c>
      <c r="DW39" s="1699">
        <f>(DW16*DW21)/1000</f>
        <v>935.33450172749986</v>
      </c>
      <c r="DX39" s="543">
        <f>SUM(DT39:DW39)</f>
        <v>3347.9496287696875</v>
      </c>
      <c r="DY39" s="1699">
        <f>(DY16*DY21)/1000</f>
        <v>898.83625293750015</v>
      </c>
      <c r="DZ39" s="1699">
        <f>(DZ16*DZ21)/1000</f>
        <v>965.84413021340015</v>
      </c>
      <c r="EA39" s="1699">
        <f>(EA16*EA21)/1000</f>
        <v>1036.4340010306189</v>
      </c>
      <c r="EB39" s="1699">
        <f>(EB16*EB21)/1000</f>
        <v>1126.4181275306501</v>
      </c>
      <c r="EC39" s="543">
        <f>SUM(DY39:EB39)</f>
        <v>4027.5325117121693</v>
      </c>
      <c r="ED39" s="1699">
        <f>(ED16*ED21)/1000</f>
        <v>1067.1414407107902</v>
      </c>
      <c r="EE39" s="1699">
        <f>(EE16*EE21)/1000</f>
        <v>1141.1299139334049</v>
      </c>
      <c r="EF39" s="1699">
        <f>(EF16*EF21)/1000</f>
        <v>1218.5864313702677</v>
      </c>
      <c r="EG39" s="1699">
        <f>(EG16*EG21)/1000</f>
        <v>1317.9561403661266</v>
      </c>
      <c r="EH39" s="543">
        <f>SUM(ED39:EG39)</f>
        <v>4744.8139263805897</v>
      </c>
      <c r="EI39" s="1699">
        <f>(EI16*EI21)/1000</f>
        <v>1248.5999470793063</v>
      </c>
      <c r="EJ39" s="1699">
        <f>(EJ16*EJ21)/1000</f>
        <v>1335.1695434101377</v>
      </c>
      <c r="EK39" s="1699">
        <f>(EK16*EK21)/1000</f>
        <v>1425.7968959644509</v>
      </c>
      <c r="EL39" s="1699">
        <f>(EL16*EL21)/1000</f>
        <v>1542.0635956353719</v>
      </c>
      <c r="EM39" s="543">
        <f>SUM(EI39:EL39)</f>
        <v>5551.6299820892673</v>
      </c>
      <c r="EN39" s="1699">
        <f>(EN16*EN21)/1000</f>
        <v>1460.9139598290203</v>
      </c>
      <c r="EO39" s="1699">
        <f>(EO16*EO21)/1000</f>
        <v>1562.2039943771658</v>
      </c>
      <c r="EP39" s="1699">
        <f>(EP16*EP21)/1000</f>
        <v>1668.241772769393</v>
      </c>
      <c r="EQ39" s="1699">
        <f>(EQ16*EQ21)/1000</f>
        <v>1804.2786555274126</v>
      </c>
      <c r="ER39" s="543">
        <f>SUM(EN39:EQ39)</f>
        <v>6495.6383825029916</v>
      </c>
      <c r="ES39" s="490"/>
    </row>
    <row r="40" spans="1:149" ht="12" customHeight="1">
      <c r="A40" s="931"/>
      <c r="B40" s="484"/>
      <c r="C40" s="648" t="s">
        <v>130</v>
      </c>
      <c r="D40" s="500"/>
      <c r="E40" s="501"/>
      <c r="F40" s="501"/>
      <c r="G40" s="501"/>
      <c r="H40" s="501"/>
      <c r="I40" s="502"/>
      <c r="J40" s="502"/>
      <c r="K40" s="502"/>
      <c r="L40" s="502"/>
      <c r="M40" s="501"/>
      <c r="N40" s="359"/>
      <c r="O40" s="359"/>
      <c r="P40" s="359"/>
      <c r="Q40" s="359"/>
      <c r="R40" s="501"/>
      <c r="S40" s="359"/>
      <c r="T40" s="359"/>
      <c r="U40" s="359"/>
      <c r="V40" s="359"/>
      <c r="W40" s="501"/>
      <c r="X40" s="359"/>
      <c r="Y40" s="359"/>
      <c r="Z40" s="359"/>
      <c r="AA40" s="359"/>
      <c r="AB40" s="501"/>
      <c r="AC40" s="359"/>
      <c r="AD40" s="359"/>
      <c r="AE40" s="359"/>
      <c r="AF40" s="359"/>
      <c r="AG40" s="501"/>
      <c r="AH40" s="359"/>
      <c r="AI40" s="359"/>
      <c r="AJ40" s="359"/>
      <c r="AK40" s="359"/>
      <c r="AL40" s="501"/>
      <c r="AM40" s="359"/>
      <c r="AN40" s="359"/>
      <c r="AO40" s="359"/>
      <c r="AP40" s="359"/>
      <c r="AQ40" s="501"/>
      <c r="AR40" s="359"/>
      <c r="AS40" s="359"/>
      <c r="AT40" s="359"/>
      <c r="AU40" s="359"/>
      <c r="AV40" s="501"/>
      <c r="AW40" s="359"/>
      <c r="AX40" s="359"/>
      <c r="AY40" s="359"/>
      <c r="AZ40" s="359"/>
      <c r="BA40" s="501"/>
      <c r="BB40" s="359"/>
      <c r="BC40" s="359"/>
      <c r="BD40" s="359"/>
      <c r="BE40" s="359"/>
      <c r="BF40" s="501"/>
      <c r="BG40" s="242"/>
      <c r="BH40" s="242"/>
      <c r="BI40" s="242"/>
      <c r="BJ40" s="242"/>
      <c r="BK40" s="501"/>
      <c r="BL40" s="244"/>
      <c r="BM40" s="244"/>
      <c r="BN40" s="244"/>
      <c r="BO40" s="244"/>
      <c r="BP40" s="544"/>
      <c r="BQ40" s="353"/>
      <c r="BR40" s="353">
        <f>BR39/BQ39-1</f>
        <v>0.13900322118826058</v>
      </c>
      <c r="BS40" s="353">
        <f>BS39/BR39-1</f>
        <v>0.16108252484386654</v>
      </c>
      <c r="BT40" s="353">
        <f>BT39/BS39-1</f>
        <v>0.17077131258457379</v>
      </c>
      <c r="BU40" s="544"/>
      <c r="BV40" s="353">
        <f>BV39/BT39-1</f>
        <v>0.11841192787794741</v>
      </c>
      <c r="BW40" s="353">
        <f>BW39/BV39-1</f>
        <v>0.12835219345837845</v>
      </c>
      <c r="BX40" s="353">
        <f>BX39/BW39-1</f>
        <v>0.14115949993130927</v>
      </c>
      <c r="BY40" s="353">
        <f>BY39/BX39-1</f>
        <v>0.13138305343205126</v>
      </c>
      <c r="BZ40" s="544"/>
      <c r="CA40" s="353">
        <f>CA39/BY39-1</f>
        <v>0.10096298792274805</v>
      </c>
      <c r="CB40" s="353">
        <f>CB39/CA39-1</f>
        <v>0.15331829896907223</v>
      </c>
      <c r="CC40" s="353">
        <f>CC39/CB39-1</f>
        <v>0.15135897650772367</v>
      </c>
      <c r="CD40" s="353">
        <f>CD39/CC39-1</f>
        <v>0.1392976284345242</v>
      </c>
      <c r="CE40" s="544"/>
      <c r="CF40" s="353">
        <f>CF39/CD39-1</f>
        <v>6.6866841287080092E-2</v>
      </c>
      <c r="CG40" s="353">
        <f>CG39/CF39-1</f>
        <v>0.10502205632846984</v>
      </c>
      <c r="CH40" s="353">
        <f>CH39/CG39-1</f>
        <v>8.8474634441524147E-2</v>
      </c>
      <c r="CI40" s="353">
        <f>CI39/CH39-1</f>
        <v>0.10822539558734467</v>
      </c>
      <c r="CJ40" s="544"/>
      <c r="CK40" s="353">
        <f>CK39/CI39-1</f>
        <v>5.1594788858939644E-2</v>
      </c>
      <c r="CL40" s="353">
        <f>CL39/CK39-1</f>
        <v>8.9682522730347269E-2</v>
      </c>
      <c r="CM40" s="353">
        <f>CM39/CL39-1</f>
        <v>8.1870275144236837E-2</v>
      </c>
      <c r="CN40" s="353">
        <f>CN39/CM39-1</f>
        <v>0.10622852207734157</v>
      </c>
      <c r="CO40" s="544"/>
      <c r="CP40" s="353">
        <f>CP39/CN39-1</f>
        <v>2.4256685192666883E-2</v>
      </c>
      <c r="CQ40" s="353">
        <f>CQ39/CP39-1</f>
        <v>4.703932114130982E-2</v>
      </c>
      <c r="CR40" s="353">
        <f>CR39/CQ39-1</f>
        <v>0.24863312868444365</v>
      </c>
      <c r="CS40" s="353">
        <f>CS39/CR39-1</f>
        <v>0.13929727569982964</v>
      </c>
      <c r="CT40" s="544"/>
      <c r="CU40" s="353">
        <f>CU39/CS39-1</f>
        <v>0.14758445462353276</v>
      </c>
      <c r="CV40" s="353">
        <f>CV39/CU39-1</f>
        <v>4.2272538753465483E-2</v>
      </c>
      <c r="CW40" s="353">
        <f>CW39/CV39-1</f>
        <v>5.897013197222245E-3</v>
      </c>
      <c r="CX40" s="354">
        <f>CX39/CW39-1</f>
        <v>4.4615238185884865E-2</v>
      </c>
      <c r="CY40" s="544"/>
      <c r="CZ40" s="353">
        <f>CZ39/CX39-1</f>
        <v>-1.8356643356643332E-2</v>
      </c>
      <c r="DA40" s="353">
        <f>DA39/CZ39-1</f>
        <v>6.288994404819559E-2</v>
      </c>
      <c r="DB40" s="353">
        <f>DB39/DA39-1</f>
        <v>2.6901864682911114E-2</v>
      </c>
      <c r="DC40" s="354">
        <f>DC39/DB39-1</f>
        <v>6.3653830311373172E-2</v>
      </c>
      <c r="DD40" s="544"/>
      <c r="DE40" s="353">
        <f>DE39/DC39-1</f>
        <v>-4.5606040164495543E-2</v>
      </c>
      <c r="DF40" s="353">
        <f>DF39/DE39-1</f>
        <v>0.16230366492146597</v>
      </c>
      <c r="DG40" s="353">
        <f>DG39/DF39-1</f>
        <v>9.4594594594594517E-2</v>
      </c>
      <c r="DH40" s="353">
        <f>DH39/DG39-1</f>
        <v>8.0246913580246826E-2</v>
      </c>
      <c r="DI40" s="544"/>
      <c r="DJ40" s="353">
        <f>DJ39/DH39-1</f>
        <v>-2.6666666666666616E-2</v>
      </c>
      <c r="DK40" s="353">
        <f>DK39/DJ39-1</f>
        <v>0.10176125244618395</v>
      </c>
      <c r="DL40" s="353">
        <f>DL39/DK39-1</f>
        <v>8.3481349911190161E-2</v>
      </c>
      <c r="DM40" s="353">
        <f>DM39/DL39-1</f>
        <v>9.1803278688524559E-2</v>
      </c>
      <c r="DN40" s="544"/>
      <c r="DO40" s="353">
        <f>DO39/DM39-1</f>
        <v>-6.9069069069069067E-2</v>
      </c>
      <c r="DP40" s="353">
        <f>DP39/DO39-1</f>
        <v>5.8064516129032295E-2</v>
      </c>
      <c r="DQ40" s="353">
        <f>DQ39/DP39-1</f>
        <v>6.554878048780477E-2</v>
      </c>
      <c r="DR40" s="353">
        <f>DR39/DQ39-1</f>
        <v>0.11158798283261806</v>
      </c>
      <c r="DS40" s="544"/>
      <c r="DT40" s="353">
        <f>DT39/DR39-1</f>
        <v>-3.4749034749034791E-2</v>
      </c>
      <c r="DU40" s="353">
        <f>DU39/DT39-1</f>
        <v>6.9333333333333247E-2</v>
      </c>
      <c r="DV40" s="353">
        <f>DV39/DU39-1</f>
        <v>7.3086193319435555E-2</v>
      </c>
      <c r="DW40" s="354">
        <f>DW39/DV39-1</f>
        <v>8.682089396001258E-2</v>
      </c>
      <c r="DX40" s="544"/>
      <c r="DY40" s="353">
        <f>DY39/DW39-1</f>
        <v>-3.9021599997209444E-2</v>
      </c>
      <c r="DZ40" s="353">
        <f>DZ39/DY39-1</f>
        <v>7.454959349593504E-2</v>
      </c>
      <c r="EA40" s="353">
        <f>EA39/DZ39-1</f>
        <v>7.3086193319435555E-2</v>
      </c>
      <c r="EB40" s="354">
        <f>EB39/EA39-1</f>
        <v>8.6820893960012802E-2</v>
      </c>
      <c r="EC40" s="544"/>
      <c r="ED40" s="353">
        <f>ED39/EB39-1</f>
        <v>-5.2624052624052675E-2</v>
      </c>
      <c r="EE40" s="353">
        <f>EE39/ED39-1</f>
        <v>6.9333333333333247E-2</v>
      </c>
      <c r="EF40" s="353">
        <f>EF39/EE39-1</f>
        <v>6.7877037041185861E-2</v>
      </c>
      <c r="EG40" s="354">
        <f>EG39/EF39-1</f>
        <v>8.1545064377682497E-2</v>
      </c>
      <c r="EH40" s="544"/>
      <c r="EI40" s="353">
        <f>EI39/EG39-1</f>
        <v>-5.2624052624052675E-2</v>
      </c>
      <c r="EJ40" s="353">
        <f>EJ39/EI39-1</f>
        <v>6.9333333333333025E-2</v>
      </c>
      <c r="EK40" s="353">
        <f>EK39/EJ39-1</f>
        <v>6.7877037041185861E-2</v>
      </c>
      <c r="EL40" s="354">
        <f>EL39/EK39-1</f>
        <v>8.1545064377682497E-2</v>
      </c>
      <c r="EM40" s="544"/>
      <c r="EN40" s="353">
        <f>EN39/EL39-1</f>
        <v>-5.2624052624052675E-2</v>
      </c>
      <c r="EO40" s="353">
        <f>EO39/EN39-1</f>
        <v>6.9333333333333469E-2</v>
      </c>
      <c r="EP40" s="353">
        <f>EP39/EO39-1</f>
        <v>6.7877037041185639E-2</v>
      </c>
      <c r="EQ40" s="354">
        <f>EQ39/EP39-1</f>
        <v>8.1545064377682719E-2</v>
      </c>
      <c r="ER40" s="544"/>
      <c r="ES40" s="490"/>
    </row>
    <row r="41" spans="1:149" ht="12" customHeight="1">
      <c r="A41" s="931"/>
      <c r="B41" s="484"/>
      <c r="C41" s="648" t="s">
        <v>129</v>
      </c>
      <c r="D41" s="500"/>
      <c r="E41" s="501"/>
      <c r="F41" s="501"/>
      <c r="G41" s="501"/>
      <c r="H41" s="501"/>
      <c r="I41" s="502"/>
      <c r="J41" s="502"/>
      <c r="K41" s="502"/>
      <c r="L41" s="502"/>
      <c r="M41" s="501"/>
      <c r="N41" s="359"/>
      <c r="O41" s="359"/>
      <c r="P41" s="359"/>
      <c r="Q41" s="359"/>
      <c r="R41" s="501"/>
      <c r="S41" s="359"/>
      <c r="T41" s="359"/>
      <c r="U41" s="359"/>
      <c r="V41" s="359"/>
      <c r="W41" s="501"/>
      <c r="X41" s="359"/>
      <c r="Y41" s="359"/>
      <c r="Z41" s="359"/>
      <c r="AA41" s="359"/>
      <c r="AB41" s="501"/>
      <c r="AC41" s="359"/>
      <c r="AD41" s="359"/>
      <c r="AE41" s="359"/>
      <c r="AF41" s="359"/>
      <c r="AG41" s="501"/>
      <c r="AH41" s="359"/>
      <c r="AI41" s="359"/>
      <c r="AJ41" s="359"/>
      <c r="AK41" s="359"/>
      <c r="AL41" s="501"/>
      <c r="AM41" s="359"/>
      <c r="AN41" s="359"/>
      <c r="AO41" s="359"/>
      <c r="AP41" s="359"/>
      <c r="AQ41" s="501"/>
      <c r="AR41" s="359"/>
      <c r="AS41" s="359"/>
      <c r="AT41" s="359"/>
      <c r="AU41" s="359"/>
      <c r="AV41" s="501"/>
      <c r="AW41" s="359"/>
      <c r="AX41" s="359"/>
      <c r="AY41" s="359"/>
      <c r="AZ41" s="359"/>
      <c r="BA41" s="501"/>
      <c r="BB41" s="359"/>
      <c r="BC41" s="359"/>
      <c r="BD41" s="359"/>
      <c r="BE41" s="359"/>
      <c r="BF41" s="501"/>
      <c r="BG41" s="242"/>
      <c r="BH41" s="242"/>
      <c r="BI41" s="242"/>
      <c r="BJ41" s="242"/>
      <c r="BK41" s="501"/>
      <c r="BL41" s="244"/>
      <c r="BM41" s="244"/>
      <c r="BN41" s="244"/>
      <c r="BO41" s="244"/>
      <c r="BP41" s="352"/>
      <c r="BQ41" s="353"/>
      <c r="BR41" s="353"/>
      <c r="BS41" s="353"/>
      <c r="BT41" s="353"/>
      <c r="BU41" s="352"/>
      <c r="BV41" s="353">
        <f t="shared" ref="BV41:DA41" si="112">BV39/BQ39-1</f>
        <v>0.73165712240515401</v>
      </c>
      <c r="BW41" s="353">
        <f t="shared" si="112"/>
        <v>0.71546407950037305</v>
      </c>
      <c r="BX41" s="353">
        <f t="shared" si="112"/>
        <v>0.68602841677943172</v>
      </c>
      <c r="BY41" s="353">
        <f t="shared" si="112"/>
        <v>0.62930536292186789</v>
      </c>
      <c r="BZ41" s="352">
        <f t="shared" si="112"/>
        <v>0.68429794872252847</v>
      </c>
      <c r="CA41" s="353">
        <f t="shared" si="112"/>
        <v>0.60388570247506834</v>
      </c>
      <c r="CB41" s="353">
        <f t="shared" si="112"/>
        <v>0.63937354032147264</v>
      </c>
      <c r="CC41" s="353">
        <f t="shared" si="112"/>
        <v>0.65402596360280119</v>
      </c>
      <c r="CD41" s="353">
        <f t="shared" si="112"/>
        <v>0.6655966800858355</v>
      </c>
      <c r="CE41" s="352">
        <f t="shared" si="112"/>
        <v>0.64380242410103605</v>
      </c>
      <c r="CF41" s="353">
        <f t="shared" si="112"/>
        <v>0.61401417525773194</v>
      </c>
      <c r="CG41" s="353">
        <f t="shared" si="112"/>
        <v>0.54642587781781615</v>
      </c>
      <c r="CH41" s="353">
        <f t="shared" si="112"/>
        <v>0.46196397161399871</v>
      </c>
      <c r="CI41" s="353">
        <f t="shared" si="112"/>
        <v>0.4220916118315976</v>
      </c>
      <c r="CJ41" s="352">
        <f t="shared" si="112"/>
        <v>0.49983711306288714</v>
      </c>
      <c r="CK41" s="353">
        <f t="shared" si="112"/>
        <v>0.40173456556019094</v>
      </c>
      <c r="CL41" s="353">
        <f t="shared" si="112"/>
        <v>0.38227617163862315</v>
      </c>
      <c r="CM41" s="353">
        <f t="shared" si="112"/>
        <v>0.37388916086527213</v>
      </c>
      <c r="CN41" s="353">
        <f t="shared" si="112"/>
        <v>0.37141359688529496</v>
      </c>
      <c r="CO41" s="352">
        <f t="shared" si="112"/>
        <v>0.38117532193825321</v>
      </c>
      <c r="CP41" s="353">
        <f t="shared" si="112"/>
        <v>0.33576122633516325</v>
      </c>
      <c r="CQ41" s="353">
        <f t="shared" si="112"/>
        <v>0.28348807882545879</v>
      </c>
      <c r="CR41" s="353">
        <f t="shared" si="112"/>
        <v>0.48132892853476039</v>
      </c>
      <c r="CS41" s="353">
        <f t="shared" si="112"/>
        <v>0.52561064826441584</v>
      </c>
      <c r="CT41" s="352">
        <f t="shared" si="112"/>
        <v>0.41497817797368919</v>
      </c>
      <c r="CU41" s="353">
        <f t="shared" si="112"/>
        <v>0.70930499069874031</v>
      </c>
      <c r="CV41" s="353">
        <f t="shared" si="112"/>
        <v>0.70152315790545439</v>
      </c>
      <c r="CW41" s="353">
        <f t="shared" si="112"/>
        <v>0.37074455506902493</v>
      </c>
      <c r="CX41" s="354">
        <f t="shared" si="112"/>
        <v>0.25682794159748079</v>
      </c>
      <c r="CY41" s="352">
        <f t="shared" si="112"/>
        <v>0.47710994248187366</v>
      </c>
      <c r="CZ41" s="353">
        <f t="shared" si="112"/>
        <v>7.5090198670953567E-2</v>
      </c>
      <c r="DA41" s="353">
        <f t="shared" si="112"/>
        <v>9.6356776778154352E-2</v>
      </c>
      <c r="DB41" s="353">
        <f t="shared" ref="DB41:EC41" si="113">DB39/CW39-1</f>
        <v>0.11925058297244551</v>
      </c>
      <c r="DC41" s="353">
        <f t="shared" si="113"/>
        <v>0.13964943850937339</v>
      </c>
      <c r="DD41" s="352">
        <f t="shared" si="113"/>
        <v>0.10833741825804899</v>
      </c>
      <c r="DE41" s="353">
        <f t="shared" si="113"/>
        <v>0.10801395749519216</v>
      </c>
      <c r="DF41" s="353">
        <f t="shared" si="113"/>
        <v>0.21164819630883946</v>
      </c>
      <c r="DG41" s="353">
        <f t="shared" si="113"/>
        <v>0.29151928907975266</v>
      </c>
      <c r="DH41" s="353">
        <f t="shared" si="113"/>
        <v>0.3116670913969628</v>
      </c>
      <c r="DI41" s="352">
        <f t="shared" si="113"/>
        <v>0.23474299264867504</v>
      </c>
      <c r="DJ41" s="353">
        <f t="shared" si="113"/>
        <v>0.33769633507853403</v>
      </c>
      <c r="DK41" s="353">
        <f t="shared" si="113"/>
        <v>0.26801801801801806</v>
      </c>
      <c r="DL41" s="353">
        <f t="shared" si="113"/>
        <v>0.25514403292181065</v>
      </c>
      <c r="DM41" s="353">
        <f t="shared" si="113"/>
        <v>0.26857142857142846</v>
      </c>
      <c r="DN41" s="352">
        <f t="shared" si="113"/>
        <v>0.27925966249319534</v>
      </c>
      <c r="DO41" s="353">
        <f>DO39/DJ39-1</f>
        <v>0.21330724070450091</v>
      </c>
      <c r="DP41" s="353">
        <f t="shared" si="113"/>
        <v>0.1651865008880995</v>
      </c>
      <c r="DQ41" s="353">
        <f t="shared" si="113"/>
        <v>0.14590163934426226</v>
      </c>
      <c r="DR41" s="353">
        <f>DR39/DM39-1</f>
        <v>0.16666666666666674</v>
      </c>
      <c r="DS41" s="352">
        <f>DS39/DN39-1</f>
        <v>0.171063829787234</v>
      </c>
      <c r="DT41" s="353">
        <f>DT39/DO39-1</f>
        <v>0.20967741935483875</v>
      </c>
      <c r="DU41" s="353">
        <f t="shared" si="113"/>
        <v>0.22256097560975618</v>
      </c>
      <c r="DV41" s="353">
        <f t="shared" si="113"/>
        <v>0.2312090515624996</v>
      </c>
      <c r="DW41" s="353">
        <f t="shared" si="113"/>
        <v>0.20377670749999988</v>
      </c>
      <c r="DX41" s="352">
        <f t="shared" si="113"/>
        <v>0.21655146394247371</v>
      </c>
      <c r="DY41" s="353">
        <f t="shared" si="113"/>
        <v>0.19844833725000011</v>
      </c>
      <c r="DZ41" s="353">
        <f t="shared" si="113"/>
        <v>0.2042944267000002</v>
      </c>
      <c r="EA41" s="353">
        <f t="shared" si="113"/>
        <v>0.20429442670000042</v>
      </c>
      <c r="EB41" s="353">
        <f t="shared" si="113"/>
        <v>0.20429442670000042</v>
      </c>
      <c r="EC41" s="352">
        <f t="shared" si="113"/>
        <v>0.202984799144728</v>
      </c>
      <c r="ED41" s="353">
        <f t="shared" ref="ED41" si="114">ED39/DY39-1</f>
        <v>0.18724788549999993</v>
      </c>
      <c r="EE41" s="353">
        <f t="shared" ref="EE41" si="115">EE39/DZ39-1</f>
        <v>0.18148454624999988</v>
      </c>
      <c r="EF41" s="353">
        <f t="shared" ref="EF41" si="116">EF39/EA39-1</f>
        <v>0.17574918437499965</v>
      </c>
      <c r="EG41" s="353">
        <f t="shared" ref="EG41" si="117">EG39/EB39-1</f>
        <v>0.17004166406249954</v>
      </c>
      <c r="EH41" s="352">
        <f t="shared" ref="EH41" si="118">EH39/EC39-1</f>
        <v>0.17809450639629776</v>
      </c>
      <c r="EI41" s="353">
        <f t="shared" ref="EI41" si="119">EI39/ED39-1</f>
        <v>0.17004166406249954</v>
      </c>
      <c r="EJ41" s="353">
        <f t="shared" ref="EJ41" si="120">EJ39/EE39-1</f>
        <v>0.17004166406249932</v>
      </c>
      <c r="EK41" s="353">
        <f t="shared" ref="EK41" si="121">EK39/EF39-1</f>
        <v>0.17004166406249954</v>
      </c>
      <c r="EL41" s="353">
        <f t="shared" ref="EL41" si="122">EL39/EG39-1</f>
        <v>0.17004166406249954</v>
      </c>
      <c r="EM41" s="352">
        <f t="shared" ref="EM41" si="123">EM39/EH39-1</f>
        <v>0.17004166406249954</v>
      </c>
      <c r="EN41" s="353">
        <f t="shared" ref="EN41" si="124">EN39/EI39-1</f>
        <v>0.17004166406249954</v>
      </c>
      <c r="EO41" s="353">
        <f t="shared" ref="EO41" si="125">EO39/EJ39-1</f>
        <v>0.17004166406249999</v>
      </c>
      <c r="EP41" s="353">
        <f t="shared" ref="EP41" si="126">EP39/EK39-1</f>
        <v>0.17004166406249976</v>
      </c>
      <c r="EQ41" s="353">
        <f t="shared" ref="EQ41" si="127">EQ39/EL39-1</f>
        <v>0.17004166406249999</v>
      </c>
      <c r="ER41" s="352">
        <f t="shared" ref="ER41" si="128">ER39/EM39-1</f>
        <v>0.17004166406249976</v>
      </c>
      <c r="ES41" s="490"/>
    </row>
    <row r="42" spans="1:149" ht="12" customHeight="1">
      <c r="A42" s="931"/>
      <c r="B42" s="484"/>
      <c r="C42" s="648" t="s">
        <v>310</v>
      </c>
      <c r="D42" s="500"/>
      <c r="E42" s="501"/>
      <c r="F42" s="501"/>
      <c r="G42" s="501"/>
      <c r="H42" s="501"/>
      <c r="I42" s="502"/>
      <c r="J42" s="502"/>
      <c r="K42" s="502"/>
      <c r="L42" s="502"/>
      <c r="M42" s="501"/>
      <c r="N42" s="359"/>
      <c r="O42" s="359"/>
      <c r="P42" s="359"/>
      <c r="Q42" s="359"/>
      <c r="R42" s="501"/>
      <c r="S42" s="359"/>
      <c r="T42" s="359"/>
      <c r="U42" s="359"/>
      <c r="V42" s="359"/>
      <c r="W42" s="501"/>
      <c r="X42" s="359"/>
      <c r="Y42" s="359"/>
      <c r="Z42" s="359"/>
      <c r="AA42" s="359"/>
      <c r="AB42" s="501"/>
      <c r="AC42" s="359"/>
      <c r="AD42" s="359"/>
      <c r="AE42" s="359"/>
      <c r="AF42" s="359"/>
      <c r="AG42" s="501"/>
      <c r="AH42" s="359"/>
      <c r="AI42" s="359"/>
      <c r="AJ42" s="359"/>
      <c r="AK42" s="359"/>
      <c r="AL42" s="501"/>
      <c r="AM42" s="359"/>
      <c r="AN42" s="359"/>
      <c r="AO42" s="359"/>
      <c r="AP42" s="359"/>
      <c r="AQ42" s="501"/>
      <c r="AR42" s="359"/>
      <c r="AS42" s="359"/>
      <c r="AT42" s="359"/>
      <c r="AU42" s="359"/>
      <c r="AV42" s="501"/>
      <c r="AW42" s="359"/>
      <c r="AX42" s="359"/>
      <c r="AY42" s="359"/>
      <c r="AZ42" s="359"/>
      <c r="BA42" s="501"/>
      <c r="BB42" s="359"/>
      <c r="BC42" s="359"/>
      <c r="BD42" s="359"/>
      <c r="BE42" s="359"/>
      <c r="BF42" s="501"/>
      <c r="BG42" s="242"/>
      <c r="BH42" s="242"/>
      <c r="BI42" s="242"/>
      <c r="BJ42" s="242"/>
      <c r="BK42" s="501"/>
      <c r="BL42" s="244"/>
      <c r="BM42" s="244"/>
      <c r="BN42" s="244"/>
      <c r="BO42" s="244"/>
      <c r="BP42" s="352"/>
      <c r="BQ42" s="353">
        <f t="shared" ref="BQ42:CV42" si="129">BQ39/BQ6</f>
        <v>0.59847916889793296</v>
      </c>
      <c r="BR42" s="353">
        <f t="shared" si="129"/>
        <v>0.56668744157058271</v>
      </c>
      <c r="BS42" s="353">
        <f t="shared" si="129"/>
        <v>0.55999696889326711</v>
      </c>
      <c r="BT42" s="353">
        <f t="shared" si="129"/>
        <v>0.493181138044547</v>
      </c>
      <c r="BU42" s="352">
        <f t="shared" si="129"/>
        <v>0.5456188819536818</v>
      </c>
      <c r="BV42" s="353">
        <f t="shared" si="129"/>
        <v>0.53224608784136851</v>
      </c>
      <c r="BW42" s="353">
        <f t="shared" si="129"/>
        <v>0.50404514870682193</v>
      </c>
      <c r="BX42" s="353">
        <f t="shared" si="129"/>
        <v>0.50050211894193497</v>
      </c>
      <c r="BY42" s="353">
        <f t="shared" si="129"/>
        <v>0.43247202472715007</v>
      </c>
      <c r="BZ42" s="352">
        <f t="shared" si="129"/>
        <v>0.48443736675827703</v>
      </c>
      <c r="CA42" s="353">
        <f t="shared" si="129"/>
        <v>0.48736447923127041</v>
      </c>
      <c r="CB42" s="353">
        <f t="shared" si="129"/>
        <v>0.47211104150868749</v>
      </c>
      <c r="CC42" s="353">
        <f t="shared" si="129"/>
        <v>0.48079390630832397</v>
      </c>
      <c r="CD42" s="353">
        <f t="shared" si="129"/>
        <v>0.4215085228037736</v>
      </c>
      <c r="CE42" s="352">
        <f t="shared" si="129"/>
        <v>0.46046213894466692</v>
      </c>
      <c r="CF42" s="353">
        <f t="shared" si="129"/>
        <v>0.46747224036577401</v>
      </c>
      <c r="CG42" s="353">
        <f t="shared" si="129"/>
        <v>0.45199070880092096</v>
      </c>
      <c r="CH42" s="353">
        <f t="shared" si="129"/>
        <v>0.44625348065643705</v>
      </c>
      <c r="CI42" s="353">
        <f t="shared" si="129"/>
        <v>0.38841163024701775</v>
      </c>
      <c r="CJ42" s="352">
        <f t="shared" si="129"/>
        <v>0.43326820277871736</v>
      </c>
      <c r="CK42" s="353">
        <f t="shared" si="129"/>
        <v>0.43824926204903863</v>
      </c>
      <c r="CL42" s="353">
        <f t="shared" si="129"/>
        <v>0.42280629539282666</v>
      </c>
      <c r="CM42" s="353">
        <f t="shared" si="129"/>
        <v>0.42395634896249407</v>
      </c>
      <c r="CN42" s="353">
        <f t="shared" si="129"/>
        <v>0.36259007047272152</v>
      </c>
      <c r="CO42" s="352">
        <f t="shared" si="129"/>
        <v>0.40695221626526368</v>
      </c>
      <c r="CP42" s="353">
        <f t="shared" si="129"/>
        <v>0.3991672358143919</v>
      </c>
      <c r="CQ42" s="353">
        <f t="shared" si="129"/>
        <v>0.27498631605913704</v>
      </c>
      <c r="CR42" s="353">
        <f t="shared" si="129"/>
        <v>0.31961480574142731</v>
      </c>
      <c r="CS42" s="353">
        <f t="shared" si="129"/>
        <v>0.28580078220883998</v>
      </c>
      <c r="CT42" s="352">
        <f t="shared" si="129"/>
        <v>0.31020986239589066</v>
      </c>
      <c r="CU42" s="353">
        <f t="shared" si="129"/>
        <v>0.32436349880189796</v>
      </c>
      <c r="CV42" s="353">
        <f t="shared" si="129"/>
        <v>0.29857384686161448</v>
      </c>
      <c r="CW42" s="353">
        <f t="shared" ref="CW42:EC42" si="130">CW39/CW6</f>
        <v>0.29918664459750477</v>
      </c>
      <c r="CX42" s="353">
        <f t="shared" si="130"/>
        <v>0.25449412473985961</v>
      </c>
      <c r="CY42" s="352">
        <f t="shared" si="130"/>
        <v>0.29106155959769781</v>
      </c>
      <c r="CZ42" s="353">
        <f t="shared" si="130"/>
        <v>0.28643603520371413</v>
      </c>
      <c r="DA42" s="353">
        <f t="shared" si="130"/>
        <v>0.2829538022474582</v>
      </c>
      <c r="DB42" s="353">
        <f t="shared" si="130"/>
        <v>0.27543624652320303</v>
      </c>
      <c r="DC42" s="353">
        <f t="shared" si="130"/>
        <v>0.23069687338974904</v>
      </c>
      <c r="DD42" s="352">
        <f t="shared" si="130"/>
        <v>0.26567770217276704</v>
      </c>
      <c r="DE42" s="353">
        <f t="shared" si="130"/>
        <v>0.25331564986737398</v>
      </c>
      <c r="DF42" s="353">
        <f t="shared" si="130"/>
        <v>0.26210153482880755</v>
      </c>
      <c r="DG42" s="353">
        <f t="shared" si="130"/>
        <v>0.28354725787631274</v>
      </c>
      <c r="DH42" s="353">
        <f t="shared" si="130"/>
        <v>0.24486940298507462</v>
      </c>
      <c r="DI42" s="352">
        <f t="shared" si="130"/>
        <v>0.26019830028328611</v>
      </c>
      <c r="DJ42" s="353">
        <f t="shared" si="130"/>
        <v>0.27458355722729716</v>
      </c>
      <c r="DK42" s="353">
        <f t="shared" si="130"/>
        <v>0.27530562347188264</v>
      </c>
      <c r="DL42" s="353">
        <f t="shared" si="130"/>
        <v>0.28214616096207218</v>
      </c>
      <c r="DM42" s="353">
        <f t="shared" si="130"/>
        <v>0.23684210526315788</v>
      </c>
      <c r="DN42" s="352">
        <f t="shared" si="130"/>
        <v>0.26463963963963966</v>
      </c>
      <c r="DO42" s="353">
        <f t="shared" si="130"/>
        <v>0.26271186440677968</v>
      </c>
      <c r="DP42" s="353">
        <f t="shared" si="130"/>
        <v>0.24477611940298508</v>
      </c>
      <c r="DQ42" s="353">
        <f t="shared" ref="DQ42" si="131">DQ39/DQ6</f>
        <v>0.24578059071729957</v>
      </c>
      <c r="DR42" s="353">
        <f>DR39/DR6</f>
        <v>0.21160130718954248</v>
      </c>
      <c r="DS42" s="352">
        <f>DS39/DS6</f>
        <v>0.23814468674281758</v>
      </c>
      <c r="DT42" s="353">
        <f t="shared" ref="DT42:DU42" si="132">DT39/DT6</f>
        <v>0.23659305993690852</v>
      </c>
      <c r="DU42" s="353">
        <f t="shared" si="132"/>
        <v>0.2238347753279375</v>
      </c>
      <c r="DV42" s="353">
        <f t="shared" si="130"/>
        <v>0.2320390563907265</v>
      </c>
      <c r="DW42" s="353">
        <f t="shared" si="130"/>
        <v>0.19692239573647022</v>
      </c>
      <c r="DX42" s="352">
        <f t="shared" si="130"/>
        <v>0.22009064173317294</v>
      </c>
      <c r="DY42" s="353">
        <f t="shared" si="130"/>
        <v>0.22275320296364406</v>
      </c>
      <c r="DZ42" s="353">
        <f t="shared" si="130"/>
        <v>0.21265925250768503</v>
      </c>
      <c r="EA42" s="353">
        <f t="shared" si="130"/>
        <v>0.22328874810076532</v>
      </c>
      <c r="EB42" s="353">
        <f t="shared" si="130"/>
        <v>0.19041044786837005</v>
      </c>
      <c r="EC42" s="352">
        <f t="shared" si="130"/>
        <v>0.21048780490157762</v>
      </c>
      <c r="ED42" s="353">
        <f t="shared" ref="ED42:ER42" si="133">ED39/ED6</f>
        <v>0.21880627553402365</v>
      </c>
      <c r="EE42" s="353">
        <f t="shared" si="133"/>
        <v>0.20804372817526762</v>
      </c>
      <c r="EF42" s="353">
        <f t="shared" si="133"/>
        <v>0.21765507919523375</v>
      </c>
      <c r="EG42" s="353">
        <f t="shared" si="133"/>
        <v>0.18467943063278788</v>
      </c>
      <c r="EH42" s="352">
        <f t="shared" si="133"/>
        <v>0.20542710248498314</v>
      </c>
      <c r="EI42" s="353">
        <f t="shared" si="133"/>
        <v>0.21602617827727694</v>
      </c>
      <c r="EJ42" s="353">
        <f t="shared" si="133"/>
        <v>0.20536780910026295</v>
      </c>
      <c r="EK42" s="353">
        <f t="shared" si="133"/>
        <v>0.21486814980471988</v>
      </c>
      <c r="EL42" s="353">
        <f t="shared" si="133"/>
        <v>0.1822211817034099</v>
      </c>
      <c r="EM42" s="352">
        <f t="shared" si="133"/>
        <v>0.20276602922357878</v>
      </c>
      <c r="EN42" s="353">
        <f t="shared" si="133"/>
        <v>0.21545994769092197</v>
      </c>
      <c r="EO42" s="353">
        <f t="shared" si="133"/>
        <v>0.20482551028695967</v>
      </c>
      <c r="EP42" s="353">
        <f t="shared" si="133"/>
        <v>0.21428713931078167</v>
      </c>
      <c r="EQ42" s="353">
        <f t="shared" si="133"/>
        <v>0.18171268512696423</v>
      </c>
      <c r="ER42" s="352">
        <f t="shared" si="133"/>
        <v>0.20221892240535719</v>
      </c>
      <c r="ES42" s="490"/>
    </row>
    <row r="43" spans="1:149" ht="12" customHeight="1">
      <c r="A43" s="931"/>
      <c r="B43" s="484"/>
      <c r="C43" s="600" t="s">
        <v>768</v>
      </c>
      <c r="D43" s="566"/>
      <c r="E43" s="566"/>
      <c r="F43" s="566"/>
      <c r="G43" s="566"/>
      <c r="H43" s="566"/>
      <c r="I43" s="566"/>
      <c r="J43" s="566"/>
      <c r="K43" s="566"/>
      <c r="L43" s="566"/>
      <c r="M43" s="571"/>
      <c r="N43" s="568"/>
      <c r="O43" s="568"/>
      <c r="P43" s="568"/>
      <c r="Q43" s="568"/>
      <c r="R43" s="571"/>
      <c r="S43" s="566"/>
      <c r="T43" s="566"/>
      <c r="U43" s="566"/>
      <c r="V43" s="566"/>
      <c r="W43" s="571"/>
      <c r="X43" s="569"/>
      <c r="Y43" s="569"/>
      <c r="Z43" s="569"/>
      <c r="AA43" s="569"/>
      <c r="AB43" s="571"/>
      <c r="AC43" s="569"/>
      <c r="AD43" s="569"/>
      <c r="AE43" s="569"/>
      <c r="AF43" s="569"/>
      <c r="AG43" s="571"/>
      <c r="AH43" s="570"/>
      <c r="AI43" s="571"/>
      <c r="AJ43" s="571"/>
      <c r="AK43" s="571"/>
      <c r="AL43" s="571"/>
      <c r="AM43" s="571"/>
      <c r="AN43" s="571"/>
      <c r="AO43" s="571"/>
      <c r="AP43" s="571"/>
      <c r="AQ43" s="571"/>
      <c r="AR43" s="571"/>
      <c r="AS43" s="571"/>
      <c r="AT43" s="571"/>
      <c r="AU43" s="571"/>
      <c r="AV43" s="571"/>
      <c r="AW43" s="359"/>
      <c r="AX43" s="359"/>
      <c r="AY43" s="359"/>
      <c r="AZ43" s="359"/>
      <c r="BA43" s="359"/>
      <c r="BB43" s="359"/>
      <c r="BC43" s="359"/>
      <c r="BD43" s="359"/>
      <c r="BE43" s="359"/>
      <c r="BF43" s="359"/>
      <c r="BG43" s="359"/>
      <c r="BH43" s="359"/>
      <c r="BI43" s="359"/>
      <c r="BJ43" s="359"/>
      <c r="BK43" s="359"/>
      <c r="BL43" s="244"/>
      <c r="BM43" s="244"/>
      <c r="BN43" s="244"/>
      <c r="BO43" s="244"/>
      <c r="BP43" s="244"/>
      <c r="BQ43" s="244"/>
      <c r="BR43" s="244"/>
      <c r="BS43" s="244"/>
      <c r="BT43" s="1080"/>
      <c r="BU43" s="1066"/>
      <c r="BV43" s="1080"/>
      <c r="BW43" s="1080"/>
      <c r="BX43" s="1080"/>
      <c r="BY43" s="1080"/>
      <c r="BZ43" s="1066"/>
      <c r="CA43" s="1080"/>
      <c r="CB43" s="1080"/>
      <c r="CC43" s="1080"/>
      <c r="CD43" s="1080"/>
      <c r="CE43" s="1066"/>
      <c r="CF43" s="1080"/>
      <c r="CG43" s="1080"/>
      <c r="CH43" s="1080"/>
      <c r="CI43" s="1080"/>
      <c r="CJ43" s="1066"/>
      <c r="CK43" s="1080"/>
      <c r="CL43" s="1080"/>
      <c r="CM43" s="1080"/>
      <c r="CN43" s="1080"/>
      <c r="CO43" s="1066"/>
      <c r="CP43" s="1080"/>
      <c r="CQ43" s="1080"/>
      <c r="CR43" s="1080"/>
      <c r="CS43" s="1080"/>
      <c r="CT43" s="1066"/>
      <c r="CU43" s="1080"/>
      <c r="CV43" s="1080"/>
      <c r="CW43" s="1080"/>
      <c r="CX43" s="1080"/>
      <c r="CY43" s="1066"/>
      <c r="CZ43" s="1080"/>
      <c r="DA43" s="1080"/>
      <c r="DB43" s="1080"/>
      <c r="DC43" s="1080"/>
      <c r="DD43" s="1066"/>
      <c r="DE43" s="1426">
        <v>-2</v>
      </c>
      <c r="DF43" s="1426">
        <v>0</v>
      </c>
      <c r="DG43" s="1426">
        <v>2</v>
      </c>
      <c r="DH43" s="1426">
        <v>1</v>
      </c>
      <c r="DI43" s="1066"/>
      <c r="DJ43" s="1426">
        <v>-1</v>
      </c>
      <c r="DK43" s="1426">
        <v>-1</v>
      </c>
      <c r="DL43" s="1426">
        <v>1</v>
      </c>
      <c r="DM43" s="1426">
        <v>-1</v>
      </c>
      <c r="DN43" s="1066"/>
      <c r="DO43" s="1426">
        <v>-3</v>
      </c>
      <c r="DP43" s="1426">
        <v>3</v>
      </c>
      <c r="DQ43" s="1426">
        <v>4</v>
      </c>
      <c r="DR43" s="1426">
        <v>5</v>
      </c>
      <c r="DS43" s="1066"/>
      <c r="DT43" s="1426">
        <v>10</v>
      </c>
      <c r="DU43" s="1426">
        <v>3</v>
      </c>
      <c r="DV43" s="1080"/>
      <c r="DW43" s="1080"/>
      <c r="DX43" s="1066"/>
      <c r="DY43" s="1080"/>
      <c r="DZ43" s="1080"/>
      <c r="EA43" s="1080"/>
      <c r="EB43" s="1080"/>
      <c r="EC43" s="1066"/>
      <c r="ED43" s="1080"/>
      <c r="EE43" s="1080"/>
      <c r="EF43" s="1080"/>
      <c r="EG43" s="1080"/>
      <c r="EH43" s="1066"/>
      <c r="EI43" s="1080"/>
      <c r="EJ43" s="1080"/>
      <c r="EK43" s="1080"/>
      <c r="EL43" s="1080"/>
      <c r="EM43" s="1066"/>
      <c r="EN43" s="1080"/>
      <c r="EO43" s="1080"/>
      <c r="EP43" s="1080"/>
      <c r="EQ43" s="1080"/>
      <c r="ER43" s="1066"/>
      <c r="ES43" s="484"/>
    </row>
    <row r="44" spans="1:149" ht="12" customHeight="1">
      <c r="A44" s="931"/>
      <c r="B44" s="484"/>
      <c r="C44" s="600" t="s">
        <v>769</v>
      </c>
      <c r="D44" s="566"/>
      <c r="E44" s="566"/>
      <c r="F44" s="566"/>
      <c r="G44" s="566"/>
      <c r="H44" s="566"/>
      <c r="I44" s="566"/>
      <c r="J44" s="566"/>
      <c r="K44" s="566"/>
      <c r="L44" s="566"/>
      <c r="M44" s="571"/>
      <c r="N44" s="568"/>
      <c r="O44" s="568"/>
      <c r="P44" s="568"/>
      <c r="Q44" s="568"/>
      <c r="R44" s="571"/>
      <c r="S44" s="566"/>
      <c r="T44" s="566"/>
      <c r="U44" s="566"/>
      <c r="V44" s="566"/>
      <c r="W44" s="571"/>
      <c r="X44" s="569"/>
      <c r="Y44" s="569"/>
      <c r="Z44" s="569"/>
      <c r="AA44" s="569"/>
      <c r="AB44" s="571"/>
      <c r="AC44" s="569"/>
      <c r="AD44" s="569"/>
      <c r="AE44" s="569"/>
      <c r="AF44" s="569"/>
      <c r="AG44" s="571"/>
      <c r="AH44" s="570"/>
      <c r="AI44" s="571"/>
      <c r="AJ44" s="571"/>
      <c r="AK44" s="571"/>
      <c r="AL44" s="571"/>
      <c r="AM44" s="571"/>
      <c r="AN44" s="571"/>
      <c r="AO44" s="571"/>
      <c r="AP44" s="571"/>
      <c r="AQ44" s="571"/>
      <c r="AR44" s="571"/>
      <c r="AS44" s="571"/>
      <c r="AT44" s="571"/>
      <c r="AU44" s="571"/>
      <c r="AV44" s="571"/>
      <c r="AW44" s="359"/>
      <c r="AX44" s="359"/>
      <c r="AY44" s="359"/>
      <c r="AZ44" s="359"/>
      <c r="BA44" s="359"/>
      <c r="BB44" s="359"/>
      <c r="BC44" s="359"/>
      <c r="BD44" s="359"/>
      <c r="BE44" s="359"/>
      <c r="BF44" s="359"/>
      <c r="BG44" s="359"/>
      <c r="BH44" s="359"/>
      <c r="BI44" s="359"/>
      <c r="BJ44" s="359"/>
      <c r="BK44" s="359"/>
      <c r="BL44" s="244"/>
      <c r="BM44" s="244"/>
      <c r="BN44" s="244"/>
      <c r="BO44" s="244"/>
      <c r="BP44" s="244"/>
      <c r="BQ44" s="244"/>
      <c r="BR44" s="244"/>
      <c r="BS44" s="244"/>
      <c r="BT44" s="1080"/>
      <c r="BU44" s="1066"/>
      <c r="BV44" s="1080"/>
      <c r="BW44" s="1080"/>
      <c r="BX44" s="1080"/>
      <c r="BY44" s="1080"/>
      <c r="BZ44" s="1066"/>
      <c r="CA44" s="1080"/>
      <c r="CB44" s="1080"/>
      <c r="CC44" s="1080"/>
      <c r="CD44" s="1080"/>
      <c r="CE44" s="1066"/>
      <c r="CF44" s="1080"/>
      <c r="CG44" s="1080"/>
      <c r="CH44" s="1080"/>
      <c r="CI44" s="1080"/>
      <c r="CJ44" s="1066"/>
      <c r="CK44" s="1080"/>
      <c r="CL44" s="1080"/>
      <c r="CM44" s="1080"/>
      <c r="CN44" s="1080"/>
      <c r="CO44" s="1066"/>
      <c r="CP44" s="1080"/>
      <c r="CQ44" s="1080"/>
      <c r="CR44" s="1080"/>
      <c r="CS44" s="1080"/>
      <c r="CT44" s="1066"/>
      <c r="CU44" s="1080"/>
      <c r="CV44" s="1080"/>
      <c r="CW44" s="1080"/>
      <c r="CX44" s="1080"/>
      <c r="CY44" s="1066"/>
      <c r="CZ44" s="1080"/>
      <c r="DA44" s="1080"/>
      <c r="DB44" s="1080"/>
      <c r="DC44" s="1080"/>
      <c r="DD44" s="1066"/>
      <c r="DE44" s="1080">
        <f>+DE39-DE43</f>
        <v>384</v>
      </c>
      <c r="DF44" s="1080">
        <f>+DF39-DF43</f>
        <v>444</v>
      </c>
      <c r="DG44" s="1080">
        <f>+DG39-DG43</f>
        <v>484</v>
      </c>
      <c r="DH44" s="1080">
        <f>+DH39-DH43</f>
        <v>524</v>
      </c>
      <c r="DI44" s="1066"/>
      <c r="DJ44" s="1080">
        <f>+DJ39-DJ43</f>
        <v>512</v>
      </c>
      <c r="DK44" s="1080">
        <f>+DK39-DK43</f>
        <v>564</v>
      </c>
      <c r="DL44" s="1080">
        <f>+DL39-DL43</f>
        <v>609</v>
      </c>
      <c r="DM44" s="1080">
        <f>+DM39-DM43</f>
        <v>667</v>
      </c>
      <c r="DN44" s="1066"/>
      <c r="DO44" s="1080">
        <f>+DO39-DO43</f>
        <v>623</v>
      </c>
      <c r="DP44" s="1080">
        <f>+DP39-DP43</f>
        <v>653</v>
      </c>
      <c r="DQ44" s="1080">
        <f>+DQ39-DQ43</f>
        <v>695</v>
      </c>
      <c r="DR44" s="1080">
        <f>+DR39-DR43</f>
        <v>772</v>
      </c>
      <c r="DS44" s="1066"/>
      <c r="DT44" s="1080">
        <f>+DT39-DT43</f>
        <v>740</v>
      </c>
      <c r="DU44" s="1080">
        <f>+DU39-DU43</f>
        <v>799</v>
      </c>
      <c r="DV44" s="1080"/>
      <c r="DW44" s="1080"/>
      <c r="DX44" s="1066"/>
      <c r="DY44" s="1080"/>
      <c r="DZ44" s="1080"/>
      <c r="EA44" s="1080"/>
      <c r="EB44" s="1080"/>
      <c r="EC44" s="1066"/>
      <c r="ED44" s="1080"/>
      <c r="EE44" s="1080"/>
      <c r="EF44" s="1080"/>
      <c r="EG44" s="1080"/>
      <c r="EH44" s="1066"/>
      <c r="EI44" s="1080"/>
      <c r="EJ44" s="1080"/>
      <c r="EK44" s="1080"/>
      <c r="EL44" s="1080"/>
      <c r="EM44" s="1066"/>
      <c r="EN44" s="1080"/>
      <c r="EO44" s="1080"/>
      <c r="EP44" s="1080"/>
      <c r="EQ44" s="1080"/>
      <c r="ER44" s="1066"/>
      <c r="ES44" s="484"/>
    </row>
    <row r="45" spans="1:149" ht="12" customHeight="1">
      <c r="A45" s="931"/>
      <c r="B45" s="484"/>
      <c r="C45" s="600" t="s">
        <v>770</v>
      </c>
      <c r="D45" s="566"/>
      <c r="E45" s="566"/>
      <c r="F45" s="566"/>
      <c r="G45" s="566"/>
      <c r="H45" s="566"/>
      <c r="I45" s="566"/>
      <c r="J45" s="566"/>
      <c r="K45" s="566"/>
      <c r="L45" s="566"/>
      <c r="M45" s="571"/>
      <c r="N45" s="568"/>
      <c r="O45" s="568"/>
      <c r="P45" s="568"/>
      <c r="Q45" s="568"/>
      <c r="R45" s="571"/>
      <c r="S45" s="566"/>
      <c r="T45" s="566"/>
      <c r="U45" s="566"/>
      <c r="V45" s="566"/>
      <c r="W45" s="571"/>
      <c r="X45" s="569"/>
      <c r="Y45" s="569"/>
      <c r="Z45" s="569"/>
      <c r="AA45" s="569"/>
      <c r="AB45" s="571"/>
      <c r="AC45" s="569"/>
      <c r="AD45" s="569"/>
      <c r="AE45" s="569"/>
      <c r="AF45" s="569"/>
      <c r="AG45" s="571"/>
      <c r="AH45" s="570"/>
      <c r="AI45" s="571"/>
      <c r="AJ45" s="571"/>
      <c r="AK45" s="571"/>
      <c r="AL45" s="571"/>
      <c r="AM45" s="571"/>
      <c r="AN45" s="571"/>
      <c r="AO45" s="571"/>
      <c r="AP45" s="571"/>
      <c r="AQ45" s="571"/>
      <c r="AR45" s="571"/>
      <c r="AS45" s="571"/>
      <c r="AT45" s="571"/>
      <c r="AU45" s="571"/>
      <c r="AV45" s="571"/>
      <c r="AW45" s="359"/>
      <c r="AX45" s="359"/>
      <c r="AY45" s="359"/>
      <c r="AZ45" s="359"/>
      <c r="BA45" s="359"/>
      <c r="BB45" s="359"/>
      <c r="BC45" s="359"/>
      <c r="BD45" s="359"/>
      <c r="BE45" s="359"/>
      <c r="BF45" s="359"/>
      <c r="BG45" s="359"/>
      <c r="BH45" s="359"/>
      <c r="BI45" s="359"/>
      <c r="BJ45" s="359"/>
      <c r="BK45" s="359"/>
      <c r="BL45" s="244"/>
      <c r="BM45" s="244"/>
      <c r="BN45" s="244"/>
      <c r="BO45" s="244"/>
      <c r="BP45" s="244"/>
      <c r="BQ45" s="244"/>
      <c r="BR45" s="244"/>
      <c r="BS45" s="244"/>
      <c r="BT45" s="1080"/>
      <c r="BU45" s="1066"/>
      <c r="BV45" s="1080"/>
      <c r="BW45" s="1080"/>
      <c r="BX45" s="1080"/>
      <c r="BY45" s="1080"/>
      <c r="BZ45" s="1066"/>
      <c r="CA45" s="1080"/>
      <c r="CB45" s="1080"/>
      <c r="CC45" s="1080"/>
      <c r="CD45" s="1080"/>
      <c r="CE45" s="1066"/>
      <c r="CF45" s="1080"/>
      <c r="CG45" s="1080"/>
      <c r="CH45" s="1080"/>
      <c r="CI45" s="1080"/>
      <c r="CJ45" s="1066"/>
      <c r="CK45" s="1080"/>
      <c r="CL45" s="1080"/>
      <c r="CM45" s="1080"/>
      <c r="CN45" s="1080"/>
      <c r="CO45" s="1066"/>
      <c r="CP45" s="1080"/>
      <c r="CQ45" s="1080"/>
      <c r="CR45" s="1080"/>
      <c r="CS45" s="1080"/>
      <c r="CT45" s="1066"/>
      <c r="CU45" s="1080"/>
      <c r="CV45" s="1080"/>
      <c r="CW45" s="1080"/>
      <c r="CX45" s="1080"/>
      <c r="CY45" s="1066"/>
      <c r="CZ45" s="1080"/>
      <c r="DA45" s="1080"/>
      <c r="DB45" s="1080"/>
      <c r="DC45" s="1080"/>
      <c r="DD45" s="1066"/>
      <c r="DE45" s="244">
        <f>+DE44/CZ39-1</f>
        <v>0.11381507769150212</v>
      </c>
      <c r="DF45" s="244">
        <f>+DF44/DA39-1</f>
        <v>0.21164819630883946</v>
      </c>
      <c r="DG45" s="244">
        <f>+DG44/DB39-1</f>
        <v>0.28620439488600891</v>
      </c>
      <c r="DH45" s="244">
        <f>+DH44/DC39-1</f>
        <v>0.30916867788954017</v>
      </c>
      <c r="DI45" s="1066"/>
      <c r="DJ45" s="244">
        <f>+DJ44/DE39-1</f>
        <v>0.34031413612565453</v>
      </c>
      <c r="DK45" s="244">
        <f>+DK44/DF39-1</f>
        <v>0.27027027027027017</v>
      </c>
      <c r="DL45" s="244">
        <f>+DL44/DG39-1</f>
        <v>0.25308641975308643</v>
      </c>
      <c r="DM45" s="244">
        <f>+DM44/DH39-1</f>
        <v>0.27047619047619054</v>
      </c>
      <c r="DN45" s="1066"/>
      <c r="DO45" s="244">
        <f>+DO44/DJ39-1</f>
        <v>0.21917808219178081</v>
      </c>
      <c r="DP45" s="244">
        <f>+DP44/DK39-1</f>
        <v>0.15985790408525746</v>
      </c>
      <c r="DQ45" s="244">
        <f>+DQ44/DL39-1</f>
        <v>0.13934426229508201</v>
      </c>
      <c r="DR45" s="244">
        <f>+DR44/DM39-1</f>
        <v>0.15915915915915924</v>
      </c>
      <c r="DS45" s="1066"/>
      <c r="DT45" s="244">
        <f>+DT44/DO39-1</f>
        <v>0.19354838709677424</v>
      </c>
      <c r="DU45" s="244">
        <f>+DU44/DP39-1</f>
        <v>0.21798780487804881</v>
      </c>
      <c r="DV45" s="1080"/>
      <c r="DW45" s="1080"/>
      <c r="DX45" s="1066"/>
      <c r="DY45" s="1080"/>
      <c r="DZ45" s="1080"/>
      <c r="EA45" s="1080"/>
      <c r="EB45" s="1080"/>
      <c r="EC45" s="1066"/>
      <c r="ED45" s="1080"/>
      <c r="EE45" s="1080"/>
      <c r="EF45" s="1080"/>
      <c r="EG45" s="1080"/>
      <c r="EH45" s="1066"/>
      <c r="EI45" s="1080"/>
      <c r="EJ45" s="1080"/>
      <c r="EK45" s="1080"/>
      <c r="EL45" s="1080"/>
      <c r="EM45" s="1066"/>
      <c r="EN45" s="1080"/>
      <c r="EO45" s="1080"/>
      <c r="EP45" s="1080"/>
      <c r="EQ45" s="1080"/>
      <c r="ER45" s="1066"/>
      <c r="ES45" s="484"/>
    </row>
    <row r="46" spans="1:149">
      <c r="C46" s="1448" t="s">
        <v>659</v>
      </c>
      <c r="BU46" s="1073"/>
      <c r="BZ46" s="1073"/>
      <c r="CE46" s="1073"/>
      <c r="CJ46" s="1073"/>
      <c r="CO46" s="1073"/>
      <c r="CT46" s="1073"/>
      <c r="CY46" s="1073"/>
      <c r="DD46" s="1073"/>
      <c r="DG46" s="1133"/>
      <c r="DI46" s="1073"/>
      <c r="DL46" s="1133"/>
      <c r="DM46" s="1133"/>
      <c r="DN46" s="1073"/>
      <c r="DR46" s="1544"/>
      <c r="DS46" s="1073"/>
      <c r="DU46" s="1544"/>
      <c r="DX46" s="1073"/>
      <c r="EC46" s="1073"/>
      <c r="EH46" s="1073"/>
      <c r="EM46" s="1073"/>
      <c r="ER46" s="1073"/>
    </row>
    <row r="47" spans="1:149">
      <c r="C47" s="203" t="s">
        <v>669</v>
      </c>
      <c r="BU47" s="1073"/>
      <c r="BZ47" s="1073"/>
      <c r="CE47" s="1073"/>
      <c r="CJ47" s="1073"/>
      <c r="CO47" s="1073"/>
      <c r="CQ47" s="1131"/>
      <c r="CR47" s="1131"/>
      <c r="CS47" s="1131"/>
      <c r="CT47" s="1162"/>
      <c r="CU47" s="1131"/>
      <c r="CV47" s="1131"/>
      <c r="CW47" s="1131"/>
      <c r="CX47" s="1131"/>
      <c r="CY47" s="1162"/>
      <c r="CZ47" s="1131"/>
      <c r="DA47" s="1131"/>
      <c r="DB47" s="1131">
        <v>0.57999999999999996</v>
      </c>
      <c r="DC47" s="1131">
        <v>0.54</v>
      </c>
      <c r="DD47" s="1074"/>
      <c r="DE47" s="1131">
        <v>0.59</v>
      </c>
      <c r="DF47" s="1131">
        <v>0.59</v>
      </c>
      <c r="DG47" s="1131">
        <v>0.6</v>
      </c>
      <c r="DH47" s="1131">
        <v>0.56000000000000005</v>
      </c>
      <c r="DI47" s="1074">
        <f>+DI54/DI$60</f>
        <v>0.5840718562874252</v>
      </c>
      <c r="DJ47" s="1131">
        <v>0.6</v>
      </c>
      <c r="DK47" s="1131">
        <v>0.6</v>
      </c>
      <c r="DL47" s="1131">
        <v>0.59</v>
      </c>
      <c r="DM47" s="1131">
        <v>0.55000000000000004</v>
      </c>
      <c r="DN47" s="1074">
        <f>+DN54/DN$60</f>
        <v>0.58323404255319145</v>
      </c>
      <c r="DO47" s="1131">
        <v>0.57999999999999996</v>
      </c>
      <c r="DP47" s="1537">
        <v>0.54</v>
      </c>
      <c r="DQ47" s="1537">
        <v>0.54</v>
      </c>
      <c r="DR47" s="1537">
        <v>0.51</v>
      </c>
      <c r="DS47" s="1074">
        <f>+DS54/DS$60</f>
        <v>0.54054142441860464</v>
      </c>
      <c r="DT47" s="1131">
        <v>0.53</v>
      </c>
      <c r="DU47" s="1537">
        <v>0.52</v>
      </c>
      <c r="DV47" s="1157">
        <f>DV54/DV60</f>
        <v>0.52</v>
      </c>
      <c r="DW47" s="1157">
        <f>DW54/DW60</f>
        <v>0.50000000000000011</v>
      </c>
      <c r="DX47" s="1074">
        <f>+DX54/DX$60</f>
        <v>0.51665267065601927</v>
      </c>
      <c r="DY47" s="1157">
        <f>DY54/DY60</f>
        <v>0.5149999999999999</v>
      </c>
      <c r="DZ47" s="1157">
        <f>DZ54/DZ60</f>
        <v>0.505</v>
      </c>
      <c r="EA47" s="1157">
        <f>EA54/EA60</f>
        <v>0.505</v>
      </c>
      <c r="EB47" s="1157">
        <f>EB54/EB60</f>
        <v>0.48500000000000004</v>
      </c>
      <c r="EC47" s="1074">
        <f>+EC54/EC$60</f>
        <v>0.50163814010641417</v>
      </c>
      <c r="ED47" s="1157">
        <f>ED54/ED60</f>
        <v>0.5</v>
      </c>
      <c r="EE47" s="1157">
        <f>EE54/EE60</f>
        <v>0.48999999999999994</v>
      </c>
      <c r="EF47" s="1157">
        <f>EF54/EF60</f>
        <v>0.48999999999999994</v>
      </c>
      <c r="EG47" s="1157">
        <f>EG54/EG60</f>
        <v>0.46999999999999992</v>
      </c>
      <c r="EH47" s="1074">
        <f>+EH54/EH$60</f>
        <v>0.48669371472862338</v>
      </c>
      <c r="EI47" s="1157">
        <f>EI54/EI60</f>
        <v>0.48499999999999993</v>
      </c>
      <c r="EJ47" s="1157">
        <f>EJ54/EJ60</f>
        <v>0.47499999999999992</v>
      </c>
      <c r="EK47" s="1157">
        <f>EK54/EK60</f>
        <v>0.47500000000000003</v>
      </c>
      <c r="EL47" s="1157">
        <f>EL54/EL60</f>
        <v>0.45500000000000002</v>
      </c>
      <c r="EM47" s="1074">
        <f>+EM54/EM$60</f>
        <v>0.47169371472862337</v>
      </c>
      <c r="EN47" s="1157">
        <f>EN54/EN60</f>
        <v>0.46999999999999992</v>
      </c>
      <c r="EO47" s="1157">
        <f>EO54/EO60</f>
        <v>0.46</v>
      </c>
      <c r="EP47" s="1157">
        <f>EP54/EP60</f>
        <v>0.45999999999999996</v>
      </c>
      <c r="EQ47" s="1157">
        <f>EQ54/EQ60</f>
        <v>0.43999999999999995</v>
      </c>
      <c r="ER47" s="1074">
        <f>+ER54/ER$60</f>
        <v>0.45669371472862341</v>
      </c>
    </row>
    <row r="48" spans="1:149">
      <c r="C48" s="1449" t="s">
        <v>683</v>
      </c>
      <c r="BU48" s="1073"/>
      <c r="BZ48" s="1073"/>
      <c r="CE48" s="1073"/>
      <c r="CJ48" s="1073"/>
      <c r="CO48" s="1073"/>
      <c r="CQ48" s="1131"/>
      <c r="CR48" s="1131"/>
      <c r="CS48" s="1131"/>
      <c r="CT48" s="1162"/>
      <c r="CU48" s="1131"/>
      <c r="CV48" s="1131"/>
      <c r="CW48" s="1131"/>
      <c r="CX48" s="1131"/>
      <c r="CY48" s="1162"/>
      <c r="CZ48" s="1131"/>
      <c r="DA48" s="1131"/>
      <c r="DB48" s="1131"/>
      <c r="DC48" s="1131"/>
      <c r="DD48" s="1162"/>
      <c r="DE48" s="1131"/>
      <c r="DF48" s="1131"/>
      <c r="DG48" s="1077">
        <f>(DG47-DB47)*10000</f>
        <v>200.00000000000017</v>
      </c>
      <c r="DH48" s="1077">
        <f>(DH47-DC47)*10000</f>
        <v>200.00000000000017</v>
      </c>
      <c r="DI48" s="1162"/>
      <c r="DJ48" s="1077">
        <f t="shared" ref="DJ48:EC48" si="134">(DJ47-DE47)*10000</f>
        <v>100.00000000000009</v>
      </c>
      <c r="DK48" s="1077">
        <f t="shared" si="134"/>
        <v>100.00000000000009</v>
      </c>
      <c r="DL48" s="1077">
        <f t="shared" si="134"/>
        <v>-100.00000000000009</v>
      </c>
      <c r="DM48" s="1077">
        <f t="shared" si="134"/>
        <v>-100.00000000000009</v>
      </c>
      <c r="DN48" s="1078">
        <f t="shared" si="134"/>
        <v>-8.3781373423374994</v>
      </c>
      <c r="DO48" s="1077">
        <f>(DO47-DJ47)*10000</f>
        <v>-200.00000000000017</v>
      </c>
      <c r="DP48" s="287">
        <f t="shared" si="134"/>
        <v>-599.99999999999943</v>
      </c>
      <c r="DQ48" s="287">
        <f t="shared" si="134"/>
        <v>-499.99999999999932</v>
      </c>
      <c r="DR48" s="287">
        <f>(DR47-DM47)*10000</f>
        <v>-400.00000000000034</v>
      </c>
      <c r="DS48" s="1078">
        <f>(DS47-DN47)*10000</f>
        <v>-426.92618134586803</v>
      </c>
      <c r="DT48" s="1077">
        <f>(DT47-DO47)*10000</f>
        <v>-499.99999999999932</v>
      </c>
      <c r="DU48" s="287">
        <f t="shared" si="134"/>
        <v>-200.00000000000017</v>
      </c>
      <c r="DV48" s="1077">
        <f t="shared" si="134"/>
        <v>-200.00000000000017</v>
      </c>
      <c r="DW48" s="1077">
        <f t="shared" si="134"/>
        <v>-99.999999999998977</v>
      </c>
      <c r="DX48" s="1078">
        <f t="shared" si="134"/>
        <v>-238.8875376258537</v>
      </c>
      <c r="DY48" s="1077">
        <f t="shared" si="134"/>
        <v>-150.00000000000125</v>
      </c>
      <c r="DZ48" s="1077">
        <f t="shared" si="134"/>
        <v>-150.00000000000014</v>
      </c>
      <c r="EA48" s="1077">
        <f t="shared" si="134"/>
        <v>-150.00000000000014</v>
      </c>
      <c r="EB48" s="1077">
        <f t="shared" si="134"/>
        <v>-150.00000000000068</v>
      </c>
      <c r="EC48" s="1078">
        <f t="shared" si="134"/>
        <v>-150.14530549605109</v>
      </c>
      <c r="ED48" s="1077">
        <f t="shared" ref="ED48" si="135">(ED47-DY47)*10000</f>
        <v>-149.99999999999903</v>
      </c>
      <c r="EE48" s="1077">
        <f t="shared" ref="EE48" si="136">(EE47-DZ47)*10000</f>
        <v>-150.00000000000068</v>
      </c>
      <c r="EF48" s="1077">
        <f t="shared" ref="EF48" si="137">(EF47-EA47)*10000</f>
        <v>-150.00000000000068</v>
      </c>
      <c r="EG48" s="1077">
        <f t="shared" ref="EG48" si="138">(EG47-EB47)*10000</f>
        <v>-150.00000000000125</v>
      </c>
      <c r="EH48" s="1078">
        <f t="shared" ref="EH48" si="139">(EH47-EC47)*10000</f>
        <v>-149.44425377790782</v>
      </c>
      <c r="EI48" s="1077">
        <f t="shared" ref="EI48" si="140">(EI47-ED47)*10000</f>
        <v>-150.00000000000068</v>
      </c>
      <c r="EJ48" s="1077">
        <f t="shared" ref="EJ48" si="141">(EJ47-EE47)*10000</f>
        <v>-150.00000000000014</v>
      </c>
      <c r="EK48" s="1077">
        <f t="shared" ref="EK48" si="142">(EK47-EF47)*10000</f>
        <v>-149.99999999999903</v>
      </c>
      <c r="EL48" s="1077">
        <f t="shared" ref="EL48" si="143">(EL47-EG47)*10000</f>
        <v>-149.99999999999903</v>
      </c>
      <c r="EM48" s="1078">
        <f t="shared" ref="EM48" si="144">(EM47-EH47)*10000</f>
        <v>-150.00000000000014</v>
      </c>
      <c r="EN48" s="1077">
        <f t="shared" ref="EN48" si="145">(EN47-EI47)*10000</f>
        <v>-150.00000000000014</v>
      </c>
      <c r="EO48" s="1077">
        <f t="shared" ref="EO48" si="146">(EO47-EJ47)*10000</f>
        <v>-149.99999999999903</v>
      </c>
      <c r="EP48" s="1077">
        <f t="shared" ref="EP48" si="147">(EP47-EK47)*10000</f>
        <v>-150.00000000000068</v>
      </c>
      <c r="EQ48" s="1077">
        <f t="shared" ref="EQ48" si="148">(EQ47-EL47)*10000</f>
        <v>-150.00000000000068</v>
      </c>
      <c r="ER48" s="1078">
        <f t="shared" ref="ER48" si="149">(ER47-EM47)*10000</f>
        <v>-149.99999999999957</v>
      </c>
    </row>
    <row r="49" spans="1:163">
      <c r="C49" s="203" t="s">
        <v>670</v>
      </c>
      <c r="BU49" s="1073"/>
      <c r="BZ49" s="1073"/>
      <c r="CE49" s="1073"/>
      <c r="CJ49" s="1073"/>
      <c r="CO49" s="1073"/>
      <c r="CQ49" s="1131"/>
      <c r="CR49" s="1131"/>
      <c r="CS49" s="1131"/>
      <c r="CT49" s="1162"/>
      <c r="CU49" s="1131"/>
      <c r="CV49" s="1131"/>
      <c r="CW49" s="1131"/>
      <c r="CX49" s="1131"/>
      <c r="CY49" s="1162"/>
      <c r="CZ49" s="1131"/>
      <c r="DA49" s="1131"/>
      <c r="DB49" s="1131">
        <v>0.27</v>
      </c>
      <c r="DC49" s="1131">
        <v>0.27</v>
      </c>
      <c r="DD49" s="1074"/>
      <c r="DE49" s="1131">
        <v>0.3</v>
      </c>
      <c r="DF49" s="1131">
        <v>0.27</v>
      </c>
      <c r="DG49" s="1131">
        <v>0.26</v>
      </c>
      <c r="DH49" s="1131">
        <v>0.25</v>
      </c>
      <c r="DI49" s="1074">
        <f>+DI56/DI$60</f>
        <v>0.26787697332607513</v>
      </c>
      <c r="DJ49" s="1131">
        <v>0.27</v>
      </c>
      <c r="DK49" s="1131">
        <v>0.26</v>
      </c>
      <c r="DL49" s="1131">
        <v>0.27</v>
      </c>
      <c r="DM49" s="1131">
        <v>0.26</v>
      </c>
      <c r="DN49" s="1074">
        <f>+DN56/DN$60</f>
        <v>0.26477021276595747</v>
      </c>
      <c r="DO49" s="1131">
        <v>0.28000000000000003</v>
      </c>
      <c r="DP49" s="1537">
        <v>0.28000000000000003</v>
      </c>
      <c r="DQ49" s="1537">
        <v>0.28000000000000003</v>
      </c>
      <c r="DR49" s="1537">
        <v>0.26</v>
      </c>
      <c r="DS49" s="1074">
        <f>+DS56/DS$60</f>
        <v>0.27435319767441863</v>
      </c>
      <c r="DT49" s="1131">
        <v>0.28000000000000003</v>
      </c>
      <c r="DU49" s="1537">
        <v>0.27</v>
      </c>
      <c r="DV49" s="1157">
        <f>DQ49+(DV50/10000)</f>
        <v>0.27</v>
      </c>
      <c r="DW49" s="1157">
        <f>DR49+(DW50/10000)</f>
        <v>0.25</v>
      </c>
      <c r="DX49" s="1074">
        <f>+DX56/DX$60</f>
        <v>0.26665267065601927</v>
      </c>
      <c r="DY49" s="1157">
        <f>DT49+(DY50/10000)</f>
        <v>0.28000000000000003</v>
      </c>
      <c r="DZ49" s="1157">
        <f>DU49+(DZ50/10000)</f>
        <v>0.27</v>
      </c>
      <c r="EA49" s="1157">
        <f>DV49+(EA50/10000)</f>
        <v>0.27</v>
      </c>
      <c r="EB49" s="1157">
        <f>DW49+(EB50/10000)</f>
        <v>0.25</v>
      </c>
      <c r="EC49" s="1074">
        <f>+EC56/EC$60</f>
        <v>0.26663814010641423</v>
      </c>
      <c r="ED49" s="1157">
        <f>DY49+(ED50/10000)</f>
        <v>0.28000000000000003</v>
      </c>
      <c r="EE49" s="1157">
        <f>DZ49+(EE50/10000)</f>
        <v>0.27</v>
      </c>
      <c r="EF49" s="1157">
        <f>EA49+(EF50/10000)</f>
        <v>0.27</v>
      </c>
      <c r="EG49" s="1157">
        <f>EB49+(EG50/10000)</f>
        <v>0.25</v>
      </c>
      <c r="EH49" s="1074">
        <f>+EH56/EH$60</f>
        <v>0.26669371472862341</v>
      </c>
      <c r="EI49" s="1157">
        <f>ED49+(EI50/10000)</f>
        <v>0.28000000000000003</v>
      </c>
      <c r="EJ49" s="1157">
        <f>EE49+(EJ50/10000)</f>
        <v>0.27</v>
      </c>
      <c r="EK49" s="1157">
        <f>EF49+(EK50/10000)</f>
        <v>0.27</v>
      </c>
      <c r="EL49" s="1157">
        <f>EG49+(EL50/10000)</f>
        <v>0.25</v>
      </c>
      <c r="EM49" s="1074">
        <f>+EM56/EM$60</f>
        <v>0.26669371472862341</v>
      </c>
      <c r="EN49" s="1157">
        <f>EI49+(EN50/10000)</f>
        <v>0.28000000000000003</v>
      </c>
      <c r="EO49" s="1157">
        <f>EJ49+(EO50/10000)</f>
        <v>0.27</v>
      </c>
      <c r="EP49" s="1157">
        <f>EK49+(EP50/10000)</f>
        <v>0.27</v>
      </c>
      <c r="EQ49" s="1157">
        <f>EL49+(EQ50/10000)</f>
        <v>0.25</v>
      </c>
      <c r="ER49" s="1074">
        <f>+ER56/ER$60</f>
        <v>0.26669371472862341</v>
      </c>
    </row>
    <row r="50" spans="1:163" ht="13.2">
      <c r="C50" s="1449" t="s">
        <v>683</v>
      </c>
      <c r="BU50" s="1073"/>
      <c r="BZ50" s="1073"/>
      <c r="CE50" s="1073"/>
      <c r="CJ50" s="1073"/>
      <c r="CO50" s="1073"/>
      <c r="CQ50" s="1131"/>
      <c r="CR50" s="1131"/>
      <c r="CS50" s="1131"/>
      <c r="CT50" s="1162"/>
      <c r="CU50" s="1131"/>
      <c r="CV50" s="1131"/>
      <c r="CW50" s="1131"/>
      <c r="CX50" s="1131"/>
      <c r="CY50" s="1162"/>
      <c r="CZ50" s="1131"/>
      <c r="DA50" s="1131"/>
      <c r="DB50" s="1131"/>
      <c r="DC50" s="1131"/>
      <c r="DD50" s="1162"/>
      <c r="DE50" s="1131"/>
      <c r="DF50" s="1131"/>
      <c r="DG50" s="1077">
        <f>(DG49-DB49)*10000</f>
        <v>-100.00000000000009</v>
      </c>
      <c r="DH50" s="1077">
        <f>(DH49-DC49)*10000</f>
        <v>-200.00000000000017</v>
      </c>
      <c r="DI50" s="1162"/>
      <c r="DJ50" s="1077">
        <f t="shared" ref="DJ50:DQ50" si="150">(DJ49-DE49)*10000</f>
        <v>-299.99999999999972</v>
      </c>
      <c r="DK50" s="1077">
        <f t="shared" si="150"/>
        <v>-100.00000000000009</v>
      </c>
      <c r="DL50" s="1077">
        <f t="shared" si="150"/>
        <v>100.00000000000009</v>
      </c>
      <c r="DM50" s="1077">
        <f t="shared" si="150"/>
        <v>100.00000000000009</v>
      </c>
      <c r="DN50" s="1078">
        <f t="shared" si="150"/>
        <v>-31.067605601176606</v>
      </c>
      <c r="DO50" s="1077">
        <f t="shared" si="150"/>
        <v>100.00000000000009</v>
      </c>
      <c r="DP50" s="287">
        <f t="shared" si="150"/>
        <v>200.00000000000017</v>
      </c>
      <c r="DQ50" s="287">
        <f t="shared" si="150"/>
        <v>100.00000000000009</v>
      </c>
      <c r="DR50" s="287">
        <f>(DR49-DM49)*10000</f>
        <v>0</v>
      </c>
      <c r="DS50" s="1078">
        <f>(DS49-DN49)*10000</f>
        <v>95.829849084611567</v>
      </c>
      <c r="DT50" s="1077">
        <f t="shared" ref="DT50:DU50" si="151">(DT49-DO49)*10000</f>
        <v>0</v>
      </c>
      <c r="DU50" s="287">
        <f t="shared" si="151"/>
        <v>-100.00000000000009</v>
      </c>
      <c r="DV50" s="1156">
        <v>-100</v>
      </c>
      <c r="DW50" s="1156">
        <v>-100</v>
      </c>
      <c r="DX50" s="1078">
        <f>(DX49-DS49)*10000</f>
        <v>-77.005270183993503</v>
      </c>
      <c r="DY50" s="1156">
        <v>0</v>
      </c>
      <c r="DZ50" s="1156">
        <v>0</v>
      </c>
      <c r="EA50" s="1156">
        <v>0</v>
      </c>
      <c r="EB50" s="1156">
        <v>0</v>
      </c>
      <c r="EC50" s="1078">
        <f>(EC49-DX49)*10000</f>
        <v>-0.14530549605040743</v>
      </c>
      <c r="ED50" s="1156">
        <v>0</v>
      </c>
      <c r="EE50" s="1156">
        <v>0</v>
      </c>
      <c r="EF50" s="1156">
        <v>0</v>
      </c>
      <c r="EG50" s="1156">
        <v>0</v>
      </c>
      <c r="EH50" s="1078">
        <f t="shared" ref="EH50" si="152">(EH49-EC49)*10000</f>
        <v>0.5557462220917575</v>
      </c>
      <c r="EI50" s="1156">
        <v>0</v>
      </c>
      <c r="EJ50" s="1156">
        <v>0</v>
      </c>
      <c r="EK50" s="1156">
        <v>0</v>
      </c>
      <c r="EL50" s="1156">
        <v>0</v>
      </c>
      <c r="EM50" s="1078">
        <f t="shared" ref="EM50" si="153">(EM49-EH49)*10000</f>
        <v>0</v>
      </c>
      <c r="EN50" s="1156">
        <v>0</v>
      </c>
      <c r="EO50" s="1156">
        <v>0</v>
      </c>
      <c r="EP50" s="1156">
        <v>0</v>
      </c>
      <c r="EQ50" s="1156">
        <v>0</v>
      </c>
      <c r="ER50" s="1078">
        <f t="shared" ref="ER50" si="154">(ER49-EM49)*10000</f>
        <v>0</v>
      </c>
      <c r="ET50"/>
      <c r="EU50"/>
      <c r="EV50"/>
      <c r="EW50"/>
      <c r="EX50"/>
      <c r="EY50"/>
      <c r="EZ50"/>
      <c r="FA50"/>
      <c r="FB50"/>
      <c r="FC50"/>
      <c r="FD50"/>
      <c r="FE50"/>
      <c r="FF50"/>
      <c r="FG50"/>
    </row>
    <row r="51" spans="1:163" ht="13.2">
      <c r="C51" s="203" t="s">
        <v>686</v>
      </c>
      <c r="BU51" s="1073"/>
      <c r="BZ51" s="1073"/>
      <c r="CE51" s="1073"/>
      <c r="CJ51" s="1073"/>
      <c r="CO51" s="1073"/>
      <c r="CQ51" s="1131"/>
      <c r="CR51" s="1131"/>
      <c r="CS51" s="1131"/>
      <c r="CT51" s="1162"/>
      <c r="CU51" s="1131"/>
      <c r="CV51" s="1131"/>
      <c r="CW51" s="1131"/>
      <c r="CX51" s="1131"/>
      <c r="CY51" s="1162"/>
      <c r="CZ51" s="1131"/>
      <c r="DA51" s="1131"/>
      <c r="DB51" s="1131">
        <v>0.15</v>
      </c>
      <c r="DC51" s="1131">
        <v>0.19</v>
      </c>
      <c r="DD51" s="1074"/>
      <c r="DE51" s="1131">
        <v>0.11</v>
      </c>
      <c r="DF51" s="1131">
        <v>0.14000000000000001</v>
      </c>
      <c r="DG51" s="1131">
        <v>0.14000000000000001</v>
      </c>
      <c r="DH51" s="1131">
        <v>0.18</v>
      </c>
      <c r="DI51" s="1074">
        <f>+DI58/DI$60</f>
        <v>0.14519324986390855</v>
      </c>
      <c r="DJ51" s="1131">
        <v>0.13</v>
      </c>
      <c r="DK51" s="1131">
        <v>0.14000000000000001</v>
      </c>
      <c r="DL51" s="1131">
        <v>0.15</v>
      </c>
      <c r="DM51" s="1131">
        <v>0.2</v>
      </c>
      <c r="DN51" s="1074">
        <f>+DN58/DN$60</f>
        <v>0.15742553191489364</v>
      </c>
      <c r="DO51" s="1131">
        <v>0.14000000000000001</v>
      </c>
      <c r="DP51" s="1537">
        <v>0.18</v>
      </c>
      <c r="DQ51" s="1537">
        <v>0.18</v>
      </c>
      <c r="DR51" s="1537">
        <v>0.23</v>
      </c>
      <c r="DS51" s="1074">
        <f>+DS58/DS$60</f>
        <v>0.18510537790697673</v>
      </c>
      <c r="DT51" s="1131">
        <v>0.19</v>
      </c>
      <c r="DU51" s="1537">
        <v>0.21</v>
      </c>
      <c r="DV51" s="1157">
        <f>DQ51+(DV52/10000)</f>
        <v>0.21</v>
      </c>
      <c r="DW51" s="1157">
        <f>DR51+(DW52/10000)</f>
        <v>0.25</v>
      </c>
      <c r="DX51" s="1074">
        <f>+DX58/DX$60</f>
        <v>0.21669465868796128</v>
      </c>
      <c r="DY51" s="1157">
        <f>DT51+(DY52/10000)</f>
        <v>0.20500000000000002</v>
      </c>
      <c r="DZ51" s="1157">
        <f>DU51+(DZ52/10000)</f>
        <v>0.22499999999999998</v>
      </c>
      <c r="EA51" s="1157">
        <f>DV51+(EA52/10000)</f>
        <v>0.22499999999999998</v>
      </c>
      <c r="EB51" s="1157">
        <f>DW51+(EB52/10000)</f>
        <v>0.26500000000000001</v>
      </c>
      <c r="EC51" s="1074">
        <f>+EC58/EC$60</f>
        <v>0.2317237197871716</v>
      </c>
      <c r="ED51" s="1157">
        <f>DY51+(ED52/10000)</f>
        <v>0.22000000000000003</v>
      </c>
      <c r="EE51" s="1157">
        <f>DZ51+(EE52/10000)</f>
        <v>0.24</v>
      </c>
      <c r="EF51" s="1157">
        <f>EA51+(EF52/10000)</f>
        <v>0.24</v>
      </c>
      <c r="EG51" s="1157">
        <f>EB51+(EG52/10000)</f>
        <v>0.28000000000000003</v>
      </c>
      <c r="EH51" s="1074">
        <f>+EH58/EH$60</f>
        <v>0.24661257054275318</v>
      </c>
      <c r="EI51" s="1157">
        <f>ED51+(EI52/10000)</f>
        <v>0.23500000000000004</v>
      </c>
      <c r="EJ51" s="1157">
        <f>EE51+(EJ52/10000)</f>
        <v>0.255</v>
      </c>
      <c r="EK51" s="1157">
        <f>EF51+(EK52/10000)</f>
        <v>0.255</v>
      </c>
      <c r="EL51" s="1157">
        <f>EG51+(EL52/10000)</f>
        <v>0.29500000000000004</v>
      </c>
      <c r="EM51" s="1074">
        <f>+EM58/EM$60</f>
        <v>0.26161257054275316</v>
      </c>
      <c r="EN51" s="1157">
        <f>EI51+(EN52/10000)</f>
        <v>0.25000000000000006</v>
      </c>
      <c r="EO51" s="1157">
        <f>EJ51+(EO52/10000)</f>
        <v>0.27</v>
      </c>
      <c r="EP51" s="1157">
        <f>EK51+(EP52/10000)</f>
        <v>0.27</v>
      </c>
      <c r="EQ51" s="1157">
        <f>EL51+(EQ52/10000)</f>
        <v>0.31000000000000005</v>
      </c>
      <c r="ER51" s="1074">
        <f>+ER58/ER$60</f>
        <v>0.27661257054275323</v>
      </c>
      <c r="ET51"/>
      <c r="EU51"/>
      <c r="EV51"/>
      <c r="EW51"/>
      <c r="EX51"/>
      <c r="EY51"/>
      <c r="EZ51"/>
      <c r="FA51"/>
      <c r="FB51"/>
      <c r="FC51"/>
      <c r="FD51"/>
      <c r="FE51"/>
      <c r="FF51"/>
      <c r="FG51"/>
    </row>
    <row r="52" spans="1:163" ht="13.2">
      <c r="C52" s="1449" t="s">
        <v>683</v>
      </c>
      <c r="BU52" s="1073"/>
      <c r="BZ52" s="1073"/>
      <c r="CE52" s="1073"/>
      <c r="CJ52" s="1073"/>
      <c r="CO52" s="1073"/>
      <c r="CQ52" s="1131"/>
      <c r="CR52" s="1131"/>
      <c r="CS52" s="1131"/>
      <c r="CT52" s="1162"/>
      <c r="CU52" s="1131"/>
      <c r="CV52" s="1131"/>
      <c r="CW52" s="1131"/>
      <c r="CX52" s="1131"/>
      <c r="CY52" s="1162"/>
      <c r="CZ52" s="1131"/>
      <c r="DA52" s="1131"/>
      <c r="DB52" s="1131"/>
      <c r="DC52" s="1131"/>
      <c r="DD52" s="1078"/>
      <c r="DE52" s="1131"/>
      <c r="DF52" s="1131"/>
      <c r="DG52" s="1077">
        <f>(DG51-DB51)*10000</f>
        <v>-99.999999999999815</v>
      </c>
      <c r="DH52" s="1077">
        <f>(DH51-DC51)*10000</f>
        <v>-100.00000000000009</v>
      </c>
      <c r="DI52" s="1078"/>
      <c r="DJ52" s="1077">
        <f t="shared" ref="DJ52:DO52" si="155">(DJ51-DE51)*10000</f>
        <v>200.00000000000003</v>
      </c>
      <c r="DK52" s="1077">
        <f t="shared" si="155"/>
        <v>0</v>
      </c>
      <c r="DL52" s="1077">
        <f t="shared" si="155"/>
        <v>99.999999999999815</v>
      </c>
      <c r="DM52" s="1077">
        <f t="shared" si="155"/>
        <v>200.00000000000017</v>
      </c>
      <c r="DN52" s="1078">
        <f t="shared" si="155"/>
        <v>122.32282050985089</v>
      </c>
      <c r="DO52" s="1077">
        <f t="shared" si="155"/>
        <v>100.00000000000009</v>
      </c>
      <c r="DP52" s="287">
        <f>(DP51-DK51)*10000</f>
        <v>399.99999999999977</v>
      </c>
      <c r="DQ52" s="287">
        <f>(DQ51-DL51)*10000</f>
        <v>300</v>
      </c>
      <c r="DR52" s="287">
        <f>(DR51-DM51)*10000</f>
        <v>300</v>
      </c>
      <c r="DS52" s="1078">
        <f>(DS51-DN51)*10000</f>
        <v>276.79845992083091</v>
      </c>
      <c r="DT52" s="1077">
        <f t="shared" ref="DT52" si="156">(DT51-DO51)*10000</f>
        <v>499.99999999999989</v>
      </c>
      <c r="DU52" s="287">
        <f>(DU51-DP51)*10000</f>
        <v>300</v>
      </c>
      <c r="DV52" s="1156">
        <v>300</v>
      </c>
      <c r="DW52" s="1156">
        <v>200</v>
      </c>
      <c r="DX52" s="1078">
        <f>(DX51-DS51)*10000</f>
        <v>315.89280780984552</v>
      </c>
      <c r="DY52" s="1156">
        <v>150</v>
      </c>
      <c r="DZ52" s="1156">
        <v>150</v>
      </c>
      <c r="EA52" s="1156">
        <v>150</v>
      </c>
      <c r="EB52" s="1156">
        <v>150</v>
      </c>
      <c r="EC52" s="1078">
        <f>(EC51-DX51)*10000</f>
        <v>150.29061099210315</v>
      </c>
      <c r="ED52" s="1156">
        <v>150</v>
      </c>
      <c r="EE52" s="1156">
        <v>150</v>
      </c>
      <c r="EF52" s="1156">
        <v>150</v>
      </c>
      <c r="EG52" s="1156">
        <v>150</v>
      </c>
      <c r="EH52" s="1078">
        <f t="shared" ref="EH52" si="157">(EH51-EC51)*10000</f>
        <v>148.88850755581578</v>
      </c>
      <c r="EI52" s="1156">
        <v>150</v>
      </c>
      <c r="EJ52" s="1156">
        <v>150</v>
      </c>
      <c r="EK52" s="1156">
        <v>150</v>
      </c>
      <c r="EL52" s="1156">
        <v>150</v>
      </c>
      <c r="EM52" s="1078">
        <f t="shared" ref="EM52" si="158">(EM51-EH51)*10000</f>
        <v>149.99999999999986</v>
      </c>
      <c r="EN52" s="1156">
        <v>150</v>
      </c>
      <c r="EO52" s="1156">
        <v>150</v>
      </c>
      <c r="EP52" s="1156">
        <v>150</v>
      </c>
      <c r="EQ52" s="1156">
        <v>150</v>
      </c>
      <c r="ER52" s="1078">
        <f t="shared" ref="ER52" si="159">(ER51-EM51)*10000</f>
        <v>150.00000000000068</v>
      </c>
      <c r="ET52"/>
      <c r="EU52"/>
      <c r="EV52"/>
      <c r="EW52"/>
      <c r="EX52"/>
      <c r="EY52"/>
      <c r="EZ52"/>
      <c r="FA52"/>
      <c r="FB52"/>
      <c r="FC52"/>
      <c r="FD52"/>
      <c r="FE52"/>
      <c r="FF52"/>
      <c r="FG52"/>
    </row>
    <row r="53" spans="1:163" ht="13.2">
      <c r="C53" s="1448" t="s">
        <v>671</v>
      </c>
      <c r="BU53" s="1073"/>
      <c r="BZ53" s="1073"/>
      <c r="CE53" s="1073"/>
      <c r="CJ53" s="1073"/>
      <c r="CO53" s="1073"/>
      <c r="CQ53" s="1131"/>
      <c r="CR53" s="1131"/>
      <c r="CS53" s="1131"/>
      <c r="CT53" s="1162"/>
      <c r="CU53" s="1131"/>
      <c r="CV53" s="1131"/>
      <c r="CW53" s="1131"/>
      <c r="CX53" s="1131"/>
      <c r="CY53" s="1162"/>
      <c r="CZ53" s="1131"/>
      <c r="DA53" s="1131"/>
      <c r="DB53" s="1131"/>
      <c r="DC53" s="1131"/>
      <c r="DD53" s="1162"/>
      <c r="DE53" s="1131"/>
      <c r="DF53" s="1131"/>
      <c r="DG53" s="1131"/>
      <c r="DH53" s="1131"/>
      <c r="DI53" s="1162"/>
      <c r="DJ53" s="1131"/>
      <c r="DK53" s="1131"/>
      <c r="DL53" s="1131"/>
      <c r="DM53" s="1131"/>
      <c r="DN53" s="1073"/>
      <c r="DO53" s="1131"/>
      <c r="DP53" s="1537"/>
      <c r="DQ53" s="1546"/>
      <c r="DR53" s="1546">
        <f>+DR55+DM55</f>
        <v>0.32773654916512052</v>
      </c>
      <c r="DS53" s="1073"/>
      <c r="DT53" s="1131"/>
      <c r="DU53" s="1537"/>
      <c r="DX53" s="1073"/>
      <c r="EC53" s="1073"/>
      <c r="EH53" s="1073"/>
      <c r="EM53" s="1073"/>
      <c r="ER53" s="1073"/>
      <c r="ET53"/>
      <c r="EU53"/>
      <c r="EV53"/>
      <c r="EW53"/>
      <c r="EX53"/>
      <c r="EY53"/>
      <c r="EZ53"/>
      <c r="FA53"/>
      <c r="FB53"/>
      <c r="FC53"/>
      <c r="FD53"/>
      <c r="FE53"/>
      <c r="FF53"/>
      <c r="FG53"/>
    </row>
    <row r="54" spans="1:163" ht="13.2">
      <c r="C54" s="203" t="s">
        <v>660</v>
      </c>
      <c r="BU54" s="1073"/>
      <c r="BZ54" s="1073"/>
      <c r="CE54" s="1073"/>
      <c r="CJ54" s="1073"/>
      <c r="CO54" s="1073"/>
      <c r="CQ54" s="1131"/>
      <c r="CR54" s="1131"/>
      <c r="CS54" s="1131"/>
      <c r="CT54" s="1162"/>
      <c r="CU54" s="1131"/>
      <c r="CV54" s="1131"/>
      <c r="CW54" s="1131"/>
      <c r="CX54" s="1131"/>
      <c r="CY54" s="1162"/>
      <c r="CZ54" s="1131"/>
      <c r="DA54" s="1131"/>
      <c r="DB54" s="1138">
        <f>DB$39*DB47</f>
        <v>218.25457999999998</v>
      </c>
      <c r="DC54" s="1138">
        <f>DC$39*DC47</f>
        <v>216.13716000000002</v>
      </c>
      <c r="DD54" s="1162"/>
      <c r="DE54" s="1138">
        <f>DE$39*DE47</f>
        <v>225.38</v>
      </c>
      <c r="DF54" s="1138">
        <f>DF$39*DF47</f>
        <v>261.95999999999998</v>
      </c>
      <c r="DG54" s="1138">
        <f>DG$39*DG47</f>
        <v>291.59999999999997</v>
      </c>
      <c r="DH54" s="1138">
        <f>DH$39*DH47</f>
        <v>294</v>
      </c>
      <c r="DI54" s="1160">
        <f>SUM(DE54:DH54)</f>
        <v>1072.94</v>
      </c>
      <c r="DJ54" s="1138">
        <f>DJ$39*DJ47</f>
        <v>306.59999999999997</v>
      </c>
      <c r="DK54" s="1138">
        <f>DK$39*DK47</f>
        <v>337.8</v>
      </c>
      <c r="DL54" s="1138">
        <f>DL$39*DL47</f>
        <v>359.9</v>
      </c>
      <c r="DM54" s="1138">
        <f>DM$39*DM47</f>
        <v>366.3</v>
      </c>
      <c r="DN54" s="1160">
        <f>SUM(DJ54:DM54)</f>
        <v>1370.6</v>
      </c>
      <c r="DO54" s="1138">
        <f>DO$39*DO47</f>
        <v>359.59999999999997</v>
      </c>
      <c r="DP54" s="1538">
        <f>DP$39*DP47</f>
        <v>354.24</v>
      </c>
      <c r="DQ54" s="1538">
        <f>DQ$39*DQ47</f>
        <v>377.46000000000004</v>
      </c>
      <c r="DR54" s="1634">
        <f>DR$39*DR47</f>
        <v>396.27</v>
      </c>
      <c r="DS54" s="1635">
        <f>SUM(DO54:DR54)</f>
        <v>1487.57</v>
      </c>
      <c r="DT54" s="1138">
        <f>DT$39*DT47</f>
        <v>397.5</v>
      </c>
      <c r="DU54" s="1538">
        <f>DU$39*DU47</f>
        <v>417.04</v>
      </c>
      <c r="DV54" s="1138">
        <f>DV60-DV58-DV56</f>
        <v>447.51986606193742</v>
      </c>
      <c r="DW54" s="1138">
        <f>DW60-DW58-DW56</f>
        <v>467.66725086374998</v>
      </c>
      <c r="DX54" s="1160">
        <f>SUM(DT54:DW54)</f>
        <v>1729.7271169256874</v>
      </c>
      <c r="DY54" s="1138">
        <f>DY60-DY58-DY56</f>
        <v>462.90067026281253</v>
      </c>
      <c r="DZ54" s="1138">
        <f>DZ60-DZ58-DZ56</f>
        <v>487.75128575776705</v>
      </c>
      <c r="EA54" s="1138">
        <f>EA60-EA58-EA56</f>
        <v>523.39917052046258</v>
      </c>
      <c r="EB54" s="1138">
        <f>EB60-EB58-EB56</f>
        <v>546.31279185236531</v>
      </c>
      <c r="EC54" s="1160">
        <f>SUM(DY54:EB54)</f>
        <v>2020.3639183934074</v>
      </c>
      <c r="ED54" s="1138">
        <f>ED60-ED58-ED56</f>
        <v>533.57072035539511</v>
      </c>
      <c r="EE54" s="1138">
        <f>EE60-EE58-EE56</f>
        <v>559.15365782736831</v>
      </c>
      <c r="EF54" s="1138">
        <f>EF60-EF58-EF56</f>
        <v>597.10735137143115</v>
      </c>
      <c r="EG54" s="1138">
        <f>EG60-EG58-EG56</f>
        <v>619.43938597207944</v>
      </c>
      <c r="EH54" s="1160">
        <f>SUM(ED54:EG54)</f>
        <v>2309.2711155262741</v>
      </c>
      <c r="EI54" s="1138">
        <f>EI60-EI58-EI56</f>
        <v>605.57097433346348</v>
      </c>
      <c r="EJ54" s="1138">
        <f>EJ60-EJ58-EJ56</f>
        <v>634.2055331198153</v>
      </c>
      <c r="EK54" s="1138">
        <f>EK60-EK58-EK56</f>
        <v>677.2535255831142</v>
      </c>
      <c r="EL54" s="1138">
        <f>EL60-EL58-EL56</f>
        <v>701.63893601409427</v>
      </c>
      <c r="EM54" s="1160">
        <f>SUM(EI54:EL54)</f>
        <v>2618.6689690504872</v>
      </c>
      <c r="EN54" s="1138">
        <f>EN60-EN58-EN56</f>
        <v>686.62956111963945</v>
      </c>
      <c r="EO54" s="1138">
        <f>EO60-EO58-EO56</f>
        <v>718.6138374134963</v>
      </c>
      <c r="EP54" s="1138">
        <f>EP60-EP58-EP56</f>
        <v>767.39121547392074</v>
      </c>
      <c r="EQ54" s="1138">
        <f>EQ60-EQ58-EQ56</f>
        <v>793.88260843206149</v>
      </c>
      <c r="ER54" s="1160">
        <f>SUM(EN54:EQ54)</f>
        <v>2966.5172224391181</v>
      </c>
      <c r="ET54"/>
      <c r="EU54"/>
      <c r="EV54"/>
      <c r="EW54"/>
      <c r="EX54"/>
      <c r="EY54"/>
      <c r="EZ54"/>
      <c r="FA54"/>
      <c r="FB54"/>
      <c r="FC54"/>
      <c r="FD54"/>
      <c r="FE54"/>
      <c r="FF54"/>
      <c r="FG54"/>
    </row>
    <row r="55" spans="1:163" ht="13.2">
      <c r="C55" s="1087" t="s">
        <v>625</v>
      </c>
      <c r="BU55" s="1073"/>
      <c r="BZ55" s="1073"/>
      <c r="CE55" s="1073"/>
      <c r="CJ55" s="1073"/>
      <c r="CO55" s="1073"/>
      <c r="CQ55" s="1131"/>
      <c r="CR55" s="1131"/>
      <c r="CS55" s="1131"/>
      <c r="CT55" s="1162"/>
      <c r="CU55" s="1131"/>
      <c r="CV55" s="1131"/>
      <c r="CW55" s="1131"/>
      <c r="CX55" s="1131"/>
      <c r="CY55" s="1162"/>
      <c r="CZ55" s="1131"/>
      <c r="DA55" s="1131"/>
      <c r="DB55" s="1138"/>
      <c r="DC55" s="1138"/>
      <c r="DD55" s="1162"/>
      <c r="DE55" s="1138"/>
      <c r="DF55" s="1138"/>
      <c r="DG55" s="1155">
        <f>DG54/DB54-1</f>
        <v>0.33605443697905435</v>
      </c>
      <c r="DH55" s="1155">
        <f>DH54/DC54-1</f>
        <v>0.36024735404129471</v>
      </c>
      <c r="DI55" s="1163"/>
      <c r="DJ55" s="1155">
        <f t="shared" ref="DJ55:DQ55" si="160">DJ54/DE54-1</f>
        <v>0.36036915431715322</v>
      </c>
      <c r="DK55" s="1155">
        <f t="shared" si="160"/>
        <v>0.2895098488318828</v>
      </c>
      <c r="DL55" s="1155">
        <f t="shared" si="160"/>
        <v>0.23422496570644724</v>
      </c>
      <c r="DM55" s="1155">
        <f t="shared" si="160"/>
        <v>0.24591836734693873</v>
      </c>
      <c r="DN55" s="1161">
        <f t="shared" si="160"/>
        <v>0.27742464629895403</v>
      </c>
      <c r="DO55" s="1155">
        <f>DO54/DJ54-1</f>
        <v>0.17286366601435099</v>
      </c>
      <c r="DP55" s="1539">
        <f t="shared" si="160"/>
        <v>4.866785079928948E-2</v>
      </c>
      <c r="DQ55" s="1539">
        <f t="shared" si="160"/>
        <v>4.8791330925257226E-2</v>
      </c>
      <c r="DR55" s="1539">
        <f>DR54/DM54-1</f>
        <v>8.181818181818179E-2</v>
      </c>
      <c r="DS55" s="1161">
        <f>DS54/DN54-1</f>
        <v>8.5342185903983792E-2</v>
      </c>
      <c r="DT55" s="1155">
        <f>DT54/DO54-1</f>
        <v>0.10539488320355961</v>
      </c>
      <c r="DU55" s="1539">
        <f t="shared" ref="DU55" si="161">DU54/DP54-1</f>
        <v>0.17728093947606149</v>
      </c>
      <c r="DV55" s="1155">
        <f t="shared" ref="DV55:EC55" si="162">DV54/DQ54-1</f>
        <v>0.1856087163194442</v>
      </c>
      <c r="DW55" s="1155">
        <f t="shared" si="162"/>
        <v>0.18017324264705881</v>
      </c>
      <c r="DX55" s="1161">
        <f t="shared" si="162"/>
        <v>0.16278703988766074</v>
      </c>
      <c r="DY55" s="1155">
        <f t="shared" si="162"/>
        <v>0.16452998808254726</v>
      </c>
      <c r="DZ55" s="1155">
        <f t="shared" si="162"/>
        <v>0.16955516439134621</v>
      </c>
      <c r="EA55" s="1155">
        <f t="shared" si="162"/>
        <v>0.16955516439134644</v>
      </c>
      <c r="EB55" s="1155">
        <f t="shared" si="162"/>
        <v>0.16816559389900032</v>
      </c>
      <c r="EC55" s="1161">
        <f t="shared" si="162"/>
        <v>0.16802465465435978</v>
      </c>
      <c r="ED55" s="1155">
        <f t="shared" ref="ED55" si="163">ED54/DY54-1</f>
        <v>0.15266785000000005</v>
      </c>
      <c r="EE55" s="1155">
        <f t="shared" ref="EE55" si="164">EE54/DZ54-1</f>
        <v>0.14639094586633639</v>
      </c>
      <c r="EF55" s="1155">
        <f t="shared" ref="EF55" si="165">EF54/EA54-1</f>
        <v>0.1408259412747519</v>
      </c>
      <c r="EG55" s="1155">
        <f t="shared" ref="EG55" si="166">EG54/EB54-1</f>
        <v>0.1338548084729374</v>
      </c>
      <c r="EH55" s="1161">
        <f t="shared" ref="EH55" si="167">EH54/EC54-1</f>
        <v>0.14299760280940155</v>
      </c>
      <c r="EI55" s="1155">
        <f t="shared" ref="EI55" si="168">EI54/ED54-1</f>
        <v>0.13494041414062452</v>
      </c>
      <c r="EJ55" s="1155">
        <f t="shared" ref="EJ55" si="169">EJ54/EE54-1</f>
        <v>0.13422406210140236</v>
      </c>
      <c r="EK55" s="1155">
        <f t="shared" ref="EK55" si="170">EK54/EF54-1</f>
        <v>0.13422406210140259</v>
      </c>
      <c r="EL55" s="1155">
        <f t="shared" ref="EL55" si="171">EL54/EG54-1</f>
        <v>0.13269990882646243</v>
      </c>
      <c r="EM55" s="1161">
        <f t="shared" ref="EM55" si="172">EM54/EH54-1</f>
        <v>0.1339807402621509</v>
      </c>
      <c r="EN55" s="1155">
        <f t="shared" ref="EN55" si="173">EN54/EI54-1</f>
        <v>0.13385480847293763</v>
      </c>
      <c r="EO55" s="1155">
        <f t="shared" ref="EO55" si="174">EO54/EJ54-1</f>
        <v>0.13309297993421065</v>
      </c>
      <c r="EP55" s="1155">
        <f t="shared" ref="EP55" si="175">EP54/EK54-1</f>
        <v>0.13309297993421021</v>
      </c>
      <c r="EQ55" s="1155">
        <f t="shared" ref="EQ55" si="176">EQ54/EL54-1</f>
        <v>0.1314688619505493</v>
      </c>
      <c r="ER55" s="1161">
        <f t="shared" ref="ER55" si="177">ER54/EM54-1</f>
        <v>0.13283399219213199</v>
      </c>
      <c r="ET55"/>
      <c r="EU55"/>
      <c r="EV55"/>
      <c r="EW55"/>
      <c r="EX55"/>
      <c r="EY55"/>
      <c r="EZ55"/>
      <c r="FA55"/>
      <c r="FB55"/>
      <c r="FC55"/>
      <c r="FD55"/>
      <c r="FE55"/>
      <c r="FF55"/>
      <c r="FG55"/>
    </row>
    <row r="56" spans="1:163" ht="13.2">
      <c r="C56" s="203" t="s">
        <v>661</v>
      </c>
      <c r="BU56" s="1073"/>
      <c r="BZ56" s="1073"/>
      <c r="CE56" s="1073"/>
      <c r="CJ56" s="1073"/>
      <c r="CO56" s="1073"/>
      <c r="CQ56" s="1131"/>
      <c r="CR56" s="1131"/>
      <c r="CS56" s="1131"/>
      <c r="CT56" s="1162"/>
      <c r="CU56" s="1131"/>
      <c r="CV56" s="1131"/>
      <c r="CW56" s="1131"/>
      <c r="CX56" s="1131"/>
      <c r="CY56" s="1162"/>
      <c r="CZ56" s="1131"/>
      <c r="DA56" s="1131"/>
      <c r="DB56" s="1138">
        <f>DB$39*DB49</f>
        <v>101.60127</v>
      </c>
      <c r="DC56" s="1138">
        <f>DC$39*DC49</f>
        <v>108.06858000000001</v>
      </c>
      <c r="DD56" s="1162"/>
      <c r="DE56" s="1138">
        <f>DE$39*DE49</f>
        <v>114.6</v>
      </c>
      <c r="DF56" s="1138">
        <f>DF$39*DF49</f>
        <v>119.88000000000001</v>
      </c>
      <c r="DG56" s="1138">
        <f>DG$39*DG49</f>
        <v>126.36</v>
      </c>
      <c r="DH56" s="1138">
        <f>DH$39*DH49</f>
        <v>131.25</v>
      </c>
      <c r="DI56" s="1160">
        <f>SUM(DE56:DH56)</f>
        <v>492.09000000000003</v>
      </c>
      <c r="DJ56" s="1138">
        <f>DJ$39*DJ49</f>
        <v>137.97</v>
      </c>
      <c r="DK56" s="1138">
        <f>DK$39*DK49</f>
        <v>146.38</v>
      </c>
      <c r="DL56" s="1138">
        <f>DL$39*DL49</f>
        <v>164.70000000000002</v>
      </c>
      <c r="DM56" s="1138">
        <f>DM$39*DM49</f>
        <v>173.16</v>
      </c>
      <c r="DN56" s="1160">
        <f>SUM(DJ56:DM56)</f>
        <v>622.21</v>
      </c>
      <c r="DO56" s="1138">
        <f>DO$39*DO49</f>
        <v>173.60000000000002</v>
      </c>
      <c r="DP56" s="1538">
        <f>DP$39*DP49</f>
        <v>183.68</v>
      </c>
      <c r="DQ56" s="1538">
        <f>DQ$39*DQ49</f>
        <v>195.72000000000003</v>
      </c>
      <c r="DR56" s="1538">
        <f>DR$39*DR49</f>
        <v>202.02</v>
      </c>
      <c r="DS56" s="1160">
        <f>SUM(DO56:DR56)</f>
        <v>755.02</v>
      </c>
      <c r="DT56" s="1138">
        <f>DT$39*DT49</f>
        <v>210.00000000000003</v>
      </c>
      <c r="DU56" s="1538">
        <f>DU$39*DU49</f>
        <v>216.54000000000002</v>
      </c>
      <c r="DV56" s="1138">
        <f>DV$39*DV49</f>
        <v>232.36608430139057</v>
      </c>
      <c r="DW56" s="1138">
        <f>DW$39*DW49</f>
        <v>233.83362543187496</v>
      </c>
      <c r="DX56" s="1160">
        <f>SUM(DT56:DW56)</f>
        <v>892.7397097332655</v>
      </c>
      <c r="DY56" s="1138">
        <f>DY$39*DY49</f>
        <v>251.67415082250005</v>
      </c>
      <c r="DZ56" s="1138">
        <f>DZ$39*DZ49</f>
        <v>260.77791515761805</v>
      </c>
      <c r="EA56" s="1138">
        <f>EA$39*EA49</f>
        <v>279.83718027826711</v>
      </c>
      <c r="EB56" s="1138">
        <f>EB$39*EB49</f>
        <v>281.60453188266251</v>
      </c>
      <c r="EC56" s="1160">
        <f>SUM(DY56:EB56)</f>
        <v>1073.8937781410477</v>
      </c>
      <c r="ED56" s="1138">
        <f>ED$39*ED49</f>
        <v>298.79960339902129</v>
      </c>
      <c r="EE56" s="1138">
        <f>EE$39*EE49</f>
        <v>308.10507676201934</v>
      </c>
      <c r="EF56" s="1138">
        <f>EF$39*EF49</f>
        <v>329.01833646997233</v>
      </c>
      <c r="EG56" s="1138">
        <f>EG$39*EG49</f>
        <v>329.48903509153166</v>
      </c>
      <c r="EH56" s="1160">
        <f>SUM(ED56:EG56)</f>
        <v>1265.4120517225447</v>
      </c>
      <c r="EI56" s="1138">
        <f>EI$39*EI49</f>
        <v>349.60798518220577</v>
      </c>
      <c r="EJ56" s="1138">
        <f>EJ$39*EJ49</f>
        <v>360.49577672073724</v>
      </c>
      <c r="EK56" s="1138">
        <f>EK$39*EK49</f>
        <v>384.96516191040178</v>
      </c>
      <c r="EL56" s="1138">
        <f>EL$39*EL49</f>
        <v>385.51589890884298</v>
      </c>
      <c r="EM56" s="1160">
        <f>SUM(EI56:EL56)</f>
        <v>1480.5848227221877</v>
      </c>
      <c r="EN56" s="1138">
        <f>EN$39*EN49</f>
        <v>409.05590875212573</v>
      </c>
      <c r="EO56" s="1138">
        <f>EO$39*EO49</f>
        <v>421.79507848183482</v>
      </c>
      <c r="EP56" s="1138">
        <f>EP$39*EP49</f>
        <v>450.42527864773615</v>
      </c>
      <c r="EQ56" s="1138">
        <f>EQ$39*EQ49</f>
        <v>451.06966388185316</v>
      </c>
      <c r="ER56" s="1160">
        <f>SUM(EN56:EQ56)</f>
        <v>1732.3459297635497</v>
      </c>
      <c r="ET56"/>
      <c r="EU56"/>
      <c r="EV56"/>
      <c r="EW56"/>
      <c r="EX56"/>
      <c r="EY56"/>
      <c r="EZ56"/>
      <c r="FA56"/>
      <c r="FB56"/>
      <c r="FC56"/>
      <c r="FD56"/>
      <c r="FE56"/>
      <c r="FF56"/>
      <c r="FG56"/>
    </row>
    <row r="57" spans="1:163">
      <c r="C57" s="1087" t="s">
        <v>625</v>
      </c>
      <c r="BU57" s="1073"/>
      <c r="BZ57" s="1073"/>
      <c r="CE57" s="1073"/>
      <c r="CJ57" s="1073"/>
      <c r="CO57" s="1073"/>
      <c r="CQ57" s="1131"/>
      <c r="CR57" s="1131"/>
      <c r="CS57" s="1131"/>
      <c r="CT57" s="1162"/>
      <c r="CU57" s="1131"/>
      <c r="CV57" s="1131"/>
      <c r="CW57" s="1131"/>
      <c r="CX57" s="1131"/>
      <c r="CY57" s="1162"/>
      <c r="CZ57" s="1131"/>
      <c r="DA57" s="1131"/>
      <c r="DB57" s="1138"/>
      <c r="DC57" s="1138"/>
      <c r="DD57" s="1162"/>
      <c r="DE57" s="1138"/>
      <c r="DF57" s="1138"/>
      <c r="DG57" s="1155">
        <f>DG56/DB56-1</f>
        <v>0.24368524133605818</v>
      </c>
      <c r="DH57" s="1155">
        <f>DH56/DC56-1</f>
        <v>0.21450656610829899</v>
      </c>
      <c r="DI57" s="1161"/>
      <c r="DJ57" s="1155">
        <f t="shared" ref="DJ57:DQ57" si="178">DJ56/DE56-1</f>
        <v>0.20392670157068071</v>
      </c>
      <c r="DK57" s="1155">
        <f t="shared" si="178"/>
        <v>0.22105438772105424</v>
      </c>
      <c r="DL57" s="1155">
        <f t="shared" si="178"/>
        <v>0.30341880341880345</v>
      </c>
      <c r="DM57" s="1155">
        <f t="shared" si="178"/>
        <v>0.31931428571428566</v>
      </c>
      <c r="DN57" s="1161">
        <f t="shared" si="178"/>
        <v>0.26442317462252829</v>
      </c>
      <c r="DO57" s="1155">
        <f>DO56/DJ56-1</f>
        <v>0.25824454591577894</v>
      </c>
      <c r="DP57" s="1539">
        <f t="shared" si="178"/>
        <v>0.25481623172564571</v>
      </c>
      <c r="DQ57" s="1539">
        <f t="shared" si="178"/>
        <v>0.18834244080145734</v>
      </c>
      <c r="DR57" s="1539">
        <f>DR56/DM56-1</f>
        <v>0.16666666666666674</v>
      </c>
      <c r="DS57" s="1161">
        <f>DS56/DN56-1</f>
        <v>0.2134488356021278</v>
      </c>
      <c r="DT57" s="1155">
        <f>DT56/DO56-1</f>
        <v>0.20967741935483875</v>
      </c>
      <c r="DU57" s="1539">
        <f t="shared" ref="DU57" si="179">DU56/DP56-1</f>
        <v>0.17889808362369353</v>
      </c>
      <c r="DV57" s="1155">
        <f t="shared" ref="DV57:EC57" si="180">DV56/DQ56-1</f>
        <v>0.18723729972098169</v>
      </c>
      <c r="DW57" s="1155">
        <f t="shared" si="180"/>
        <v>0.15747760336538441</v>
      </c>
      <c r="DX57" s="1161">
        <f t="shared" si="180"/>
        <v>0.18240537963665271</v>
      </c>
      <c r="DY57" s="1155">
        <f t="shared" si="180"/>
        <v>0.19844833725000011</v>
      </c>
      <c r="DZ57" s="1155">
        <f t="shared" si="180"/>
        <v>0.2042944267000002</v>
      </c>
      <c r="EA57" s="1155">
        <f t="shared" si="180"/>
        <v>0.20429442670000042</v>
      </c>
      <c r="EB57" s="1155">
        <f t="shared" si="180"/>
        <v>0.20429442670000042</v>
      </c>
      <c r="EC57" s="1161">
        <f t="shared" si="180"/>
        <v>0.2029192455905291</v>
      </c>
      <c r="ED57" s="1155">
        <f t="shared" ref="ED57" si="181">ED56/DY56-1</f>
        <v>0.18724788550000016</v>
      </c>
      <c r="EE57" s="1155">
        <f t="shared" ref="EE57" si="182">EE56/DZ56-1</f>
        <v>0.18148454624999988</v>
      </c>
      <c r="EF57" s="1155">
        <f t="shared" ref="EF57" si="183">EF56/EA56-1</f>
        <v>0.17574918437499987</v>
      </c>
      <c r="EG57" s="1155">
        <f t="shared" ref="EG57" si="184">EG56/EB56-1</f>
        <v>0.17004166406249954</v>
      </c>
      <c r="EH57" s="1161">
        <f t="shared" ref="EH57" si="185">EH56/EC56-1</f>
        <v>0.17834005325277391</v>
      </c>
      <c r="EI57" s="1155">
        <f t="shared" ref="EI57" si="186">EI56/ED56-1</f>
        <v>0.17004166406249954</v>
      </c>
      <c r="EJ57" s="1155">
        <f t="shared" ref="EJ57" si="187">EJ56/EE56-1</f>
        <v>0.17004166406249954</v>
      </c>
      <c r="EK57" s="1155">
        <f t="shared" ref="EK57" si="188">EK56/EF56-1</f>
        <v>0.17004166406249954</v>
      </c>
      <c r="EL57" s="1155">
        <f t="shared" ref="EL57" si="189">EL56/EG56-1</f>
        <v>0.17004166406249954</v>
      </c>
      <c r="EM57" s="1161">
        <f t="shared" ref="EM57" si="190">EM56/EH56-1</f>
        <v>0.17004166406249932</v>
      </c>
      <c r="EN57" s="1155">
        <f t="shared" ref="EN57" si="191">EN56/EI56-1</f>
        <v>0.17004166406249954</v>
      </c>
      <c r="EO57" s="1155">
        <f t="shared" ref="EO57" si="192">EO56/EJ56-1</f>
        <v>0.17004166406249999</v>
      </c>
      <c r="EP57" s="1155">
        <f t="shared" ref="EP57" si="193">EP56/EK56-1</f>
        <v>0.17004166406249976</v>
      </c>
      <c r="EQ57" s="1155">
        <f t="shared" ref="EQ57" si="194">EQ56/EL56-1</f>
        <v>0.17004166406249999</v>
      </c>
      <c r="ER57" s="1161">
        <f t="shared" ref="ER57" si="195">ER56/EM56-1</f>
        <v>0.17004166406249976</v>
      </c>
    </row>
    <row r="58" spans="1:163">
      <c r="C58" s="203" t="s">
        <v>662</v>
      </c>
      <c r="BU58" s="1073"/>
      <c r="BZ58" s="1073"/>
      <c r="CE58" s="1073"/>
      <c r="CJ58" s="1073"/>
      <c r="CO58" s="1073"/>
      <c r="CT58" s="1073"/>
      <c r="CY58" s="1073"/>
      <c r="DB58" s="1138">
        <f>DB$39*DB51</f>
        <v>56.445149999999998</v>
      </c>
      <c r="DC58" s="1138">
        <f>DC$39*DC51</f>
        <v>76.048259999999999</v>
      </c>
      <c r="DD58" s="1073"/>
      <c r="DE58" s="1138">
        <f>DE$39*DE51</f>
        <v>42.02</v>
      </c>
      <c r="DF58" s="1138">
        <f>DF$39*DF51</f>
        <v>62.160000000000004</v>
      </c>
      <c r="DG58" s="1138">
        <f>DG$39*DG51</f>
        <v>68.040000000000006</v>
      </c>
      <c r="DH58" s="1138">
        <f>DH$39*DH51</f>
        <v>94.5</v>
      </c>
      <c r="DI58" s="1160">
        <f>SUM(DE58:DH58)</f>
        <v>266.72000000000003</v>
      </c>
      <c r="DJ58" s="1138">
        <f>DJ$39*DJ51</f>
        <v>66.430000000000007</v>
      </c>
      <c r="DK58" s="1138">
        <f>DK$39*DK51</f>
        <v>78.820000000000007</v>
      </c>
      <c r="DL58" s="1138">
        <f>DL$39*DL51</f>
        <v>91.5</v>
      </c>
      <c r="DM58" s="1138">
        <f>DM$39*DM51</f>
        <v>133.20000000000002</v>
      </c>
      <c r="DN58" s="1160">
        <f>SUM(DJ58:DM58)</f>
        <v>369.95000000000005</v>
      </c>
      <c r="DO58" s="1138">
        <f>DO$39*DO51</f>
        <v>86.800000000000011</v>
      </c>
      <c r="DP58" s="1538">
        <f>DP$39*DP51</f>
        <v>118.08</v>
      </c>
      <c r="DQ58" s="1538">
        <f>DQ$39*DQ51</f>
        <v>125.82</v>
      </c>
      <c r="DR58" s="1538">
        <f>DR$39*DR51</f>
        <v>178.71</v>
      </c>
      <c r="DS58" s="1160">
        <f>SUM(DO58:DR58)</f>
        <v>509.40999999999997</v>
      </c>
      <c r="DT58" s="1138">
        <f>DT$39*DT51</f>
        <v>142.5</v>
      </c>
      <c r="DU58" s="1538">
        <f>DU$39*DU51</f>
        <v>168.42</v>
      </c>
      <c r="DV58" s="1138">
        <f>DV$39*DV51</f>
        <v>180.72917667885932</v>
      </c>
      <c r="DW58" s="1138">
        <f>DW$39*DW51</f>
        <v>233.83362543187496</v>
      </c>
      <c r="DX58" s="1160">
        <f>SUM(DT58:DW58)</f>
        <v>725.48280211073416</v>
      </c>
      <c r="DY58" s="1138">
        <f>DY$39*DY51</f>
        <v>184.26143185218754</v>
      </c>
      <c r="DZ58" s="1138">
        <f>DZ$39*DZ51</f>
        <v>217.31492929801502</v>
      </c>
      <c r="EA58" s="1138">
        <f>EA$39*EA51</f>
        <v>233.19765023188924</v>
      </c>
      <c r="EB58" s="1138">
        <f>EB$39*EB51</f>
        <v>298.50080379562229</v>
      </c>
      <c r="EC58" s="1160">
        <f>SUM(DY58:EB58)</f>
        <v>933.27481517771412</v>
      </c>
      <c r="ED58" s="1138">
        <f>ED$39*ED51</f>
        <v>234.77111695637387</v>
      </c>
      <c r="EE58" s="1138">
        <f>EE$39*EE51</f>
        <v>273.87117934401715</v>
      </c>
      <c r="EF58" s="1138">
        <f>EF$39*EF51</f>
        <v>292.46074352886427</v>
      </c>
      <c r="EG58" s="1138">
        <f>EG$39*EG51</f>
        <v>369.02771930251549</v>
      </c>
      <c r="EH58" s="1160">
        <f>SUM(ED58:EG58)</f>
        <v>1170.1307591317709</v>
      </c>
      <c r="EI58" s="1138">
        <f>EI$39*EI51</f>
        <v>293.42098756363703</v>
      </c>
      <c r="EJ58" s="1138">
        <f>EJ$39*EJ51</f>
        <v>340.46823356958515</v>
      </c>
      <c r="EK58" s="1138">
        <f>EK$39*EK51</f>
        <v>363.57820847093495</v>
      </c>
      <c r="EL58" s="1138">
        <f>EL$39*EL51</f>
        <v>454.9087607124348</v>
      </c>
      <c r="EM58" s="1160">
        <f>SUM(EI58:EL58)</f>
        <v>1452.3761903165919</v>
      </c>
      <c r="EN58" s="1138">
        <f>EN$39*EN51</f>
        <v>365.22848995725514</v>
      </c>
      <c r="EO58" s="1138">
        <f>EO$39*EO51</f>
        <v>421.79507848183482</v>
      </c>
      <c r="EP58" s="1138">
        <f>EP$39*EP51</f>
        <v>450.42527864773615</v>
      </c>
      <c r="EQ58" s="1138">
        <f>EQ$39*EQ51</f>
        <v>559.32638321349805</v>
      </c>
      <c r="ER58" s="1160">
        <f>SUM(EN58:EQ58)</f>
        <v>1796.7752303003242</v>
      </c>
    </row>
    <row r="59" spans="1:163">
      <c r="C59" s="1087" t="s">
        <v>625</v>
      </c>
      <c r="BU59" s="1073"/>
      <c r="BZ59" s="1073"/>
      <c r="CE59" s="1073"/>
      <c r="CJ59" s="1073"/>
      <c r="CO59" s="1073"/>
      <c r="CT59" s="1073"/>
      <c r="CY59" s="1073"/>
      <c r="DB59" s="1138"/>
      <c r="DC59" s="1138"/>
      <c r="DD59" s="1073"/>
      <c r="DE59" s="1138"/>
      <c r="DF59" s="1138"/>
      <c r="DG59" s="1155">
        <f>DG58/DB58-1</f>
        <v>0.20541800314110259</v>
      </c>
      <c r="DH59" s="1155">
        <f>DH58/DC58-1</f>
        <v>0.24263198132343855</v>
      </c>
      <c r="DI59" s="1073"/>
      <c r="DJ59" s="1155">
        <f t="shared" ref="DJ59:DQ59" si="196">DJ58/DE58-1</f>
        <v>0.58091385054735833</v>
      </c>
      <c r="DK59" s="1155">
        <f t="shared" si="196"/>
        <v>0.26801801801801806</v>
      </c>
      <c r="DL59" s="1155">
        <f t="shared" si="196"/>
        <v>0.34479717813051125</v>
      </c>
      <c r="DM59" s="1155">
        <f t="shared" si="196"/>
        <v>0.40952380952380962</v>
      </c>
      <c r="DN59" s="1161">
        <f t="shared" si="196"/>
        <v>0.38703509298140371</v>
      </c>
      <c r="DO59" s="1155">
        <f>DO58/DJ58-1</f>
        <v>0.30663856691253955</v>
      </c>
      <c r="DP59" s="1539">
        <f t="shared" si="196"/>
        <v>0.49809692971327069</v>
      </c>
      <c r="DQ59" s="1539">
        <f t="shared" si="196"/>
        <v>0.37508196721311471</v>
      </c>
      <c r="DR59" s="1539">
        <f>DR58/DM58-1</f>
        <v>0.34166666666666656</v>
      </c>
      <c r="DS59" s="1161">
        <f>DS58/DN58-1</f>
        <v>0.37696986079199868</v>
      </c>
      <c r="DT59" s="1155">
        <f>DT58/DO58-1</f>
        <v>0.64170506912442371</v>
      </c>
      <c r="DU59" s="1539">
        <f t="shared" ref="DU59" si="197">DU58/DP58-1</f>
        <v>0.42632113821138207</v>
      </c>
      <c r="DV59" s="1155">
        <f t="shared" ref="DV59:EC59" si="198">DV58/DQ58-1</f>
        <v>0.43641056015624957</v>
      </c>
      <c r="DW59" s="1155">
        <f t="shared" si="198"/>
        <v>0.30845294293478243</v>
      </c>
      <c r="DX59" s="1161">
        <f t="shared" si="198"/>
        <v>0.4241628592111153</v>
      </c>
      <c r="DY59" s="1155">
        <f t="shared" si="198"/>
        <v>0.29306267966447397</v>
      </c>
      <c r="DZ59" s="1155">
        <f t="shared" si="198"/>
        <v>0.29031545717857155</v>
      </c>
      <c r="EA59" s="1155">
        <f t="shared" si="198"/>
        <v>0.29031545717857177</v>
      </c>
      <c r="EB59" s="1155">
        <f t="shared" si="198"/>
        <v>0.27655209230200062</v>
      </c>
      <c r="EC59" s="1161">
        <f t="shared" si="198"/>
        <v>0.28641893710288624</v>
      </c>
      <c r="ED59" s="1155">
        <f t="shared" ref="ED59" si="199">ED58/DY58-1</f>
        <v>0.27411968200000003</v>
      </c>
      <c r="EE59" s="1155">
        <f t="shared" ref="EE59" si="200">EE58/DZ58-1</f>
        <v>0.26025018266666655</v>
      </c>
      <c r="EF59" s="1155">
        <f t="shared" ref="EF59" si="201">EF58/EA58-1</f>
        <v>0.25413246333333306</v>
      </c>
      <c r="EG59" s="1155">
        <f t="shared" ref="EG59" si="202">EG58/EB58-1</f>
        <v>0.23627043749999954</v>
      </c>
      <c r="EH59" s="1161">
        <f t="shared" ref="EH59" si="203">EH58/EC58-1</f>
        <v>0.25379013780518078</v>
      </c>
      <c r="EI59" s="1155">
        <f t="shared" ref="EI59" si="204">EI58/ED58-1</f>
        <v>0.2498172320667611</v>
      </c>
      <c r="EJ59" s="1155">
        <f t="shared" ref="EJ59" si="205">EJ58/EE58-1</f>
        <v>0.24316926806640571</v>
      </c>
      <c r="EK59" s="1155">
        <f t="shared" ref="EK59" si="206">EK58/EF58-1</f>
        <v>0.24316926806640549</v>
      </c>
      <c r="EL59" s="1155">
        <f t="shared" ref="EL59" si="207">EL58/EG58-1</f>
        <v>0.23272246749441927</v>
      </c>
      <c r="EM59" s="1161">
        <f t="shared" ref="EM59" si="208">EM58/EH58-1</f>
        <v>0.24120845382634437</v>
      </c>
      <c r="EN59" s="1155">
        <f t="shared" ref="EN59" si="209">EN58/EI58-1</f>
        <v>0.24472517453457399</v>
      </c>
      <c r="EO59" s="1155">
        <f t="shared" ref="EO59" si="210">EO58/EJ58-1</f>
        <v>0.23886764430147056</v>
      </c>
      <c r="EP59" s="1155">
        <f t="shared" ref="EP59" si="211">EP58/EK58-1</f>
        <v>0.23886764430147056</v>
      </c>
      <c r="EQ59" s="1155">
        <f t="shared" ref="EQ59" si="212">EQ58/EL58-1</f>
        <v>0.22953530799788147</v>
      </c>
      <c r="ER59" s="1161">
        <f t="shared" ref="ER59" si="213">ER58/EM58-1</f>
        <v>0.23712798535251367</v>
      </c>
    </row>
    <row r="60" spans="1:163">
      <c r="C60" s="203" t="s">
        <v>671</v>
      </c>
      <c r="BU60" s="1073"/>
      <c r="BZ60" s="1073"/>
      <c r="CE60" s="1073"/>
      <c r="CJ60" s="1073"/>
      <c r="CO60" s="1073"/>
      <c r="CT60" s="1073"/>
      <c r="CY60" s="1073"/>
      <c r="DB60" s="1075">
        <f>+DB39</f>
        <v>376.30099999999999</v>
      </c>
      <c r="DC60" s="1075">
        <f>+DC39</f>
        <v>400.25400000000002</v>
      </c>
      <c r="DD60" s="1073"/>
      <c r="DE60" s="1075">
        <f>+DE39</f>
        <v>382</v>
      </c>
      <c r="DF60" s="1075">
        <f>+DF39</f>
        <v>444</v>
      </c>
      <c r="DG60" s="1075">
        <f>+DG39</f>
        <v>486</v>
      </c>
      <c r="DH60" s="1075">
        <f>+DH39</f>
        <v>525</v>
      </c>
      <c r="DI60" s="1160">
        <f>SUM(DE60:DH60)</f>
        <v>1837</v>
      </c>
      <c r="DJ60" s="1075">
        <f t="shared" ref="DJ60:ER60" si="214">+DJ39</f>
        <v>511</v>
      </c>
      <c r="DK60" s="1075">
        <f t="shared" si="214"/>
        <v>563</v>
      </c>
      <c r="DL60" s="1075">
        <f t="shared" si="214"/>
        <v>610</v>
      </c>
      <c r="DM60" s="1075">
        <f t="shared" si="214"/>
        <v>666</v>
      </c>
      <c r="DN60" s="1078">
        <f t="shared" si="214"/>
        <v>2350</v>
      </c>
      <c r="DO60" s="1075">
        <f t="shared" si="214"/>
        <v>620</v>
      </c>
      <c r="DP60" s="1036">
        <f t="shared" si="214"/>
        <v>656</v>
      </c>
      <c r="DQ60" s="1036">
        <f t="shared" si="214"/>
        <v>699</v>
      </c>
      <c r="DR60" s="1662">
        <f t="shared" si="214"/>
        <v>777</v>
      </c>
      <c r="DS60" s="1078">
        <f t="shared" si="214"/>
        <v>2752</v>
      </c>
      <c r="DT60" s="1075">
        <f t="shared" ref="DT60:DU60" si="215">+DT39</f>
        <v>750</v>
      </c>
      <c r="DU60" s="1036">
        <f t="shared" si="215"/>
        <v>802</v>
      </c>
      <c r="DV60" s="1075">
        <f t="shared" si="214"/>
        <v>860.61512704218728</v>
      </c>
      <c r="DW60" s="1075">
        <f t="shared" si="214"/>
        <v>935.33450172749986</v>
      </c>
      <c r="DX60" s="1078">
        <f t="shared" si="214"/>
        <v>3347.9496287696875</v>
      </c>
      <c r="DY60" s="1075">
        <f t="shared" si="214"/>
        <v>898.83625293750015</v>
      </c>
      <c r="DZ60" s="1075">
        <f t="shared" si="214"/>
        <v>965.84413021340015</v>
      </c>
      <c r="EA60" s="1075">
        <f t="shared" si="214"/>
        <v>1036.4340010306189</v>
      </c>
      <c r="EB60" s="1075">
        <f t="shared" si="214"/>
        <v>1126.4181275306501</v>
      </c>
      <c r="EC60" s="1078">
        <f t="shared" si="214"/>
        <v>4027.5325117121693</v>
      </c>
      <c r="ED60" s="1075">
        <f t="shared" si="214"/>
        <v>1067.1414407107902</v>
      </c>
      <c r="EE60" s="1075">
        <f t="shared" si="214"/>
        <v>1141.1299139334049</v>
      </c>
      <c r="EF60" s="1075">
        <f t="shared" si="214"/>
        <v>1218.5864313702677</v>
      </c>
      <c r="EG60" s="1075">
        <f t="shared" si="214"/>
        <v>1317.9561403661266</v>
      </c>
      <c r="EH60" s="1078">
        <f t="shared" si="214"/>
        <v>4744.8139263805897</v>
      </c>
      <c r="EI60" s="1075">
        <f t="shared" si="214"/>
        <v>1248.5999470793063</v>
      </c>
      <c r="EJ60" s="1075">
        <f t="shared" si="214"/>
        <v>1335.1695434101377</v>
      </c>
      <c r="EK60" s="1075">
        <f t="shared" si="214"/>
        <v>1425.7968959644509</v>
      </c>
      <c r="EL60" s="1075">
        <f t="shared" si="214"/>
        <v>1542.0635956353719</v>
      </c>
      <c r="EM60" s="1078">
        <f t="shared" si="214"/>
        <v>5551.6299820892673</v>
      </c>
      <c r="EN60" s="1075">
        <f t="shared" si="214"/>
        <v>1460.9139598290203</v>
      </c>
      <c r="EO60" s="1075">
        <f t="shared" si="214"/>
        <v>1562.2039943771658</v>
      </c>
      <c r="EP60" s="1075">
        <f t="shared" si="214"/>
        <v>1668.241772769393</v>
      </c>
      <c r="EQ60" s="1075">
        <f t="shared" si="214"/>
        <v>1804.2786555274126</v>
      </c>
      <c r="ER60" s="1078">
        <f t="shared" si="214"/>
        <v>6495.6383825029916</v>
      </c>
    </row>
    <row r="61" spans="1:163">
      <c r="C61" s="1087" t="s">
        <v>625</v>
      </c>
      <c r="BU61" s="1073"/>
      <c r="BZ61" s="1073"/>
      <c r="CE61" s="1073"/>
      <c r="CJ61" s="1073"/>
      <c r="CO61" s="1073"/>
      <c r="CT61" s="1073"/>
      <c r="CY61" s="1073"/>
      <c r="DD61" s="1073"/>
      <c r="DG61" s="1155">
        <f>DG60/DB60-1</f>
        <v>0.29151928907975266</v>
      </c>
      <c r="DH61" s="1155">
        <f>DH60/DC60-1</f>
        <v>0.3116670913969628</v>
      </c>
      <c r="DI61" s="1073"/>
      <c r="DJ61" s="1155">
        <f t="shared" ref="DJ61:DQ61" si="216">DJ60/DE60-1</f>
        <v>0.33769633507853403</v>
      </c>
      <c r="DK61" s="1155">
        <f t="shared" si="216"/>
        <v>0.26801801801801806</v>
      </c>
      <c r="DL61" s="1155">
        <f t="shared" si="216"/>
        <v>0.25514403292181065</v>
      </c>
      <c r="DM61" s="1155">
        <f t="shared" si="216"/>
        <v>0.26857142857142846</v>
      </c>
      <c r="DN61" s="1161">
        <f t="shared" si="216"/>
        <v>0.27925966249319534</v>
      </c>
      <c r="DO61" s="1155">
        <f>DO60/DJ60-1</f>
        <v>0.21330724070450091</v>
      </c>
      <c r="DP61" s="1539">
        <f t="shared" si="216"/>
        <v>0.1651865008880995</v>
      </c>
      <c r="DQ61" s="1539">
        <f t="shared" si="216"/>
        <v>0.14590163934426226</v>
      </c>
      <c r="DR61" s="1539">
        <f>DR60/DM60-1</f>
        <v>0.16666666666666674</v>
      </c>
      <c r="DS61" s="1161">
        <f>DS60/DN60-1</f>
        <v>0.171063829787234</v>
      </c>
      <c r="DT61" s="1155">
        <f>DT60/DO60-1</f>
        <v>0.20967741935483875</v>
      </c>
      <c r="DU61" s="1539">
        <f t="shared" ref="DU61" si="217">DU60/DP60-1</f>
        <v>0.22256097560975618</v>
      </c>
      <c r="DV61" s="1155">
        <f t="shared" ref="DV61:EC61" si="218">DV60/DQ60-1</f>
        <v>0.2312090515624996</v>
      </c>
      <c r="DW61" s="1155">
        <f t="shared" si="218"/>
        <v>0.20377670749999988</v>
      </c>
      <c r="DX61" s="1161">
        <f t="shared" si="218"/>
        <v>0.21655146394247371</v>
      </c>
      <c r="DY61" s="1155">
        <f t="shared" si="218"/>
        <v>0.19844833725000011</v>
      </c>
      <c r="DZ61" s="1155">
        <f t="shared" si="218"/>
        <v>0.2042944267000002</v>
      </c>
      <c r="EA61" s="1155">
        <f t="shared" si="218"/>
        <v>0.20429442670000042</v>
      </c>
      <c r="EB61" s="1155">
        <f t="shared" si="218"/>
        <v>0.20429442670000042</v>
      </c>
      <c r="EC61" s="1161">
        <f t="shared" si="218"/>
        <v>0.202984799144728</v>
      </c>
      <c r="ED61" s="1155">
        <f t="shared" ref="ED61" si="219">ED60/DY60-1</f>
        <v>0.18724788549999993</v>
      </c>
      <c r="EE61" s="1155">
        <f t="shared" ref="EE61" si="220">EE60/DZ60-1</f>
        <v>0.18148454624999988</v>
      </c>
      <c r="EF61" s="1155">
        <f t="shared" ref="EF61" si="221">EF60/EA60-1</f>
        <v>0.17574918437499965</v>
      </c>
      <c r="EG61" s="1155">
        <f t="shared" ref="EG61" si="222">EG60/EB60-1</f>
        <v>0.17004166406249954</v>
      </c>
      <c r="EH61" s="1161">
        <f t="shared" ref="EH61" si="223">EH60/EC60-1</f>
        <v>0.17809450639629776</v>
      </c>
      <c r="EI61" s="1155">
        <f t="shared" ref="EI61" si="224">EI60/ED60-1</f>
        <v>0.17004166406249954</v>
      </c>
      <c r="EJ61" s="1155">
        <f t="shared" ref="EJ61" si="225">EJ60/EE60-1</f>
        <v>0.17004166406249932</v>
      </c>
      <c r="EK61" s="1155">
        <f t="shared" ref="EK61" si="226">EK60/EF60-1</f>
        <v>0.17004166406249954</v>
      </c>
      <c r="EL61" s="1155">
        <f t="shared" ref="EL61" si="227">EL60/EG60-1</f>
        <v>0.17004166406249954</v>
      </c>
      <c r="EM61" s="1161">
        <f t="shared" ref="EM61" si="228">EM60/EH60-1</f>
        <v>0.17004166406249954</v>
      </c>
      <c r="EN61" s="1155">
        <f t="shared" ref="EN61" si="229">EN60/EI60-1</f>
        <v>0.17004166406249954</v>
      </c>
      <c r="EO61" s="1155">
        <f t="shared" ref="EO61" si="230">EO60/EJ60-1</f>
        <v>0.17004166406249999</v>
      </c>
      <c r="EP61" s="1155">
        <f t="shared" ref="EP61" si="231">EP60/EK60-1</f>
        <v>0.17004166406249976</v>
      </c>
      <c r="EQ61" s="1155">
        <f t="shared" ref="EQ61" si="232">EQ60/EL60-1</f>
        <v>0.17004166406249999</v>
      </c>
      <c r="ER61" s="1161">
        <f t="shared" ref="ER61" si="233">ER60/EM60-1</f>
        <v>0.17004166406249976</v>
      </c>
    </row>
    <row r="62" spans="1:163" ht="12" customHeight="1">
      <c r="A62" s="931"/>
      <c r="B62" s="484"/>
      <c r="C62" s="1437" t="s">
        <v>485</v>
      </c>
      <c r="D62" s="500"/>
      <c r="E62" s="501"/>
      <c r="F62" s="501"/>
      <c r="G62" s="501"/>
      <c r="H62" s="501"/>
      <c r="I62" s="502"/>
      <c r="J62" s="502"/>
      <c r="K62" s="502"/>
      <c r="L62" s="502"/>
      <c r="M62" s="501"/>
      <c r="N62" s="359"/>
      <c r="O62" s="359"/>
      <c r="P62" s="359"/>
      <c r="Q62" s="359"/>
      <c r="R62" s="501"/>
      <c r="S62" s="359"/>
      <c r="T62" s="359"/>
      <c r="U62" s="359"/>
      <c r="V62" s="359"/>
      <c r="W62" s="501"/>
      <c r="X62" s="359"/>
      <c r="Y62" s="359"/>
      <c r="Z62" s="359"/>
      <c r="AA62" s="359"/>
      <c r="AB62" s="501"/>
      <c r="AC62" s="359"/>
      <c r="AD62" s="359"/>
      <c r="AE62" s="359"/>
      <c r="AF62" s="359"/>
      <c r="AG62" s="501"/>
      <c r="AH62" s="359"/>
      <c r="AI62" s="359"/>
      <c r="AJ62" s="359"/>
      <c r="AK62" s="359"/>
      <c r="AL62" s="501"/>
      <c r="AM62" s="359"/>
      <c r="AN62" s="359"/>
      <c r="AO62" s="359"/>
      <c r="AP62" s="359"/>
      <c r="AQ62" s="501"/>
      <c r="AR62" s="359"/>
      <c r="AS62" s="359"/>
      <c r="AT62" s="359"/>
      <c r="AU62" s="359"/>
      <c r="AV62" s="501"/>
      <c r="AW62" s="359"/>
      <c r="AX62" s="359"/>
      <c r="AY62" s="359"/>
      <c r="AZ62" s="359"/>
      <c r="BA62" s="501"/>
      <c r="BB62" s="359"/>
      <c r="BC62" s="359"/>
      <c r="BD62" s="359"/>
      <c r="BE62" s="359"/>
      <c r="BF62" s="501"/>
      <c r="BG62" s="539"/>
      <c r="BH62" s="539"/>
      <c r="BI62" s="539"/>
      <c r="BJ62" s="539"/>
      <c r="BK62" s="501"/>
      <c r="BL62" s="359"/>
      <c r="BM62" s="359"/>
      <c r="BN62" s="359"/>
      <c r="BO62" s="359"/>
      <c r="BP62" s="501"/>
      <c r="BQ62" s="359"/>
      <c r="BR62" s="359"/>
      <c r="BS62" s="359"/>
      <c r="BT62" s="359"/>
      <c r="BU62" s="501"/>
      <c r="BV62" s="359"/>
      <c r="BW62" s="359"/>
      <c r="BX62" s="359"/>
      <c r="BY62" s="359"/>
      <c r="BZ62" s="243"/>
      <c r="CA62" s="359"/>
      <c r="CB62" s="359"/>
      <c r="CC62" s="359"/>
      <c r="CD62" s="359"/>
      <c r="CE62" s="243"/>
      <c r="CF62" s="359"/>
      <c r="CG62" s="359"/>
      <c r="CH62" s="359"/>
      <c r="CI62" s="359"/>
      <c r="CJ62" s="243"/>
      <c r="CK62" s="506"/>
      <c r="CL62" s="506"/>
      <c r="CM62" s="506"/>
      <c r="CN62" s="506"/>
      <c r="CO62" s="243"/>
      <c r="CP62" s="244"/>
      <c r="CQ62" s="244"/>
      <c r="CR62" s="244"/>
      <c r="CS62" s="244"/>
      <c r="CT62" s="243"/>
      <c r="CU62" s="244"/>
      <c r="CV62" s="244"/>
      <c r="CW62" s="244"/>
      <c r="CX62" s="244"/>
      <c r="CY62" s="243"/>
      <c r="CZ62" s="244"/>
      <c r="DA62" s="244"/>
      <c r="DB62" s="244"/>
      <c r="DC62" s="244"/>
      <c r="DD62" s="243"/>
      <c r="DE62" s="244"/>
      <c r="DF62" s="244"/>
      <c r="DG62" s="244"/>
      <c r="DH62" s="244"/>
      <c r="DI62" s="243"/>
      <c r="DJ62" s="244"/>
      <c r="DK62" s="244"/>
      <c r="DL62" s="244"/>
      <c r="DM62" s="244"/>
      <c r="DN62" s="243"/>
      <c r="DO62" s="244"/>
      <c r="DP62" s="244"/>
      <c r="DQ62" s="244"/>
      <c r="DR62" s="244"/>
      <c r="DS62" s="243"/>
      <c r="DT62" s="244"/>
      <c r="DU62" s="244"/>
      <c r="DV62" s="244"/>
      <c r="DW62" s="244"/>
      <c r="DX62" s="243"/>
      <c r="DY62" s="244"/>
      <c r="DZ62" s="244"/>
      <c r="EA62" s="244"/>
      <c r="EB62" s="244"/>
      <c r="EC62" s="243"/>
      <c r="ED62" s="244"/>
      <c r="EE62" s="244"/>
      <c r="EF62" s="244"/>
      <c r="EG62" s="244"/>
      <c r="EH62" s="243"/>
      <c r="EI62" s="244"/>
      <c r="EJ62" s="244"/>
      <c r="EK62" s="244"/>
      <c r="EL62" s="244"/>
      <c r="EM62" s="243"/>
      <c r="EN62" s="244"/>
      <c r="EO62" s="244"/>
      <c r="EP62" s="244"/>
      <c r="EQ62" s="244"/>
      <c r="ER62" s="243"/>
      <c r="ES62" s="490"/>
    </row>
    <row r="63" spans="1:163" ht="12" customHeight="1">
      <c r="A63" s="932" t="s">
        <v>337</v>
      </c>
      <c r="B63" s="89"/>
      <c r="C63" s="545" t="s">
        <v>287</v>
      </c>
      <c r="D63" s="546"/>
      <c r="E63" s="546"/>
      <c r="F63" s="546"/>
      <c r="G63" s="546"/>
      <c r="H63" s="546"/>
      <c r="I63" s="547"/>
      <c r="J63" s="547"/>
      <c r="K63" s="547"/>
      <c r="L63" s="547"/>
      <c r="M63" s="548"/>
      <c r="N63" s="492"/>
      <c r="O63" s="492"/>
      <c r="P63" s="492"/>
      <c r="Q63" s="492"/>
      <c r="R63" s="548"/>
      <c r="S63" s="547"/>
      <c r="T63" s="547"/>
      <c r="U63" s="547"/>
      <c r="V63" s="547"/>
      <c r="W63" s="548"/>
      <c r="X63" s="549"/>
      <c r="Y63" s="549"/>
      <c r="Z63" s="549"/>
      <c r="AA63" s="549"/>
      <c r="AB63" s="548"/>
      <c r="AC63" s="549"/>
      <c r="AD63" s="549"/>
      <c r="AE63" s="549"/>
      <c r="AF63" s="549"/>
      <c r="AG63" s="548"/>
      <c r="AH63" s="550"/>
      <c r="AI63" s="551"/>
      <c r="AJ63" s="551"/>
      <c r="AK63" s="551"/>
      <c r="AL63" s="548"/>
      <c r="AM63" s="551"/>
      <c r="AN63" s="551"/>
      <c r="AO63" s="551"/>
      <c r="AP63" s="551"/>
      <c r="AQ63" s="548"/>
      <c r="AR63" s="551"/>
      <c r="AS63" s="551"/>
      <c r="AT63" s="551"/>
      <c r="AU63" s="551"/>
      <c r="AV63" s="548"/>
      <c r="AW63" s="551"/>
      <c r="AX63" s="551"/>
      <c r="AY63" s="551"/>
      <c r="AZ63" s="551"/>
      <c r="BA63" s="548"/>
      <c r="BB63" s="551"/>
      <c r="BC63" s="551"/>
      <c r="BD63" s="551"/>
      <c r="BE63" s="551"/>
      <c r="BF63" s="493"/>
      <c r="BG63" s="552"/>
      <c r="BH63" s="552"/>
      <c r="BI63" s="552"/>
      <c r="BJ63" s="552"/>
      <c r="BK63" s="493"/>
      <c r="BL63" s="497"/>
      <c r="BM63" s="497"/>
      <c r="BN63" s="497"/>
      <c r="BO63" s="497"/>
      <c r="BP63" s="495"/>
      <c r="BQ63" s="553">
        <v>1324.0820000000001</v>
      </c>
      <c r="BR63" s="553">
        <v>1634.5709999999999</v>
      </c>
      <c r="BS63" s="553">
        <v>1909.2629999999999</v>
      </c>
      <c r="BT63" s="553">
        <v>2838.7449999999999</v>
      </c>
      <c r="BU63" s="554">
        <f>SUM(BQ63:BT63)</f>
        <v>7706.6610000000001</v>
      </c>
      <c r="BV63" s="553">
        <v>2671.8009999999999</v>
      </c>
      <c r="BW63" s="553">
        <v>3366.6990000000001</v>
      </c>
      <c r="BX63" s="553">
        <v>3810.3609999999999</v>
      </c>
      <c r="BY63" s="553">
        <v>5525.3049999999985</v>
      </c>
      <c r="BZ63" s="554">
        <f>SUM(BV63:BY63)</f>
        <v>15374.165999999999</v>
      </c>
      <c r="CA63" s="553">
        <v>4852.4250000000002</v>
      </c>
      <c r="CB63" s="553">
        <v>5865.8459999999995</v>
      </c>
      <c r="CC63" s="553">
        <v>6430.9</v>
      </c>
      <c r="CD63" s="553">
        <v>9170.9789999999994</v>
      </c>
      <c r="CE63" s="554">
        <f>SUM(CA63:CD63)</f>
        <v>26320.15</v>
      </c>
      <c r="CF63" s="553">
        <v>7952.4319999999998</v>
      </c>
      <c r="CG63" s="553">
        <v>9135.6389999999992</v>
      </c>
      <c r="CH63" s="553">
        <v>9994.6080000000002</v>
      </c>
      <c r="CI63" s="553">
        <v>14020.558999999997</v>
      </c>
      <c r="CJ63" s="554">
        <f>SUM(CF63:CI63)</f>
        <v>41103.237999999998</v>
      </c>
      <c r="CK63" s="553">
        <v>11913.825999999999</v>
      </c>
      <c r="CL63" s="553">
        <v>13772.195</v>
      </c>
      <c r="CM63" s="553">
        <v>14821.11</v>
      </c>
      <c r="CN63" s="553">
        <v>20631.326000000001</v>
      </c>
      <c r="CO63" s="554">
        <f>SUM(CK63:CN63)</f>
        <v>61138.457000000002</v>
      </c>
      <c r="CP63" s="555">
        <v>17415.252</v>
      </c>
      <c r="CQ63" s="555">
        <v>30105.466</v>
      </c>
      <c r="CR63" s="555">
        <v>30917.154999999999</v>
      </c>
      <c r="CS63" s="555">
        <v>41139.273999999998</v>
      </c>
      <c r="CT63" s="554">
        <f>SUM(CP63:CS63)</f>
        <v>119577.147</v>
      </c>
      <c r="CU63" s="555">
        <v>37346.885999999999</v>
      </c>
      <c r="CV63" s="555">
        <v>42193.370999999999</v>
      </c>
      <c r="CW63" s="555">
        <v>41764.997000000003</v>
      </c>
      <c r="CX63" s="555">
        <f>175361.814-SUM(CU63:CW63)</f>
        <v>54056.560000000012</v>
      </c>
      <c r="CY63" s="554">
        <f>SUM(CU63:CX63)</f>
        <v>175361.81400000001</v>
      </c>
      <c r="CZ63" s="555">
        <v>43199.951999999997</v>
      </c>
      <c r="DA63" s="555">
        <v>46850.218999999997</v>
      </c>
      <c r="DB63" s="555">
        <v>46200</v>
      </c>
      <c r="DC63" s="555">
        <v>61000</v>
      </c>
      <c r="DD63" s="554">
        <f>SUM(CZ63:DC63)</f>
        <v>197250.171</v>
      </c>
      <c r="DE63" s="555">
        <v>49600</v>
      </c>
      <c r="DF63" s="555">
        <v>55000</v>
      </c>
      <c r="DG63" s="555">
        <v>56200</v>
      </c>
      <c r="DH63" s="555">
        <v>75125</v>
      </c>
      <c r="DI63" s="554">
        <f>SUM(DE63:DH63)</f>
        <v>235925</v>
      </c>
      <c r="DJ63" s="555">
        <v>60855</v>
      </c>
      <c r="DK63" s="555">
        <v>67245</v>
      </c>
      <c r="DL63" s="555">
        <v>69715</v>
      </c>
      <c r="DM63" s="555">
        <v>94460</v>
      </c>
      <c r="DN63" s="554">
        <f>SUM(DJ63:DM63)</f>
        <v>292275</v>
      </c>
      <c r="DO63" s="1287">
        <v>74750</v>
      </c>
      <c r="DP63" s="555">
        <v>87837</v>
      </c>
      <c r="DQ63" s="555">
        <v>92013</v>
      </c>
      <c r="DR63" s="555">
        <v>123841</v>
      </c>
      <c r="DS63" s="554">
        <f>SUM(DO63:DR63)</f>
        <v>378441</v>
      </c>
      <c r="DT63" s="1287">
        <v>100743</v>
      </c>
      <c r="DU63" s="555">
        <v>115567</v>
      </c>
      <c r="DV63" s="556">
        <f>DQ63*(1+DV65)</f>
        <v>119616.90000000001</v>
      </c>
      <c r="DW63" s="556">
        <f>DR63*(1+DW65)</f>
        <v>159754.89000000001</v>
      </c>
      <c r="DX63" s="554">
        <f>SUM(DT63:DW63)</f>
        <v>495681.79000000004</v>
      </c>
      <c r="DY63" s="556">
        <f>DT63*(1+DY65)</f>
        <v>128951.04000000001</v>
      </c>
      <c r="DZ63" s="556">
        <f>DU63*(1+DZ65)</f>
        <v>146770.09</v>
      </c>
      <c r="EA63" s="556">
        <f>DV63*(1+EA65)</f>
        <v>149521.125</v>
      </c>
      <c r="EB63" s="556">
        <f>DW63*(1+EB65)</f>
        <v>198096.06360000002</v>
      </c>
      <c r="EC63" s="554">
        <f>SUM(DY63:EB63)</f>
        <v>623338.3186</v>
      </c>
      <c r="ED63" s="556">
        <f>DY63*(1+ED65)</f>
        <v>154741.24799999999</v>
      </c>
      <c r="EE63" s="556">
        <f>DZ63*(1+EE65)</f>
        <v>176124.10799999998</v>
      </c>
      <c r="EF63" s="556">
        <f>EA63*(1+EF65)</f>
        <v>179425.35</v>
      </c>
      <c r="EG63" s="556">
        <f>EB63*(1+EG65)</f>
        <v>237715.27632</v>
      </c>
      <c r="EH63" s="554">
        <f>SUM(ED63:EG63)</f>
        <v>748005.98231999995</v>
      </c>
      <c r="EI63" s="556">
        <f>ED63*(1+EI65)</f>
        <v>181820.9664</v>
      </c>
      <c r="EJ63" s="556">
        <f>EE63*(1+EJ65)</f>
        <v>206945.82689999999</v>
      </c>
      <c r="EK63" s="556">
        <f>EF63*(1+EK65)</f>
        <v>210824.78625</v>
      </c>
      <c r="EL63" s="556">
        <f>EG63*(1+EL65)</f>
        <v>279315.44967599999</v>
      </c>
      <c r="EM63" s="554">
        <f>SUM(EI63:EL63)</f>
        <v>878907.02922599996</v>
      </c>
      <c r="EN63" s="556">
        <f>EI63*(1+EN65)</f>
        <v>210912.321024</v>
      </c>
      <c r="EO63" s="556">
        <f>EJ63*(1+EO65)</f>
        <v>240057.15920399997</v>
      </c>
      <c r="EP63" s="556">
        <f>EK63*(1+EP65)</f>
        <v>244556.75204999998</v>
      </c>
      <c r="EQ63" s="556">
        <f>EL63*(1+EQ65)</f>
        <v>324005.92162415996</v>
      </c>
      <c r="ER63" s="554">
        <f>SUM(EN63:EQ63)</f>
        <v>1019532.15390216</v>
      </c>
      <c r="ES63" s="499"/>
    </row>
    <row r="64" spans="1:163" ht="12" customHeight="1">
      <c r="A64" s="931"/>
      <c r="B64" s="484"/>
      <c r="C64" s="641" t="s">
        <v>130</v>
      </c>
      <c r="D64" s="557"/>
      <c r="E64" s="557"/>
      <c r="F64" s="557"/>
      <c r="G64" s="557"/>
      <c r="H64" s="557"/>
      <c r="I64" s="558"/>
      <c r="J64" s="558"/>
      <c r="K64" s="558"/>
      <c r="L64" s="558"/>
      <c r="M64" s="559"/>
      <c r="N64" s="560"/>
      <c r="O64" s="560"/>
      <c r="P64" s="560"/>
      <c r="Q64" s="560"/>
      <c r="R64" s="559"/>
      <c r="S64" s="558"/>
      <c r="T64" s="558"/>
      <c r="U64" s="558"/>
      <c r="V64" s="558"/>
      <c r="W64" s="559"/>
      <c r="X64" s="561"/>
      <c r="Y64" s="561"/>
      <c r="Z64" s="561"/>
      <c r="AA64" s="561"/>
      <c r="AB64" s="559"/>
      <c r="AC64" s="561"/>
      <c r="AD64" s="561"/>
      <c r="AE64" s="561"/>
      <c r="AF64" s="561"/>
      <c r="AG64" s="559"/>
      <c r="AH64" s="91"/>
      <c r="AI64" s="562"/>
      <c r="AJ64" s="562"/>
      <c r="AK64" s="562"/>
      <c r="AL64" s="559"/>
      <c r="AM64" s="562"/>
      <c r="AN64" s="562"/>
      <c r="AO64" s="562"/>
      <c r="AP64" s="562"/>
      <c r="AQ64" s="559"/>
      <c r="AR64" s="562"/>
      <c r="AS64" s="562"/>
      <c r="AT64" s="562"/>
      <c r="AU64" s="562"/>
      <c r="AV64" s="559"/>
      <c r="AW64" s="562"/>
      <c r="AX64" s="562"/>
      <c r="AY64" s="562"/>
      <c r="AZ64" s="562"/>
      <c r="BA64" s="559"/>
      <c r="BB64" s="562"/>
      <c r="BC64" s="562"/>
      <c r="BD64" s="562"/>
      <c r="BE64" s="562"/>
      <c r="BF64" s="563"/>
      <c r="BG64" s="564"/>
      <c r="BH64" s="564"/>
      <c r="BI64" s="564"/>
      <c r="BJ64" s="564"/>
      <c r="BK64" s="563"/>
      <c r="BL64" s="244"/>
      <c r="BM64" s="244"/>
      <c r="BN64" s="244"/>
      <c r="BO64" s="244"/>
      <c r="BP64" s="504"/>
      <c r="BQ64" s="244"/>
      <c r="BR64" s="244">
        <f>BR63/BQ63-1</f>
        <v>0.23449378512811125</v>
      </c>
      <c r="BS64" s="244">
        <f>BS63/BR63-1</f>
        <v>0.16805143367892872</v>
      </c>
      <c r="BT64" s="244">
        <f>BT63/BS63-1</f>
        <v>0.48682763977513832</v>
      </c>
      <c r="BU64" s="504"/>
      <c r="BV64" s="244">
        <f>BV63/BT63-1</f>
        <v>-5.8809086409663425E-2</v>
      </c>
      <c r="BW64" s="244">
        <f>BW63/BV63-1</f>
        <v>0.26008598694288998</v>
      </c>
      <c r="BX64" s="244">
        <f>BX63/BW63-1</f>
        <v>0.1317795264738546</v>
      </c>
      <c r="BY64" s="244">
        <f>BY63/BX63-1</f>
        <v>0.45007389063660863</v>
      </c>
      <c r="BZ64" s="504"/>
      <c r="CA64" s="244">
        <f>CA63/BY63-1</f>
        <v>-0.12178151251378855</v>
      </c>
      <c r="CB64" s="244">
        <f>CB63/CA63-1</f>
        <v>0.20884835932549173</v>
      </c>
      <c r="CC64" s="244">
        <f>CC63/CB63-1</f>
        <v>9.6329497910446316E-2</v>
      </c>
      <c r="CD64" s="244">
        <f>CD63/CC63-1</f>
        <v>0.42608017540313181</v>
      </c>
      <c r="CE64" s="504"/>
      <c r="CF64" s="244">
        <f>CF63/CD63-1</f>
        <v>-0.13286989317062003</v>
      </c>
      <c r="CG64" s="244">
        <f>CG63/CF63-1</f>
        <v>0.14878555390351011</v>
      </c>
      <c r="CH64" s="244">
        <f>CH63/CG63-1</f>
        <v>9.4023964826105866E-2</v>
      </c>
      <c r="CI64" s="244">
        <f>CI63/CH63-1</f>
        <v>0.40281229639021343</v>
      </c>
      <c r="CJ64" s="504"/>
      <c r="CK64" s="244">
        <f>CK63/CI63-1</f>
        <v>-0.15026027136293196</v>
      </c>
      <c r="CL64" s="244">
        <f>CL63/CK63-1</f>
        <v>0.15598423210142576</v>
      </c>
      <c r="CM64" s="244">
        <f>CM63/CL63-1</f>
        <v>7.6161788298815258E-2</v>
      </c>
      <c r="CN64" s="244">
        <f>CN63/CM63-1</f>
        <v>0.39202299962688358</v>
      </c>
      <c r="CO64" s="504"/>
      <c r="CP64" s="244">
        <f>CP63/CN63-1</f>
        <v>-0.15588304891309457</v>
      </c>
      <c r="CQ64" s="244">
        <f>CQ63/CP63-1</f>
        <v>0.72868391453652226</v>
      </c>
      <c r="CR64" s="244">
        <f>CR63/CQ63-1</f>
        <v>2.696151589216389E-2</v>
      </c>
      <c r="CS64" s="244">
        <f>CS63/CR63-1</f>
        <v>0.33062935447973785</v>
      </c>
      <c r="CT64" s="504"/>
      <c r="CU64" s="244">
        <f>CU63/CS63-1</f>
        <v>-9.2184125563324226E-2</v>
      </c>
      <c r="CV64" s="244">
        <f>CV63/CU63-1</f>
        <v>0.1297694538709333</v>
      </c>
      <c r="CW64" s="244">
        <f>CW63/CV63-1</f>
        <v>-1.0152637484215132E-2</v>
      </c>
      <c r="CX64" s="244">
        <f>CX63/CW63-1</f>
        <v>0.29430297816135376</v>
      </c>
      <c r="CY64" s="504"/>
      <c r="CZ64" s="244">
        <f>CZ63/CX63-1</f>
        <v>-0.20083793715323384</v>
      </c>
      <c r="DA64" s="244">
        <f>DA63/CZ63-1</f>
        <v>8.4497015181868695E-2</v>
      </c>
      <c r="DB64" s="244">
        <f>DB63/DA63-1</f>
        <v>-1.3878675785912509E-2</v>
      </c>
      <c r="DC64" s="244">
        <f>DC63/DB63-1</f>
        <v>0.32034632034632038</v>
      </c>
      <c r="DD64" s="504"/>
      <c r="DE64" s="244">
        <f>DE63/DC63-1</f>
        <v>-0.18688524590163935</v>
      </c>
      <c r="DF64" s="244">
        <f>DF63/DE63-1</f>
        <v>0.1088709677419355</v>
      </c>
      <c r="DG64" s="244">
        <f>DG63/DF63-1</f>
        <v>2.1818181818181737E-2</v>
      </c>
      <c r="DH64" s="244">
        <f>DH63/DG63-1</f>
        <v>0.33674377224199281</v>
      </c>
      <c r="DI64" s="504"/>
      <c r="DJ64" s="244">
        <f>DJ63/DH63-1</f>
        <v>-0.18995008319467555</v>
      </c>
      <c r="DK64" s="244">
        <f>DK63/DJ63-1</f>
        <v>0.10500369731328574</v>
      </c>
      <c r="DL64" s="244">
        <f>DL63/DK63-1</f>
        <v>3.6731355491114615E-2</v>
      </c>
      <c r="DM64" s="244">
        <f>DM63/DL63-1</f>
        <v>0.35494513375887538</v>
      </c>
      <c r="DN64" s="504"/>
      <c r="DO64" s="244">
        <f>DO63/DM63-1</f>
        <v>-0.20865975015879734</v>
      </c>
      <c r="DP64" s="244">
        <f>DP63/DO63-1</f>
        <v>0.17507692307692313</v>
      </c>
      <c r="DQ64" s="244">
        <f>DQ63/DP63-1</f>
        <v>4.7542607329485342E-2</v>
      </c>
      <c r="DR64" s="244">
        <f>DR63/DQ63-1</f>
        <v>0.34590764348515979</v>
      </c>
      <c r="DS64" s="504"/>
      <c r="DT64" s="244">
        <f>DT63/DR63-1</f>
        <v>-0.18651335179786988</v>
      </c>
      <c r="DU64" s="244">
        <f>DU63/DT63-1</f>
        <v>0.14714670001885977</v>
      </c>
      <c r="DV64" s="244">
        <f>DV63/DU63-1</f>
        <v>3.504374086028017E-2</v>
      </c>
      <c r="DW64" s="244">
        <f>DW63/DV63-1</f>
        <v>0.33555450776604312</v>
      </c>
      <c r="DX64" s="504"/>
      <c r="DY64" s="244">
        <f>DY63/DW63-1</f>
        <v>-0.19281944984594834</v>
      </c>
      <c r="DZ64" s="244">
        <f>DZ63/DY63-1</f>
        <v>0.13818461642496249</v>
      </c>
      <c r="EA64" s="244">
        <f>EA63/DZ63-1</f>
        <v>1.8743839429409714E-2</v>
      </c>
      <c r="EB64" s="244">
        <f>EB63/EA63-1</f>
        <v>0.3248700717039148</v>
      </c>
      <c r="EC64" s="504"/>
      <c r="ED64" s="244">
        <f>ED63/EB63-1</f>
        <v>-0.2188575321089824</v>
      </c>
      <c r="EE64" s="244">
        <f>EE63/ED63-1</f>
        <v>0.13818461642496249</v>
      </c>
      <c r="EF64" s="244">
        <f>EF63/EE63-1</f>
        <v>1.8743839429409714E-2</v>
      </c>
      <c r="EG64" s="244">
        <f>EG63/EF63-1</f>
        <v>0.3248700717039148</v>
      </c>
      <c r="EH64" s="504"/>
      <c r="EI64" s="244">
        <f>EI63/EG63-1</f>
        <v>-0.23513133352337845</v>
      </c>
      <c r="EJ64" s="244">
        <f>EJ63/EI63-1</f>
        <v>0.13818461642496249</v>
      </c>
      <c r="EK64" s="244">
        <f>EK63/EJ63-1</f>
        <v>1.8743839429409714E-2</v>
      </c>
      <c r="EL64" s="244">
        <f>EL63/EK63-1</f>
        <v>0.32487007170391458</v>
      </c>
      <c r="EM64" s="504"/>
      <c r="EN64" s="244">
        <f>EN63/EL63-1</f>
        <v>-0.24489561437201623</v>
      </c>
      <c r="EO64" s="244">
        <f>EO63/EN63-1</f>
        <v>0.13818461642496227</v>
      </c>
      <c r="EP64" s="244">
        <f>EP63/EO63-1</f>
        <v>1.8743839429409714E-2</v>
      </c>
      <c r="EQ64" s="244">
        <f>EQ63/EP63-1</f>
        <v>0.3248700717039148</v>
      </c>
      <c r="ER64" s="504"/>
      <c r="ES64" s="490"/>
    </row>
    <row r="65" spans="1:149" ht="12" customHeight="1">
      <c r="A65" s="931" t="s">
        <v>573</v>
      </c>
      <c r="B65" s="484"/>
      <c r="C65" s="641" t="s">
        <v>129</v>
      </c>
      <c r="D65" s="565"/>
      <c r="E65" s="565"/>
      <c r="F65" s="565"/>
      <c r="G65" s="565"/>
      <c r="H65" s="565"/>
      <c r="I65" s="566"/>
      <c r="J65" s="566"/>
      <c r="K65" s="566"/>
      <c r="L65" s="566"/>
      <c r="M65" s="567"/>
      <c r="N65" s="568"/>
      <c r="O65" s="568"/>
      <c r="P65" s="568"/>
      <c r="Q65" s="568"/>
      <c r="R65" s="567"/>
      <c r="S65" s="566"/>
      <c r="T65" s="566"/>
      <c r="U65" s="566"/>
      <c r="V65" s="566"/>
      <c r="W65" s="567"/>
      <c r="X65" s="569"/>
      <c r="Y65" s="569"/>
      <c r="Z65" s="569"/>
      <c r="AA65" s="569"/>
      <c r="AB65" s="567"/>
      <c r="AC65" s="569"/>
      <c r="AD65" s="569"/>
      <c r="AE65" s="569"/>
      <c r="AF65" s="569"/>
      <c r="AG65" s="567"/>
      <c r="AH65" s="570"/>
      <c r="AI65" s="571"/>
      <c r="AJ65" s="571"/>
      <c r="AK65" s="571"/>
      <c r="AL65" s="567"/>
      <c r="AM65" s="571"/>
      <c r="AN65" s="571"/>
      <c r="AO65" s="571"/>
      <c r="AP65" s="571"/>
      <c r="AQ65" s="567"/>
      <c r="AR65" s="571"/>
      <c r="AS65" s="571"/>
      <c r="AT65" s="571"/>
      <c r="AU65" s="571"/>
      <c r="AV65" s="567"/>
      <c r="AW65" s="359"/>
      <c r="AX65" s="359"/>
      <c r="AY65" s="359"/>
      <c r="AZ65" s="359"/>
      <c r="BA65" s="501"/>
      <c r="BB65" s="359"/>
      <c r="BC65" s="359"/>
      <c r="BD65" s="359"/>
      <c r="BE65" s="359"/>
      <c r="BF65" s="501"/>
      <c r="BG65" s="359"/>
      <c r="BH65" s="359"/>
      <c r="BI65" s="359"/>
      <c r="BJ65" s="359"/>
      <c r="BK65" s="501"/>
      <c r="BL65" s="244"/>
      <c r="BM65" s="244"/>
      <c r="BN65" s="244"/>
      <c r="BO65" s="244"/>
      <c r="BP65" s="243"/>
      <c r="BQ65" s="244"/>
      <c r="BR65" s="244"/>
      <c r="BS65" s="244"/>
      <c r="BT65" s="244"/>
      <c r="BU65" s="243"/>
      <c r="BV65" s="244">
        <f t="shared" ref="BV65:DQ65" si="234">BV63/BQ63-1</f>
        <v>1.0178516134197126</v>
      </c>
      <c r="BW65" s="244">
        <f t="shared" si="234"/>
        <v>1.0596835499956869</v>
      </c>
      <c r="BX65" s="244">
        <f t="shared" si="234"/>
        <v>0.99572348073576045</v>
      </c>
      <c r="BY65" s="244">
        <f t="shared" si="234"/>
        <v>0.94639004207845323</v>
      </c>
      <c r="BZ65" s="243">
        <f t="shared" si="234"/>
        <v>0.99491920041636694</v>
      </c>
      <c r="CA65" s="244">
        <f t="shared" si="234"/>
        <v>0.81616258097066363</v>
      </c>
      <c r="CB65" s="244">
        <f t="shared" si="234"/>
        <v>0.74231376193713761</v>
      </c>
      <c r="CC65" s="244">
        <f t="shared" si="234"/>
        <v>0.68774034796178096</v>
      </c>
      <c r="CD65" s="244">
        <f t="shared" si="234"/>
        <v>0.65981407361222622</v>
      </c>
      <c r="CE65" s="243">
        <f t="shared" si="234"/>
        <v>0.71197253886812484</v>
      </c>
      <c r="CF65" s="244">
        <f t="shared" si="234"/>
        <v>0.63885727239473034</v>
      </c>
      <c r="CG65" s="244">
        <f t="shared" si="234"/>
        <v>0.55742905626912131</v>
      </c>
      <c r="CH65" s="244">
        <f t="shared" si="234"/>
        <v>0.55415385093843805</v>
      </c>
      <c r="CI65" s="244">
        <f t="shared" si="234"/>
        <v>0.52879632588843561</v>
      </c>
      <c r="CJ65" s="243">
        <f t="shared" si="234"/>
        <v>0.56166427622942861</v>
      </c>
      <c r="CK65" s="244">
        <f t="shared" si="234"/>
        <v>0.49813616765286395</v>
      </c>
      <c r="CL65" s="244">
        <f t="shared" si="234"/>
        <v>0.50752399476380372</v>
      </c>
      <c r="CM65" s="244">
        <f t="shared" si="234"/>
        <v>0.48291058538764098</v>
      </c>
      <c r="CN65" s="244">
        <f t="shared" si="234"/>
        <v>0.47150523741599781</v>
      </c>
      <c r="CO65" s="243">
        <f t="shared" si="234"/>
        <v>0.48743651290927503</v>
      </c>
      <c r="CP65" s="244">
        <f t="shared" si="234"/>
        <v>0.46176820107998906</v>
      </c>
      <c r="CQ65" s="244">
        <f t="shared" si="234"/>
        <v>1.1859598996383656</v>
      </c>
      <c r="CR65" s="244">
        <f t="shared" si="234"/>
        <v>1.0860215597887066</v>
      </c>
      <c r="CS65" s="244">
        <f t="shared" si="234"/>
        <v>0.99401987055994345</v>
      </c>
      <c r="CT65" s="243">
        <f t="shared" si="234"/>
        <v>0.9558417543969091</v>
      </c>
      <c r="CU65" s="244">
        <f t="shared" si="234"/>
        <v>1.1444929995845019</v>
      </c>
      <c r="CV65" s="244">
        <f t="shared" si="234"/>
        <v>0.40151861459311067</v>
      </c>
      <c r="CW65" s="244">
        <f t="shared" si="234"/>
        <v>0.35086805367440843</v>
      </c>
      <c r="CX65" s="244">
        <f t="shared" si="234"/>
        <v>0.31398915790298143</v>
      </c>
      <c r="CY65" s="243">
        <f t="shared" si="234"/>
        <v>0.4665161228507988</v>
      </c>
      <c r="CZ65" s="244">
        <f t="shared" si="234"/>
        <v>0.15672166080995353</v>
      </c>
      <c r="DA65" s="244">
        <f t="shared" si="234"/>
        <v>0.11036918571877075</v>
      </c>
      <c r="DB65" s="244">
        <f t="shared" si="234"/>
        <v>0.10618947249056432</v>
      </c>
      <c r="DC65" s="244">
        <f t="shared" si="234"/>
        <v>0.12844768516531557</v>
      </c>
      <c r="DD65" s="243">
        <f t="shared" si="234"/>
        <v>0.12481826288589826</v>
      </c>
      <c r="DE65" s="244">
        <f t="shared" si="234"/>
        <v>0.14814942386973029</v>
      </c>
      <c r="DF65" s="244">
        <f t="shared" si="234"/>
        <v>0.17395395739772312</v>
      </c>
      <c r="DG65" s="244">
        <f t="shared" si="234"/>
        <v>0.21645021645021645</v>
      </c>
      <c r="DH65" s="244">
        <f t="shared" si="234"/>
        <v>0.23155737704918034</v>
      </c>
      <c r="DI65" s="243">
        <f t="shared" si="234"/>
        <v>0.19606993902175129</v>
      </c>
      <c r="DJ65" s="244">
        <f t="shared" si="234"/>
        <v>0.22691532258064506</v>
      </c>
      <c r="DK65" s="244">
        <f t="shared" si="234"/>
        <v>0.22263636363636374</v>
      </c>
      <c r="DL65" s="244">
        <f t="shared" si="234"/>
        <v>0.24048042704626327</v>
      </c>
      <c r="DM65" s="244">
        <f t="shared" si="234"/>
        <v>0.2573710482529119</v>
      </c>
      <c r="DN65" s="243">
        <f t="shared" si="234"/>
        <v>0.23884709123662184</v>
      </c>
      <c r="DO65" s="629">
        <f>DO63/DJ63-1</f>
        <v>0.22832963602004774</v>
      </c>
      <c r="DP65" s="244">
        <f t="shared" si="234"/>
        <v>0.30622351104171308</v>
      </c>
      <c r="DQ65" s="244">
        <f t="shared" si="234"/>
        <v>0.31984508355447172</v>
      </c>
      <c r="DR65" s="244">
        <f>DR63/DM63-1</f>
        <v>0.31104171077704845</v>
      </c>
      <c r="DS65" s="243">
        <f>DS63/DN63-1</f>
        <v>0.29481139337952267</v>
      </c>
      <c r="DT65" s="629">
        <f>DT63/DO63-1</f>
        <v>0.3477324414715719</v>
      </c>
      <c r="DU65" s="244">
        <f t="shared" ref="DU65" si="235">DU63/DP63-1</f>
        <v>0.31569839589239157</v>
      </c>
      <c r="DV65" s="360">
        <v>0.3</v>
      </c>
      <c r="DW65" s="360">
        <v>0.28999999999999998</v>
      </c>
      <c r="DX65" s="243">
        <f>DX63/DS63-1</f>
        <v>0.30979938748708524</v>
      </c>
      <c r="DY65" s="360">
        <v>0.28000000000000003</v>
      </c>
      <c r="DZ65" s="360">
        <v>0.27</v>
      </c>
      <c r="EA65" s="360">
        <v>0.25</v>
      </c>
      <c r="EB65" s="360">
        <v>0.24</v>
      </c>
      <c r="EC65" s="243">
        <f>EC63/DX63-1</f>
        <v>0.25753725711812003</v>
      </c>
      <c r="ED65" s="360">
        <v>0.2</v>
      </c>
      <c r="EE65" s="360">
        <v>0.2</v>
      </c>
      <c r="EF65" s="360">
        <v>0.2</v>
      </c>
      <c r="EG65" s="360">
        <v>0.2</v>
      </c>
      <c r="EH65" s="243">
        <f>EH63/EC63-1</f>
        <v>0.19999999999999996</v>
      </c>
      <c r="EI65" s="360">
        <v>0.17499999999999999</v>
      </c>
      <c r="EJ65" s="360">
        <v>0.17499999999999999</v>
      </c>
      <c r="EK65" s="360">
        <v>0.17499999999999999</v>
      </c>
      <c r="EL65" s="360">
        <v>0.17499999999999999</v>
      </c>
      <c r="EM65" s="243">
        <f>EM63/EH63-1</f>
        <v>0.17500000000000004</v>
      </c>
      <c r="EN65" s="360">
        <v>0.16</v>
      </c>
      <c r="EO65" s="360">
        <v>0.16</v>
      </c>
      <c r="EP65" s="360">
        <v>0.16</v>
      </c>
      <c r="EQ65" s="360">
        <v>0.16</v>
      </c>
      <c r="ER65" s="243">
        <f>ER63/EM63-1</f>
        <v>0.16000000000000014</v>
      </c>
      <c r="ES65" s="484"/>
    </row>
    <row r="66" spans="1:149" ht="12" customHeight="1">
      <c r="A66" s="931"/>
      <c r="B66" s="484"/>
      <c r="C66" s="600" t="s">
        <v>617</v>
      </c>
      <c r="D66" s="565"/>
      <c r="E66" s="565"/>
      <c r="F66" s="565"/>
      <c r="G66" s="565"/>
      <c r="H66" s="565"/>
      <c r="I66" s="566"/>
      <c r="J66" s="566"/>
      <c r="K66" s="566"/>
      <c r="L66" s="566"/>
      <c r="M66" s="567"/>
      <c r="N66" s="568"/>
      <c r="O66" s="568"/>
      <c r="P66" s="568"/>
      <c r="Q66" s="568"/>
      <c r="R66" s="567"/>
      <c r="S66" s="566"/>
      <c r="T66" s="566"/>
      <c r="U66" s="566"/>
      <c r="V66" s="566"/>
      <c r="W66" s="567"/>
      <c r="X66" s="569"/>
      <c r="Y66" s="569"/>
      <c r="Z66" s="569"/>
      <c r="AA66" s="569"/>
      <c r="AB66" s="567"/>
      <c r="AC66" s="569"/>
      <c r="AD66" s="569"/>
      <c r="AE66" s="569"/>
      <c r="AF66" s="569"/>
      <c r="AG66" s="567"/>
      <c r="AH66" s="570"/>
      <c r="AI66" s="571"/>
      <c r="AJ66" s="571"/>
      <c r="AK66" s="571"/>
      <c r="AL66" s="567"/>
      <c r="AM66" s="571"/>
      <c r="AN66" s="571"/>
      <c r="AO66" s="571"/>
      <c r="AP66" s="571"/>
      <c r="AQ66" s="567"/>
      <c r="AR66" s="571"/>
      <c r="AS66" s="571"/>
      <c r="AT66" s="571"/>
      <c r="AU66" s="571"/>
      <c r="AV66" s="567"/>
      <c r="AW66" s="359"/>
      <c r="AX66" s="359"/>
      <c r="AY66" s="359"/>
      <c r="AZ66" s="359"/>
      <c r="BA66" s="501"/>
      <c r="BB66" s="359"/>
      <c r="BC66" s="359"/>
      <c r="BD66" s="359"/>
      <c r="BE66" s="359"/>
      <c r="BF66" s="501"/>
      <c r="BG66" s="359"/>
      <c r="BH66" s="359"/>
      <c r="BI66" s="359"/>
      <c r="BJ66" s="359"/>
      <c r="BK66" s="501"/>
      <c r="BL66" s="244"/>
      <c r="BM66" s="244"/>
      <c r="BN66" s="244"/>
      <c r="BO66" s="244"/>
      <c r="BP66" s="243"/>
      <c r="BQ66" s="244"/>
      <c r="BR66" s="244"/>
      <c r="BS66" s="244"/>
      <c r="BT66" s="1080">
        <f t="shared" ref="BT66:CY66" si="236">BT63/BT16</f>
        <v>17.20451515151515</v>
      </c>
      <c r="BU66" s="1066">
        <f t="shared" si="236"/>
        <v>46.707036363636362</v>
      </c>
      <c r="BV66" s="1080">
        <f t="shared" si="236"/>
        <v>12.147586896724182</v>
      </c>
      <c r="BW66" s="1080">
        <f t="shared" si="236"/>
        <v>12.023925</v>
      </c>
      <c r="BX66" s="1080">
        <f t="shared" si="236"/>
        <v>11.907378124999999</v>
      </c>
      <c r="BY66" s="1080">
        <f t="shared" si="236"/>
        <v>14.636569536423837</v>
      </c>
      <c r="BZ66" s="1066">
        <f t="shared" si="236"/>
        <v>40.726267549668876</v>
      </c>
      <c r="CA66" s="1080">
        <f t="shared" si="236"/>
        <v>11.553392857142859</v>
      </c>
      <c r="CB66" s="1080">
        <f t="shared" si="236"/>
        <v>11.731692000000001</v>
      </c>
      <c r="CC66" s="1080">
        <f t="shared" si="236"/>
        <v>11.282280701754388</v>
      </c>
      <c r="CD66" s="1080">
        <f t="shared" si="236"/>
        <v>15.059078817733988</v>
      </c>
      <c r="CE66" s="1066">
        <f t="shared" si="236"/>
        <v>43.218637110016424</v>
      </c>
      <c r="CF66" s="1080">
        <f t="shared" si="236"/>
        <v>12.234510769230768</v>
      </c>
      <c r="CG66" s="1080">
        <f t="shared" si="236"/>
        <v>13.050912857142857</v>
      </c>
      <c r="CH66" s="1080">
        <f t="shared" si="236"/>
        <v>13.150800000000002</v>
      </c>
      <c r="CI66" s="1080">
        <f t="shared" si="236"/>
        <v>17.098242682926827</v>
      </c>
      <c r="CJ66" s="1066">
        <f t="shared" si="236"/>
        <v>50.125899999999994</v>
      </c>
      <c r="CK66" s="1080">
        <f t="shared" si="236"/>
        <v>14.01626588235294</v>
      </c>
      <c r="CL66" s="1080">
        <f t="shared" si="236"/>
        <v>15.302438888888888</v>
      </c>
      <c r="CM66" s="1080">
        <f t="shared" si="236"/>
        <v>15.601168421052632</v>
      </c>
      <c r="CN66" s="1080">
        <f t="shared" si="236"/>
        <v>19.299650140318054</v>
      </c>
      <c r="CO66" s="1066">
        <f t="shared" si="236"/>
        <v>61.138457000000002</v>
      </c>
      <c r="CP66" s="1080">
        <f t="shared" si="236"/>
        <v>15.832047272727273</v>
      </c>
      <c r="CQ66" s="1080">
        <f t="shared" si="236"/>
        <v>24.436254870129865</v>
      </c>
      <c r="CR66" s="1080">
        <f t="shared" si="236"/>
        <v>21.173985009131492</v>
      </c>
      <c r="CS66" s="1080">
        <f t="shared" si="236"/>
        <v>23.521597484276729</v>
      </c>
      <c r="CT66" s="1066">
        <f t="shared" si="236"/>
        <v>68.368866209262436</v>
      </c>
      <c r="CU66" s="1080">
        <f t="shared" si="236"/>
        <v>20.531999604169414</v>
      </c>
      <c r="CV66" s="1080">
        <f t="shared" si="236"/>
        <v>22.304255749692974</v>
      </c>
      <c r="CW66" s="1080">
        <f t="shared" si="236"/>
        <v>21.228662237222231</v>
      </c>
      <c r="CX66" s="1080">
        <f t="shared" si="236"/>
        <v>26.202888996606887</v>
      </c>
      <c r="CY66" s="1066">
        <f t="shared" si="236"/>
        <v>85.003302956858946</v>
      </c>
      <c r="CZ66" s="1080">
        <f t="shared" ref="CZ66:EE66" si="237">CZ63/CZ16</f>
        <v>20.733024577300188</v>
      </c>
      <c r="DA66" s="1080">
        <f t="shared" si="237"/>
        <v>22.262280465123151</v>
      </c>
      <c r="DB66" s="1080">
        <f t="shared" si="237"/>
        <v>21.735949992368962</v>
      </c>
      <c r="DC66" s="1080">
        <f t="shared" si="237"/>
        <v>24.955636166657381</v>
      </c>
      <c r="DD66" s="1066">
        <f t="shared" si="237"/>
        <v>80.69677870962218</v>
      </c>
      <c r="DE66" s="1080">
        <f t="shared" si="237"/>
        <v>17.645039969582413</v>
      </c>
      <c r="DF66" s="1080">
        <f t="shared" si="237"/>
        <v>18.63435480658665</v>
      </c>
      <c r="DG66" s="1080">
        <f t="shared" si="237"/>
        <v>18.852398562199276</v>
      </c>
      <c r="DH66" s="1080">
        <f t="shared" si="237"/>
        <v>24.586172068140279</v>
      </c>
      <c r="DI66" s="1066">
        <f t="shared" si="237"/>
        <v>77.211216574722073</v>
      </c>
      <c r="DJ66" s="1080">
        <f t="shared" si="237"/>
        <v>19.430269891081391</v>
      </c>
      <c r="DK66" s="1080">
        <f t="shared" si="237"/>
        <v>20.946848848234101</v>
      </c>
      <c r="DL66" s="1080">
        <f t="shared" si="237"/>
        <v>21.186590243607057</v>
      </c>
      <c r="DM66" s="1080">
        <f t="shared" si="237"/>
        <v>28.006504733188926</v>
      </c>
      <c r="DN66" s="1066">
        <f t="shared" si="237"/>
        <v>86.656798336785869</v>
      </c>
      <c r="DO66" s="1080">
        <f t="shared" si="237"/>
        <v>21.622121417307856</v>
      </c>
      <c r="DP66" s="1080">
        <f t="shared" si="237"/>
        <v>24.787956980922687</v>
      </c>
      <c r="DQ66" s="1080">
        <f t="shared" si="237"/>
        <v>25.333113254796945</v>
      </c>
      <c r="DR66" s="1080">
        <f t="shared" si="237"/>
        <v>33.264420256494077</v>
      </c>
      <c r="DS66" s="1066">
        <f t="shared" si="237"/>
        <v>101.65147621779438</v>
      </c>
      <c r="DT66" s="1080">
        <f t="shared" ref="DT66:DU66" si="238">DT63/DT16</f>
        <v>26.400157793992594</v>
      </c>
      <c r="DU66" s="1080">
        <f t="shared" si="238"/>
        <v>29.546198920347113</v>
      </c>
      <c r="DV66" s="1080">
        <f t="shared" si="237"/>
        <v>29.690881804580631</v>
      </c>
      <c r="DW66" s="1080">
        <f t="shared" si="237"/>
        <v>38.498826246268393</v>
      </c>
      <c r="DX66" s="1066">
        <f t="shared" si="237"/>
        <v>119.45278862292915</v>
      </c>
      <c r="DY66" s="1080">
        <f t="shared" si="237"/>
        <v>30.17039199004676</v>
      </c>
      <c r="DZ66" s="1080">
        <f t="shared" si="237"/>
        <v>33.339297120953525</v>
      </c>
      <c r="EA66" s="1080">
        <f t="shared" si="237"/>
        <v>32.974954905706852</v>
      </c>
      <c r="EB66" s="1080">
        <f t="shared" si="237"/>
        <v>42.415078514909894</v>
      </c>
      <c r="EC66" s="1066">
        <f t="shared" si="237"/>
        <v>133.46526550955107</v>
      </c>
      <c r="ED66" s="1080">
        <f t="shared" si="237"/>
        <v>32.324116201880969</v>
      </c>
      <c r="EE66" s="1080">
        <f t="shared" si="237"/>
        <v>35.893474927330544</v>
      </c>
      <c r="EF66" s="1080">
        <f t="shared" ref="EF66:ER66" si="239">EF63/EF16</f>
        <v>35.674396544323884</v>
      </c>
      <c r="EG66" s="1080">
        <f t="shared" si="239"/>
        <v>46.111161275777832</v>
      </c>
      <c r="EH66" s="1066">
        <f t="shared" si="239"/>
        <v>145.09553201609799</v>
      </c>
      <c r="EI66" s="1080">
        <f t="shared" si="239"/>
        <v>34.408763350919635</v>
      </c>
      <c r="EJ66" s="1080">
        <f t="shared" si="239"/>
        <v>38.208317186559775</v>
      </c>
      <c r="EK66" s="1080">
        <f t="shared" si="239"/>
        <v>37.975109998802552</v>
      </c>
      <c r="EL66" s="1080">
        <f t="shared" si="239"/>
        <v>49.084962641051298</v>
      </c>
      <c r="EM66" s="1066">
        <f t="shared" si="239"/>
        <v>154.45303417536832</v>
      </c>
      <c r="EN66" s="1080">
        <f t="shared" si="239"/>
        <v>36.160263959652276</v>
      </c>
      <c r="EO66" s="1080">
        <f t="shared" si="239"/>
        <v>40.153225526577771</v>
      </c>
      <c r="EP66" s="1080">
        <f t="shared" si="239"/>
        <v>39.908147452117873</v>
      </c>
      <c r="EQ66" s="1080">
        <f t="shared" si="239"/>
        <v>51.583522123373477</v>
      </c>
      <c r="ER66" s="1066">
        <f t="shared" si="239"/>
        <v>162.3151180468461</v>
      </c>
      <c r="ES66" s="484"/>
    </row>
    <row r="67" spans="1:149" ht="12" customHeight="1">
      <c r="A67" s="931"/>
      <c r="B67" s="484"/>
      <c r="C67" s="600" t="s">
        <v>762</v>
      </c>
      <c r="D67" s="565"/>
      <c r="E67" s="565"/>
      <c r="F67" s="565"/>
      <c r="G67" s="565"/>
      <c r="H67" s="565"/>
      <c r="I67" s="566"/>
      <c r="J67" s="566"/>
      <c r="K67" s="566"/>
      <c r="L67" s="566"/>
      <c r="M67" s="567"/>
      <c r="N67" s="568"/>
      <c r="O67" s="568"/>
      <c r="P67" s="568"/>
      <c r="Q67" s="568"/>
      <c r="R67" s="567"/>
      <c r="S67" s="566"/>
      <c r="T67" s="566"/>
      <c r="U67" s="566"/>
      <c r="V67" s="566"/>
      <c r="W67" s="567"/>
      <c r="X67" s="569"/>
      <c r="Y67" s="569"/>
      <c r="Z67" s="569"/>
      <c r="AA67" s="569"/>
      <c r="AB67" s="567"/>
      <c r="AC67" s="569"/>
      <c r="AD67" s="569"/>
      <c r="AE67" s="569"/>
      <c r="AF67" s="569"/>
      <c r="AG67" s="567"/>
      <c r="AH67" s="570"/>
      <c r="AI67" s="571"/>
      <c r="AJ67" s="571"/>
      <c r="AK67" s="571"/>
      <c r="AL67" s="567"/>
      <c r="AM67" s="571"/>
      <c r="AN67" s="571"/>
      <c r="AO67" s="571"/>
      <c r="AP67" s="571"/>
      <c r="AQ67" s="567"/>
      <c r="AR67" s="571"/>
      <c r="AS67" s="571"/>
      <c r="AT67" s="571"/>
      <c r="AU67" s="571"/>
      <c r="AV67" s="567"/>
      <c r="AW67" s="359"/>
      <c r="AX67" s="359"/>
      <c r="AY67" s="359"/>
      <c r="AZ67" s="359"/>
      <c r="BA67" s="501"/>
      <c r="BB67" s="359"/>
      <c r="BC67" s="359"/>
      <c r="BD67" s="359"/>
      <c r="BE67" s="359"/>
      <c r="BF67" s="501"/>
      <c r="BG67" s="359"/>
      <c r="BH67" s="359"/>
      <c r="BI67" s="359"/>
      <c r="BJ67" s="359"/>
      <c r="BK67" s="501"/>
      <c r="BL67" s="244"/>
      <c r="BM67" s="244"/>
      <c r="BN67" s="244"/>
      <c r="BO67" s="244"/>
      <c r="BP67" s="243"/>
      <c r="BQ67" s="244"/>
      <c r="BR67" s="244"/>
      <c r="BS67" s="244"/>
      <c r="BT67" s="1080"/>
      <c r="BU67" s="1066"/>
      <c r="BV67" s="1080"/>
      <c r="BW67" s="1080"/>
      <c r="BX67" s="1080"/>
      <c r="BY67" s="1080"/>
      <c r="BZ67" s="1066"/>
      <c r="CA67" s="1080"/>
      <c r="CB67" s="1080"/>
      <c r="CC67" s="1080"/>
      <c r="CD67" s="1080"/>
      <c r="CE67" s="1066"/>
      <c r="CF67" s="1080"/>
      <c r="CG67" s="1080"/>
      <c r="CH67" s="1080"/>
      <c r="CI67" s="1080"/>
      <c r="CJ67" s="1066"/>
      <c r="CK67" s="1080"/>
      <c r="CL67" s="1080"/>
      <c r="CM67" s="1080"/>
      <c r="CN67" s="1080"/>
      <c r="CO67" s="1066"/>
      <c r="CP67" s="1080"/>
      <c r="CQ67" s="1080"/>
      <c r="CR67" s="1080"/>
      <c r="CS67" s="1080"/>
      <c r="CT67" s="1066"/>
      <c r="CU67" s="1080"/>
      <c r="CV67" s="1080"/>
      <c r="CW67" s="1080"/>
      <c r="CX67" s="1080"/>
      <c r="CY67" s="1066"/>
      <c r="CZ67" s="1080"/>
      <c r="DA67" s="1080"/>
      <c r="DB67" s="1080"/>
      <c r="DC67" s="1080"/>
      <c r="DD67" s="1066"/>
      <c r="DE67" s="1426">
        <v>-1268</v>
      </c>
      <c r="DF67" s="1426">
        <v>-482</v>
      </c>
      <c r="DG67" s="1426">
        <v>492</v>
      </c>
      <c r="DH67" s="1426">
        <v>571</v>
      </c>
      <c r="DI67" s="1066"/>
      <c r="DJ67" s="1426">
        <v>-119</v>
      </c>
      <c r="DK67" s="1426">
        <v>-583</v>
      </c>
      <c r="DL67" s="1426">
        <v>81</v>
      </c>
      <c r="DM67" s="1426">
        <v>-1043</v>
      </c>
      <c r="DN67" s="1066"/>
      <c r="DO67" s="1426">
        <v>-1040</v>
      </c>
      <c r="DP67" s="1426">
        <v>1042</v>
      </c>
      <c r="DQ67" s="1426">
        <v>1109</v>
      </c>
      <c r="DR67" s="1426">
        <v>2413</v>
      </c>
      <c r="DS67" s="1066"/>
      <c r="DT67" s="1426">
        <v>3302</v>
      </c>
      <c r="DU67" s="1426">
        <v>1149</v>
      </c>
      <c r="DV67" s="1080"/>
      <c r="DW67" s="1080"/>
      <c r="DX67" s="1066"/>
      <c r="DY67" s="1080"/>
      <c r="DZ67" s="1080"/>
      <c r="EA67" s="1080"/>
      <c r="EB67" s="1080"/>
      <c r="EC67" s="1066"/>
      <c r="ED67" s="1080"/>
      <c r="EE67" s="1080"/>
      <c r="EF67" s="1080"/>
      <c r="EG67" s="1080"/>
      <c r="EH67" s="1066"/>
      <c r="EI67" s="1080"/>
      <c r="EJ67" s="1080"/>
      <c r="EK67" s="1080"/>
      <c r="EL67" s="1080"/>
      <c r="EM67" s="1066"/>
      <c r="EN67" s="1080"/>
      <c r="EO67" s="1080"/>
      <c r="EP67" s="1080"/>
      <c r="EQ67" s="1080"/>
      <c r="ER67" s="1066"/>
      <c r="ES67" s="484"/>
    </row>
    <row r="68" spans="1:149" ht="12" customHeight="1">
      <c r="A68" s="931"/>
      <c r="B68" s="484"/>
      <c r="C68" s="600" t="s">
        <v>763</v>
      </c>
      <c r="D68" s="565"/>
      <c r="E68" s="565"/>
      <c r="F68" s="565"/>
      <c r="G68" s="565"/>
      <c r="H68" s="565"/>
      <c r="I68" s="566"/>
      <c r="J68" s="566"/>
      <c r="K68" s="566"/>
      <c r="L68" s="566"/>
      <c r="M68" s="567"/>
      <c r="N68" s="568"/>
      <c r="O68" s="568"/>
      <c r="P68" s="568"/>
      <c r="Q68" s="568"/>
      <c r="R68" s="567"/>
      <c r="S68" s="566"/>
      <c r="T68" s="566"/>
      <c r="U68" s="566"/>
      <c r="V68" s="566"/>
      <c r="W68" s="567"/>
      <c r="X68" s="569"/>
      <c r="Y68" s="569"/>
      <c r="Z68" s="569"/>
      <c r="AA68" s="569"/>
      <c r="AB68" s="567"/>
      <c r="AC68" s="569"/>
      <c r="AD68" s="569"/>
      <c r="AE68" s="569"/>
      <c r="AF68" s="569"/>
      <c r="AG68" s="567"/>
      <c r="AH68" s="570"/>
      <c r="AI68" s="571"/>
      <c r="AJ68" s="571"/>
      <c r="AK68" s="571"/>
      <c r="AL68" s="567"/>
      <c r="AM68" s="571"/>
      <c r="AN68" s="571"/>
      <c r="AO68" s="571"/>
      <c r="AP68" s="571"/>
      <c r="AQ68" s="567"/>
      <c r="AR68" s="571"/>
      <c r="AS68" s="571"/>
      <c r="AT68" s="571"/>
      <c r="AU68" s="571"/>
      <c r="AV68" s="567"/>
      <c r="AW68" s="359"/>
      <c r="AX68" s="359"/>
      <c r="AY68" s="359"/>
      <c r="AZ68" s="359"/>
      <c r="BA68" s="501"/>
      <c r="BB68" s="359"/>
      <c r="BC68" s="359"/>
      <c r="BD68" s="359"/>
      <c r="BE68" s="359"/>
      <c r="BF68" s="501"/>
      <c r="BG68" s="359"/>
      <c r="BH68" s="359"/>
      <c r="BI68" s="359"/>
      <c r="BJ68" s="359"/>
      <c r="BK68" s="501"/>
      <c r="BL68" s="244"/>
      <c r="BM68" s="244"/>
      <c r="BN68" s="244"/>
      <c r="BO68" s="244"/>
      <c r="BP68" s="243"/>
      <c r="BQ68" s="244"/>
      <c r="BR68" s="244"/>
      <c r="BS68" s="244"/>
      <c r="BT68" s="1080"/>
      <c r="BU68" s="1066"/>
      <c r="BV68" s="1080"/>
      <c r="BW68" s="1080"/>
      <c r="BX68" s="1080"/>
      <c r="BY68" s="1080"/>
      <c r="BZ68" s="1066"/>
      <c r="CA68" s="1080"/>
      <c r="CB68" s="1080"/>
      <c r="CC68" s="1080"/>
      <c r="CD68" s="1080"/>
      <c r="CE68" s="1066"/>
      <c r="CF68" s="1080"/>
      <c r="CG68" s="1080"/>
      <c r="CH68" s="1080"/>
      <c r="CI68" s="1080"/>
      <c r="CJ68" s="1066"/>
      <c r="CK68" s="1080"/>
      <c r="CL68" s="1080"/>
      <c r="CM68" s="1080"/>
      <c r="CN68" s="1080"/>
      <c r="CO68" s="1066"/>
      <c r="CP68" s="1080"/>
      <c r="CQ68" s="1080"/>
      <c r="CR68" s="1080"/>
      <c r="CS68" s="1080"/>
      <c r="CT68" s="1066"/>
      <c r="CU68" s="1080"/>
      <c r="CV68" s="1080"/>
      <c r="CW68" s="1080"/>
      <c r="CX68" s="1080"/>
      <c r="CY68" s="1066"/>
      <c r="CZ68" s="1080"/>
      <c r="DA68" s="1080"/>
      <c r="DB68" s="1080"/>
      <c r="DC68" s="1080"/>
      <c r="DD68" s="1066"/>
      <c r="DE68" s="1080">
        <f>+DE63-DE67</f>
        <v>50868</v>
      </c>
      <c r="DF68" s="1080">
        <f>+DF63-DF67</f>
        <v>55482</v>
      </c>
      <c r="DG68" s="1080">
        <f>+DG63-DG67</f>
        <v>55708</v>
      </c>
      <c r="DH68" s="1080">
        <f>+DH63-DH67</f>
        <v>74554</v>
      </c>
      <c r="DI68" s="1066"/>
      <c r="DJ68" s="1080">
        <f>+DJ63-DJ67</f>
        <v>60974</v>
      </c>
      <c r="DK68" s="1080">
        <f>+DK63-DK67</f>
        <v>67828</v>
      </c>
      <c r="DL68" s="1080">
        <f>+DL63-DL67</f>
        <v>69634</v>
      </c>
      <c r="DM68" s="1080">
        <f>+DM63-DM67</f>
        <v>95503</v>
      </c>
      <c r="DN68" s="1066"/>
      <c r="DO68" s="1080">
        <f>+DO63-DO67</f>
        <v>75790</v>
      </c>
      <c r="DP68" s="1080">
        <f>+DP63-DP67</f>
        <v>86795</v>
      </c>
      <c r="DQ68" s="1080">
        <f>+DQ63-DQ67</f>
        <v>90904</v>
      </c>
      <c r="DR68" s="1080">
        <f>+DR63-DR67</f>
        <v>121428</v>
      </c>
      <c r="DS68" s="1066"/>
      <c r="DT68" s="1080">
        <f>+DT63-DT67</f>
        <v>97441</v>
      </c>
      <c r="DU68" s="1080">
        <f>+DU63-DU67</f>
        <v>114418</v>
      </c>
      <c r="DV68" s="1080"/>
      <c r="DW68" s="1080"/>
      <c r="DX68" s="1066"/>
      <c r="DY68" s="1080"/>
      <c r="DZ68" s="1080"/>
      <c r="EA68" s="1080"/>
      <c r="EB68" s="1080"/>
      <c r="EC68" s="1066"/>
      <c r="ED68" s="1080"/>
      <c r="EE68" s="1080"/>
      <c r="EF68" s="1080"/>
      <c r="EG68" s="1080"/>
      <c r="EH68" s="1066"/>
      <c r="EI68" s="1080"/>
      <c r="EJ68" s="1080"/>
      <c r="EK68" s="1080"/>
      <c r="EL68" s="1080"/>
      <c r="EM68" s="1066"/>
      <c r="EN68" s="1080"/>
      <c r="EO68" s="1080"/>
      <c r="EP68" s="1080"/>
      <c r="EQ68" s="1080"/>
      <c r="ER68" s="1066"/>
      <c r="ES68" s="484"/>
    </row>
    <row r="69" spans="1:149" ht="12" customHeight="1">
      <c r="A69" s="931"/>
      <c r="B69" s="484"/>
      <c r="C69" s="600" t="s">
        <v>764</v>
      </c>
      <c r="D69" s="565"/>
      <c r="E69" s="565"/>
      <c r="F69" s="565"/>
      <c r="G69" s="565"/>
      <c r="H69" s="565"/>
      <c r="I69" s="566"/>
      <c r="J69" s="566"/>
      <c r="K69" s="566"/>
      <c r="L69" s="566"/>
      <c r="M69" s="567"/>
      <c r="N69" s="568"/>
      <c r="O69" s="568"/>
      <c r="P69" s="568"/>
      <c r="Q69" s="568"/>
      <c r="R69" s="567"/>
      <c r="S69" s="566"/>
      <c r="T69" s="566"/>
      <c r="U69" s="566"/>
      <c r="V69" s="566"/>
      <c r="W69" s="567"/>
      <c r="X69" s="569"/>
      <c r="Y69" s="569"/>
      <c r="Z69" s="569"/>
      <c r="AA69" s="569"/>
      <c r="AB69" s="567"/>
      <c r="AC69" s="569"/>
      <c r="AD69" s="569"/>
      <c r="AE69" s="569"/>
      <c r="AF69" s="569"/>
      <c r="AG69" s="567"/>
      <c r="AH69" s="570"/>
      <c r="AI69" s="571"/>
      <c r="AJ69" s="571"/>
      <c r="AK69" s="571"/>
      <c r="AL69" s="567"/>
      <c r="AM69" s="571"/>
      <c r="AN69" s="571"/>
      <c r="AO69" s="571"/>
      <c r="AP69" s="571"/>
      <c r="AQ69" s="567"/>
      <c r="AR69" s="571"/>
      <c r="AS69" s="571"/>
      <c r="AT69" s="571"/>
      <c r="AU69" s="571"/>
      <c r="AV69" s="567"/>
      <c r="AW69" s="359"/>
      <c r="AX69" s="359"/>
      <c r="AY69" s="359"/>
      <c r="AZ69" s="359"/>
      <c r="BA69" s="501"/>
      <c r="BB69" s="359"/>
      <c r="BC69" s="359"/>
      <c r="BD69" s="359"/>
      <c r="BE69" s="359"/>
      <c r="BF69" s="501"/>
      <c r="BG69" s="359"/>
      <c r="BH69" s="359"/>
      <c r="BI69" s="359"/>
      <c r="BJ69" s="359"/>
      <c r="BK69" s="501"/>
      <c r="BL69" s="244"/>
      <c r="BM69" s="244"/>
      <c r="BN69" s="244"/>
      <c r="BO69" s="244"/>
      <c r="BP69" s="243"/>
      <c r="BQ69" s="244"/>
      <c r="BR69" s="244"/>
      <c r="BS69" s="244"/>
      <c r="BT69" s="1080"/>
      <c r="BU69" s="1066"/>
      <c r="BV69" s="1080"/>
      <c r="BW69" s="1080"/>
      <c r="BX69" s="1080"/>
      <c r="BY69" s="1080"/>
      <c r="BZ69" s="1066"/>
      <c r="CA69" s="1080"/>
      <c r="CB69" s="1080"/>
      <c r="CC69" s="1080"/>
      <c r="CD69" s="1080"/>
      <c r="CE69" s="1066"/>
      <c r="CF69" s="1080"/>
      <c r="CG69" s="1080"/>
      <c r="CH69" s="1080"/>
      <c r="CI69" s="1080"/>
      <c r="CJ69" s="1066"/>
      <c r="CK69" s="1080"/>
      <c r="CL69" s="1080"/>
      <c r="CM69" s="1080"/>
      <c r="CN69" s="1080"/>
      <c r="CO69" s="1066"/>
      <c r="CP69" s="1080"/>
      <c r="CQ69" s="1080"/>
      <c r="CR69" s="1080"/>
      <c r="CS69" s="1080"/>
      <c r="CT69" s="1066"/>
      <c r="CU69" s="1080"/>
      <c r="CV69" s="1080"/>
      <c r="CW69" s="1080"/>
      <c r="CX69" s="1080"/>
      <c r="CY69" s="1066"/>
      <c r="CZ69" s="1080"/>
      <c r="DA69" s="1080"/>
      <c r="DB69" s="1080"/>
      <c r="DC69" s="1080"/>
      <c r="DD69" s="1066"/>
      <c r="DE69" s="244">
        <f>+DE68/CZ63-1</f>
        <v>0.17750130833478717</v>
      </c>
      <c r="DF69" s="244">
        <f>+DF68/DA63-1</f>
        <v>0.18424206298800883</v>
      </c>
      <c r="DG69" s="244">
        <f>+DG68/DB63-1</f>
        <v>0.20580086580086587</v>
      </c>
      <c r="DH69" s="244">
        <f>+DH68/DC63-1</f>
        <v>0.2221967213114755</v>
      </c>
      <c r="DI69" s="1066"/>
      <c r="DJ69" s="244">
        <f>+DJ68/DE63-1</f>
        <v>0.2293145161290322</v>
      </c>
      <c r="DK69" s="244">
        <f>+DK68/DF63-1</f>
        <v>0.23323636363636369</v>
      </c>
      <c r="DL69" s="244">
        <f>+DL68/DG63-1</f>
        <v>0.23903914590747322</v>
      </c>
      <c r="DM69" s="244">
        <f>+DM68/DH63-1</f>
        <v>0.27125457570715472</v>
      </c>
      <c r="DN69" s="1066"/>
      <c r="DO69" s="244">
        <f>+DO68/DJ63-1</f>
        <v>0.24541943965163093</v>
      </c>
      <c r="DP69" s="244">
        <f>+DP68/DK63-1</f>
        <v>0.29072793516246564</v>
      </c>
      <c r="DQ69" s="244">
        <f>+DQ68/DL63-1</f>
        <v>0.30393745965717556</v>
      </c>
      <c r="DR69" s="244">
        <f>+DR68/DM63-1</f>
        <v>0.28549650645775992</v>
      </c>
      <c r="DS69" s="1066"/>
      <c r="DT69" s="244">
        <f>+DT68/DO63-1</f>
        <v>0.30355852842809372</v>
      </c>
      <c r="DU69" s="244">
        <f>+DU68/DP63-1</f>
        <v>0.30261734804239682</v>
      </c>
      <c r="DV69" s="1080"/>
      <c r="DW69" s="1080"/>
      <c r="DX69" s="1066"/>
      <c r="DY69" s="1080"/>
      <c r="DZ69" s="1080"/>
      <c r="EA69" s="1080"/>
      <c r="EB69" s="1080"/>
      <c r="EC69" s="1066"/>
      <c r="ED69" s="1080"/>
      <c r="EE69" s="1080"/>
      <c r="EF69" s="1080"/>
      <c r="EG69" s="1080"/>
      <c r="EH69" s="1066"/>
      <c r="EI69" s="1080"/>
      <c r="EJ69" s="1080"/>
      <c r="EK69" s="1080"/>
      <c r="EL69" s="1080"/>
      <c r="EM69" s="1066"/>
      <c r="EN69" s="1080"/>
      <c r="EO69" s="1080"/>
      <c r="EP69" s="1080"/>
      <c r="EQ69" s="1080"/>
      <c r="ER69" s="1066"/>
      <c r="ES69" s="484"/>
    </row>
    <row r="70" spans="1:149" ht="12" customHeight="1">
      <c r="A70" s="931"/>
      <c r="B70" s="484"/>
      <c r="C70" s="653" t="s">
        <v>620</v>
      </c>
      <c r="D70" s="500"/>
      <c r="E70" s="643"/>
      <c r="F70" s="643"/>
      <c r="G70" s="643"/>
      <c r="H70" s="643"/>
      <c r="I70" s="502"/>
      <c r="J70" s="502"/>
      <c r="K70" s="502"/>
      <c r="L70" s="502"/>
      <c r="M70" s="643"/>
      <c r="N70" s="644"/>
      <c r="O70" s="644"/>
      <c r="P70" s="644"/>
      <c r="Q70" s="644"/>
      <c r="R70" s="643"/>
      <c r="S70" s="644"/>
      <c r="T70" s="644"/>
      <c r="U70" s="644"/>
      <c r="V70" s="644"/>
      <c r="W70" s="643"/>
      <c r="X70" s="644"/>
      <c r="Y70" s="644"/>
      <c r="Z70" s="644"/>
      <c r="AA70" s="644"/>
      <c r="AB70" s="643"/>
      <c r="AC70" s="644"/>
      <c r="AD70" s="644"/>
      <c r="AE70" s="644"/>
      <c r="AF70" s="644"/>
      <c r="AG70" s="643"/>
      <c r="AH70" s="644"/>
      <c r="AI70" s="644"/>
      <c r="AJ70" s="644"/>
      <c r="AK70" s="644"/>
      <c r="AL70" s="643"/>
      <c r="AM70" s="644"/>
      <c r="AN70" s="644"/>
      <c r="AO70" s="644"/>
      <c r="AP70" s="644"/>
      <c r="AQ70" s="643"/>
      <c r="AR70" s="644"/>
      <c r="AS70" s="644"/>
      <c r="AT70" s="644"/>
      <c r="AU70" s="644"/>
      <c r="AV70" s="643"/>
      <c r="AW70" s="644"/>
      <c r="AX70" s="644"/>
      <c r="AY70" s="644"/>
      <c r="AZ70" s="644"/>
      <c r="BA70" s="643"/>
      <c r="BB70" s="644"/>
      <c r="BC70" s="644"/>
      <c r="BD70" s="644"/>
      <c r="BE70" s="644"/>
      <c r="BF70" s="643"/>
      <c r="BG70" s="654"/>
      <c r="BH70" s="654"/>
      <c r="BI70" s="654"/>
      <c r="BJ70" s="654"/>
      <c r="BK70" s="643"/>
      <c r="BL70" s="644"/>
      <c r="BM70" s="644"/>
      <c r="BN70" s="644"/>
      <c r="BO70" s="644"/>
      <c r="BP70" s="643"/>
      <c r="BQ70" s="644">
        <f t="shared" ref="BQ70:CV70" si="240">BQ73/BQ63</f>
        <v>1.1325582554554778E-2</v>
      </c>
      <c r="BR70" s="644">
        <f t="shared" si="240"/>
        <v>1.1909546908638413E-2</v>
      </c>
      <c r="BS70" s="644">
        <f t="shared" si="240"/>
        <v>1.2164903420848777E-2</v>
      </c>
      <c r="BT70" s="644">
        <f t="shared" si="240"/>
        <v>1.2528423652001148E-2</v>
      </c>
      <c r="BU70" s="655">
        <f t="shared" si="240"/>
        <v>1.2100441423334956E-2</v>
      </c>
      <c r="BV70" s="644">
        <f t="shared" si="240"/>
        <v>1.2731487112999807E-2</v>
      </c>
      <c r="BW70" s="644">
        <f t="shared" si="240"/>
        <v>1.2764134839497085E-2</v>
      </c>
      <c r="BX70" s="644">
        <f t="shared" si="240"/>
        <v>1.3053618804097564E-2</v>
      </c>
      <c r="BY70" s="644">
        <f t="shared" si="240"/>
        <v>1.3392201878448341E-2</v>
      </c>
      <c r="BZ70" s="655">
        <f t="shared" si="240"/>
        <v>1.3055927716664436E-2</v>
      </c>
      <c r="CA70" s="644">
        <f t="shared" si="240"/>
        <v>1.3456982848781796E-2</v>
      </c>
      <c r="CB70" s="644">
        <f t="shared" si="240"/>
        <v>1.3647988712966554E-2</v>
      </c>
      <c r="CC70" s="644">
        <f t="shared" si="240"/>
        <v>1.3842696978649956E-2</v>
      </c>
      <c r="CD70" s="644">
        <f t="shared" si="240"/>
        <v>1.4054769943317938E-2</v>
      </c>
      <c r="CE70" s="655">
        <f t="shared" si="240"/>
        <v>1.3802086994185064E-2</v>
      </c>
      <c r="CF70" s="644">
        <f t="shared" si="240"/>
        <v>1.4353093493914818E-2</v>
      </c>
      <c r="CG70" s="644">
        <f t="shared" si="240"/>
        <v>1.4694319685793189E-2</v>
      </c>
      <c r="CH70" s="644">
        <f t="shared" si="240"/>
        <v>1.4962767924464871E-2</v>
      </c>
      <c r="CI70" s="644">
        <f t="shared" si="240"/>
        <v>1.4999544597330251E-2</v>
      </c>
      <c r="CJ70" s="655">
        <f t="shared" si="240"/>
        <v>1.4797690634494537E-2</v>
      </c>
      <c r="CK70" s="644">
        <f t="shared" si="240"/>
        <v>1.5111098651264507E-2</v>
      </c>
      <c r="CL70" s="644">
        <f t="shared" si="240"/>
        <v>1.5170566492850267E-2</v>
      </c>
      <c r="CM70" s="644">
        <f t="shared" si="240"/>
        <v>1.5179362409428172E-2</v>
      </c>
      <c r="CN70" s="644">
        <f t="shared" si="240"/>
        <v>1.5607043386353355E-2</v>
      </c>
      <c r="CO70" s="655">
        <f t="shared" si="240"/>
        <v>1.530840073376402E-2</v>
      </c>
      <c r="CP70" s="644">
        <f t="shared" si="240"/>
        <v>1.6215211815482199E-2</v>
      </c>
      <c r="CQ70" s="644">
        <f t="shared" si="240"/>
        <v>1.7203088635133569E-2</v>
      </c>
      <c r="CR70" s="644">
        <f t="shared" si="240"/>
        <v>1.6888067482276427E-2</v>
      </c>
      <c r="CS70" s="644">
        <f t="shared" si="240"/>
        <v>1.6974144949665374E-2</v>
      </c>
      <c r="CT70" s="655">
        <f t="shared" si="240"/>
        <v>1.6898998267620483E-2</v>
      </c>
      <c r="CU70" s="644">
        <f t="shared" si="240"/>
        <v>1.788545368949904E-2</v>
      </c>
      <c r="CV70" s="644">
        <f t="shared" si="240"/>
        <v>1.860974796254132E-2</v>
      </c>
      <c r="CW70" s="644">
        <f t="shared" ref="CW70:DN70" si="241">CW73/CW63</f>
        <v>1.8856268563840671E-2</v>
      </c>
      <c r="CX70" s="644">
        <f t="shared" si="241"/>
        <v>1.9032213666574413E-2</v>
      </c>
      <c r="CY70" s="655">
        <f t="shared" si="241"/>
        <v>1.8644435327294227E-2</v>
      </c>
      <c r="CZ70" s="644">
        <f t="shared" si="241"/>
        <v>1.9881086904911378E-2</v>
      </c>
      <c r="DA70" s="644">
        <f t="shared" si="241"/>
        <v>1.982103861670316E-2</v>
      </c>
      <c r="DB70" s="644">
        <f t="shared" si="241"/>
        <v>2.1426385281385282E-2</v>
      </c>
      <c r="DC70" s="644">
        <f t="shared" si="241"/>
        <v>2.188072131147541E-2</v>
      </c>
      <c r="DD70" s="655">
        <f t="shared" si="241"/>
        <v>2.0847155564696566E-2</v>
      </c>
      <c r="DE70" s="644">
        <f t="shared" si="241"/>
        <v>2.2701612903225806E-2</v>
      </c>
      <c r="DF70" s="644">
        <f t="shared" si="241"/>
        <v>2.2727272727272728E-2</v>
      </c>
      <c r="DG70" s="644">
        <f t="shared" si="241"/>
        <v>2.185053380782918E-2</v>
      </c>
      <c r="DH70" s="644">
        <f t="shared" si="241"/>
        <v>2.1550748752079865E-2</v>
      </c>
      <c r="DI70" s="655">
        <f t="shared" si="241"/>
        <v>2.2138391437956977E-2</v>
      </c>
      <c r="DJ70" s="644">
        <f t="shared" si="241"/>
        <v>2.2183879714074439E-2</v>
      </c>
      <c r="DK70" s="644">
        <f t="shared" si="241"/>
        <v>2.2038813294668749E-2</v>
      </c>
      <c r="DL70" s="644">
        <f t="shared" si="241"/>
        <v>2.2262066987018575E-2</v>
      </c>
      <c r="DM70" s="644">
        <f t="shared" si="241"/>
        <v>2.271861105229727E-2</v>
      </c>
      <c r="DN70" s="655">
        <f t="shared" si="241"/>
        <v>2.2341972457445899E-2</v>
      </c>
      <c r="DO70" s="644">
        <f>DO73/DO63</f>
        <v>2.3277591973244149E-2</v>
      </c>
      <c r="DP70" s="644">
        <f t="shared" ref="DP70:DQ70" si="242">DP73/DP63</f>
        <v>2.3042681330191151E-2</v>
      </c>
      <c r="DQ70" s="644">
        <f t="shared" si="242"/>
        <v>2.3311923315183725E-2</v>
      </c>
      <c r="DR70" s="644">
        <f>DR73/DR63</f>
        <v>2.3376749218756307E-2</v>
      </c>
      <c r="DS70" s="655">
        <f>DS73/DS63</f>
        <v>2.3263864116203053E-2</v>
      </c>
      <c r="DT70" s="644">
        <f>DT73/DT63</f>
        <v>2.4021520105615278E-2</v>
      </c>
      <c r="DU70" s="644">
        <f t="shared" ref="DU70" si="243">DU73/DU63</f>
        <v>2.4063962895982418E-2</v>
      </c>
      <c r="DV70" s="644">
        <f>(DQ70+DV72/10000)</f>
        <v>2.3811923315183725E-2</v>
      </c>
      <c r="DW70" s="644">
        <f>(DR70+DW72/10000)</f>
        <v>2.3876749218756307E-2</v>
      </c>
      <c r="DX70" s="655">
        <f>DX73/DX63</f>
        <v>2.3934177398366806E-2</v>
      </c>
      <c r="DY70" s="644">
        <f>(DT70+DY72/10000)</f>
        <v>2.432152010561528E-2</v>
      </c>
      <c r="DZ70" s="644">
        <f>(DU70+DZ72/10000)</f>
        <v>2.436396289598242E-2</v>
      </c>
      <c r="EA70" s="644">
        <f>(DV70+EA72/10000)</f>
        <v>2.4111923315183727E-2</v>
      </c>
      <c r="EB70" s="644">
        <f>(DW70+EB72/10000)</f>
        <v>2.4176749218756309E-2</v>
      </c>
      <c r="EC70" s="655">
        <f>EC73/EC63</f>
        <v>2.4235229311442497E-2</v>
      </c>
      <c r="ED70" s="644">
        <f>(DY70+ED72/10000)</f>
        <v>2.4621520105615281E-2</v>
      </c>
      <c r="EE70" s="644">
        <f>(DZ70+EE72/10000)</f>
        <v>2.4663962895982421E-2</v>
      </c>
      <c r="EF70" s="644">
        <f>(EA70+EF72/10000)</f>
        <v>2.4411923315183728E-2</v>
      </c>
      <c r="EG70" s="644">
        <f>(EB70+EG72/10000)</f>
        <v>2.4476749218756311E-2</v>
      </c>
      <c r="EH70" s="655">
        <f>EH73/EH63</f>
        <v>2.4535229311442499E-2</v>
      </c>
      <c r="EI70" s="644">
        <f>(ED70+EI72/10000)</f>
        <v>2.4921520105615283E-2</v>
      </c>
      <c r="EJ70" s="644">
        <f>(EE70+EJ72/10000)</f>
        <v>2.4963962895982423E-2</v>
      </c>
      <c r="EK70" s="644">
        <f>(EF70+EK72/10000)</f>
        <v>2.471192331518373E-2</v>
      </c>
      <c r="EL70" s="644">
        <f>(EG70+EL72/10000)</f>
        <v>2.4776749218756312E-2</v>
      </c>
      <c r="EM70" s="655">
        <f>EM73/EM63</f>
        <v>2.4835229311442501E-2</v>
      </c>
      <c r="EN70" s="644">
        <f>(EI70+EN72/10000)</f>
        <v>2.5221520105615285E-2</v>
      </c>
      <c r="EO70" s="644">
        <f>(EJ70+EO72/10000)</f>
        <v>2.5263962895982425E-2</v>
      </c>
      <c r="EP70" s="644">
        <f>(EK70+EP72/10000)</f>
        <v>2.5011923315183732E-2</v>
      </c>
      <c r="EQ70" s="644">
        <f>(EL70+EQ72/10000)</f>
        <v>2.5076749218756314E-2</v>
      </c>
      <c r="ER70" s="655">
        <f>ER73/ER63</f>
        <v>2.5135229311442502E-2</v>
      </c>
      <c r="ES70" s="490"/>
    </row>
    <row r="71" spans="1:149" s="1069" customFormat="1" ht="12" customHeight="1">
      <c r="A71" s="933"/>
      <c r="B71" s="860"/>
      <c r="C71" s="861" t="s">
        <v>274</v>
      </c>
      <c r="D71" s="862"/>
      <c r="E71" s="863"/>
      <c r="F71" s="863"/>
      <c r="G71" s="863"/>
      <c r="H71" s="863"/>
      <c r="I71" s="585"/>
      <c r="J71" s="585"/>
      <c r="K71" s="585"/>
      <c r="L71" s="585"/>
      <c r="M71" s="863"/>
      <c r="N71" s="864"/>
      <c r="O71" s="864"/>
      <c r="P71" s="864"/>
      <c r="Q71" s="864"/>
      <c r="R71" s="863"/>
      <c r="S71" s="864"/>
      <c r="T71" s="864"/>
      <c r="U71" s="864"/>
      <c r="V71" s="864"/>
      <c r="W71" s="863"/>
      <c r="X71" s="864"/>
      <c r="Y71" s="864"/>
      <c r="Z71" s="864"/>
      <c r="AA71" s="864"/>
      <c r="AB71" s="863"/>
      <c r="AC71" s="864"/>
      <c r="AD71" s="864"/>
      <c r="AE71" s="864"/>
      <c r="AF71" s="864"/>
      <c r="AG71" s="863"/>
      <c r="AH71" s="864"/>
      <c r="AI71" s="864"/>
      <c r="AJ71" s="864"/>
      <c r="AK71" s="864"/>
      <c r="AL71" s="863"/>
      <c r="AM71" s="864"/>
      <c r="AN71" s="864"/>
      <c r="AO71" s="864"/>
      <c r="AP71" s="864"/>
      <c r="AQ71" s="863"/>
      <c r="AR71" s="864"/>
      <c r="AS71" s="864"/>
      <c r="AT71" s="864"/>
      <c r="AU71" s="864"/>
      <c r="AV71" s="863"/>
      <c r="AW71" s="864"/>
      <c r="AX71" s="864"/>
      <c r="AY71" s="864"/>
      <c r="AZ71" s="864"/>
      <c r="BA71" s="863"/>
      <c r="BB71" s="864"/>
      <c r="BC71" s="864"/>
      <c r="BD71" s="864"/>
      <c r="BE71" s="864"/>
      <c r="BF71" s="863"/>
      <c r="BG71" s="865"/>
      <c r="BH71" s="865"/>
      <c r="BI71" s="865"/>
      <c r="BJ71" s="865"/>
      <c r="BK71" s="863"/>
      <c r="BL71" s="864"/>
      <c r="BM71" s="864"/>
      <c r="BN71" s="864"/>
      <c r="BO71" s="864"/>
      <c r="BP71" s="863"/>
      <c r="BQ71" s="864"/>
      <c r="BR71" s="864">
        <f>(BR70-BQ70)*10000</f>
        <v>5.8396435408363496</v>
      </c>
      <c r="BS71" s="864">
        <f>(BS70-BR70)*10000</f>
        <v>2.5535651221036439</v>
      </c>
      <c r="BT71" s="864">
        <f>(BT70-BS70)*10000</f>
        <v>3.6352023115237069</v>
      </c>
      <c r="BU71" s="863"/>
      <c r="BV71" s="864">
        <f>(BV70-BT70)*10000</f>
        <v>2.0306346099865924</v>
      </c>
      <c r="BW71" s="864">
        <f>(BW70-BV70)*10000</f>
        <v>0.32647726497277496</v>
      </c>
      <c r="BX71" s="864">
        <f>(BX70-BW70)*10000</f>
        <v>2.8948396460047947</v>
      </c>
      <c r="BY71" s="864">
        <f>(BY70-BX70)*10000</f>
        <v>3.3858307435077721</v>
      </c>
      <c r="BZ71" s="537"/>
      <c r="CA71" s="864">
        <f>(CA70-BY70)*10000</f>
        <v>0.64780970333454602</v>
      </c>
      <c r="CB71" s="864">
        <f>(CB70-CA70)*10000</f>
        <v>1.9100586418475778</v>
      </c>
      <c r="CC71" s="864">
        <f>(CC70-CB70)*10000</f>
        <v>1.947082656834024</v>
      </c>
      <c r="CD71" s="864">
        <f>(CD70-CC70)*10000</f>
        <v>2.1207296466798158</v>
      </c>
      <c r="CE71" s="537"/>
      <c r="CF71" s="864">
        <f>(CF70-CD70)*10000</f>
        <v>2.9832355059688025</v>
      </c>
      <c r="CG71" s="864">
        <f>(CG70-CF70)*10000</f>
        <v>3.4122619187837087</v>
      </c>
      <c r="CH71" s="864">
        <f>(CH70-CG70)*10000</f>
        <v>2.6844823867168235</v>
      </c>
      <c r="CI71" s="864">
        <f>(CI70-CH70)*10000</f>
        <v>0.3677667286538025</v>
      </c>
      <c r="CJ71" s="537"/>
      <c r="CK71" s="864">
        <f>(CK70-CI70)*10000</f>
        <v>1.1155405393425619</v>
      </c>
      <c r="CL71" s="864">
        <f>(CL70-CK70)*10000</f>
        <v>0.59467841585759962</v>
      </c>
      <c r="CM71" s="864">
        <f>(CM70-CL70)*10000</f>
        <v>8.7959165779045306E-2</v>
      </c>
      <c r="CN71" s="864">
        <f>(CN70-CM70)*10000</f>
        <v>4.2768097692518285</v>
      </c>
      <c r="CO71" s="537"/>
      <c r="CP71" s="864">
        <f>(CP70-CN70)*10000</f>
        <v>6.081684291288445</v>
      </c>
      <c r="CQ71" s="864">
        <f>(CQ70-CP70)*10000</f>
        <v>9.8787681965136969</v>
      </c>
      <c r="CR71" s="864">
        <f>(CR70-CQ70)*10000</f>
        <v>-3.1502115285714227</v>
      </c>
      <c r="CS71" s="864">
        <f>(CS70-CR70)*10000</f>
        <v>0.86077467388947371</v>
      </c>
      <c r="CT71" s="537"/>
      <c r="CU71" s="864">
        <f>(CU70-CS70)*10000</f>
        <v>9.1130873983366616</v>
      </c>
      <c r="CV71" s="864">
        <f>(CV70-CU70)*10000</f>
        <v>7.2429427304228007</v>
      </c>
      <c r="CW71" s="864">
        <f>(CW70-CV70)*10000</f>
        <v>2.4652060129935065</v>
      </c>
      <c r="CX71" s="864">
        <f>(CX70-CW70)*10000</f>
        <v>1.7594510273374193</v>
      </c>
      <c r="CY71" s="537"/>
      <c r="CZ71" s="864">
        <f>(CZ70-CX70)*10000</f>
        <v>8.4887323833696477</v>
      </c>
      <c r="DA71" s="864">
        <f>(DA70-CZ70)*10000</f>
        <v>-0.60048288208217748</v>
      </c>
      <c r="DB71" s="864">
        <f>(DB70-DA70)*10000</f>
        <v>16.053466646821224</v>
      </c>
      <c r="DC71" s="864">
        <f>(DC70-DB70)*10000</f>
        <v>4.5433603009012797</v>
      </c>
      <c r="DD71" s="537"/>
      <c r="DE71" s="864">
        <f>(DE70-DD70)*10000</f>
        <v>18.544573385292399</v>
      </c>
      <c r="DF71" s="864">
        <f>(DF70-DE70)*10000</f>
        <v>0.2565982404692177</v>
      </c>
      <c r="DG71" s="864">
        <f>(DG70-DF70)*10000</f>
        <v>-8.7673891944354754</v>
      </c>
      <c r="DH71" s="864">
        <f>(DH70-DG70)*10000</f>
        <v>-2.9978505574931522</v>
      </c>
      <c r="DI71" s="537"/>
      <c r="DJ71" s="864">
        <f>(DJ70-DH70)*10000</f>
        <v>6.3313096199457339</v>
      </c>
      <c r="DK71" s="864">
        <f>(DK70-DJ70)*10000</f>
        <v>-1.4506641940568998</v>
      </c>
      <c r="DL71" s="864">
        <f>(DL70-DK70)*10000</f>
        <v>2.2325369234982642</v>
      </c>
      <c r="DM71" s="864">
        <f>(DM70-DL70)*10000</f>
        <v>4.5654406527869531</v>
      </c>
      <c r="DN71" s="537"/>
      <c r="DO71" s="864">
        <f>(DO70-DM70)*10000</f>
        <v>5.5898092094687835</v>
      </c>
      <c r="DP71" s="864">
        <f>(DP70-DO70)*10000</f>
        <v>-2.3491064305299765</v>
      </c>
      <c r="DQ71" s="864">
        <f>(DQ70-DP70)*10000</f>
        <v>2.6924198499257352</v>
      </c>
      <c r="DR71" s="864">
        <f>(DR70-DQ70)*10000</f>
        <v>0.64825903572582333</v>
      </c>
      <c r="DS71" s="537"/>
      <c r="DT71" s="864">
        <f>(DT70-DR70)*10000</f>
        <v>6.4477088685897108</v>
      </c>
      <c r="DU71" s="864">
        <f>(DU70-DT70)*10000</f>
        <v>0.42442790367139965</v>
      </c>
      <c r="DV71" s="864">
        <f>(DV70-DU70)*10000</f>
        <v>-2.5203958079869291</v>
      </c>
      <c r="DW71" s="864">
        <f>(DW70-DV70)*10000</f>
        <v>0.64825903572582333</v>
      </c>
      <c r="DX71" s="537"/>
      <c r="DY71" s="864">
        <f>(DY70-DX70)*10000</f>
        <v>3.8734270724847391</v>
      </c>
      <c r="DZ71" s="864">
        <f>(DZ70-DY70)*10000</f>
        <v>0.42442790367139965</v>
      </c>
      <c r="EA71" s="864">
        <f>(EA70-DZ70)*10000</f>
        <v>-2.5203958079869291</v>
      </c>
      <c r="EB71" s="864">
        <f>(EB70-EA70)*10000</f>
        <v>0.64825903572582333</v>
      </c>
      <c r="EC71" s="537"/>
      <c r="ED71" s="864">
        <f>(ED70-EC70)*10000</f>
        <v>3.8629079417278405</v>
      </c>
      <c r="EE71" s="864">
        <f>(EE70-ED70)*10000</f>
        <v>0.42442790367139965</v>
      </c>
      <c r="EF71" s="864">
        <f>(EF70-EE70)*10000</f>
        <v>-2.5203958079869291</v>
      </c>
      <c r="EG71" s="864">
        <f>(EG70-EF70)*10000</f>
        <v>0.64825903572582333</v>
      </c>
      <c r="EH71" s="537"/>
      <c r="EI71" s="864">
        <f>(EI70-EH70)*10000</f>
        <v>3.8629079417278405</v>
      </c>
      <c r="EJ71" s="864">
        <f>(EJ70-EI70)*10000</f>
        <v>0.42442790367139965</v>
      </c>
      <c r="EK71" s="864">
        <f>(EK70-EJ70)*10000</f>
        <v>-2.5203958079869291</v>
      </c>
      <c r="EL71" s="864">
        <f>(EL70-EK70)*10000</f>
        <v>0.64825903572582333</v>
      </c>
      <c r="EM71" s="537"/>
      <c r="EN71" s="864">
        <f>(EN70-EM70)*10000</f>
        <v>3.8629079417278405</v>
      </c>
      <c r="EO71" s="864">
        <f>(EO70-EN70)*10000</f>
        <v>0.42442790367139965</v>
      </c>
      <c r="EP71" s="864">
        <f>(EP70-EO70)*10000</f>
        <v>-2.5203958079869291</v>
      </c>
      <c r="EQ71" s="864">
        <f>(EQ70-EP70)*10000</f>
        <v>0.64825903572582333</v>
      </c>
      <c r="ER71" s="537"/>
      <c r="ES71" s="866"/>
    </row>
    <row r="72" spans="1:149" s="1069" customFormat="1" ht="12" customHeight="1">
      <c r="A72" s="933"/>
      <c r="B72" s="860"/>
      <c r="C72" s="861" t="s">
        <v>273</v>
      </c>
      <c r="D72" s="862"/>
      <c r="E72" s="863"/>
      <c r="F72" s="863"/>
      <c r="G72" s="863"/>
      <c r="H72" s="863"/>
      <c r="I72" s="585"/>
      <c r="J72" s="585"/>
      <c r="K72" s="585"/>
      <c r="L72" s="585"/>
      <c r="M72" s="863"/>
      <c r="N72" s="864"/>
      <c r="O72" s="864"/>
      <c r="P72" s="864"/>
      <c r="Q72" s="864"/>
      <c r="R72" s="863"/>
      <c r="S72" s="864"/>
      <c r="T72" s="864"/>
      <c r="U72" s="864"/>
      <c r="V72" s="864"/>
      <c r="W72" s="863"/>
      <c r="X72" s="864"/>
      <c r="Y72" s="864"/>
      <c r="Z72" s="864"/>
      <c r="AA72" s="864"/>
      <c r="AB72" s="863"/>
      <c r="AC72" s="864"/>
      <c r="AD72" s="864"/>
      <c r="AE72" s="864"/>
      <c r="AF72" s="864"/>
      <c r="AG72" s="863"/>
      <c r="AH72" s="864"/>
      <c r="AI72" s="864"/>
      <c r="AJ72" s="864"/>
      <c r="AK72" s="864"/>
      <c r="AL72" s="863"/>
      <c r="AM72" s="864"/>
      <c r="AN72" s="864"/>
      <c r="AO72" s="864"/>
      <c r="AP72" s="864"/>
      <c r="AQ72" s="863"/>
      <c r="AR72" s="864"/>
      <c r="AS72" s="864"/>
      <c r="AT72" s="864"/>
      <c r="AU72" s="864"/>
      <c r="AV72" s="863"/>
      <c r="AW72" s="864"/>
      <c r="AX72" s="864"/>
      <c r="AY72" s="864"/>
      <c r="AZ72" s="864"/>
      <c r="BA72" s="863"/>
      <c r="BB72" s="864"/>
      <c r="BC72" s="864"/>
      <c r="BD72" s="864"/>
      <c r="BE72" s="864"/>
      <c r="BF72" s="863"/>
      <c r="BG72" s="865"/>
      <c r="BH72" s="865"/>
      <c r="BI72" s="865"/>
      <c r="BJ72" s="865"/>
      <c r="BK72" s="863"/>
      <c r="BL72" s="864"/>
      <c r="BM72" s="864"/>
      <c r="BN72" s="864"/>
      <c r="BO72" s="864"/>
      <c r="BP72" s="863"/>
      <c r="BQ72" s="864"/>
      <c r="BR72" s="864"/>
      <c r="BS72" s="864"/>
      <c r="BT72" s="864"/>
      <c r="BU72" s="863"/>
      <c r="BV72" s="864">
        <f t="shared" ref="BV72:DN72" si="244">(BV70-BQ70)*10000</f>
        <v>14.059045584450294</v>
      </c>
      <c r="BW72" s="864">
        <f t="shared" si="244"/>
        <v>8.5458793085867182</v>
      </c>
      <c r="BX72" s="864">
        <f t="shared" si="244"/>
        <v>8.8871538324878685</v>
      </c>
      <c r="BY72" s="864">
        <f t="shared" si="244"/>
        <v>8.6377822644719338</v>
      </c>
      <c r="BZ72" s="537">
        <f t="shared" si="244"/>
        <v>9.5548629332948067</v>
      </c>
      <c r="CA72" s="864">
        <f t="shared" si="244"/>
        <v>7.2549573578198876</v>
      </c>
      <c r="CB72" s="864">
        <f t="shared" si="244"/>
        <v>8.8385387346946906</v>
      </c>
      <c r="CC72" s="864">
        <f t="shared" si="244"/>
        <v>7.8907817455239195</v>
      </c>
      <c r="CD72" s="864">
        <f t="shared" si="244"/>
        <v>6.6256806486959636</v>
      </c>
      <c r="CE72" s="537">
        <f t="shared" si="244"/>
        <v>7.4615927752062774</v>
      </c>
      <c r="CF72" s="864">
        <f t="shared" si="244"/>
        <v>8.9611064513302203</v>
      </c>
      <c r="CG72" s="864">
        <f t="shared" si="244"/>
        <v>10.463309728266351</v>
      </c>
      <c r="CH72" s="864">
        <f t="shared" si="244"/>
        <v>11.20070945814915</v>
      </c>
      <c r="CI72" s="864">
        <f t="shared" si="244"/>
        <v>9.4477465401231377</v>
      </c>
      <c r="CJ72" s="537">
        <f t="shared" si="244"/>
        <v>9.9560364030947319</v>
      </c>
      <c r="CK72" s="864">
        <f t="shared" si="244"/>
        <v>7.5800515734968963</v>
      </c>
      <c r="CL72" s="864">
        <f t="shared" si="244"/>
        <v>4.7624680705707876</v>
      </c>
      <c r="CM72" s="864">
        <f t="shared" si="244"/>
        <v>2.1659448496330094</v>
      </c>
      <c r="CN72" s="864">
        <f t="shared" si="244"/>
        <v>6.0749878902310348</v>
      </c>
      <c r="CO72" s="537">
        <f t="shared" si="244"/>
        <v>5.1071009926948259</v>
      </c>
      <c r="CP72" s="864">
        <f t="shared" si="244"/>
        <v>11.041131642176918</v>
      </c>
      <c r="CQ72" s="864">
        <f t="shared" si="244"/>
        <v>20.325221422833017</v>
      </c>
      <c r="CR72" s="864">
        <f t="shared" si="244"/>
        <v>17.087050728482549</v>
      </c>
      <c r="CS72" s="864">
        <f t="shared" si="244"/>
        <v>13.671015633120193</v>
      </c>
      <c r="CT72" s="537">
        <f t="shared" si="244"/>
        <v>15.905975338564634</v>
      </c>
      <c r="CU72" s="864">
        <f t="shared" si="244"/>
        <v>16.702418740168408</v>
      </c>
      <c r="CV72" s="864">
        <f t="shared" si="244"/>
        <v>14.066593274077514</v>
      </c>
      <c r="CW72" s="864">
        <f t="shared" si="244"/>
        <v>19.682010815642442</v>
      </c>
      <c r="CX72" s="864">
        <f t="shared" si="244"/>
        <v>20.580687169090389</v>
      </c>
      <c r="CY72" s="537">
        <f t="shared" si="244"/>
        <v>17.454370596737441</v>
      </c>
      <c r="CZ72" s="864">
        <f t="shared" si="244"/>
        <v>19.956332154123373</v>
      </c>
      <c r="DA72" s="864">
        <f t="shared" si="244"/>
        <v>12.112906541618395</v>
      </c>
      <c r="DB72" s="864">
        <f t="shared" si="244"/>
        <v>25.701167175446113</v>
      </c>
      <c r="DC72" s="864">
        <f t="shared" si="244"/>
        <v>28.485076449009973</v>
      </c>
      <c r="DD72" s="537">
        <f t="shared" si="244"/>
        <v>22.027202374023393</v>
      </c>
      <c r="DE72" s="864">
        <f t="shared" si="244"/>
        <v>28.205259983144284</v>
      </c>
      <c r="DF72" s="864">
        <f t="shared" si="244"/>
        <v>29.06234110569568</v>
      </c>
      <c r="DG72" s="864">
        <f t="shared" si="244"/>
        <v>4.2414852644389809</v>
      </c>
      <c r="DH72" s="864">
        <f t="shared" si="244"/>
        <v>-3.2997255939554506</v>
      </c>
      <c r="DI72" s="537">
        <f t="shared" si="244"/>
        <v>12.912358732604101</v>
      </c>
      <c r="DJ72" s="864">
        <f t="shared" si="244"/>
        <v>-5.1773318915136759</v>
      </c>
      <c r="DK72" s="864">
        <f t="shared" si="244"/>
        <v>-6.8845943260397933</v>
      </c>
      <c r="DL72" s="864">
        <f t="shared" si="244"/>
        <v>4.1153317918939463</v>
      </c>
      <c r="DM72" s="864">
        <f t="shared" si="244"/>
        <v>11.678623002174051</v>
      </c>
      <c r="DN72" s="537">
        <f t="shared" si="244"/>
        <v>2.0358101948892218</v>
      </c>
      <c r="DO72" s="1288">
        <f t="shared" ref="DO72:DU72" si="245">(DO70-DJ70)*10000</f>
        <v>10.937122591697101</v>
      </c>
      <c r="DP72" s="864">
        <f t="shared" si="245"/>
        <v>10.038680355224026</v>
      </c>
      <c r="DQ72" s="864">
        <f t="shared" si="245"/>
        <v>10.498563281651496</v>
      </c>
      <c r="DR72" s="864">
        <f t="shared" si="245"/>
        <v>6.5813816645903662</v>
      </c>
      <c r="DS72" s="537">
        <f t="shared" si="245"/>
        <v>9.21891658757154</v>
      </c>
      <c r="DT72" s="1288">
        <f t="shared" si="245"/>
        <v>7.4392813237112927</v>
      </c>
      <c r="DU72" s="864">
        <f t="shared" si="245"/>
        <v>10.212815657912669</v>
      </c>
      <c r="DV72" s="867">
        <v>5</v>
      </c>
      <c r="DW72" s="867">
        <v>5</v>
      </c>
      <c r="DX72" s="537">
        <f>(DX70-DS70)*10000</f>
        <v>6.7031328216375297</v>
      </c>
      <c r="DY72" s="867">
        <v>3</v>
      </c>
      <c r="DZ72" s="867">
        <v>3</v>
      </c>
      <c r="EA72" s="867">
        <v>3</v>
      </c>
      <c r="EB72" s="867">
        <v>3</v>
      </c>
      <c r="EC72" s="537">
        <f>(EC70-DX70)*10000</f>
        <v>3.0105191307569155</v>
      </c>
      <c r="ED72" s="867">
        <v>3</v>
      </c>
      <c r="EE72" s="867">
        <v>3</v>
      </c>
      <c r="EF72" s="867">
        <v>3</v>
      </c>
      <c r="EG72" s="867">
        <v>3</v>
      </c>
      <c r="EH72" s="537">
        <f>(EH70-EC70)*10000</f>
        <v>3.0000000000000164</v>
      </c>
      <c r="EI72" s="867">
        <v>3</v>
      </c>
      <c r="EJ72" s="867">
        <v>3</v>
      </c>
      <c r="EK72" s="867">
        <v>3</v>
      </c>
      <c r="EL72" s="867">
        <v>3</v>
      </c>
      <c r="EM72" s="537">
        <f>(EM70-EH70)*10000</f>
        <v>3.0000000000000164</v>
      </c>
      <c r="EN72" s="867">
        <v>3</v>
      </c>
      <c r="EO72" s="867">
        <v>3</v>
      </c>
      <c r="EP72" s="867">
        <v>3</v>
      </c>
      <c r="EQ72" s="867">
        <v>3</v>
      </c>
      <c r="ER72" s="537">
        <f>(ER70-EM70)*10000</f>
        <v>3.0000000000000164</v>
      </c>
      <c r="ES72" s="866"/>
    </row>
    <row r="73" spans="1:149" ht="12" customHeight="1">
      <c r="A73" s="931"/>
      <c r="B73" s="484"/>
      <c r="C73" s="248" t="s">
        <v>690</v>
      </c>
      <c r="D73" s="650"/>
      <c r="E73" s="591"/>
      <c r="F73" s="591"/>
      <c r="G73" s="591"/>
      <c r="H73" s="591"/>
      <c r="I73" s="651"/>
      <c r="J73" s="651"/>
      <c r="K73" s="651"/>
      <c r="L73" s="651"/>
      <c r="M73" s="591"/>
      <c r="N73" s="590"/>
      <c r="O73" s="590"/>
      <c r="P73" s="590"/>
      <c r="Q73" s="590"/>
      <c r="R73" s="591"/>
      <c r="S73" s="590"/>
      <c r="T73" s="590"/>
      <c r="U73" s="590"/>
      <c r="V73" s="590"/>
      <c r="W73" s="591"/>
      <c r="X73" s="590"/>
      <c r="Y73" s="590"/>
      <c r="Z73" s="590"/>
      <c r="AA73" s="590"/>
      <c r="AB73" s="591"/>
      <c r="AC73" s="590"/>
      <c r="AD73" s="590"/>
      <c r="AE73" s="590"/>
      <c r="AF73" s="590"/>
      <c r="AG73" s="591"/>
      <c r="AH73" s="590"/>
      <c r="AI73" s="590"/>
      <c r="AJ73" s="590"/>
      <c r="AK73" s="590"/>
      <c r="AL73" s="591"/>
      <c r="AM73" s="590"/>
      <c r="AN73" s="590"/>
      <c r="AO73" s="590"/>
      <c r="AP73" s="590"/>
      <c r="AQ73" s="591"/>
      <c r="AR73" s="590"/>
      <c r="AS73" s="590"/>
      <c r="AT73" s="590"/>
      <c r="AU73" s="590"/>
      <c r="AV73" s="591"/>
      <c r="AW73" s="590"/>
      <c r="AX73" s="590"/>
      <c r="AY73" s="590"/>
      <c r="AZ73" s="590"/>
      <c r="BA73" s="591"/>
      <c r="BB73" s="590"/>
      <c r="BC73" s="590"/>
      <c r="BD73" s="590"/>
      <c r="BE73" s="590"/>
      <c r="BF73" s="591"/>
      <c r="BG73" s="652"/>
      <c r="BH73" s="652"/>
      <c r="BI73" s="652"/>
      <c r="BJ73" s="652"/>
      <c r="BK73" s="591"/>
      <c r="BL73" s="590"/>
      <c r="BM73" s="590"/>
      <c r="BN73" s="590"/>
      <c r="BO73" s="590"/>
      <c r="BP73" s="591"/>
      <c r="BQ73" s="576">
        <f>Income!BQ8</f>
        <v>14.996</v>
      </c>
      <c r="BR73" s="576">
        <f>Income!BR8</f>
        <v>19.466999999999999</v>
      </c>
      <c r="BS73" s="576">
        <f>Income!BS8</f>
        <v>23.225999999999999</v>
      </c>
      <c r="BT73" s="576">
        <f>Income!BT8</f>
        <v>35.564999999999998</v>
      </c>
      <c r="BU73" s="577">
        <f>SUM(BQ73:BT73)</f>
        <v>93.253999999999991</v>
      </c>
      <c r="BV73" s="576">
        <f>Income!BV8</f>
        <v>34.015999999999998</v>
      </c>
      <c r="BW73" s="576">
        <f>Income!BW8</f>
        <v>42.972999999999999</v>
      </c>
      <c r="BX73" s="576">
        <f>Income!BX8</f>
        <v>49.738999999999997</v>
      </c>
      <c r="BY73" s="576">
        <f>Income!BY8</f>
        <v>73.995999999999995</v>
      </c>
      <c r="BZ73" s="577">
        <f>SUM(BV73:BY73)</f>
        <v>200.72399999999999</v>
      </c>
      <c r="CA73" s="576">
        <f>Income!CA8</f>
        <v>65.299000000000007</v>
      </c>
      <c r="CB73" s="576">
        <f>Income!CB8</f>
        <v>80.057000000000002</v>
      </c>
      <c r="CC73" s="576">
        <f>Income!CC8</f>
        <v>89.021000000000001</v>
      </c>
      <c r="CD73" s="576">
        <f>Income!CD8</f>
        <v>128.89599999999999</v>
      </c>
      <c r="CE73" s="577">
        <f>SUM(CA73:CD73)</f>
        <v>363.27300000000002</v>
      </c>
      <c r="CF73" s="576">
        <f>Income!CF8</f>
        <v>114.142</v>
      </c>
      <c r="CG73" s="576">
        <f>Income!CG8</f>
        <v>134.24199999999999</v>
      </c>
      <c r="CH73" s="576">
        <f>Income!CH8</f>
        <v>149.547</v>
      </c>
      <c r="CI73" s="576">
        <f>Income!CI8</f>
        <v>210.30199999999999</v>
      </c>
      <c r="CJ73" s="577">
        <f>SUM(CF73:CI73)</f>
        <v>608.23299999999995</v>
      </c>
      <c r="CK73" s="576">
        <f>Income!CK8</f>
        <v>180.03100000000001</v>
      </c>
      <c r="CL73" s="576">
        <f>Income!CL8</f>
        <v>208.93199999999999</v>
      </c>
      <c r="CM73" s="576">
        <f>Income!CM8</f>
        <v>224.97499999999999</v>
      </c>
      <c r="CN73" s="576">
        <f>Income!CN8</f>
        <v>321.99400000000003</v>
      </c>
      <c r="CO73" s="577">
        <f>SUM(CK73:CN73)</f>
        <v>935.93200000000002</v>
      </c>
      <c r="CP73" s="576">
        <f>Income!CP8</f>
        <v>282.392</v>
      </c>
      <c r="CQ73" s="576">
        <f>Income!CQ8</f>
        <v>517.90700000000004</v>
      </c>
      <c r="CR73" s="576">
        <f>Income!CR8</f>
        <v>522.13099999999997</v>
      </c>
      <c r="CS73" s="576">
        <f>Income!CS8</f>
        <v>698.30399999999997</v>
      </c>
      <c r="CT73" s="577">
        <f>SUM(CP73:CS73)</f>
        <v>2020.7339999999999</v>
      </c>
      <c r="CU73" s="576">
        <f>Income!CU8</f>
        <v>667.96600000000001</v>
      </c>
      <c r="CV73" s="576">
        <f>Income!CV8</f>
        <v>785.20799999999997</v>
      </c>
      <c r="CW73" s="576">
        <f>Income!CW8</f>
        <v>787.53200000000004</v>
      </c>
      <c r="CX73" s="576">
        <f>Income!CX8</f>
        <v>1028.816</v>
      </c>
      <c r="CY73" s="577">
        <f>SUM(CU73:CX73)</f>
        <v>3269.5219999999999</v>
      </c>
      <c r="CZ73" s="576">
        <f>Income!CZ8</f>
        <v>858.86199999999997</v>
      </c>
      <c r="DA73" s="576">
        <f>Income!DA8</f>
        <v>928.62</v>
      </c>
      <c r="DB73" s="576">
        <f>Income!DB8</f>
        <v>989.899</v>
      </c>
      <c r="DC73" s="576">
        <f>Income!DC8</f>
        <v>1334.7239999999999</v>
      </c>
      <c r="DD73" s="577">
        <f>SUM(CZ73:DC73)</f>
        <v>4112.1049999999996</v>
      </c>
      <c r="DE73" s="576">
        <f>Income!DE8</f>
        <v>1126</v>
      </c>
      <c r="DF73" s="576">
        <f>Income!DF8</f>
        <v>1250</v>
      </c>
      <c r="DG73" s="576">
        <f>Income!DG8</f>
        <v>1228</v>
      </c>
      <c r="DH73" s="576">
        <f>Income!DH8</f>
        <v>1619</v>
      </c>
      <c r="DI73" s="577">
        <f>SUM(DE73:DH73)</f>
        <v>5223</v>
      </c>
      <c r="DJ73" s="576">
        <f>Income!DJ8</f>
        <v>1350</v>
      </c>
      <c r="DK73" s="576">
        <f>Income!DK8</f>
        <v>1482</v>
      </c>
      <c r="DL73" s="576">
        <f>Income!DL8</f>
        <v>1552</v>
      </c>
      <c r="DM73" s="576">
        <f>Income!DM8</f>
        <v>2146</v>
      </c>
      <c r="DN73" s="577">
        <f>SUM(DJ73:DM73)</f>
        <v>6530</v>
      </c>
      <c r="DO73" s="1289">
        <f>Income!DO8</f>
        <v>1740</v>
      </c>
      <c r="DP73" s="576">
        <f>Income!DP8</f>
        <v>2024</v>
      </c>
      <c r="DQ73" s="576">
        <f>Income!DQ8</f>
        <v>2145</v>
      </c>
      <c r="DR73" s="576">
        <f>Income!DR8</f>
        <v>2895</v>
      </c>
      <c r="DS73" s="577">
        <f>SUM(DO73:DR73)</f>
        <v>8804</v>
      </c>
      <c r="DT73" s="1289">
        <f>Income!DT8</f>
        <v>2420</v>
      </c>
      <c r="DU73" s="576">
        <f>Income!DU8</f>
        <v>2781</v>
      </c>
      <c r="DV73" s="578">
        <f>DV70*DV63</f>
        <v>2848.3084500000004</v>
      </c>
      <c r="DW73" s="578">
        <f>DW70*DW63</f>
        <v>3814.4274450000003</v>
      </c>
      <c r="DX73" s="577">
        <f>SUM(DT73:DW73)</f>
        <v>11863.735895000002</v>
      </c>
      <c r="DY73" s="578">
        <f>DY70*DY63</f>
        <v>3136.2853120000004</v>
      </c>
      <c r="DZ73" s="578">
        <f>DZ70*DZ63</f>
        <v>3575.9010270000003</v>
      </c>
      <c r="EA73" s="578">
        <f>EA70*EA63</f>
        <v>3605.2419000000004</v>
      </c>
      <c r="EB73" s="578">
        <f>EB70*EB63</f>
        <v>4789.3188508800004</v>
      </c>
      <c r="EC73" s="577">
        <f>SUM(DY73:EB73)</f>
        <v>15106.747089880002</v>
      </c>
      <c r="ED73" s="578">
        <f>ED70*ED63</f>
        <v>3809.9647488000001</v>
      </c>
      <c r="EE73" s="578">
        <f>EE70*EE63</f>
        <v>4343.9184648</v>
      </c>
      <c r="EF73" s="578">
        <f>EF70*EF63</f>
        <v>4380.1178850000006</v>
      </c>
      <c r="EG73" s="578">
        <f>EG70*EG63</f>
        <v>5818.4972039520007</v>
      </c>
      <c r="EH73" s="577">
        <f>SUM(ED73:EG73)</f>
        <v>18352.498302552001</v>
      </c>
      <c r="EI73" s="578">
        <f>EI70*EI63</f>
        <v>4531.2548697600014</v>
      </c>
      <c r="EJ73" s="578">
        <f>EJ70*EJ63</f>
        <v>5166.1879442100008</v>
      </c>
      <c r="EK73" s="578">
        <f>EK70*EK63</f>
        <v>5209.885950750001</v>
      </c>
      <c r="EL73" s="578">
        <f>EL70*EL63</f>
        <v>6920.528849546401</v>
      </c>
      <c r="EM73" s="577">
        <f>SUM(EI73:EL73)</f>
        <v>21827.857614266406</v>
      </c>
      <c r="EN73" s="578">
        <f>EN70*EN63</f>
        <v>5319.5293452288015</v>
      </c>
      <c r="EO73" s="578">
        <f>EO70*EO63</f>
        <v>6064.7951630448006</v>
      </c>
      <c r="EP73" s="578">
        <f>EP70*EP63</f>
        <v>6116.8347284850015</v>
      </c>
      <c r="EQ73" s="578">
        <f>EQ70*EQ63</f>
        <v>8125.0152419610731</v>
      </c>
      <c r="ER73" s="577">
        <f>SUM(EN73:EQ73)</f>
        <v>25626.17447871968</v>
      </c>
      <c r="ES73" s="490"/>
    </row>
    <row r="74" spans="1:149" ht="12" customHeight="1">
      <c r="A74" s="931"/>
      <c r="B74" s="484"/>
      <c r="C74" s="648" t="s">
        <v>129</v>
      </c>
      <c r="D74" s="650"/>
      <c r="E74" s="591"/>
      <c r="F74" s="591"/>
      <c r="G74" s="591"/>
      <c r="H74" s="591"/>
      <c r="I74" s="651"/>
      <c r="J74" s="651"/>
      <c r="K74" s="651"/>
      <c r="L74" s="651"/>
      <c r="M74" s="591"/>
      <c r="N74" s="590"/>
      <c r="O74" s="590"/>
      <c r="P74" s="590"/>
      <c r="Q74" s="590"/>
      <c r="R74" s="591"/>
      <c r="S74" s="590"/>
      <c r="T74" s="590"/>
      <c r="U74" s="590"/>
      <c r="V74" s="590"/>
      <c r="W74" s="591"/>
      <c r="X74" s="590"/>
      <c r="Y74" s="590"/>
      <c r="Z74" s="590"/>
      <c r="AA74" s="590"/>
      <c r="AB74" s="591"/>
      <c r="AC74" s="590"/>
      <c r="AD74" s="590"/>
      <c r="AE74" s="590"/>
      <c r="AF74" s="590"/>
      <c r="AG74" s="591"/>
      <c r="AH74" s="590"/>
      <c r="AI74" s="590"/>
      <c r="AJ74" s="590"/>
      <c r="AK74" s="590"/>
      <c r="AL74" s="591"/>
      <c r="AM74" s="590"/>
      <c r="AN74" s="590"/>
      <c r="AO74" s="590"/>
      <c r="AP74" s="590"/>
      <c r="AQ74" s="591"/>
      <c r="AR74" s="590"/>
      <c r="AS74" s="590"/>
      <c r="AT74" s="590"/>
      <c r="AU74" s="590"/>
      <c r="AV74" s="591"/>
      <c r="AW74" s="590"/>
      <c r="AX74" s="590"/>
      <c r="AY74" s="590"/>
      <c r="AZ74" s="590"/>
      <c r="BA74" s="591"/>
      <c r="BB74" s="590"/>
      <c r="BC74" s="590"/>
      <c r="BD74" s="590"/>
      <c r="BE74" s="590"/>
      <c r="BF74" s="591"/>
      <c r="BG74" s="579"/>
      <c r="BH74" s="579"/>
      <c r="BI74" s="579"/>
      <c r="BJ74" s="579"/>
      <c r="BK74" s="591"/>
      <c r="BL74" s="353"/>
      <c r="BM74" s="353"/>
      <c r="BN74" s="353"/>
      <c r="BO74" s="353"/>
      <c r="BP74" s="352"/>
      <c r="BQ74" s="353"/>
      <c r="BR74" s="353"/>
      <c r="BS74" s="353"/>
      <c r="BT74" s="353"/>
      <c r="BU74" s="352"/>
      <c r="BV74" s="353">
        <f t="shared" ref="BV74:DA74" si="246">BV73/BQ73-1</f>
        <v>1.2683382235262735</v>
      </c>
      <c r="BW74" s="353">
        <f t="shared" si="246"/>
        <v>1.2074793239841783</v>
      </c>
      <c r="BX74" s="353">
        <f t="shared" si="246"/>
        <v>1.141522431757513</v>
      </c>
      <c r="BY74" s="353">
        <f t="shared" si="246"/>
        <v>1.0805848446506396</v>
      </c>
      <c r="BZ74" s="352">
        <f t="shared" si="246"/>
        <v>1.152443862997834</v>
      </c>
      <c r="CA74" s="353">
        <f t="shared" si="246"/>
        <v>0.91965545625587986</v>
      </c>
      <c r="CB74" s="353">
        <f t="shared" si="246"/>
        <v>0.86296046354687839</v>
      </c>
      <c r="CC74" s="353">
        <f t="shared" si="246"/>
        <v>0.78976256056615535</v>
      </c>
      <c r="CD74" s="353">
        <f t="shared" si="246"/>
        <v>0.74193199632412554</v>
      </c>
      <c r="CE74" s="352">
        <f t="shared" si="246"/>
        <v>0.80981347521970481</v>
      </c>
      <c r="CF74" s="353">
        <f t="shared" si="246"/>
        <v>0.74799001516102837</v>
      </c>
      <c r="CG74" s="353">
        <f t="shared" si="246"/>
        <v>0.67683025844086075</v>
      </c>
      <c r="CH74" s="353">
        <f t="shared" si="246"/>
        <v>0.67990698823873008</v>
      </c>
      <c r="CI74" s="353">
        <f t="shared" si="246"/>
        <v>0.63156343098311818</v>
      </c>
      <c r="CJ74" s="352">
        <f t="shared" si="246"/>
        <v>0.67431380807271646</v>
      </c>
      <c r="CK74" s="353">
        <f t="shared" si="246"/>
        <v>0.5772546477195073</v>
      </c>
      <c r="CL74" s="353">
        <f t="shared" si="246"/>
        <v>0.55638324816376405</v>
      </c>
      <c r="CM74" s="353">
        <f t="shared" si="246"/>
        <v>0.50437655051589125</v>
      </c>
      <c r="CN74" s="353">
        <f t="shared" si="246"/>
        <v>0.53110289012943301</v>
      </c>
      <c r="CO74" s="352">
        <f t="shared" si="246"/>
        <v>0.53877214817347974</v>
      </c>
      <c r="CP74" s="353">
        <f t="shared" si="246"/>
        <v>0.56857430109258944</v>
      </c>
      <c r="CQ74" s="353">
        <f t="shared" si="246"/>
        <v>1.4788304328681106</v>
      </c>
      <c r="CR74" s="353">
        <f t="shared" si="246"/>
        <v>1.3208400933437048</v>
      </c>
      <c r="CS74" s="353">
        <f t="shared" si="246"/>
        <v>1.1686863730380068</v>
      </c>
      <c r="CT74" s="352">
        <f t="shared" si="246"/>
        <v>1.1590607009910974</v>
      </c>
      <c r="CU74" s="353">
        <f t="shared" si="246"/>
        <v>1.365385704977478</v>
      </c>
      <c r="CV74" s="353">
        <f t="shared" si="246"/>
        <v>0.51611775859372422</v>
      </c>
      <c r="CW74" s="353">
        <f t="shared" si="246"/>
        <v>0.50830347173410528</v>
      </c>
      <c r="CX74" s="353">
        <f t="shared" si="246"/>
        <v>0.47330675465126948</v>
      </c>
      <c r="CY74" s="352">
        <f t="shared" si="246"/>
        <v>0.61798732539760315</v>
      </c>
      <c r="CZ74" s="353">
        <f t="shared" si="246"/>
        <v>0.28578700113478828</v>
      </c>
      <c r="DA74" s="353">
        <f t="shared" si="246"/>
        <v>0.18264205153284241</v>
      </c>
      <c r="DB74" s="353">
        <f t="shared" ref="DB74:EC74" si="247">DB73/CW73-1</f>
        <v>0.25696352656146026</v>
      </c>
      <c r="DC74" s="353">
        <f t="shared" si="247"/>
        <v>0.29733985474564917</v>
      </c>
      <c r="DD74" s="352">
        <f t="shared" si="247"/>
        <v>0.25770831332531174</v>
      </c>
      <c r="DE74" s="353">
        <f t="shared" si="247"/>
        <v>0.31103716312981611</v>
      </c>
      <c r="DF74" s="353">
        <f t="shared" si="247"/>
        <v>0.34608343563567434</v>
      </c>
      <c r="DG74" s="353">
        <f t="shared" si="247"/>
        <v>0.24053059958642242</v>
      </c>
      <c r="DH74" s="353">
        <f t="shared" si="247"/>
        <v>0.21298485679436352</v>
      </c>
      <c r="DI74" s="352">
        <f t="shared" si="247"/>
        <v>0.27015239153669479</v>
      </c>
      <c r="DJ74" s="353">
        <f t="shared" si="247"/>
        <v>0.19893428063943164</v>
      </c>
      <c r="DK74" s="353">
        <f t="shared" si="247"/>
        <v>0.18559999999999999</v>
      </c>
      <c r="DL74" s="353">
        <f t="shared" si="247"/>
        <v>0.26384364820846895</v>
      </c>
      <c r="DM74" s="353">
        <f t="shared" si="247"/>
        <v>0.32550957381099455</v>
      </c>
      <c r="DN74" s="352">
        <f t="shared" si="247"/>
        <v>0.25023932605782107</v>
      </c>
      <c r="DO74" s="353">
        <f>DO73/DJ73-1</f>
        <v>0.28888888888888897</v>
      </c>
      <c r="DP74" s="353">
        <f t="shared" si="247"/>
        <v>0.36572199730094468</v>
      </c>
      <c r="DQ74" s="353">
        <f t="shared" si="247"/>
        <v>0.38208762886597936</v>
      </c>
      <c r="DR74" s="353">
        <f>DR73/DM73-1</f>
        <v>0.34902143522833184</v>
      </c>
      <c r="DS74" s="352">
        <f>DS73/DN73-1</f>
        <v>0.34823889739663083</v>
      </c>
      <c r="DT74" s="353">
        <f>DT73/DO73-1</f>
        <v>0.39080459770114939</v>
      </c>
      <c r="DU74" s="353">
        <f t="shared" si="247"/>
        <v>0.37401185770750978</v>
      </c>
      <c r="DV74" s="353">
        <f t="shared" si="247"/>
        <v>0.32788272727272738</v>
      </c>
      <c r="DW74" s="353">
        <f t="shared" si="247"/>
        <v>0.31759151813471509</v>
      </c>
      <c r="DX74" s="352">
        <f t="shared" si="247"/>
        <v>0.34753928839164039</v>
      </c>
      <c r="DY74" s="353">
        <f t="shared" si="247"/>
        <v>0.29598566611570276</v>
      </c>
      <c r="DZ74" s="353">
        <f t="shared" si="247"/>
        <v>0.28583280366774555</v>
      </c>
      <c r="EA74" s="353">
        <f t="shared" si="247"/>
        <v>0.26574841288695406</v>
      </c>
      <c r="EB74" s="353">
        <f t="shared" si="247"/>
        <v>0.25558001035198608</v>
      </c>
      <c r="EC74" s="352">
        <f t="shared" si="247"/>
        <v>0.27335497212532989</v>
      </c>
      <c r="ED74" s="353">
        <f t="shared" ref="ED74" si="248">ED73/DY73-1</f>
        <v>0.21480170640801677</v>
      </c>
      <c r="EE74" s="353">
        <f t="shared" ref="EE74" si="249">EE73/DZ73-1</f>
        <v>0.21477592136948132</v>
      </c>
      <c r="EF74" s="353">
        <f t="shared" ref="EF74" si="250">EF73/EA73-1</f>
        <v>0.21493037263324832</v>
      </c>
      <c r="EG74" s="353">
        <f t="shared" ref="EG74" si="251">EG73/EB73-1</f>
        <v>0.2148903393397783</v>
      </c>
      <c r="EH74" s="352">
        <f t="shared" ref="EH74" si="252">EH73/EC73-1</f>
        <v>0.2148544086533577</v>
      </c>
      <c r="EI74" s="353">
        <f t="shared" ref="EI74" si="253">EI73/ED73-1</f>
        <v>0.1893167439901331</v>
      </c>
      <c r="EJ74" s="353">
        <f t="shared" ref="EJ74" si="254">EJ73/EE73-1</f>
        <v>0.18929210713163314</v>
      </c>
      <c r="EK74" s="353">
        <f t="shared" ref="EK74" si="255">EK73/EF73-1</f>
        <v>0.18943966521805167</v>
      </c>
      <c r="EL74" s="353">
        <f t="shared" ref="EL74" si="256">EL73/EG73-1</f>
        <v>0.18940142221704348</v>
      </c>
      <c r="EM74" s="352">
        <f t="shared" ref="EM74" si="257">EM73/EH73-1</f>
        <v>0.18936709620788461</v>
      </c>
      <c r="EN74" s="353">
        <f t="shared" ref="EN74" si="258">EN73/EI73-1</f>
        <v>0.17396383521250725</v>
      </c>
      <c r="EO74" s="353">
        <f t="shared" ref="EO74" si="259">EO73/EJ73-1</f>
        <v>0.17394009442531266</v>
      </c>
      <c r="EP74" s="353">
        <f t="shared" ref="EP74" si="260">EP73/EK73-1</f>
        <v>0.17408227095728246</v>
      </c>
      <c r="EQ74" s="353">
        <f t="shared" ref="EQ74" si="261">EQ73/EL73-1</f>
        <v>0.17404542609393481</v>
      </c>
      <c r="ER74" s="352">
        <f t="shared" ref="ER74" si="262">ER73/EM73-1</f>
        <v>0.17401235300209872</v>
      </c>
      <c r="ES74" s="490"/>
    </row>
    <row r="75" spans="1:149" ht="12" customHeight="1">
      <c r="A75" s="931"/>
      <c r="B75" s="484"/>
      <c r="C75" s="600" t="s">
        <v>771</v>
      </c>
      <c r="D75" s="566"/>
      <c r="E75" s="566"/>
      <c r="F75" s="566"/>
      <c r="G75" s="566"/>
      <c r="H75" s="566"/>
      <c r="I75" s="566"/>
      <c r="J75" s="566"/>
      <c r="K75" s="566"/>
      <c r="L75" s="566"/>
      <c r="M75" s="571"/>
      <c r="N75" s="568"/>
      <c r="O75" s="568"/>
      <c r="P75" s="568"/>
      <c r="Q75" s="568"/>
      <c r="R75" s="571"/>
      <c r="S75" s="566"/>
      <c r="T75" s="566"/>
      <c r="U75" s="566"/>
      <c r="V75" s="566"/>
      <c r="W75" s="571"/>
      <c r="X75" s="569"/>
      <c r="Y75" s="569"/>
      <c r="Z75" s="569"/>
      <c r="AA75" s="569"/>
      <c r="AB75" s="571"/>
      <c r="AC75" s="569"/>
      <c r="AD75" s="569"/>
      <c r="AE75" s="569"/>
      <c r="AF75" s="569"/>
      <c r="AG75" s="571"/>
      <c r="AH75" s="570"/>
      <c r="AI75" s="571"/>
      <c r="AJ75" s="571"/>
      <c r="AK75" s="571"/>
      <c r="AL75" s="571"/>
      <c r="AM75" s="571"/>
      <c r="AN75" s="571"/>
      <c r="AO75" s="571"/>
      <c r="AP75" s="571"/>
      <c r="AQ75" s="571"/>
      <c r="AR75" s="571"/>
      <c r="AS75" s="571"/>
      <c r="AT75" s="571"/>
      <c r="AU75" s="571"/>
      <c r="AV75" s="571"/>
      <c r="AW75" s="359"/>
      <c r="AX75" s="359"/>
      <c r="AY75" s="359"/>
      <c r="AZ75" s="359"/>
      <c r="BA75" s="359"/>
      <c r="BB75" s="359"/>
      <c r="BC75" s="359"/>
      <c r="BD75" s="359"/>
      <c r="BE75" s="359"/>
      <c r="BF75" s="359"/>
      <c r="BG75" s="359"/>
      <c r="BH75" s="359"/>
      <c r="BI75" s="359"/>
      <c r="BJ75" s="359"/>
      <c r="BK75" s="359"/>
      <c r="BL75" s="244"/>
      <c r="BM75" s="244"/>
      <c r="BN75" s="244"/>
      <c r="BO75" s="244"/>
      <c r="BP75" s="244"/>
      <c r="BQ75" s="244"/>
      <c r="BR75" s="244"/>
      <c r="BS75" s="244"/>
      <c r="BT75" s="1080"/>
      <c r="BU75" s="1066"/>
      <c r="BV75" s="1080"/>
      <c r="BW75" s="1080"/>
      <c r="BX75" s="1080"/>
      <c r="BY75" s="1080"/>
      <c r="BZ75" s="1066"/>
      <c r="CA75" s="1080"/>
      <c r="CB75" s="1080"/>
      <c r="CC75" s="1080"/>
      <c r="CD75" s="1080"/>
      <c r="CE75" s="1066"/>
      <c r="CF75" s="1080"/>
      <c r="CG75" s="1080"/>
      <c r="CH75" s="1080"/>
      <c r="CI75" s="1080"/>
      <c r="CJ75" s="1066"/>
      <c r="CK75" s="1080"/>
      <c r="CL75" s="1080"/>
      <c r="CM75" s="1080"/>
      <c r="CN75" s="1080"/>
      <c r="CO75" s="1066"/>
      <c r="CP75" s="1080"/>
      <c r="CQ75" s="1080"/>
      <c r="CR75" s="1080"/>
      <c r="CS75" s="1080"/>
      <c r="CT75" s="1066"/>
      <c r="CU75" s="1080"/>
      <c r="CV75" s="1080"/>
      <c r="CW75" s="1080"/>
      <c r="CX75" s="1080"/>
      <c r="CY75" s="1066"/>
      <c r="CZ75" s="1080"/>
      <c r="DA75" s="1080"/>
      <c r="DB75" s="1080"/>
      <c r="DC75" s="1080"/>
      <c r="DD75" s="1066"/>
      <c r="DE75" s="1426">
        <v>-16</v>
      </c>
      <c r="DF75" s="1426">
        <v>-6</v>
      </c>
      <c r="DG75" s="1426">
        <v>4</v>
      </c>
      <c r="DH75" s="1426">
        <v>8</v>
      </c>
      <c r="DI75" s="1066"/>
      <c r="DJ75" s="1426">
        <v>1</v>
      </c>
      <c r="DK75" s="1426">
        <v>-4</v>
      </c>
      <c r="DL75" s="1426">
        <v>2</v>
      </c>
      <c r="DM75" s="1426">
        <v>-4</v>
      </c>
      <c r="DN75" s="1066"/>
      <c r="DO75" s="1426">
        <v>-15</v>
      </c>
      <c r="DP75" s="1426">
        <v>14</v>
      </c>
      <c r="DQ75" s="1426">
        <v>14</v>
      </c>
      <c r="DR75" s="1426">
        <v>28</v>
      </c>
      <c r="DS75" s="1066"/>
      <c r="DT75" s="1426">
        <v>44</v>
      </c>
      <c r="DU75" s="1426">
        <v>44</v>
      </c>
      <c r="DV75" s="1080"/>
      <c r="DW75" s="1080"/>
      <c r="DX75" s="1066"/>
      <c r="DY75" s="1080"/>
      <c r="DZ75" s="1080"/>
      <c r="EA75" s="1080"/>
      <c r="EB75" s="1080"/>
      <c r="EC75" s="1066"/>
      <c r="ED75" s="1080"/>
      <c r="EE75" s="1080"/>
      <c r="EF75" s="1080"/>
      <c r="EG75" s="1080"/>
      <c r="EH75" s="1066"/>
      <c r="EI75" s="1080"/>
      <c r="EJ75" s="1080"/>
      <c r="EK75" s="1080"/>
      <c r="EL75" s="1080"/>
      <c r="EM75" s="1066"/>
      <c r="EN75" s="1080"/>
      <c r="EO75" s="1080"/>
      <c r="EP75" s="1080"/>
      <c r="EQ75" s="1080"/>
      <c r="ER75" s="1066"/>
      <c r="ES75" s="484"/>
    </row>
    <row r="76" spans="1:149" ht="12" customHeight="1">
      <c r="A76" s="931"/>
      <c r="B76" s="484"/>
      <c r="C76" s="600" t="s">
        <v>772</v>
      </c>
      <c r="D76" s="566"/>
      <c r="E76" s="566"/>
      <c r="F76" s="566"/>
      <c r="G76" s="566"/>
      <c r="H76" s="566"/>
      <c r="I76" s="566"/>
      <c r="J76" s="566"/>
      <c r="K76" s="566"/>
      <c r="L76" s="566"/>
      <c r="M76" s="571"/>
      <c r="N76" s="568"/>
      <c r="O76" s="568"/>
      <c r="P76" s="568"/>
      <c r="Q76" s="568"/>
      <c r="R76" s="571"/>
      <c r="S76" s="566"/>
      <c r="T76" s="566"/>
      <c r="U76" s="566"/>
      <c r="V76" s="566"/>
      <c r="W76" s="571"/>
      <c r="X76" s="569"/>
      <c r="Y76" s="569"/>
      <c r="Z76" s="569"/>
      <c r="AA76" s="569"/>
      <c r="AB76" s="571"/>
      <c r="AC76" s="569"/>
      <c r="AD76" s="569"/>
      <c r="AE76" s="569"/>
      <c r="AF76" s="569"/>
      <c r="AG76" s="571"/>
      <c r="AH76" s="570"/>
      <c r="AI76" s="571"/>
      <c r="AJ76" s="571"/>
      <c r="AK76" s="571"/>
      <c r="AL76" s="571"/>
      <c r="AM76" s="571"/>
      <c r="AN76" s="571"/>
      <c r="AO76" s="571"/>
      <c r="AP76" s="571"/>
      <c r="AQ76" s="571"/>
      <c r="AR76" s="571"/>
      <c r="AS76" s="571"/>
      <c r="AT76" s="571"/>
      <c r="AU76" s="571"/>
      <c r="AV76" s="571"/>
      <c r="AW76" s="359"/>
      <c r="AX76" s="359"/>
      <c r="AY76" s="359"/>
      <c r="AZ76" s="359"/>
      <c r="BA76" s="359"/>
      <c r="BB76" s="359"/>
      <c r="BC76" s="359"/>
      <c r="BD76" s="359"/>
      <c r="BE76" s="359"/>
      <c r="BF76" s="359"/>
      <c r="BG76" s="359"/>
      <c r="BH76" s="359"/>
      <c r="BI76" s="359"/>
      <c r="BJ76" s="359"/>
      <c r="BK76" s="359"/>
      <c r="BL76" s="244"/>
      <c r="BM76" s="244"/>
      <c r="BN76" s="244"/>
      <c r="BO76" s="244"/>
      <c r="BP76" s="244"/>
      <c r="BQ76" s="244"/>
      <c r="BR76" s="244"/>
      <c r="BS76" s="244"/>
      <c r="BT76" s="1080"/>
      <c r="BU76" s="1066"/>
      <c r="BV76" s="1080"/>
      <c r="BW76" s="1080"/>
      <c r="BX76" s="1080"/>
      <c r="BY76" s="1080"/>
      <c r="BZ76" s="1066"/>
      <c r="CA76" s="1080"/>
      <c r="CB76" s="1080"/>
      <c r="CC76" s="1080"/>
      <c r="CD76" s="1080"/>
      <c r="CE76" s="1066"/>
      <c r="CF76" s="1080"/>
      <c r="CG76" s="1080"/>
      <c r="CH76" s="1080"/>
      <c r="CI76" s="1080"/>
      <c r="CJ76" s="1066"/>
      <c r="CK76" s="1080"/>
      <c r="CL76" s="1080"/>
      <c r="CM76" s="1080"/>
      <c r="CN76" s="1080"/>
      <c r="CO76" s="1066"/>
      <c r="CP76" s="1080"/>
      <c r="CQ76" s="1080"/>
      <c r="CR76" s="1080"/>
      <c r="CS76" s="1080"/>
      <c r="CT76" s="1066"/>
      <c r="CU76" s="1080"/>
      <c r="CV76" s="1080"/>
      <c r="CW76" s="1080"/>
      <c r="CX76" s="1080"/>
      <c r="CY76" s="1066"/>
      <c r="CZ76" s="1080"/>
      <c r="DA76" s="1080"/>
      <c r="DB76" s="1080"/>
      <c r="DC76" s="1080"/>
      <c r="DD76" s="1066"/>
      <c r="DE76" s="1080">
        <f>+DE71-DE75</f>
        <v>34.544573385292395</v>
      </c>
      <c r="DF76" s="1080">
        <f>+DF71-DF75</f>
        <v>6.2565982404692173</v>
      </c>
      <c r="DG76" s="1080">
        <f>+DG71-DG75</f>
        <v>-12.767389194435475</v>
      </c>
      <c r="DH76" s="1080">
        <f>+DH71-DH75</f>
        <v>-10.997850557493152</v>
      </c>
      <c r="DI76" s="1066"/>
      <c r="DJ76" s="1080">
        <f>+DJ71-DJ75</f>
        <v>5.3313096199457339</v>
      </c>
      <c r="DK76" s="1080">
        <f>+DK71-DK75</f>
        <v>2.5493358059430999</v>
      </c>
      <c r="DL76" s="1080">
        <f>+DL71-DL75</f>
        <v>0.23253692349826416</v>
      </c>
      <c r="DM76" s="1080">
        <f>+DM71-DM75</f>
        <v>8.565440652786954</v>
      </c>
      <c r="DN76" s="1066"/>
      <c r="DO76" s="1080">
        <f>+DO71-DO75</f>
        <v>20.589809209468783</v>
      </c>
      <c r="DP76" s="1080">
        <f>+DP71-DP75</f>
        <v>-16.349106430529975</v>
      </c>
      <c r="DQ76" s="1080">
        <f>+DQ71-DQ75</f>
        <v>-11.307580150074266</v>
      </c>
      <c r="DR76" s="1080">
        <f>+DR71-DR75</f>
        <v>-27.351740964274178</v>
      </c>
      <c r="DS76" s="1066"/>
      <c r="DT76" s="1080">
        <f>+DT71-DT75</f>
        <v>-37.552291131410286</v>
      </c>
      <c r="DU76" s="1080">
        <f>+DU71-DU75</f>
        <v>-43.5755720963286</v>
      </c>
      <c r="DV76" s="1080"/>
      <c r="DW76" s="1080"/>
      <c r="DX76" s="1066"/>
      <c r="DY76" s="1080"/>
      <c r="DZ76" s="1080"/>
      <c r="EA76" s="1080"/>
      <c r="EB76" s="1080"/>
      <c r="EC76" s="1066"/>
      <c r="ED76" s="1080"/>
      <c r="EE76" s="1080"/>
      <c r="EF76" s="1080"/>
      <c r="EG76" s="1080"/>
      <c r="EH76" s="1066"/>
      <c r="EI76" s="1080"/>
      <c r="EJ76" s="1080"/>
      <c r="EK76" s="1080"/>
      <c r="EL76" s="1080"/>
      <c r="EM76" s="1066"/>
      <c r="EN76" s="1080"/>
      <c r="EO76" s="1080"/>
      <c r="EP76" s="1080"/>
      <c r="EQ76" s="1080"/>
      <c r="ER76" s="1066"/>
      <c r="ES76" s="484"/>
    </row>
    <row r="77" spans="1:149" ht="12" customHeight="1">
      <c r="A77" s="931"/>
      <c r="B77" s="484"/>
      <c r="C77" s="600" t="s">
        <v>773</v>
      </c>
      <c r="D77" s="566"/>
      <c r="E77" s="566"/>
      <c r="F77" s="566"/>
      <c r="G77" s="566"/>
      <c r="H77" s="566"/>
      <c r="I77" s="566"/>
      <c r="J77" s="566"/>
      <c r="K77" s="566"/>
      <c r="L77" s="566"/>
      <c r="M77" s="571"/>
      <c r="N77" s="568"/>
      <c r="O77" s="568"/>
      <c r="P77" s="568"/>
      <c r="Q77" s="568"/>
      <c r="R77" s="571"/>
      <c r="S77" s="566"/>
      <c r="T77" s="566"/>
      <c r="U77" s="566"/>
      <c r="V77" s="566"/>
      <c r="W77" s="571"/>
      <c r="X77" s="569"/>
      <c r="Y77" s="569"/>
      <c r="Z77" s="569"/>
      <c r="AA77" s="569"/>
      <c r="AB77" s="571"/>
      <c r="AC77" s="569"/>
      <c r="AD77" s="569"/>
      <c r="AE77" s="569"/>
      <c r="AF77" s="569"/>
      <c r="AG77" s="571"/>
      <c r="AH77" s="570"/>
      <c r="AI77" s="571"/>
      <c r="AJ77" s="571"/>
      <c r="AK77" s="571"/>
      <c r="AL77" s="571"/>
      <c r="AM77" s="571"/>
      <c r="AN77" s="571"/>
      <c r="AO77" s="571"/>
      <c r="AP77" s="571"/>
      <c r="AQ77" s="571"/>
      <c r="AR77" s="571"/>
      <c r="AS77" s="571"/>
      <c r="AT77" s="571"/>
      <c r="AU77" s="571"/>
      <c r="AV77" s="571"/>
      <c r="AW77" s="359"/>
      <c r="AX77" s="359"/>
      <c r="AY77" s="359"/>
      <c r="AZ77" s="359"/>
      <c r="BA77" s="359"/>
      <c r="BB77" s="359"/>
      <c r="BC77" s="359"/>
      <c r="BD77" s="359"/>
      <c r="BE77" s="359"/>
      <c r="BF77" s="359"/>
      <c r="BG77" s="359"/>
      <c r="BH77" s="359"/>
      <c r="BI77" s="359"/>
      <c r="BJ77" s="359"/>
      <c r="BK77" s="359"/>
      <c r="BL77" s="244"/>
      <c r="BM77" s="244"/>
      <c r="BN77" s="244"/>
      <c r="BO77" s="244"/>
      <c r="BP77" s="244"/>
      <c r="BQ77" s="244"/>
      <c r="BR77" s="244"/>
      <c r="BS77" s="244"/>
      <c r="BT77" s="1080"/>
      <c r="BU77" s="1066"/>
      <c r="BV77" s="1080"/>
      <c r="BW77" s="1080"/>
      <c r="BX77" s="1080"/>
      <c r="BY77" s="1080"/>
      <c r="BZ77" s="1066"/>
      <c r="CA77" s="1080"/>
      <c r="CB77" s="1080"/>
      <c r="CC77" s="1080"/>
      <c r="CD77" s="1080"/>
      <c r="CE77" s="1066"/>
      <c r="CF77" s="1080"/>
      <c r="CG77" s="1080"/>
      <c r="CH77" s="1080"/>
      <c r="CI77" s="1080"/>
      <c r="CJ77" s="1066"/>
      <c r="CK77" s="1080"/>
      <c r="CL77" s="1080"/>
      <c r="CM77" s="1080"/>
      <c r="CN77" s="1080"/>
      <c r="CO77" s="1066"/>
      <c r="CP77" s="1080"/>
      <c r="CQ77" s="1080"/>
      <c r="CR77" s="1080"/>
      <c r="CS77" s="1080"/>
      <c r="CT77" s="1066"/>
      <c r="CU77" s="1080"/>
      <c r="CV77" s="1080"/>
      <c r="CW77" s="1080"/>
      <c r="CX77" s="1080"/>
      <c r="CY77" s="1066"/>
      <c r="CZ77" s="1080"/>
      <c r="DA77" s="1080"/>
      <c r="DB77" s="1080"/>
      <c r="DC77" s="1080"/>
      <c r="DD77" s="1066"/>
      <c r="DE77" s="244">
        <f>+DE76/CZ71-1</f>
        <v>3.0694619438078856</v>
      </c>
      <c r="DF77" s="244">
        <f>+DF76/DA71-1</f>
        <v>-11.419278262811474</v>
      </c>
      <c r="DG77" s="244">
        <f>+DG76/DB71-1</f>
        <v>-1.7953041841566082</v>
      </c>
      <c r="DH77" s="244">
        <f>+DH76/DC71-1</f>
        <v>-3.4206423944214759</v>
      </c>
      <c r="DI77" s="1066"/>
      <c r="DJ77" s="244">
        <f>+DJ76/DE71-1</f>
        <v>-0.71251376296561419</v>
      </c>
      <c r="DK77" s="244">
        <f>+DK76/DF71-1</f>
        <v>8.9351258265893136</v>
      </c>
      <c r="DL77" s="244">
        <f>+DL76/DG71-1</f>
        <v>-1.0265229383960566</v>
      </c>
      <c r="DM77" s="244">
        <f>+DM76/DH71-1</f>
        <v>-3.8571940090134129</v>
      </c>
      <c r="DN77" s="1066"/>
      <c r="DO77" s="244">
        <f>+DO76/DJ71-1</f>
        <v>2.2520616500264063</v>
      </c>
      <c r="DP77" s="244">
        <f>+DP76/DK71-1</f>
        <v>10.270083384913759</v>
      </c>
      <c r="DQ77" s="244">
        <f>+DQ76/DL71-1</f>
        <v>-6.0649017407317505</v>
      </c>
      <c r="DR77" s="244">
        <f>+DR76/DM71-1</f>
        <v>-6.9910407438058426</v>
      </c>
      <c r="DS77" s="1066"/>
      <c r="DT77" s="244">
        <f>+DT76/DO71-1</f>
        <v>-7.7179915671896415</v>
      </c>
      <c r="DU77" s="244">
        <f>+DU76/DP71-1</f>
        <v>17.549850074905979</v>
      </c>
      <c r="DV77" s="1080"/>
      <c r="DW77" s="1080"/>
      <c r="DX77" s="1066"/>
      <c r="DY77" s="1080"/>
      <c r="DZ77" s="1080"/>
      <c r="EA77" s="1080"/>
      <c r="EB77" s="1080"/>
      <c r="EC77" s="1066"/>
      <c r="ED77" s="1080"/>
      <c r="EE77" s="1080"/>
      <c r="EF77" s="1080"/>
      <c r="EG77" s="1080"/>
      <c r="EH77" s="1066"/>
      <c r="EI77" s="1080"/>
      <c r="EJ77" s="1080"/>
      <c r="EK77" s="1080"/>
      <c r="EL77" s="1080"/>
      <c r="EM77" s="1066"/>
      <c r="EN77" s="1080"/>
      <c r="EO77" s="1080"/>
      <c r="EP77" s="1080"/>
      <c r="EQ77" s="1080"/>
      <c r="ER77" s="1066"/>
      <c r="ES77" s="484"/>
    </row>
    <row r="78" spans="1:149" ht="12" customHeight="1">
      <c r="A78" s="931"/>
      <c r="B78" s="484"/>
      <c r="C78" s="941" t="s">
        <v>312</v>
      </c>
      <c r="D78" s="500"/>
      <c r="E78" s="501"/>
      <c r="F78" s="501"/>
      <c r="G78" s="501"/>
      <c r="H78" s="501"/>
      <c r="I78" s="502"/>
      <c r="J78" s="502"/>
      <c r="K78" s="502"/>
      <c r="L78" s="502"/>
      <c r="M78" s="501"/>
      <c r="N78" s="359"/>
      <c r="O78" s="359"/>
      <c r="P78" s="359"/>
      <c r="Q78" s="359"/>
      <c r="R78" s="501"/>
      <c r="S78" s="359"/>
      <c r="T78" s="359"/>
      <c r="U78" s="359"/>
      <c r="V78" s="359"/>
      <c r="W78" s="501"/>
      <c r="X78" s="359"/>
      <c r="Y78" s="359"/>
      <c r="Z78" s="359"/>
      <c r="AA78" s="359"/>
      <c r="AB78" s="501"/>
      <c r="AC78" s="359"/>
      <c r="AD78" s="359"/>
      <c r="AE78" s="359"/>
      <c r="AF78" s="359"/>
      <c r="AG78" s="501"/>
      <c r="AH78" s="359"/>
      <c r="AI78" s="359"/>
      <c r="AJ78" s="359"/>
      <c r="AK78" s="359"/>
      <c r="AL78" s="501"/>
      <c r="AM78" s="359"/>
      <c r="AN78" s="359"/>
      <c r="AO78" s="359"/>
      <c r="AP78" s="359"/>
      <c r="AQ78" s="501"/>
      <c r="AR78" s="359"/>
      <c r="AS78" s="359"/>
      <c r="AT78" s="359"/>
      <c r="AU78" s="359"/>
      <c r="AV78" s="501"/>
      <c r="AW78" s="359"/>
      <c r="AX78" s="359"/>
      <c r="AY78" s="359"/>
      <c r="AZ78" s="359"/>
      <c r="BA78" s="501"/>
      <c r="BB78" s="359"/>
      <c r="BC78" s="359"/>
      <c r="BD78" s="359"/>
      <c r="BE78" s="359"/>
      <c r="BF78" s="501"/>
      <c r="BG78" s="539"/>
      <c r="BH78" s="539"/>
      <c r="BI78" s="539"/>
      <c r="BJ78" s="539"/>
      <c r="BK78" s="501"/>
      <c r="BL78" s="359"/>
      <c r="BM78" s="359"/>
      <c r="BN78" s="359"/>
      <c r="BO78" s="359"/>
      <c r="BP78" s="501"/>
      <c r="BQ78" s="572"/>
      <c r="BR78" s="572"/>
      <c r="BS78" s="572"/>
      <c r="BT78" s="572"/>
      <c r="BU78" s="573"/>
      <c r="BV78" s="572"/>
      <c r="BW78" s="572"/>
      <c r="BX78" s="572"/>
      <c r="BY78" s="572"/>
      <c r="BZ78" s="574"/>
      <c r="CA78" s="572"/>
      <c r="CB78" s="572"/>
      <c r="CC78" s="572"/>
      <c r="CD78" s="572"/>
      <c r="CE78" s="574"/>
      <c r="CF78" s="572"/>
      <c r="CG78" s="572"/>
      <c r="CH78" s="572"/>
      <c r="CI78" s="572"/>
      <c r="CJ78" s="574"/>
      <c r="CK78" s="572"/>
      <c r="CL78" s="572"/>
      <c r="CM78" s="572"/>
      <c r="CN78" s="572"/>
      <c r="CO78" s="574"/>
      <c r="CP78" s="572"/>
      <c r="CQ78" s="572"/>
      <c r="CR78" s="572"/>
      <c r="CS78" s="572"/>
      <c r="CT78" s="574"/>
      <c r="CU78" s="572"/>
      <c r="CV78" s="572"/>
      <c r="CW78" s="572"/>
      <c r="CX78" s="575"/>
      <c r="CY78" s="574"/>
      <c r="CZ78" s="575"/>
      <c r="DA78" s="575"/>
      <c r="DB78" s="575"/>
      <c r="DC78" s="575"/>
      <c r="DD78" s="574"/>
      <c r="DE78" s="575"/>
      <c r="DF78" s="575"/>
      <c r="DG78" s="575"/>
      <c r="DH78" s="575"/>
      <c r="DI78" s="574"/>
      <c r="DJ78" s="575"/>
      <c r="DK78" s="575"/>
      <c r="DL78" s="575"/>
      <c r="DM78" s="575"/>
      <c r="DN78" s="574"/>
      <c r="DO78" s="575"/>
      <c r="DP78" s="575"/>
      <c r="DQ78" s="575"/>
      <c r="DR78" s="575"/>
      <c r="DS78" s="574"/>
      <c r="DT78" s="575"/>
      <c r="DU78" s="575"/>
      <c r="DV78" s="575"/>
      <c r="DW78" s="575"/>
      <c r="DX78" s="574"/>
      <c r="DY78" s="575"/>
      <c r="DZ78" s="575"/>
      <c r="EA78" s="575"/>
      <c r="EB78" s="575"/>
      <c r="EC78" s="574"/>
      <c r="ED78" s="575"/>
      <c r="EE78" s="575"/>
      <c r="EF78" s="575"/>
      <c r="EG78" s="575"/>
      <c r="EH78" s="574"/>
      <c r="EI78" s="575"/>
      <c r="EJ78" s="575"/>
      <c r="EK78" s="575"/>
      <c r="EL78" s="575"/>
      <c r="EM78" s="574"/>
      <c r="EN78" s="575"/>
      <c r="EO78" s="575"/>
      <c r="EP78" s="575"/>
      <c r="EQ78" s="575"/>
      <c r="ER78" s="574"/>
      <c r="ES78" s="490"/>
    </row>
    <row r="79" spans="1:149" s="1068" customFormat="1" ht="12" customHeight="1">
      <c r="A79" s="932" t="s">
        <v>575</v>
      </c>
      <c r="B79" s="89"/>
      <c r="C79" s="958" t="s">
        <v>585</v>
      </c>
      <c r="D79" s="500"/>
      <c r="E79" s="643"/>
      <c r="F79" s="643"/>
      <c r="G79" s="643"/>
      <c r="H79" s="643"/>
      <c r="I79" s="502"/>
      <c r="J79" s="502"/>
      <c r="K79" s="502"/>
      <c r="L79" s="502"/>
      <c r="M79" s="643"/>
      <c r="N79" s="644"/>
      <c r="O79" s="644"/>
      <c r="P79" s="644"/>
      <c r="Q79" s="644"/>
      <c r="R79" s="643"/>
      <c r="S79" s="644"/>
      <c r="T79" s="644"/>
      <c r="U79" s="644"/>
      <c r="V79" s="644"/>
      <c r="W79" s="643"/>
      <c r="X79" s="644"/>
      <c r="Y79" s="644"/>
      <c r="Z79" s="644"/>
      <c r="AA79" s="644"/>
      <c r="AB79" s="643"/>
      <c r="AC79" s="644"/>
      <c r="AD79" s="644"/>
      <c r="AE79" s="644"/>
      <c r="AF79" s="644"/>
      <c r="AG79" s="643"/>
      <c r="AH79" s="644"/>
      <c r="AI79" s="644"/>
      <c r="AJ79" s="644"/>
      <c r="AK79" s="644"/>
      <c r="AL79" s="643"/>
      <c r="AM79" s="644"/>
      <c r="AN79" s="644"/>
      <c r="AO79" s="644"/>
      <c r="AP79" s="644"/>
      <c r="AQ79" s="643"/>
      <c r="AR79" s="644"/>
      <c r="AS79" s="644"/>
      <c r="AT79" s="644"/>
      <c r="AU79" s="644"/>
      <c r="AV79" s="643"/>
      <c r="AW79" s="644"/>
      <c r="AX79" s="644"/>
      <c r="AY79" s="644"/>
      <c r="AZ79" s="644"/>
      <c r="BA79" s="643"/>
      <c r="BB79" s="644"/>
      <c r="BC79" s="644"/>
      <c r="BD79" s="644"/>
      <c r="BE79" s="644"/>
      <c r="BF79" s="643"/>
      <c r="BG79" s="654"/>
      <c r="BH79" s="654"/>
      <c r="BI79" s="654"/>
      <c r="BJ79" s="654"/>
      <c r="BK79" s="643"/>
      <c r="BL79" s="644"/>
      <c r="BM79" s="644"/>
      <c r="BN79" s="644"/>
      <c r="BO79" s="644"/>
      <c r="BP79" s="643"/>
      <c r="BQ79" s="581"/>
      <c r="BR79" s="581"/>
      <c r="BS79" s="581"/>
      <c r="BT79" s="581"/>
      <c r="BU79" s="582"/>
      <c r="BV79" s="581"/>
      <c r="BW79" s="581"/>
      <c r="BX79" s="581"/>
      <c r="BY79" s="581"/>
      <c r="BZ79" s="583"/>
      <c r="CA79" s="1043">
        <f>CF79/(CF80+1)</f>
        <v>1786.5621160726962</v>
      </c>
      <c r="CB79" s="1043">
        <f>CG79/(CG80+1)</f>
        <v>2304.2615770228658</v>
      </c>
      <c r="CC79" s="1043">
        <f>CH79/(CH80+1)</f>
        <v>2420.5104372410051</v>
      </c>
      <c r="CD79" s="1043">
        <f>CD81*CD63</f>
        <v>3576.68181</v>
      </c>
      <c r="CE79" s="955">
        <f>SUM(CA79:CD79)</f>
        <v>10088.015940336567</v>
      </c>
      <c r="CF79" s="1043">
        <f>CK79/(CK80+1)</f>
        <v>2929.9618703592218</v>
      </c>
      <c r="CG79" s="1043">
        <f>CL79/(CL80+1)</f>
        <v>3825.0742178579576</v>
      </c>
      <c r="CH79" s="1043">
        <f>CM79/(CM80+1)</f>
        <v>4139.0728476821187</v>
      </c>
      <c r="CI79" s="1043">
        <f>CN79/(CN80+1)</f>
        <v>5817.4951267056522</v>
      </c>
      <c r="CJ79" s="955">
        <f>SUM(CF79:CI79)</f>
        <v>16711.604062604951</v>
      </c>
      <c r="CK79" s="1043">
        <f>CP79/(CP80+1)</f>
        <v>4834.4370860927156</v>
      </c>
      <c r="CL79" s="1043">
        <f>CQ79/(CQ80+1)</f>
        <v>5775.8620689655163</v>
      </c>
      <c r="CM79" s="1043">
        <f>CR79/(CR80+1)</f>
        <v>6249.9999999999991</v>
      </c>
      <c r="CN79" s="1043">
        <f>CS79/(CS80+1)</f>
        <v>8842.5925925925912</v>
      </c>
      <c r="CO79" s="955">
        <f>SUM(CK79:CN79)</f>
        <v>25702.891747650821</v>
      </c>
      <c r="CP79" s="1098">
        <v>7300</v>
      </c>
      <c r="CQ79" s="1098">
        <v>13400</v>
      </c>
      <c r="CR79" s="1098">
        <v>14000</v>
      </c>
      <c r="CS79" s="1098">
        <v>19100</v>
      </c>
      <c r="CT79" s="955">
        <f>SUM(CP79:CS79)</f>
        <v>53800</v>
      </c>
      <c r="CU79" s="1098">
        <v>17300</v>
      </c>
      <c r="CV79" s="1098">
        <v>20300</v>
      </c>
      <c r="CW79" s="1098">
        <v>20500</v>
      </c>
      <c r="CX79" s="1098">
        <v>27700</v>
      </c>
      <c r="CY79" s="955">
        <f>SUM(CU79:CX79)</f>
        <v>85800</v>
      </c>
      <c r="CZ79" s="1098">
        <v>22000</v>
      </c>
      <c r="DA79" s="1098">
        <v>24900</v>
      </c>
      <c r="DB79" s="1098">
        <v>25000</v>
      </c>
      <c r="DC79" s="1098">
        <v>34200</v>
      </c>
      <c r="DD79" s="955">
        <f>SUM(CZ79:DC79)</f>
        <v>106100</v>
      </c>
      <c r="DE79" s="1098">
        <v>27500</v>
      </c>
      <c r="DF79" s="1098">
        <v>31700</v>
      </c>
      <c r="DG79" s="1098">
        <v>32800</v>
      </c>
      <c r="DH79" s="1098">
        <v>45074</v>
      </c>
      <c r="DI79" s="955">
        <f>SUM(DE79:DH79)</f>
        <v>137074</v>
      </c>
      <c r="DJ79" s="1098">
        <v>36238</v>
      </c>
      <c r="DK79" s="1098">
        <v>41400</v>
      </c>
      <c r="DL79" s="1098">
        <v>42900</v>
      </c>
      <c r="DM79" s="1098">
        <v>60650</v>
      </c>
      <c r="DN79" s="955">
        <f>+DN81*DN63</f>
        <v>180918.22500000001</v>
      </c>
      <c r="DO79" s="1290">
        <f>+DJ79+11300</f>
        <v>47538</v>
      </c>
      <c r="DP79" s="1551">
        <f>+DP81*DP63</f>
        <v>56567.027999999998</v>
      </c>
      <c r="DQ79" s="1043">
        <f>+DQ81*DQ63</f>
        <v>59992.476000000002</v>
      </c>
      <c r="DR79" s="1536">
        <f>+DS79-DQ79-DP79-DO79</f>
        <v>84159.792000000016</v>
      </c>
      <c r="DS79" s="955">
        <f>+DS81*DS63</f>
        <v>248257.296</v>
      </c>
      <c r="DT79" s="1290">
        <v>67000</v>
      </c>
      <c r="DU79" s="1551">
        <f>+DU81*DU63</f>
        <v>78585.560000000012</v>
      </c>
      <c r="DV79" s="1099">
        <f>DV63*DV81</f>
        <v>80382.556800000006</v>
      </c>
      <c r="DW79" s="1099">
        <f>DW63*DW81</f>
        <v>111761.22948000004</v>
      </c>
      <c r="DX79" s="955">
        <f>SUM(DT79:DW79)</f>
        <v>337729.34628000006</v>
      </c>
      <c r="DY79" s="1099">
        <f>DY63*DY81</f>
        <v>88331.462400000019</v>
      </c>
      <c r="DZ79" s="1099">
        <f>DZ63*DZ81</f>
        <v>102005.21255000001</v>
      </c>
      <c r="EA79" s="1099">
        <f>EA63*EA81</f>
        <v>102721.01287500001</v>
      </c>
      <c r="EB79" s="1099">
        <f>EB63*EB81</f>
        <v>141555.36550920006</v>
      </c>
      <c r="EC79" s="955">
        <f>SUM(DY79:EB79)</f>
        <v>434613.05333420006</v>
      </c>
      <c r="ED79" s="1099">
        <f>ED63*ED81</f>
        <v>107545.16736000001</v>
      </c>
      <c r="EE79" s="1099">
        <f>EE63*EE81</f>
        <v>124167.49614</v>
      </c>
      <c r="EF79" s="1099">
        <f>EF63*EF81</f>
        <v>125059.46895000001</v>
      </c>
      <c r="EG79" s="1099">
        <f>EG63*EG81</f>
        <v>172243.59137424006</v>
      </c>
      <c r="EH79" s="955">
        <f>SUM(ED79:EG79)</f>
        <v>529015.72382424003</v>
      </c>
      <c r="EI79" s="1099">
        <f>EI63*EI81</f>
        <v>128183.78131200002</v>
      </c>
      <c r="EJ79" s="1099">
        <f>EJ63*EJ81</f>
        <v>147966.26623350001</v>
      </c>
      <c r="EK79" s="1099">
        <f>EK63*EK81</f>
        <v>149053.12387875002</v>
      </c>
      <c r="EL79" s="1099">
        <f>EL63*EL81</f>
        <v>205179.37436149205</v>
      </c>
      <c r="EM79" s="955">
        <f>SUM(EI79:EL79)</f>
        <v>630382.54578574211</v>
      </c>
      <c r="EN79" s="1099">
        <f>EN63*EN81</f>
        <v>150802.30953216003</v>
      </c>
      <c r="EO79" s="1099">
        <f>EO63*EO81</f>
        <v>174041.44042289999</v>
      </c>
      <c r="EP79" s="1099">
        <f>EP63*EP81</f>
        <v>175347.19121985001</v>
      </c>
      <c r="EQ79" s="1099">
        <f>EQ63*EQ81</f>
        <v>241248.13347557237</v>
      </c>
      <c r="ER79" s="955">
        <f>SUM(EN79:EQ79)</f>
        <v>741439.07465048239</v>
      </c>
      <c r="ES79" s="499"/>
    </row>
    <row r="80" spans="1:149" ht="12" customHeight="1">
      <c r="A80" s="931" t="s">
        <v>591</v>
      </c>
      <c r="B80" s="484"/>
      <c r="C80" s="956" t="s">
        <v>129</v>
      </c>
      <c r="D80" s="500"/>
      <c r="E80" s="501"/>
      <c r="F80" s="501"/>
      <c r="G80" s="501"/>
      <c r="H80" s="501"/>
      <c r="I80" s="502"/>
      <c r="J80" s="502"/>
      <c r="K80" s="502"/>
      <c r="L80" s="502"/>
      <c r="M80" s="501"/>
      <c r="N80" s="359"/>
      <c r="O80" s="359"/>
      <c r="P80" s="359"/>
      <c r="Q80" s="359"/>
      <c r="R80" s="501"/>
      <c r="S80" s="359"/>
      <c r="T80" s="359"/>
      <c r="U80" s="359"/>
      <c r="V80" s="359"/>
      <c r="W80" s="501"/>
      <c r="X80" s="359"/>
      <c r="Y80" s="359"/>
      <c r="Z80" s="359"/>
      <c r="AA80" s="359"/>
      <c r="AB80" s="501"/>
      <c r="AC80" s="359"/>
      <c r="AD80" s="359"/>
      <c r="AE80" s="359"/>
      <c r="AF80" s="359"/>
      <c r="AG80" s="501"/>
      <c r="AH80" s="359"/>
      <c r="AI80" s="359"/>
      <c r="AJ80" s="359"/>
      <c r="AK80" s="359"/>
      <c r="AL80" s="501"/>
      <c r="AM80" s="359"/>
      <c r="AN80" s="359"/>
      <c r="AO80" s="359"/>
      <c r="AP80" s="359"/>
      <c r="AQ80" s="501"/>
      <c r="AR80" s="359"/>
      <c r="AS80" s="359"/>
      <c r="AT80" s="359"/>
      <c r="AU80" s="359"/>
      <c r="AV80" s="501"/>
      <c r="AW80" s="359"/>
      <c r="AX80" s="359"/>
      <c r="AY80" s="359"/>
      <c r="AZ80" s="359"/>
      <c r="BA80" s="501"/>
      <c r="BB80" s="359"/>
      <c r="BC80" s="359"/>
      <c r="BD80" s="359"/>
      <c r="BE80" s="359"/>
      <c r="BF80" s="501"/>
      <c r="BG80" s="539"/>
      <c r="BH80" s="539"/>
      <c r="BI80" s="539"/>
      <c r="BJ80" s="539"/>
      <c r="BK80" s="501"/>
      <c r="BL80" s="359"/>
      <c r="BM80" s="359"/>
      <c r="BN80" s="359"/>
      <c r="BO80" s="359"/>
      <c r="BP80" s="501"/>
      <c r="BQ80" s="572"/>
      <c r="BR80" s="572"/>
      <c r="BS80" s="572"/>
      <c r="BT80" s="572"/>
      <c r="BU80" s="573"/>
      <c r="BV80" s="572"/>
      <c r="BW80" s="572"/>
      <c r="BX80" s="572"/>
      <c r="BY80" s="572"/>
      <c r="BZ80" s="574"/>
      <c r="CA80" s="572"/>
      <c r="CB80" s="572"/>
      <c r="CC80" s="572"/>
      <c r="CD80" s="572"/>
      <c r="CE80" s="243"/>
      <c r="CF80" s="580">
        <v>0.64</v>
      </c>
      <c r="CG80" s="580">
        <v>0.66</v>
      </c>
      <c r="CH80" s="580">
        <v>0.71</v>
      </c>
      <c r="CI80" s="580">
        <v>0.65</v>
      </c>
      <c r="CJ80" s="243">
        <f>CJ79/CE79-1</f>
        <v>0.65657986282359104</v>
      </c>
      <c r="CK80" s="580">
        <v>0.65</v>
      </c>
      <c r="CL80" s="580">
        <v>0.51</v>
      </c>
      <c r="CM80" s="580">
        <v>0.51</v>
      </c>
      <c r="CN80" s="580">
        <v>0.52</v>
      </c>
      <c r="CO80" s="243">
        <f>CO79/CJ79-1</f>
        <v>0.53802661021424036</v>
      </c>
      <c r="CP80" s="580">
        <v>0.51</v>
      </c>
      <c r="CQ80" s="580">
        <v>1.32</v>
      </c>
      <c r="CR80" s="580">
        <v>1.24</v>
      </c>
      <c r="CS80" s="580">
        <v>1.1599999999999999</v>
      </c>
      <c r="CT80" s="243">
        <f t="shared" ref="CT80:EC80" si="263">CT79/CO79-1</f>
        <v>1.0931496941357652</v>
      </c>
      <c r="CU80" s="359">
        <f t="shared" si="263"/>
        <v>1.3698630136986303</v>
      </c>
      <c r="CV80" s="359">
        <f t="shared" si="263"/>
        <v>0.5149253731343284</v>
      </c>
      <c r="CW80" s="359">
        <f t="shared" si="263"/>
        <v>0.46428571428571419</v>
      </c>
      <c r="CX80" s="359">
        <f t="shared" si="263"/>
        <v>0.45026178010471196</v>
      </c>
      <c r="CY80" s="243">
        <f t="shared" si="263"/>
        <v>0.59479553903345717</v>
      </c>
      <c r="CZ80" s="359">
        <f t="shared" si="263"/>
        <v>0.27167630057803471</v>
      </c>
      <c r="DA80" s="359">
        <f t="shared" si="263"/>
        <v>0.22660098522167482</v>
      </c>
      <c r="DB80" s="359">
        <f t="shared" si="263"/>
        <v>0.21951219512195119</v>
      </c>
      <c r="DC80" s="359">
        <f t="shared" si="263"/>
        <v>0.23465703971119134</v>
      </c>
      <c r="DD80" s="243">
        <f t="shared" si="263"/>
        <v>0.23659673659673652</v>
      </c>
      <c r="DE80" s="359">
        <f t="shared" si="263"/>
        <v>0.25</v>
      </c>
      <c r="DF80" s="359">
        <f t="shared" si="263"/>
        <v>0.27309236947791171</v>
      </c>
      <c r="DG80" s="359">
        <f t="shared" si="263"/>
        <v>0.31200000000000006</v>
      </c>
      <c r="DH80" s="359">
        <f t="shared" si="263"/>
        <v>0.3179532163742691</v>
      </c>
      <c r="DI80" s="243">
        <f t="shared" si="263"/>
        <v>0.29193213949104613</v>
      </c>
      <c r="DJ80" s="359">
        <f t="shared" si="263"/>
        <v>0.31774545454545455</v>
      </c>
      <c r="DK80" s="359">
        <f t="shared" si="263"/>
        <v>0.30599369085173511</v>
      </c>
      <c r="DL80" s="359">
        <f t="shared" si="263"/>
        <v>0.30792682926829262</v>
      </c>
      <c r="DM80" s="359">
        <f t="shared" si="263"/>
        <v>0.34556507077250753</v>
      </c>
      <c r="DN80" s="243">
        <f t="shared" si="263"/>
        <v>0.31985806936399319</v>
      </c>
      <c r="DO80" s="359">
        <f>DO79/DJ79-1</f>
        <v>0.31182736354103424</v>
      </c>
      <c r="DP80" s="359">
        <f t="shared" si="263"/>
        <v>0.36635333333333331</v>
      </c>
      <c r="DQ80" s="359">
        <f t="shared" si="263"/>
        <v>0.39842601398601407</v>
      </c>
      <c r="DR80" s="359">
        <f>DR79/DM79-1</f>
        <v>0.38763053586150065</v>
      </c>
      <c r="DS80" s="243">
        <f>DS79/DN79-1</f>
        <v>0.37220722787878335</v>
      </c>
      <c r="DT80" s="359">
        <f>DT79/DO79-1</f>
        <v>0.40939879675207203</v>
      </c>
      <c r="DU80" s="359">
        <f t="shared" si="263"/>
        <v>0.38924675342674919</v>
      </c>
      <c r="DV80" s="359">
        <f t="shared" si="263"/>
        <v>0.33987730061349697</v>
      </c>
      <c r="DW80" s="359">
        <f t="shared" si="263"/>
        <v>0.32796465894307358</v>
      </c>
      <c r="DX80" s="243">
        <f t="shared" si="263"/>
        <v>0.36040048659838808</v>
      </c>
      <c r="DY80" s="359">
        <f t="shared" si="263"/>
        <v>0.31838003582089569</v>
      </c>
      <c r="DZ80" s="359">
        <f t="shared" si="263"/>
        <v>0.29801470588235279</v>
      </c>
      <c r="EA80" s="359">
        <f t="shared" si="263"/>
        <v>0.27790178571428581</v>
      </c>
      <c r="EB80" s="359">
        <f t="shared" si="263"/>
        <v>0.26658740394880631</v>
      </c>
      <c r="EC80" s="243">
        <f t="shared" si="263"/>
        <v>0.28686789620549291</v>
      </c>
      <c r="ED80" s="359">
        <f t="shared" ref="ED80" si="264">ED79/DY79-1</f>
        <v>0.21751824817518228</v>
      </c>
      <c r="EE80" s="359">
        <f t="shared" ref="EE80" si="265">EE79/DZ79-1</f>
        <v>0.2172661870503596</v>
      </c>
      <c r="EF80" s="359">
        <f t="shared" ref="EF80" si="266">EF79/EA79-1</f>
        <v>0.21746724890829694</v>
      </c>
      <c r="EG80" s="359">
        <f t="shared" ref="EG80" si="267">EG79/EB79-1</f>
        <v>0.21679309544112968</v>
      </c>
      <c r="EH80" s="243">
        <f t="shared" ref="EH80" si="268">EH79/EC79-1</f>
        <v>0.21721084943449243</v>
      </c>
      <c r="EI80" s="359">
        <f t="shared" ref="EI80" si="269">EI79/ED79-1</f>
        <v>0.191906474820144</v>
      </c>
      <c r="EJ80" s="359">
        <f t="shared" ref="EJ80" si="270">EJ79/EE79-1</f>
        <v>0.19166666666666665</v>
      </c>
      <c r="EK80" s="359">
        <f t="shared" ref="EK80" si="271">EK79/EF79-1</f>
        <v>0.19185796269727406</v>
      </c>
      <c r="EL80" s="359">
        <f t="shared" ref="EL80" si="272">EL79/EG79-1</f>
        <v>0.19121630433083103</v>
      </c>
      <c r="EM80" s="243">
        <f t="shared" ref="EM80" si="273">EM79/EH79-1</f>
        <v>0.1916140057779836</v>
      </c>
      <c r="EN80" s="359">
        <f t="shared" ref="EN80" si="274">EN79/EI79-1</f>
        <v>0.17645390070921985</v>
      </c>
      <c r="EO80" s="359">
        <f t="shared" ref="EO80" si="275">EO79/EJ79-1</f>
        <v>0.17622377622377616</v>
      </c>
      <c r="EP80" s="359">
        <f t="shared" ref="EP80" si="276">EP79/EK79-1</f>
        <v>0.17640735502121641</v>
      </c>
      <c r="EQ80" s="359">
        <f t="shared" ref="EQ80" si="277">EQ79/EL79-1</f>
        <v>0.17579134952684439</v>
      </c>
      <c r="ER80" s="243">
        <f t="shared" ref="ER80" si="278">ER79/EM79-1</f>
        <v>0.17617322942581404</v>
      </c>
      <c r="ES80" s="490"/>
    </row>
    <row r="81" spans="1:149" ht="12" customHeight="1">
      <c r="A81" s="931"/>
      <c r="B81" s="484"/>
      <c r="C81" s="956" t="s">
        <v>317</v>
      </c>
      <c r="D81" s="500"/>
      <c r="E81" s="501"/>
      <c r="F81" s="501"/>
      <c r="G81" s="501"/>
      <c r="H81" s="501"/>
      <c r="I81" s="502"/>
      <c r="J81" s="502"/>
      <c r="K81" s="502"/>
      <c r="L81" s="502"/>
      <c r="M81" s="501"/>
      <c r="N81" s="359"/>
      <c r="O81" s="359"/>
      <c r="P81" s="359"/>
      <c r="Q81" s="359"/>
      <c r="R81" s="501"/>
      <c r="S81" s="359"/>
      <c r="T81" s="359"/>
      <c r="U81" s="359"/>
      <c r="V81" s="359"/>
      <c r="W81" s="501"/>
      <c r="X81" s="359"/>
      <c r="Y81" s="359"/>
      <c r="Z81" s="359"/>
      <c r="AA81" s="359"/>
      <c r="AB81" s="501"/>
      <c r="AC81" s="359"/>
      <c r="AD81" s="359"/>
      <c r="AE81" s="359"/>
      <c r="AF81" s="359"/>
      <c r="AG81" s="501"/>
      <c r="AH81" s="359"/>
      <c r="AI81" s="359"/>
      <c r="AJ81" s="359"/>
      <c r="AK81" s="359"/>
      <c r="AL81" s="501"/>
      <c r="AM81" s="359"/>
      <c r="AN81" s="359"/>
      <c r="AO81" s="359"/>
      <c r="AP81" s="359"/>
      <c r="AQ81" s="501"/>
      <c r="AR81" s="359"/>
      <c r="AS81" s="359"/>
      <c r="AT81" s="359"/>
      <c r="AU81" s="359"/>
      <c r="AV81" s="501"/>
      <c r="AW81" s="359"/>
      <c r="AX81" s="359"/>
      <c r="AY81" s="359"/>
      <c r="AZ81" s="359"/>
      <c r="BA81" s="501"/>
      <c r="BB81" s="359"/>
      <c r="BC81" s="359"/>
      <c r="BD81" s="359"/>
      <c r="BE81" s="359"/>
      <c r="BF81" s="501"/>
      <c r="BG81" s="539"/>
      <c r="BH81" s="539"/>
      <c r="BI81" s="539"/>
      <c r="BJ81" s="539"/>
      <c r="BK81" s="501"/>
      <c r="BL81" s="359"/>
      <c r="BM81" s="359"/>
      <c r="BN81" s="359"/>
      <c r="BO81" s="359"/>
      <c r="BP81" s="501"/>
      <c r="BQ81" s="572"/>
      <c r="BR81" s="572"/>
      <c r="BS81" s="572"/>
      <c r="BT81" s="572"/>
      <c r="BU81" s="573"/>
      <c r="BV81" s="572"/>
      <c r="BW81" s="572"/>
      <c r="BX81" s="572"/>
      <c r="BY81" s="572"/>
      <c r="BZ81" s="574"/>
      <c r="CA81" s="359">
        <f>CA79/CA63</f>
        <v>0.36817923328494434</v>
      </c>
      <c r="CB81" s="359">
        <f>CB79/CB63</f>
        <v>0.39282681083391313</v>
      </c>
      <c r="CC81" s="359">
        <f>CC79/CC63</f>
        <v>0.37638750987280245</v>
      </c>
      <c r="CD81" s="580">
        <v>0.39</v>
      </c>
      <c r="CE81" s="243">
        <f t="shared" ref="CE81:DM81" si="279">CE79/CE63</f>
        <v>0.38328109605517319</v>
      </c>
      <c r="CF81" s="359">
        <f t="shared" si="279"/>
        <v>0.36843595397725148</v>
      </c>
      <c r="CG81" s="359">
        <f t="shared" si="279"/>
        <v>0.41869804814506767</v>
      </c>
      <c r="CH81" s="359">
        <f t="shared" si="279"/>
        <v>0.41413058397909336</v>
      </c>
      <c r="CI81" s="359">
        <f t="shared" si="279"/>
        <v>0.41492604729281146</v>
      </c>
      <c r="CJ81" s="243">
        <f t="shared" si="279"/>
        <v>0.40657633986414771</v>
      </c>
      <c r="CK81" s="359">
        <f t="shared" si="279"/>
        <v>0.40578375797100913</v>
      </c>
      <c r="CL81" s="359">
        <f t="shared" si="279"/>
        <v>0.4193857311028138</v>
      </c>
      <c r="CM81" s="359">
        <f t="shared" si="279"/>
        <v>0.42169581090755004</v>
      </c>
      <c r="CN81" s="359">
        <f t="shared" si="279"/>
        <v>0.42860030385795805</v>
      </c>
      <c r="CO81" s="243">
        <f t="shared" si="279"/>
        <v>0.42040465214309908</v>
      </c>
      <c r="CP81" s="359">
        <f t="shared" si="279"/>
        <v>0.41917280324166423</v>
      </c>
      <c r="CQ81" s="359">
        <f t="shared" si="279"/>
        <v>0.44510189611414752</v>
      </c>
      <c r="CR81" s="359">
        <f t="shared" si="279"/>
        <v>0.45282303627225728</v>
      </c>
      <c r="CS81" s="359">
        <f t="shared" si="279"/>
        <v>0.46427654508438826</v>
      </c>
      <c r="CT81" s="243">
        <f t="shared" si="279"/>
        <v>0.44991874576167973</v>
      </c>
      <c r="CU81" s="359">
        <f t="shared" si="279"/>
        <v>0.46322469830550267</v>
      </c>
      <c r="CV81" s="359">
        <f t="shared" si="279"/>
        <v>0.48111823063390691</v>
      </c>
      <c r="CW81" s="359">
        <f t="shared" si="279"/>
        <v>0.49084164904884342</v>
      </c>
      <c r="CX81" s="359">
        <f t="shared" si="279"/>
        <v>0.51242624391933178</v>
      </c>
      <c r="CY81" s="243">
        <f t="shared" si="279"/>
        <v>0.4892741358161361</v>
      </c>
      <c r="CZ81" s="359">
        <f t="shared" si="279"/>
        <v>0.50925982510350942</v>
      </c>
      <c r="DA81" s="359">
        <f t="shared" si="279"/>
        <v>0.53148097344006018</v>
      </c>
      <c r="DB81" s="359">
        <f t="shared" si="279"/>
        <v>0.54112554112554112</v>
      </c>
      <c r="DC81" s="359">
        <f t="shared" si="279"/>
        <v>0.56065573770491806</v>
      </c>
      <c r="DD81" s="243">
        <f t="shared" si="279"/>
        <v>0.53789560466337949</v>
      </c>
      <c r="DE81" s="359">
        <f t="shared" si="279"/>
        <v>0.55443548387096775</v>
      </c>
      <c r="DF81" s="359">
        <f t="shared" si="279"/>
        <v>0.57636363636363641</v>
      </c>
      <c r="DG81" s="359">
        <f t="shared" si="279"/>
        <v>0.58362989323843417</v>
      </c>
      <c r="DH81" s="359">
        <f t="shared" si="279"/>
        <v>0.59998668885191353</v>
      </c>
      <c r="DI81" s="243">
        <f t="shared" si="279"/>
        <v>0.58100667585037613</v>
      </c>
      <c r="DJ81" s="359">
        <f t="shared" si="279"/>
        <v>0.59548106153972558</v>
      </c>
      <c r="DK81" s="359">
        <f t="shared" si="279"/>
        <v>0.61565915681463301</v>
      </c>
      <c r="DL81" s="359">
        <f t="shared" si="279"/>
        <v>0.61536254751488206</v>
      </c>
      <c r="DM81" s="359">
        <f t="shared" si="279"/>
        <v>0.64207071776413294</v>
      </c>
      <c r="DN81" s="1422">
        <v>0.61899999999999999</v>
      </c>
      <c r="DO81" s="580">
        <f>DO79/DO63</f>
        <v>0.63595986622073575</v>
      </c>
      <c r="DP81" s="580">
        <v>0.64400000000000002</v>
      </c>
      <c r="DQ81" s="580">
        <v>0.65200000000000002</v>
      </c>
      <c r="DR81" s="359">
        <f t="shared" ref="DR81" si="280">DR79/DR63</f>
        <v>0.67957939616120688</v>
      </c>
      <c r="DS81" s="1422">
        <v>0.65600000000000003</v>
      </c>
      <c r="DT81" s="580">
        <v>0.67</v>
      </c>
      <c r="DU81" s="580">
        <v>0.68</v>
      </c>
      <c r="DV81" s="359">
        <f>+DQ81+DV83/10000</f>
        <v>0.67200000000000004</v>
      </c>
      <c r="DW81" s="359">
        <f>+DR81+DW83/10000</f>
        <v>0.6995793961612069</v>
      </c>
      <c r="DX81" s="243">
        <f>DX79/DX63</f>
        <v>0.68134305736751</v>
      </c>
      <c r="DY81" s="359">
        <f>+DT81+DY83/10000</f>
        <v>0.68500000000000005</v>
      </c>
      <c r="DZ81" s="359">
        <f>+DU81+DZ83/10000</f>
        <v>0.69500000000000006</v>
      </c>
      <c r="EA81" s="359">
        <f>+DV81+EA83/10000</f>
        <v>0.68700000000000006</v>
      </c>
      <c r="EB81" s="359">
        <f>+DW81+EB83/10000</f>
        <v>0.71457939616120691</v>
      </c>
      <c r="EC81" s="243">
        <f>EC79/EC63</f>
        <v>0.69723461620381133</v>
      </c>
      <c r="ED81" s="359">
        <f>+DY81+ED83/10000</f>
        <v>0.69500000000000006</v>
      </c>
      <c r="EE81" s="359">
        <f>+DZ81+EE83/10000</f>
        <v>0.70500000000000007</v>
      </c>
      <c r="EF81" s="359">
        <f>+EA81+EF83/10000</f>
        <v>0.69700000000000006</v>
      </c>
      <c r="EG81" s="359">
        <f>+EB81+EG83/10000</f>
        <v>0.72457939616120692</v>
      </c>
      <c r="EH81" s="243">
        <f>EH79/EH63</f>
        <v>0.70723461620381134</v>
      </c>
      <c r="EI81" s="359">
        <f>+ED81+EI83/10000</f>
        <v>0.70500000000000007</v>
      </c>
      <c r="EJ81" s="359">
        <f>+EE81+EJ83/10000</f>
        <v>0.71500000000000008</v>
      </c>
      <c r="EK81" s="359">
        <f>+EF81+EK83/10000</f>
        <v>0.70700000000000007</v>
      </c>
      <c r="EL81" s="359">
        <f>+EG81+EL83/10000</f>
        <v>0.73457939616120693</v>
      </c>
      <c r="EM81" s="243">
        <f>EM79/EM63</f>
        <v>0.71723461620381135</v>
      </c>
      <c r="EN81" s="359">
        <f>+EI81+EN83/10000</f>
        <v>0.71500000000000008</v>
      </c>
      <c r="EO81" s="359">
        <f>+EJ81+EO83/10000</f>
        <v>0.72500000000000009</v>
      </c>
      <c r="EP81" s="359">
        <f>+EK81+EP83/10000</f>
        <v>0.71700000000000008</v>
      </c>
      <c r="EQ81" s="359">
        <f>+EL81+EQ83/10000</f>
        <v>0.74457939616120694</v>
      </c>
      <c r="ER81" s="243">
        <f>ER79/ER63</f>
        <v>0.72723461620381125</v>
      </c>
      <c r="ES81" s="490"/>
    </row>
    <row r="82" spans="1:149" s="1070" customFormat="1" ht="12" customHeight="1">
      <c r="A82" s="935"/>
      <c r="B82" s="868"/>
      <c r="C82" s="969" t="s">
        <v>274</v>
      </c>
      <c r="D82" s="964"/>
      <c r="E82" s="964"/>
      <c r="F82" s="964"/>
      <c r="G82" s="964"/>
      <c r="H82" s="964"/>
      <c r="I82" s="965"/>
      <c r="J82" s="965"/>
      <c r="K82" s="965"/>
      <c r="L82" s="965"/>
      <c r="M82" s="964"/>
      <c r="N82" s="965"/>
      <c r="O82" s="965"/>
      <c r="P82" s="965"/>
      <c r="Q82" s="965"/>
      <c r="R82" s="964"/>
      <c r="S82" s="965"/>
      <c r="T82" s="965"/>
      <c r="U82" s="965"/>
      <c r="V82" s="965"/>
      <c r="W82" s="964"/>
      <c r="X82" s="965"/>
      <c r="Y82" s="965"/>
      <c r="Z82" s="965"/>
      <c r="AA82" s="965"/>
      <c r="AB82" s="964"/>
      <c r="AC82" s="965"/>
      <c r="AD82" s="965"/>
      <c r="AE82" s="965"/>
      <c r="AF82" s="965"/>
      <c r="AG82" s="964"/>
      <c r="AH82" s="965"/>
      <c r="AI82" s="965"/>
      <c r="AJ82" s="965"/>
      <c r="AK82" s="965"/>
      <c r="AL82" s="964"/>
      <c r="AM82" s="965"/>
      <c r="AN82" s="965"/>
      <c r="AO82" s="965"/>
      <c r="AP82" s="965"/>
      <c r="AQ82" s="964"/>
      <c r="AR82" s="965"/>
      <c r="AS82" s="965"/>
      <c r="AT82" s="965"/>
      <c r="AU82" s="965"/>
      <c r="AV82" s="964"/>
      <c r="AW82" s="965"/>
      <c r="AX82" s="965"/>
      <c r="AY82" s="965"/>
      <c r="AZ82" s="965"/>
      <c r="BA82" s="964"/>
      <c r="BB82" s="965"/>
      <c r="BC82" s="965"/>
      <c r="BD82" s="965"/>
      <c r="BE82" s="965"/>
      <c r="BF82" s="964"/>
      <c r="BG82" s="966"/>
      <c r="BH82" s="966"/>
      <c r="BI82" s="966"/>
      <c r="BJ82" s="966"/>
      <c r="BK82" s="964"/>
      <c r="BL82" s="965"/>
      <c r="BM82" s="965"/>
      <c r="BN82" s="965"/>
      <c r="BO82" s="965"/>
      <c r="BP82" s="964"/>
      <c r="BQ82" s="965"/>
      <c r="BR82" s="965"/>
      <c r="BS82" s="965"/>
      <c r="BT82" s="965"/>
      <c r="BU82" s="964"/>
      <c r="BV82" s="965"/>
      <c r="BW82" s="965"/>
      <c r="BX82" s="965"/>
      <c r="BY82" s="965"/>
      <c r="BZ82" s="967"/>
      <c r="CA82" s="978">
        <f>(CA81-BY81)*10000</f>
        <v>3681.7923328494435</v>
      </c>
      <c r="CB82" s="978">
        <f>(CB81-CA81)*10000</f>
        <v>246.47577548968792</v>
      </c>
      <c r="CC82" s="978">
        <f>(CC81-CB81)*10000</f>
        <v>-164.39300961110681</v>
      </c>
      <c r="CD82" s="978">
        <f>(CD81-CC81)*10000</f>
        <v>136.12490127197563</v>
      </c>
      <c r="CE82" s="979"/>
      <c r="CF82" s="978">
        <f>(CF81-CD81)*10000</f>
        <v>-215.64046022748528</v>
      </c>
      <c r="CG82" s="978">
        <f>(CG81-CF81)*10000</f>
        <v>502.62094167816184</v>
      </c>
      <c r="CH82" s="978">
        <f>(CH81-CG81)*10000</f>
        <v>-45.674641659743109</v>
      </c>
      <c r="CI82" s="978">
        <f>(CI81-CH81)*10000</f>
        <v>7.954633137181033</v>
      </c>
      <c r="CJ82" s="979"/>
      <c r="CK82" s="978">
        <f>(CK81-CI81)*10000</f>
        <v>-91.422893218023333</v>
      </c>
      <c r="CL82" s="978">
        <f>(CL81-CK81)*10000</f>
        <v>136.01973131804667</v>
      </c>
      <c r="CM82" s="978">
        <f>(CM81-CL81)*10000</f>
        <v>23.100798047362424</v>
      </c>
      <c r="CN82" s="978">
        <f>(CN81-CM81)*10000</f>
        <v>69.044929504080145</v>
      </c>
      <c r="CO82" s="979"/>
      <c r="CP82" s="978">
        <f>(CP81-CN81)*10000</f>
        <v>-94.275006162938269</v>
      </c>
      <c r="CQ82" s="978">
        <f>(CQ81-CP81)*10000</f>
        <v>259.29092872483295</v>
      </c>
      <c r="CR82" s="978">
        <f>(CR81-CQ81)*10000</f>
        <v>77.211401581097633</v>
      </c>
      <c r="CS82" s="978">
        <f>(CS81-CR81)*10000</f>
        <v>114.53508812130974</v>
      </c>
      <c r="CT82" s="979"/>
      <c r="CU82" s="978">
        <f>(CU81-CS81)*10000</f>
        <v>-10.518467788855901</v>
      </c>
      <c r="CV82" s="978">
        <f>(CV81-CU81)*10000</f>
        <v>178.93532328404237</v>
      </c>
      <c r="CW82" s="978">
        <f>(CW81-CV81)*10000</f>
        <v>97.234184149365134</v>
      </c>
      <c r="CX82" s="978">
        <f>(CX81-CW81)*10000</f>
        <v>215.8459487048836</v>
      </c>
      <c r="CY82" s="979"/>
      <c r="CZ82" s="978">
        <f>(CZ81-CX81)*10000</f>
        <v>-31.664188158223581</v>
      </c>
      <c r="DA82" s="978">
        <f>(DA81-CZ81)*10000</f>
        <v>222.21148336550755</v>
      </c>
      <c r="DB82" s="978">
        <f>(DB81-DA81)*10000</f>
        <v>96.44567685480942</v>
      </c>
      <c r="DC82" s="978">
        <f>(DC81-DB81)*10000</f>
        <v>195.30196579376934</v>
      </c>
      <c r="DD82" s="979"/>
      <c r="DE82" s="978">
        <f>(DE81-DC81)*10000</f>
        <v>-62.202538339503064</v>
      </c>
      <c r="DF82" s="978">
        <f>(DF81-DE81)*10000</f>
        <v>219.28152492668661</v>
      </c>
      <c r="DG82" s="978">
        <f>(DG81-DF81)*10000</f>
        <v>72.662568747977602</v>
      </c>
      <c r="DH82" s="978">
        <f>(DH81-DG81)*10000</f>
        <v>163.56795613479358</v>
      </c>
      <c r="DI82" s="979"/>
      <c r="DJ82" s="978">
        <f>(DJ81-DH81)*10000</f>
        <v>-45.056273121879542</v>
      </c>
      <c r="DK82" s="978">
        <f>(DK81-DJ81)*10000</f>
        <v>201.78095274907437</v>
      </c>
      <c r="DL82" s="978">
        <f>(DL81-DK81)*10000</f>
        <v>-2.9660929975094952</v>
      </c>
      <c r="DM82" s="978">
        <f>(DM81-DL81)*10000</f>
        <v>267.08170249250873</v>
      </c>
      <c r="DN82" s="979"/>
      <c r="DO82" s="978">
        <f>(DO81-DM81)*10000</f>
        <v>-61.108515433971888</v>
      </c>
      <c r="DP82" s="978">
        <f>(DP81-DO81)*10000</f>
        <v>80.401337792642693</v>
      </c>
      <c r="DQ82" s="978">
        <f>(DQ81-DP81)*10000</f>
        <v>80.000000000000071</v>
      </c>
      <c r="DR82" s="978">
        <f>(DR81-DQ81)*10000</f>
        <v>275.79396161206859</v>
      </c>
      <c r="DS82" s="979"/>
      <c r="DT82" s="978">
        <f>(DT81-DR81)*10000</f>
        <v>-95.793961612068429</v>
      </c>
      <c r="DU82" s="978">
        <f>(DU81-DT81)*10000</f>
        <v>100.00000000000009</v>
      </c>
      <c r="DV82" s="978">
        <f>(DV81-DU81)*10000</f>
        <v>-80.000000000000071</v>
      </c>
      <c r="DW82" s="978">
        <f>(DW81-DV81)*10000</f>
        <v>275.79396161206859</v>
      </c>
      <c r="DX82" s="979"/>
      <c r="DY82" s="978">
        <f>(DY81-DW81)*10000</f>
        <v>-145.79396161206847</v>
      </c>
      <c r="DZ82" s="978">
        <f>(DZ81-DY81)*10000</f>
        <v>100.00000000000009</v>
      </c>
      <c r="EA82" s="978">
        <f>(EA81-DZ81)*10000</f>
        <v>-80.000000000000071</v>
      </c>
      <c r="EB82" s="978">
        <f>(EB81-EA81)*10000</f>
        <v>275.79396161206859</v>
      </c>
      <c r="EC82" s="979"/>
      <c r="ED82" s="978">
        <f>(ED81-EB81)*10000</f>
        <v>-195.79396161206853</v>
      </c>
      <c r="EE82" s="978">
        <f>(EE81-ED81)*10000</f>
        <v>100.00000000000009</v>
      </c>
      <c r="EF82" s="978">
        <f>(EF81-EE81)*10000</f>
        <v>-80.000000000000071</v>
      </c>
      <c r="EG82" s="978">
        <f>(EG81-EF81)*10000</f>
        <v>275.79396161206859</v>
      </c>
      <c r="EH82" s="979"/>
      <c r="EI82" s="978">
        <f>(EI81-EG81)*10000</f>
        <v>-195.79396161206853</v>
      </c>
      <c r="EJ82" s="978">
        <f>(EJ81-EI81)*10000</f>
        <v>100.00000000000009</v>
      </c>
      <c r="EK82" s="978">
        <f>(EK81-EJ81)*10000</f>
        <v>-80.000000000000071</v>
      </c>
      <c r="EL82" s="978">
        <f>(EL81-EK81)*10000</f>
        <v>275.79396161206859</v>
      </c>
      <c r="EM82" s="979"/>
      <c r="EN82" s="978">
        <f>(EN81-EL81)*10000</f>
        <v>-195.79396161206853</v>
      </c>
      <c r="EO82" s="978">
        <f>(EO81-EN81)*10000</f>
        <v>100.00000000000009</v>
      </c>
      <c r="EP82" s="978">
        <f>(EP81-EO81)*10000</f>
        <v>-80.000000000000071</v>
      </c>
      <c r="EQ82" s="978">
        <f>(EQ81-EP81)*10000</f>
        <v>275.79396161206859</v>
      </c>
      <c r="ER82" s="979"/>
      <c r="ES82" s="868"/>
    </row>
    <row r="83" spans="1:149" s="1070" customFormat="1" ht="12" customHeight="1">
      <c r="A83" s="935"/>
      <c r="B83" s="868"/>
      <c r="C83" s="969" t="s">
        <v>273</v>
      </c>
      <c r="D83" s="964"/>
      <c r="E83" s="964"/>
      <c r="F83" s="964"/>
      <c r="G83" s="964"/>
      <c r="H83" s="964"/>
      <c r="I83" s="965"/>
      <c r="J83" s="965"/>
      <c r="K83" s="965"/>
      <c r="L83" s="965"/>
      <c r="M83" s="964"/>
      <c r="N83" s="965"/>
      <c r="O83" s="965"/>
      <c r="P83" s="965"/>
      <c r="Q83" s="965"/>
      <c r="R83" s="964"/>
      <c r="S83" s="965"/>
      <c r="T83" s="965"/>
      <c r="U83" s="965"/>
      <c r="V83" s="965"/>
      <c r="W83" s="964"/>
      <c r="X83" s="965"/>
      <c r="Y83" s="965"/>
      <c r="Z83" s="965"/>
      <c r="AA83" s="965"/>
      <c r="AB83" s="964"/>
      <c r="AC83" s="965"/>
      <c r="AD83" s="965"/>
      <c r="AE83" s="965"/>
      <c r="AF83" s="965"/>
      <c r="AG83" s="964"/>
      <c r="AH83" s="965"/>
      <c r="AI83" s="965"/>
      <c r="AJ83" s="965"/>
      <c r="AK83" s="965"/>
      <c r="AL83" s="964"/>
      <c r="AM83" s="965"/>
      <c r="AN83" s="965"/>
      <c r="AO83" s="965"/>
      <c r="AP83" s="965"/>
      <c r="AQ83" s="964"/>
      <c r="AR83" s="965"/>
      <c r="AS83" s="965"/>
      <c r="AT83" s="965"/>
      <c r="AU83" s="965"/>
      <c r="AV83" s="964"/>
      <c r="AW83" s="965"/>
      <c r="AX83" s="965"/>
      <c r="AY83" s="965"/>
      <c r="AZ83" s="965"/>
      <c r="BA83" s="964"/>
      <c r="BB83" s="965"/>
      <c r="BC83" s="965"/>
      <c r="BD83" s="965"/>
      <c r="BE83" s="965"/>
      <c r="BF83" s="964"/>
      <c r="BG83" s="966"/>
      <c r="BH83" s="966"/>
      <c r="BI83" s="966"/>
      <c r="BJ83" s="966"/>
      <c r="BK83" s="964"/>
      <c r="BL83" s="965"/>
      <c r="BM83" s="965"/>
      <c r="BN83" s="965"/>
      <c r="BO83" s="965"/>
      <c r="BP83" s="964"/>
      <c r="BQ83" s="965"/>
      <c r="BR83" s="965"/>
      <c r="BS83" s="965"/>
      <c r="BT83" s="965"/>
      <c r="BU83" s="964"/>
      <c r="BV83" s="965"/>
      <c r="BW83" s="965"/>
      <c r="BX83" s="965"/>
      <c r="BY83" s="965"/>
      <c r="BZ83" s="967"/>
      <c r="CA83" s="968"/>
      <c r="CB83" s="968"/>
      <c r="CC83" s="968"/>
      <c r="CD83" s="968"/>
      <c r="CE83" s="967"/>
      <c r="CF83" s="978">
        <f t="shared" ref="CF83:DQ83" si="281">(CF81-CA81)*10000</f>
        <v>2.5672069230714412</v>
      </c>
      <c r="CG83" s="978">
        <f t="shared" si="281"/>
        <v>258.71237311154539</v>
      </c>
      <c r="CH83" s="978">
        <f t="shared" si="281"/>
        <v>377.43074106290908</v>
      </c>
      <c r="CI83" s="978">
        <f t="shared" si="281"/>
        <v>249.2604729281145</v>
      </c>
      <c r="CJ83" s="979">
        <f t="shared" si="281"/>
        <v>232.95243808974519</v>
      </c>
      <c r="CK83" s="978">
        <f t="shared" si="281"/>
        <v>373.47803993757645</v>
      </c>
      <c r="CL83" s="978">
        <f t="shared" si="281"/>
        <v>6.8768295774612742</v>
      </c>
      <c r="CM83" s="978">
        <f t="shared" si="281"/>
        <v>75.652269284566813</v>
      </c>
      <c r="CN83" s="978">
        <f t="shared" si="281"/>
        <v>136.74256565146592</v>
      </c>
      <c r="CO83" s="979">
        <f t="shared" si="281"/>
        <v>138.28312278951373</v>
      </c>
      <c r="CP83" s="978">
        <f t="shared" si="281"/>
        <v>133.89045270655097</v>
      </c>
      <c r="CQ83" s="978">
        <f t="shared" si="281"/>
        <v>257.16165011333726</v>
      </c>
      <c r="CR83" s="978">
        <f t="shared" si="281"/>
        <v>311.27225364707243</v>
      </c>
      <c r="CS83" s="978">
        <f t="shared" si="281"/>
        <v>356.76241226430204</v>
      </c>
      <c r="CT83" s="979">
        <f t="shared" si="281"/>
        <v>295.14093618580648</v>
      </c>
      <c r="CU83" s="978">
        <f t="shared" si="281"/>
        <v>440.51895063838441</v>
      </c>
      <c r="CV83" s="978">
        <f t="shared" si="281"/>
        <v>360.16334519759386</v>
      </c>
      <c r="CW83" s="978">
        <f t="shared" si="281"/>
        <v>380.18612776586139</v>
      </c>
      <c r="CX83" s="978">
        <f t="shared" si="281"/>
        <v>481.49698834943524</v>
      </c>
      <c r="CY83" s="979">
        <f t="shared" si="281"/>
        <v>393.55390054456376</v>
      </c>
      <c r="CZ83" s="978">
        <f t="shared" si="281"/>
        <v>460.35126798006752</v>
      </c>
      <c r="DA83" s="978">
        <f t="shared" si="281"/>
        <v>503.62742806153273</v>
      </c>
      <c r="DB83" s="978">
        <f t="shared" si="281"/>
        <v>502.83892076697703</v>
      </c>
      <c r="DC83" s="978">
        <f t="shared" si="281"/>
        <v>482.29493785586277</v>
      </c>
      <c r="DD83" s="979">
        <f t="shared" si="281"/>
        <v>486.21468847243386</v>
      </c>
      <c r="DE83" s="978">
        <f t="shared" si="281"/>
        <v>451.75658767458327</v>
      </c>
      <c r="DF83" s="978">
        <f t="shared" si="281"/>
        <v>448.82662923576231</v>
      </c>
      <c r="DG83" s="978">
        <f t="shared" si="281"/>
        <v>425.04352112893054</v>
      </c>
      <c r="DH83" s="978">
        <f t="shared" si="281"/>
        <v>393.30951146995471</v>
      </c>
      <c r="DI83" s="979">
        <f t="shared" si="281"/>
        <v>431.11071186996639</v>
      </c>
      <c r="DJ83" s="978">
        <f t="shared" si="281"/>
        <v>410.45577668757829</v>
      </c>
      <c r="DK83" s="978">
        <f t="shared" si="281"/>
        <v>392.95520450996599</v>
      </c>
      <c r="DL83" s="978">
        <f t="shared" si="281"/>
        <v>317.32654276447892</v>
      </c>
      <c r="DM83" s="978">
        <f t="shared" si="281"/>
        <v>420.84028912219406</v>
      </c>
      <c r="DN83" s="979">
        <f t="shared" si="281"/>
        <v>379.93324149623862</v>
      </c>
      <c r="DO83" s="978">
        <f>(DO81-DJ81)*10000</f>
        <v>404.78804681010172</v>
      </c>
      <c r="DP83" s="978">
        <f t="shared" si="281"/>
        <v>283.40843185367004</v>
      </c>
      <c r="DQ83" s="978">
        <f t="shared" si="281"/>
        <v>366.37452485117961</v>
      </c>
      <c r="DR83" s="978">
        <f>(DR81-DM81)*10000</f>
        <v>375.08678397073948</v>
      </c>
      <c r="DS83" s="979">
        <f>(DS81-DN81)*10000</f>
        <v>370.00000000000034</v>
      </c>
      <c r="DT83" s="978">
        <f>(DT81-DO81)*10000</f>
        <v>340.40133779264295</v>
      </c>
      <c r="DU83" s="978">
        <f t="shared" ref="DU83" si="282">(DU81-DP81)*10000</f>
        <v>360.00000000000034</v>
      </c>
      <c r="DV83" s="1040">
        <v>200</v>
      </c>
      <c r="DW83" s="1040">
        <v>200</v>
      </c>
      <c r="DX83" s="979">
        <f>(DX81-DS81)*10000</f>
        <v>253.43057367509968</v>
      </c>
      <c r="DY83" s="1040">
        <v>150</v>
      </c>
      <c r="DZ83" s="1040">
        <v>150</v>
      </c>
      <c r="EA83" s="1040">
        <v>150</v>
      </c>
      <c r="EB83" s="1040">
        <v>150</v>
      </c>
      <c r="EC83" s="979">
        <f>(EC81-DX81)*10000</f>
        <v>158.91558836301334</v>
      </c>
      <c r="ED83" s="1040">
        <v>100</v>
      </c>
      <c r="EE83" s="1040">
        <v>100</v>
      </c>
      <c r="EF83" s="1040">
        <v>100</v>
      </c>
      <c r="EG83" s="1040">
        <v>100</v>
      </c>
      <c r="EH83" s="979">
        <f t="shared" ref="EH83" si="283">(EH81-EC81)*10000</f>
        <v>100.00000000000009</v>
      </c>
      <c r="EI83" s="1040">
        <v>100</v>
      </c>
      <c r="EJ83" s="1040">
        <v>100</v>
      </c>
      <c r="EK83" s="1040">
        <v>100</v>
      </c>
      <c r="EL83" s="1040">
        <v>100</v>
      </c>
      <c r="EM83" s="979">
        <f t="shared" ref="EM83" si="284">(EM81-EH81)*10000</f>
        <v>100.00000000000009</v>
      </c>
      <c r="EN83" s="1040">
        <v>100</v>
      </c>
      <c r="EO83" s="1040">
        <v>100</v>
      </c>
      <c r="EP83" s="1040">
        <v>100</v>
      </c>
      <c r="EQ83" s="1040">
        <v>100</v>
      </c>
      <c r="ER83" s="979">
        <f t="shared" ref="ER83" si="285">(ER81-EM81)*10000</f>
        <v>99.999999999998977</v>
      </c>
      <c r="ES83" s="868"/>
    </row>
    <row r="84" spans="1:149" s="1071" customFormat="1" ht="12" customHeight="1">
      <c r="A84" s="1049"/>
      <c r="B84" s="1050"/>
      <c r="C84" s="1051" t="s">
        <v>588</v>
      </c>
      <c r="D84" s="1052"/>
      <c r="E84" s="1053"/>
      <c r="F84" s="1053"/>
      <c r="G84" s="1053"/>
      <c r="H84" s="1053"/>
      <c r="I84" s="1054"/>
      <c r="J84" s="1054"/>
      <c r="K84" s="1054"/>
      <c r="L84" s="1054"/>
      <c r="M84" s="1053"/>
      <c r="N84" s="1055"/>
      <c r="O84" s="1055"/>
      <c r="P84" s="1055"/>
      <c r="Q84" s="1055"/>
      <c r="R84" s="1053"/>
      <c r="S84" s="1055"/>
      <c r="T84" s="1055"/>
      <c r="U84" s="1055"/>
      <c r="V84" s="1055"/>
      <c r="W84" s="1053"/>
      <c r="X84" s="1055"/>
      <c r="Y84" s="1055"/>
      <c r="Z84" s="1055"/>
      <c r="AA84" s="1055"/>
      <c r="AB84" s="1053"/>
      <c r="AC84" s="1055"/>
      <c r="AD84" s="1055"/>
      <c r="AE84" s="1055"/>
      <c r="AF84" s="1055"/>
      <c r="AG84" s="1053"/>
      <c r="AH84" s="1055"/>
      <c r="AI84" s="1055"/>
      <c r="AJ84" s="1055"/>
      <c r="AK84" s="1055"/>
      <c r="AL84" s="1053"/>
      <c r="AM84" s="1055"/>
      <c r="AN84" s="1055"/>
      <c r="AO84" s="1055"/>
      <c r="AP84" s="1055"/>
      <c r="AQ84" s="1053"/>
      <c r="AR84" s="1055"/>
      <c r="AS84" s="1055"/>
      <c r="AT84" s="1055"/>
      <c r="AU84" s="1055"/>
      <c r="AV84" s="1053"/>
      <c r="AW84" s="1055"/>
      <c r="AX84" s="1055"/>
      <c r="AY84" s="1055"/>
      <c r="AZ84" s="1055"/>
      <c r="BA84" s="1053"/>
      <c r="BB84" s="1055"/>
      <c r="BC84" s="1055"/>
      <c r="BD84" s="1055"/>
      <c r="BE84" s="1055"/>
      <c r="BF84" s="1053"/>
      <c r="BG84" s="1056"/>
      <c r="BH84" s="1056"/>
      <c r="BI84" s="1056"/>
      <c r="BJ84" s="1056"/>
      <c r="BK84" s="1053"/>
      <c r="BL84" s="1055"/>
      <c r="BM84" s="1055"/>
      <c r="BN84" s="1055"/>
      <c r="BO84" s="1055"/>
      <c r="BP84" s="1053"/>
      <c r="BQ84" s="1055"/>
      <c r="BR84" s="1055"/>
      <c r="BS84" s="1055"/>
      <c r="BT84" s="1055"/>
      <c r="BU84" s="1053"/>
      <c r="BV84" s="1055"/>
      <c r="BW84" s="1055"/>
      <c r="BX84" s="1055"/>
      <c r="BY84" s="1055"/>
      <c r="BZ84" s="1057"/>
      <c r="CA84" s="1055">
        <f>+CA87/CA79</f>
        <v>2.1199050208931505E-2</v>
      </c>
      <c r="CB84" s="1058">
        <f>+CB87/CB79</f>
        <v>2.0150950075725378E-2</v>
      </c>
      <c r="CC84" s="1058">
        <f>+CC87/CC79</f>
        <v>2.1331112316480001E-2</v>
      </c>
      <c r="CD84" s="1058">
        <f>+CD87/CD79</f>
        <v>2.0901965556729237E-2</v>
      </c>
      <c r="CE84" s="1057">
        <f>CE87/CE79</f>
        <v>2.0886003872925128E-2</v>
      </c>
      <c r="CF84" s="1058">
        <f>+CF87/CF79</f>
        <v>2.2400172051369856E-2</v>
      </c>
      <c r="CG84" s="1058">
        <f>+CG87/CG79</f>
        <v>2.0179778379104479E-2</v>
      </c>
      <c r="CH84" s="1058">
        <f>+CH87/CH79</f>
        <v>2.0775069239999999E-2</v>
      </c>
      <c r="CI84" s="1058">
        <f>+CI87/CI79</f>
        <v>2.0786205637696335E-2</v>
      </c>
      <c r="CJ84" s="1057">
        <f>CJ87/CJ79</f>
        <v>2.0927612555313529E-2</v>
      </c>
      <c r="CK84" s="1058">
        <f>+CK87/CK79</f>
        <v>2.1226394753424655E-2</v>
      </c>
      <c r="CL84" s="1058">
        <f>+CL87/CL79</f>
        <v>2.0618781850746268E-2</v>
      </c>
      <c r="CM84" s="1058">
        <f>+CM87/CM79</f>
        <v>2.0517720000000003E-2</v>
      </c>
      <c r="CN84" s="1058">
        <f>+CN87/CN79</f>
        <v>2.0755969256544504E-2</v>
      </c>
      <c r="CO84" s="1059">
        <f>CO87/CO79</f>
        <v>2.0755689485746628E-2</v>
      </c>
      <c r="CP84" s="1058">
        <f>+CP87/CP79</f>
        <v>2.1856367123287666E-2</v>
      </c>
      <c r="CQ84" s="1058">
        <f>+CQ87/CQ79</f>
        <v>2.1837123507462686E-2</v>
      </c>
      <c r="CR84" s="1058">
        <f>+CR87/CR79</f>
        <v>2.1071715357142855E-2</v>
      </c>
      <c r="CS84" s="1058">
        <f>+CS87/CS79</f>
        <v>2.0656636649214657E-2</v>
      </c>
      <c r="CT84" s="1059">
        <f>CT87/CT79</f>
        <v>2.1221463011152412E-2</v>
      </c>
      <c r="CU84" s="1058">
        <f>+CU87/CU79</f>
        <v>2.1622020809248556E-2</v>
      </c>
      <c r="CV84" s="1058">
        <f>+CV87/CV79</f>
        <v>2.1660910344827589E-2</v>
      </c>
      <c r="CW84" s="1058">
        <f>+CW87/CW79</f>
        <v>2.1513069268292686E-2</v>
      </c>
      <c r="CX84" s="1058">
        <f>+CX87/CX79</f>
        <v>2.0799168231046931E-2</v>
      </c>
      <c r="CY84" s="1059">
        <f>CY87/CY79</f>
        <v>2.1339537529137531E-2</v>
      </c>
      <c r="CZ84" s="1058">
        <f>+CZ87/CZ79</f>
        <v>2.1588667545454545E-2</v>
      </c>
      <c r="DA84" s="1058">
        <f>+DA87/DA79</f>
        <v>2.0623568674698799E-2</v>
      </c>
      <c r="DB84" s="1058">
        <f>+DB87/DB79</f>
        <v>2.1896565880000003E-2</v>
      </c>
      <c r="DC84" s="1058">
        <f>+DC87/DC79</f>
        <v>2.1581940701754388E-2</v>
      </c>
      <c r="DD84" s="1059">
        <f>DD87/DD79</f>
        <v>2.1432554806786051E-2</v>
      </c>
      <c r="DE84" s="1058">
        <f>+DE87/DE79</f>
        <v>2.3134181818181818E-2</v>
      </c>
      <c r="DF84" s="1058">
        <f>+DF87/DF79</f>
        <v>2.2279179810725549E-2</v>
      </c>
      <c r="DG84" s="1058">
        <f>+DG87/DG79</f>
        <v>2.1153048780487804E-2</v>
      </c>
      <c r="DH84" s="1058">
        <f>+DH87/DH79</f>
        <v>2.0294071970537335E-2</v>
      </c>
      <c r="DI84" s="1059">
        <f>DI87/DI79</f>
        <v>2.1528480966485256E-2</v>
      </c>
      <c r="DJ84" s="1058">
        <f>+DJ87/DJ79</f>
        <v>2.1053935095755833E-2</v>
      </c>
      <c r="DK84" s="1058">
        <f>+DK87/DK79</f>
        <v>2.0236101449275359E-2</v>
      </c>
      <c r="DL84" s="1058">
        <f>+DL87/DL79</f>
        <v>2.0456372960372959E-2</v>
      </c>
      <c r="DM84" s="1058">
        <f>+DM87/DM79</f>
        <v>2.0012821104699086E-2</v>
      </c>
      <c r="DN84" s="1059">
        <f>DN87/DN79</f>
        <v>2.040746917564551E-2</v>
      </c>
      <c r="DO84" s="1058">
        <f>+DO87/DO79</f>
        <v>2.0707749589801837E-2</v>
      </c>
      <c r="DP84" s="1058">
        <f>+DP87/DP79</f>
        <v>2.0248219510489392E-2</v>
      </c>
      <c r="DQ84" s="1058">
        <f>+DQ87/DQ79</f>
        <v>2.0238825448711265E-2</v>
      </c>
      <c r="DR84" s="1058">
        <f>+DR87/DR79</f>
        <v>1.9476628459347892E-2</v>
      </c>
      <c r="DS84" s="1059">
        <f>DS87/DS79</f>
        <v>2.0072372213383E-2</v>
      </c>
      <c r="DT84" s="1058">
        <f>+DT87/DT79</f>
        <v>2.0135754763625658E-2</v>
      </c>
      <c r="DU84" s="1058">
        <f>+DU87/DU79</f>
        <v>1.9733423029899121E-2</v>
      </c>
      <c r="DV84" s="1060">
        <f>+DQ84+DV86/10000</f>
        <v>1.9738825448711264E-2</v>
      </c>
      <c r="DW84" s="1060">
        <f>+DR84+DW86/10000</f>
        <v>1.8976628459347892E-2</v>
      </c>
      <c r="DX84" s="1057">
        <f>DX87/DX79</f>
        <v>1.956408682651075E-2</v>
      </c>
      <c r="DY84" s="1060">
        <f>+DT84+DY86/10000</f>
        <v>1.9635754763625658E-2</v>
      </c>
      <c r="DZ84" s="1060">
        <f>+DU84+DZ86/10000</f>
        <v>1.9233423029899121E-2</v>
      </c>
      <c r="EA84" s="1060">
        <f>+DV84+EA86/10000</f>
        <v>1.9238825448711264E-2</v>
      </c>
      <c r="EB84" s="1060">
        <f>+DW84+EB86/10000</f>
        <v>1.8476628459347891E-2</v>
      </c>
      <c r="EC84" s="1057">
        <f>EC87/EC79</f>
        <v>1.9069979159167555E-2</v>
      </c>
      <c r="ED84" s="1060">
        <f>+DY84+ED86/10000</f>
        <v>1.9135754763625657E-2</v>
      </c>
      <c r="EE84" s="1060">
        <f>+DZ84+EE86/10000</f>
        <v>1.873342302989912E-2</v>
      </c>
      <c r="EF84" s="1060">
        <f>+EA84+EF86/10000</f>
        <v>1.8738825448711263E-2</v>
      </c>
      <c r="EG84" s="1060">
        <f>+EB84+EG86/10000</f>
        <v>1.7976628459347891E-2</v>
      </c>
      <c r="EH84" s="1057">
        <f>EH87/EH79</f>
        <v>1.8570084676033053E-2</v>
      </c>
      <c r="EI84" s="1060">
        <f>+ED84+EI86/10000</f>
        <v>1.8635754763625657E-2</v>
      </c>
      <c r="EJ84" s="1060">
        <f>+EE84+EJ86/10000</f>
        <v>1.823342302989912E-2</v>
      </c>
      <c r="EK84" s="1060">
        <f>+EF84+EK86/10000</f>
        <v>1.8238825448711263E-2</v>
      </c>
      <c r="EL84" s="1060">
        <f>+EG84+EL86/10000</f>
        <v>1.7476628459347891E-2</v>
      </c>
      <c r="EM84" s="1057">
        <f>EM87/EM79</f>
        <v>1.8070187250573595E-2</v>
      </c>
      <c r="EN84" s="1060">
        <f>+EI84+EN86/10000</f>
        <v>1.8135754763625656E-2</v>
      </c>
      <c r="EO84" s="1060">
        <f>+EJ84+EO86/10000</f>
        <v>1.773342302989912E-2</v>
      </c>
      <c r="EP84" s="1060">
        <f>+EK84+EP86/10000</f>
        <v>1.7738825448711262E-2</v>
      </c>
      <c r="EQ84" s="1060">
        <f>+EL84+EQ86/10000</f>
        <v>1.697662845934789E-2</v>
      </c>
      <c r="ER84" s="1057">
        <f>ER87/ER79</f>
        <v>1.7570287004166449E-2</v>
      </c>
      <c r="ES84" s="1666" t="s">
        <v>615</v>
      </c>
    </row>
    <row r="85" spans="1:149" s="1070" customFormat="1" ht="12" customHeight="1">
      <c r="A85" s="935"/>
      <c r="B85" s="868"/>
      <c r="C85" s="969" t="s">
        <v>274</v>
      </c>
      <c r="D85" s="964"/>
      <c r="E85" s="964"/>
      <c r="F85" s="964"/>
      <c r="G85" s="964"/>
      <c r="H85" s="964"/>
      <c r="I85" s="965"/>
      <c r="J85" s="965"/>
      <c r="K85" s="965"/>
      <c r="L85" s="965"/>
      <c r="M85" s="964"/>
      <c r="N85" s="965"/>
      <c r="O85" s="965"/>
      <c r="P85" s="965"/>
      <c r="Q85" s="965"/>
      <c r="R85" s="964"/>
      <c r="S85" s="965"/>
      <c r="T85" s="965"/>
      <c r="U85" s="965"/>
      <c r="V85" s="965"/>
      <c r="W85" s="964"/>
      <c r="X85" s="965"/>
      <c r="Y85" s="965"/>
      <c r="Z85" s="965"/>
      <c r="AA85" s="965"/>
      <c r="AB85" s="964"/>
      <c r="AC85" s="965"/>
      <c r="AD85" s="965"/>
      <c r="AE85" s="965"/>
      <c r="AF85" s="965"/>
      <c r="AG85" s="964"/>
      <c r="AH85" s="965"/>
      <c r="AI85" s="965"/>
      <c r="AJ85" s="965"/>
      <c r="AK85" s="965"/>
      <c r="AL85" s="964"/>
      <c r="AM85" s="965"/>
      <c r="AN85" s="965"/>
      <c r="AO85" s="965"/>
      <c r="AP85" s="965"/>
      <c r="AQ85" s="964"/>
      <c r="AR85" s="965"/>
      <c r="AS85" s="965"/>
      <c r="AT85" s="965"/>
      <c r="AU85" s="965"/>
      <c r="AV85" s="964"/>
      <c r="AW85" s="965"/>
      <c r="AX85" s="965"/>
      <c r="AY85" s="965"/>
      <c r="AZ85" s="965"/>
      <c r="BA85" s="964"/>
      <c r="BB85" s="965"/>
      <c r="BC85" s="965"/>
      <c r="BD85" s="965"/>
      <c r="BE85" s="965"/>
      <c r="BF85" s="964"/>
      <c r="BG85" s="966"/>
      <c r="BH85" s="966"/>
      <c r="BI85" s="966"/>
      <c r="BJ85" s="966"/>
      <c r="BK85" s="964"/>
      <c r="BL85" s="965"/>
      <c r="BM85" s="965"/>
      <c r="BN85" s="965"/>
      <c r="BO85" s="965"/>
      <c r="BP85" s="964"/>
      <c r="BQ85" s="965"/>
      <c r="BR85" s="965"/>
      <c r="BS85" s="965"/>
      <c r="BT85" s="965"/>
      <c r="BU85" s="964"/>
      <c r="BV85" s="965"/>
      <c r="BW85" s="965"/>
      <c r="BX85" s="965"/>
      <c r="BY85" s="965"/>
      <c r="BZ85" s="967"/>
      <c r="CA85" s="978">
        <f>(CA84-BY84)*10000</f>
        <v>211.99050208931504</v>
      </c>
      <c r="CB85" s="978">
        <f>(CB84-CA84)*10000</f>
        <v>-10.481001332061265</v>
      </c>
      <c r="CC85" s="978">
        <f>(CC84-CB84)*10000</f>
        <v>11.80162240754623</v>
      </c>
      <c r="CD85" s="978">
        <f>(CD84-CC84)*10000</f>
        <v>-4.2914675975076406</v>
      </c>
      <c r="CE85" s="979"/>
      <c r="CF85" s="978">
        <f>(CF84-CD84)*10000</f>
        <v>14.982064946406187</v>
      </c>
      <c r="CG85" s="978">
        <f>(CG84-CF84)*10000</f>
        <v>-22.203936722653765</v>
      </c>
      <c r="CH85" s="978">
        <f>(CH84-CG84)*10000</f>
        <v>5.9529086089551981</v>
      </c>
      <c r="CI85" s="978">
        <f>(CI84-CH84)*10000</f>
        <v>0.11136397696336064</v>
      </c>
      <c r="CJ85" s="979"/>
      <c r="CK85" s="978">
        <f>(CK84-CI84)*10000</f>
        <v>4.401891157283198</v>
      </c>
      <c r="CL85" s="978">
        <f>(CL84-CK84)*10000</f>
        <v>-6.0761290267838737</v>
      </c>
      <c r="CM85" s="978">
        <f>(CM84-CL84)*10000</f>
        <v>-1.0106185074626461</v>
      </c>
      <c r="CN85" s="978">
        <f>(CN84-CM84)*10000</f>
        <v>2.3824925654450033</v>
      </c>
      <c r="CO85" s="979"/>
      <c r="CP85" s="978">
        <f>(CP84-CN84)*10000</f>
        <v>11.003978667431628</v>
      </c>
      <c r="CQ85" s="978">
        <f>(CQ84-CP84)*10000</f>
        <v>-0.19243615824979937</v>
      </c>
      <c r="CR85" s="978">
        <f>(CR84-CQ84)*10000</f>
        <v>-7.6540815031983165</v>
      </c>
      <c r="CS85" s="978">
        <f>(CS84-CR84)*10000</f>
        <v>-4.1507870792819794</v>
      </c>
      <c r="CT85" s="979"/>
      <c r="CU85" s="978">
        <f>(CU84-CS84)*10000</f>
        <v>9.6538416003389909</v>
      </c>
      <c r="CV85" s="978">
        <f>(CV84-CU84)*10000</f>
        <v>0.38889535579032797</v>
      </c>
      <c r="CW85" s="978">
        <f>(CW84-CV84)*10000</f>
        <v>-1.4784107653490266</v>
      </c>
      <c r="CX85" s="978">
        <f>(CX84-CW84)*10000</f>
        <v>-7.1390103724575456</v>
      </c>
      <c r="CY85" s="979"/>
      <c r="CZ85" s="978">
        <f>(CZ84-CX84)*10000</f>
        <v>7.8949931440761363</v>
      </c>
      <c r="DA85" s="978">
        <f>(DA84-CZ84)*10000</f>
        <v>-9.6509887075574632</v>
      </c>
      <c r="DB85" s="978">
        <f>(DB84-DA84)*10000</f>
        <v>12.729972053012045</v>
      </c>
      <c r="DC85" s="978">
        <f>(DC84-DB84)*10000</f>
        <v>-3.1462517824561513</v>
      </c>
      <c r="DD85" s="979"/>
      <c r="DE85" s="978">
        <f>(DE84-DC84)*10000</f>
        <v>15.522411164274295</v>
      </c>
      <c r="DF85" s="978">
        <f>(DF84-DE84)*10000</f>
        <v>-8.5500200745626884</v>
      </c>
      <c r="DG85" s="978">
        <f>(DG84-DF84)*10000</f>
        <v>-11.261310302377453</v>
      </c>
      <c r="DH85" s="978">
        <f>(DH84-DG84)*10000</f>
        <v>-8.5897680995046866</v>
      </c>
      <c r="DI85" s="979"/>
      <c r="DJ85" s="978">
        <f>(DJ84-DH84)*10000</f>
        <v>7.5986312521849824</v>
      </c>
      <c r="DK85" s="978">
        <f>(DK84-DJ84)*10000</f>
        <v>-8.1783364648047385</v>
      </c>
      <c r="DL85" s="978">
        <f>(DL84-DK84)*10000</f>
        <v>2.2027151109759933</v>
      </c>
      <c r="DM85" s="978">
        <f>(DM84-DL84)*10000</f>
        <v>-4.4355185567387236</v>
      </c>
      <c r="DN85" s="979"/>
      <c r="DO85" s="978">
        <f>(DO84-DM84)*10000</f>
        <v>6.9492848510275058</v>
      </c>
      <c r="DP85" s="978">
        <f>(DP84-DO84)*10000</f>
        <v>-4.5953007931244514</v>
      </c>
      <c r="DQ85" s="978">
        <f>(DQ84-DP84)*10000</f>
        <v>-9.3940617781271274E-2</v>
      </c>
      <c r="DR85" s="978">
        <f>(DR84-DQ84)*10000</f>
        <v>-7.6219698936337217</v>
      </c>
      <c r="DS85" s="979"/>
      <c r="DT85" s="978">
        <f>(DT84-DR84)*10000</f>
        <v>6.5912630427776566</v>
      </c>
      <c r="DU85" s="978">
        <f>(DU84-DT84)*10000</f>
        <v>-4.0233173372653672</v>
      </c>
      <c r="DV85" s="978">
        <f>(DV84-DU84)*10000</f>
        <v>5.4024188121427896E-2</v>
      </c>
      <c r="DW85" s="978">
        <f>(DW84-DV84)*10000</f>
        <v>-7.6219698936337217</v>
      </c>
      <c r="DX85" s="979"/>
      <c r="DY85" s="978">
        <f>(DY84-DW84)*10000</f>
        <v>6.5912630427776566</v>
      </c>
      <c r="DZ85" s="978">
        <f>(DZ84-DY84)*10000</f>
        <v>-4.0233173372653672</v>
      </c>
      <c r="EA85" s="978">
        <f>(EA84-DZ84)*10000</f>
        <v>5.4024188121427896E-2</v>
      </c>
      <c r="EB85" s="978">
        <f>(EB84-EA84)*10000</f>
        <v>-7.6219698936337217</v>
      </c>
      <c r="EC85" s="979"/>
      <c r="ED85" s="978">
        <f>(ED84-EB84)*10000</f>
        <v>6.5912630427776566</v>
      </c>
      <c r="EE85" s="978">
        <f>(EE84-ED84)*10000</f>
        <v>-4.0233173372653672</v>
      </c>
      <c r="EF85" s="978">
        <f>(EF84-EE84)*10000</f>
        <v>5.4024188121427896E-2</v>
      </c>
      <c r="EG85" s="978">
        <f>(EG84-EF84)*10000</f>
        <v>-7.6219698936337217</v>
      </c>
      <c r="EH85" s="979"/>
      <c r="EI85" s="978">
        <f>(EI84-EG84)*10000</f>
        <v>6.5912630427776566</v>
      </c>
      <c r="EJ85" s="978">
        <f>(EJ84-EI84)*10000</f>
        <v>-4.0233173372653672</v>
      </c>
      <c r="EK85" s="978">
        <f>(EK84-EJ84)*10000</f>
        <v>5.4024188121427896E-2</v>
      </c>
      <c r="EL85" s="978">
        <f>(EL84-EK84)*10000</f>
        <v>-7.6219698936337217</v>
      </c>
      <c r="EM85" s="979"/>
      <c r="EN85" s="978">
        <f>(EN84-EL84)*10000</f>
        <v>6.5912630427776566</v>
      </c>
      <c r="EO85" s="978">
        <f>(EO84-EN84)*10000</f>
        <v>-4.0233173372653672</v>
      </c>
      <c r="EP85" s="978">
        <f>(EP84-EO84)*10000</f>
        <v>5.4024188121427896E-2</v>
      </c>
      <c r="EQ85" s="978">
        <f>(EQ84-EP84)*10000</f>
        <v>-7.6219698936337217</v>
      </c>
      <c r="ER85" s="979"/>
    </row>
    <row r="86" spans="1:149" s="1070" customFormat="1" ht="12" customHeight="1">
      <c r="A86" s="935"/>
      <c r="B86" s="868"/>
      <c r="C86" s="969" t="s">
        <v>273</v>
      </c>
      <c r="D86" s="964"/>
      <c r="E86" s="964"/>
      <c r="F86" s="964"/>
      <c r="G86" s="964"/>
      <c r="H86" s="964"/>
      <c r="I86" s="965"/>
      <c r="J86" s="965"/>
      <c r="K86" s="965"/>
      <c r="L86" s="965"/>
      <c r="M86" s="964"/>
      <c r="N86" s="965"/>
      <c r="O86" s="965"/>
      <c r="P86" s="965"/>
      <c r="Q86" s="965"/>
      <c r="R86" s="964"/>
      <c r="S86" s="965"/>
      <c r="T86" s="965"/>
      <c r="U86" s="965"/>
      <c r="V86" s="965"/>
      <c r="W86" s="964"/>
      <c r="X86" s="965"/>
      <c r="Y86" s="965"/>
      <c r="Z86" s="965"/>
      <c r="AA86" s="965"/>
      <c r="AB86" s="964"/>
      <c r="AC86" s="965"/>
      <c r="AD86" s="965"/>
      <c r="AE86" s="965"/>
      <c r="AF86" s="965"/>
      <c r="AG86" s="964"/>
      <c r="AH86" s="965"/>
      <c r="AI86" s="965"/>
      <c r="AJ86" s="965"/>
      <c r="AK86" s="965"/>
      <c r="AL86" s="964"/>
      <c r="AM86" s="965"/>
      <c r="AN86" s="965"/>
      <c r="AO86" s="965"/>
      <c r="AP86" s="965"/>
      <c r="AQ86" s="964"/>
      <c r="AR86" s="965"/>
      <c r="AS86" s="965"/>
      <c r="AT86" s="965"/>
      <c r="AU86" s="965"/>
      <c r="AV86" s="964"/>
      <c r="AW86" s="965"/>
      <c r="AX86" s="965"/>
      <c r="AY86" s="965"/>
      <c r="AZ86" s="965"/>
      <c r="BA86" s="964"/>
      <c r="BB86" s="965"/>
      <c r="BC86" s="965"/>
      <c r="BD86" s="965"/>
      <c r="BE86" s="965"/>
      <c r="BF86" s="964"/>
      <c r="BG86" s="966"/>
      <c r="BH86" s="966"/>
      <c r="BI86" s="966"/>
      <c r="BJ86" s="966"/>
      <c r="BK86" s="964"/>
      <c r="BL86" s="965"/>
      <c r="BM86" s="965"/>
      <c r="BN86" s="965"/>
      <c r="BO86" s="965"/>
      <c r="BP86" s="964"/>
      <c r="BQ86" s="965"/>
      <c r="BR86" s="965"/>
      <c r="BS86" s="965"/>
      <c r="BT86" s="965"/>
      <c r="BU86" s="964"/>
      <c r="BV86" s="965"/>
      <c r="BW86" s="965"/>
      <c r="BX86" s="965"/>
      <c r="BY86" s="965"/>
      <c r="BZ86" s="967"/>
      <c r="CA86" s="968"/>
      <c r="CB86" s="968"/>
      <c r="CC86" s="968"/>
      <c r="CD86" s="968"/>
      <c r="CE86" s="967"/>
      <c r="CF86" s="978">
        <f t="shared" ref="CF86:DQ86" si="286">(CF84-CA84)*10000</f>
        <v>12.011218424383511</v>
      </c>
      <c r="CG86" s="978">
        <f t="shared" si="286"/>
        <v>0.28828303379101194</v>
      </c>
      <c r="CH86" s="978">
        <f t="shared" si="286"/>
        <v>-5.56043076480002</v>
      </c>
      <c r="CI86" s="978">
        <f t="shared" si="286"/>
        <v>-1.1575991903290186</v>
      </c>
      <c r="CJ86" s="979">
        <f t="shared" si="286"/>
        <v>0.41608682388401264</v>
      </c>
      <c r="CK86" s="978">
        <f t="shared" si="286"/>
        <v>-11.737772979452005</v>
      </c>
      <c r="CL86" s="978">
        <f t="shared" si="286"/>
        <v>4.3900347164178841</v>
      </c>
      <c r="CM86" s="978">
        <f t="shared" si="286"/>
        <v>-2.5734923999999602</v>
      </c>
      <c r="CN86" s="978">
        <f t="shared" si="286"/>
        <v>-0.30236381151831776</v>
      </c>
      <c r="CO86" s="979">
        <f t="shared" si="286"/>
        <v>-1.7192306956690175</v>
      </c>
      <c r="CP86" s="978">
        <f t="shared" si="286"/>
        <v>6.2997236986301122</v>
      </c>
      <c r="CQ86" s="978">
        <f t="shared" si="286"/>
        <v>12.183416567164187</v>
      </c>
      <c r="CR86" s="978">
        <f t="shared" si="286"/>
        <v>5.5399535714285157</v>
      </c>
      <c r="CS86" s="978">
        <f t="shared" si="286"/>
        <v>-0.99332607329846723</v>
      </c>
      <c r="CT86" s="979">
        <f t="shared" si="286"/>
        <v>4.6577352540578403</v>
      </c>
      <c r="CU86" s="978">
        <f t="shared" si="286"/>
        <v>-2.3434631403911057</v>
      </c>
      <c r="CV86" s="978">
        <f t="shared" si="286"/>
        <v>-1.7621316263509781</v>
      </c>
      <c r="CW86" s="978">
        <f t="shared" si="286"/>
        <v>4.413539111498312</v>
      </c>
      <c r="CX86" s="978">
        <f t="shared" si="286"/>
        <v>1.4253158183227463</v>
      </c>
      <c r="CY86" s="979">
        <f t="shared" si="286"/>
        <v>1.1807451798511934</v>
      </c>
      <c r="CZ86" s="978">
        <f t="shared" si="286"/>
        <v>-0.33353263794010796</v>
      </c>
      <c r="DA86" s="978">
        <f t="shared" si="286"/>
        <v>-10.373416701287899</v>
      </c>
      <c r="DB86" s="978">
        <f t="shared" si="286"/>
        <v>3.8349661170731726</v>
      </c>
      <c r="DC86" s="978">
        <f t="shared" si="286"/>
        <v>7.8277247070745668</v>
      </c>
      <c r="DD86" s="979">
        <f t="shared" si="286"/>
        <v>0.93017277648519547</v>
      </c>
      <c r="DE86" s="978">
        <f t="shared" si="286"/>
        <v>15.455142727272726</v>
      </c>
      <c r="DF86" s="978">
        <f t="shared" si="286"/>
        <v>16.556111360267501</v>
      </c>
      <c r="DG86" s="978">
        <f t="shared" si="286"/>
        <v>-7.4351709951219966</v>
      </c>
      <c r="DH86" s="978">
        <f t="shared" si="286"/>
        <v>-12.878687312170532</v>
      </c>
      <c r="DI86" s="979">
        <f t="shared" si="286"/>
        <v>0.95926159699204905</v>
      </c>
      <c r="DJ86" s="978">
        <f t="shared" si="286"/>
        <v>-20.802467224259846</v>
      </c>
      <c r="DK86" s="978">
        <f t="shared" si="286"/>
        <v>-20.430783614501895</v>
      </c>
      <c r="DL86" s="978">
        <f t="shared" si="286"/>
        <v>-6.9667582011484486</v>
      </c>
      <c r="DM86" s="978">
        <f t="shared" si="286"/>
        <v>-2.8125086583824856</v>
      </c>
      <c r="DN86" s="979">
        <f t="shared" si="286"/>
        <v>-11.210117908397461</v>
      </c>
      <c r="DO86" s="978">
        <f>(DO84-DJ84)*10000</f>
        <v>-3.4618550595399631</v>
      </c>
      <c r="DP86" s="978">
        <f t="shared" si="286"/>
        <v>0.12118061214032305</v>
      </c>
      <c r="DQ86" s="978">
        <f t="shared" si="286"/>
        <v>-2.1754751166169415</v>
      </c>
      <c r="DR86" s="978">
        <f>(DR84-DM84)*10000</f>
        <v>-5.3619264535119395</v>
      </c>
      <c r="DS86" s="979">
        <f>(DS84-DN84)*10000</f>
        <v>-3.3509696226250925</v>
      </c>
      <c r="DT86" s="978">
        <f>(DT84-DO84)*10000</f>
        <v>-5.7199482617617887</v>
      </c>
      <c r="DU86" s="978">
        <f t="shared" ref="DU86" si="287">(DU84-DP84)*10000</f>
        <v>-5.1479648059027037</v>
      </c>
      <c r="DV86" s="1040">
        <v>-5</v>
      </c>
      <c r="DW86" s="1040">
        <v>-5</v>
      </c>
      <c r="DX86" s="979">
        <f>(DX84-DS84)*10000</f>
        <v>-5.082853868722502</v>
      </c>
      <c r="DY86" s="1040">
        <v>-5</v>
      </c>
      <c r="DZ86" s="1040">
        <v>-5</v>
      </c>
      <c r="EA86" s="1040">
        <v>-5</v>
      </c>
      <c r="EB86" s="1040">
        <v>-5</v>
      </c>
      <c r="EC86" s="979">
        <f>(EC84-DX84)*10000</f>
        <v>-4.9410766734319518</v>
      </c>
      <c r="ED86" s="1040">
        <v>-5</v>
      </c>
      <c r="EE86" s="1040">
        <v>-5</v>
      </c>
      <c r="EF86" s="1040">
        <v>-5</v>
      </c>
      <c r="EG86" s="1040">
        <v>-5</v>
      </c>
      <c r="EH86" s="979">
        <f>(EH84-EC84)*10000</f>
        <v>-4.9989448313450184</v>
      </c>
      <c r="EI86" s="1040">
        <v>-5</v>
      </c>
      <c r="EJ86" s="1040">
        <v>-5</v>
      </c>
      <c r="EK86" s="1040">
        <v>-5</v>
      </c>
      <c r="EL86" s="1040">
        <v>-5</v>
      </c>
      <c r="EM86" s="979">
        <f>(EM84-EH84)*10000</f>
        <v>-4.998974254594585</v>
      </c>
      <c r="EN86" s="1040">
        <v>-5</v>
      </c>
      <c r="EO86" s="1040">
        <v>-5</v>
      </c>
      <c r="EP86" s="1040">
        <v>-5</v>
      </c>
      <c r="EQ86" s="1040">
        <v>-5</v>
      </c>
      <c r="ER86" s="979">
        <f>(ER84-EM84)*10000</f>
        <v>-4.9990024640714577</v>
      </c>
    </row>
    <row r="87" spans="1:149" ht="12" customHeight="1">
      <c r="A87" s="931"/>
      <c r="B87" s="484"/>
      <c r="C87" s="1097" t="s">
        <v>576</v>
      </c>
      <c r="D87" s="500"/>
      <c r="E87" s="501"/>
      <c r="F87" s="501"/>
      <c r="G87" s="501"/>
      <c r="H87" s="501"/>
      <c r="I87" s="502"/>
      <c r="J87" s="502"/>
      <c r="K87" s="502"/>
      <c r="L87" s="502"/>
      <c r="M87" s="501"/>
      <c r="N87" s="359"/>
      <c r="O87" s="359"/>
      <c r="P87" s="359"/>
      <c r="Q87" s="359"/>
      <c r="R87" s="501"/>
      <c r="S87" s="359"/>
      <c r="T87" s="359"/>
      <c r="U87" s="359"/>
      <c r="V87" s="359"/>
      <c r="W87" s="501"/>
      <c r="X87" s="359"/>
      <c r="Y87" s="359"/>
      <c r="Z87" s="359"/>
      <c r="AA87" s="359"/>
      <c r="AB87" s="501"/>
      <c r="AC87" s="359"/>
      <c r="AD87" s="359"/>
      <c r="AE87" s="359"/>
      <c r="AF87" s="359"/>
      <c r="AG87" s="501"/>
      <c r="AH87" s="359"/>
      <c r="AI87" s="359"/>
      <c r="AJ87" s="359"/>
      <c r="AK87" s="359"/>
      <c r="AL87" s="501"/>
      <c r="AM87" s="359"/>
      <c r="AN87" s="359"/>
      <c r="AO87" s="359"/>
      <c r="AP87" s="359"/>
      <c r="AQ87" s="501"/>
      <c r="AR87" s="359"/>
      <c r="AS87" s="359"/>
      <c r="AT87" s="359"/>
      <c r="AU87" s="359"/>
      <c r="AV87" s="501"/>
      <c r="AW87" s="359"/>
      <c r="AX87" s="359"/>
      <c r="AY87" s="359"/>
      <c r="AZ87" s="359"/>
      <c r="BA87" s="501"/>
      <c r="BB87" s="359"/>
      <c r="BC87" s="359"/>
      <c r="BD87" s="359"/>
      <c r="BE87" s="359"/>
      <c r="BF87" s="501"/>
      <c r="BG87" s="539"/>
      <c r="BH87" s="539"/>
      <c r="BI87" s="539"/>
      <c r="BJ87" s="539"/>
      <c r="BK87" s="501"/>
      <c r="BL87" s="359"/>
      <c r="BM87" s="359"/>
      <c r="BN87" s="359"/>
      <c r="BO87" s="359"/>
      <c r="BP87" s="501"/>
      <c r="BQ87" s="572"/>
      <c r="BR87" s="572"/>
      <c r="BS87" s="572"/>
      <c r="BT87" s="572"/>
      <c r="BU87" s="573"/>
      <c r="BV87" s="572"/>
      <c r="BW87" s="572"/>
      <c r="BX87" s="572"/>
      <c r="BY87" s="572"/>
      <c r="BZ87" s="574"/>
      <c r="CA87" s="960">
        <f>+CA88*CA73</f>
        <v>37.873420000000003</v>
      </c>
      <c r="CB87" s="960">
        <f>+CB88*CB73</f>
        <v>46.433059999999998</v>
      </c>
      <c r="CC87" s="960">
        <f>+CC88*CC73</f>
        <v>51.632179999999998</v>
      </c>
      <c r="CD87" s="960">
        <f>+CD88*CD73</f>
        <v>74.759679999999989</v>
      </c>
      <c r="CE87" s="961">
        <f>SUM(CA87:CD87)</f>
        <v>210.69833999999997</v>
      </c>
      <c r="CF87" s="960">
        <f>+CF88*CF73</f>
        <v>65.631649999999993</v>
      </c>
      <c r="CG87" s="960">
        <f>+CG88*CG73</f>
        <v>77.189149999999984</v>
      </c>
      <c r="CH87" s="960">
        <f>+CH88*CH73</f>
        <v>85.989524999999986</v>
      </c>
      <c r="CI87" s="960">
        <f>+CI88*CI73</f>
        <v>120.92364999999998</v>
      </c>
      <c r="CJ87" s="961">
        <f>SUM(CF87:CI87)</f>
        <v>349.73397499999993</v>
      </c>
      <c r="CK87" s="960">
        <f>+CK88*CK73</f>
        <v>102.61766999999999</v>
      </c>
      <c r="CL87" s="960">
        <f>+CL88*CL73</f>
        <v>119.09123999999998</v>
      </c>
      <c r="CM87" s="960">
        <f>+CM88*CM73</f>
        <v>128.23575</v>
      </c>
      <c r="CN87" s="960">
        <f>+CN88*CN73</f>
        <v>183.53657999999999</v>
      </c>
      <c r="CO87" s="961">
        <f>SUM(CK87:CN87)</f>
        <v>533.48123999999996</v>
      </c>
      <c r="CP87" s="960">
        <f>+CP88*CP73</f>
        <v>159.55147999999997</v>
      </c>
      <c r="CQ87" s="960">
        <f>+CQ88*CQ73</f>
        <v>292.61745500000001</v>
      </c>
      <c r="CR87" s="960">
        <f>+CR88*CR73</f>
        <v>295.00401499999998</v>
      </c>
      <c r="CS87" s="960">
        <f>+CS88*CS73</f>
        <v>394.54175999999995</v>
      </c>
      <c r="CT87" s="961">
        <f>SUM(CP87:CS87)</f>
        <v>1141.7147099999997</v>
      </c>
      <c r="CU87" s="960">
        <f>+CU88*CU73</f>
        <v>374.06096000000002</v>
      </c>
      <c r="CV87" s="960">
        <f>+CV88*CV73</f>
        <v>439.71648000000005</v>
      </c>
      <c r="CW87" s="960">
        <f>+CW88*CW73</f>
        <v>441.01792000000006</v>
      </c>
      <c r="CX87" s="960">
        <f>+CX88*CX73</f>
        <v>576.13696000000004</v>
      </c>
      <c r="CY87" s="961">
        <f>SUM(CU87:CX87)</f>
        <v>1830.9323200000001</v>
      </c>
      <c r="CZ87" s="960">
        <f>+CZ88*CZ73</f>
        <v>474.95068600000002</v>
      </c>
      <c r="DA87" s="960">
        <f>+DA88*DA73</f>
        <v>513.52686000000006</v>
      </c>
      <c r="DB87" s="960">
        <f>+DB88*DB73</f>
        <v>547.41414700000007</v>
      </c>
      <c r="DC87" s="960">
        <f>+DC88*DC73</f>
        <v>738.10237200000006</v>
      </c>
      <c r="DD87" s="961">
        <f>SUM(CZ87:DC87)</f>
        <v>2273.9940649999999</v>
      </c>
      <c r="DE87" s="960">
        <f>+DE88*DE73</f>
        <v>636.18999999999994</v>
      </c>
      <c r="DF87" s="960">
        <f>+DF88*DF73</f>
        <v>706.24999999999989</v>
      </c>
      <c r="DG87" s="960">
        <f>+DG88*DG73</f>
        <v>693.81999999999994</v>
      </c>
      <c r="DH87" s="960">
        <f>+DH88*DH73</f>
        <v>914.7349999999999</v>
      </c>
      <c r="DI87" s="961">
        <f>SUM(DE87:DH87)</f>
        <v>2950.9949999999999</v>
      </c>
      <c r="DJ87" s="960">
        <f>+DJ88*DJ73</f>
        <v>762.95249999999987</v>
      </c>
      <c r="DK87" s="960">
        <f>+DK88*DK73</f>
        <v>837.77459999999985</v>
      </c>
      <c r="DL87" s="960">
        <f>+DL88*DL73</f>
        <v>877.57839999999987</v>
      </c>
      <c r="DM87" s="960">
        <f>+DM88*DM73</f>
        <v>1213.7775999999997</v>
      </c>
      <c r="DN87" s="961">
        <f>SUM(DJ87:DM87)</f>
        <v>3692.0830999999989</v>
      </c>
      <c r="DO87" s="960">
        <f>+DO88*DO73</f>
        <v>984.40499999999975</v>
      </c>
      <c r="DP87" s="960">
        <f>+DP88*DP73</f>
        <v>1145.3815999999997</v>
      </c>
      <c r="DQ87" s="960">
        <f>+DQ88*DQ73</f>
        <v>1214.1772499999997</v>
      </c>
      <c r="DR87" s="960">
        <f>+DR88*DR73</f>
        <v>1639.1489999999994</v>
      </c>
      <c r="DS87" s="961">
        <f>SUM(DO87:DR87)</f>
        <v>4983.1128499999986</v>
      </c>
      <c r="DT87" s="960">
        <f>+DT88*DT73</f>
        <v>1349.095569162919</v>
      </c>
      <c r="DU87" s="960">
        <f>+DU88*DU73</f>
        <v>1550.7620995215195</v>
      </c>
      <c r="DV87" s="960">
        <f>+DV84*DV79</f>
        <v>1586.6572577963188</v>
      </c>
      <c r="DW87" s="960">
        <f>+DW84*DW79</f>
        <v>2120.8513280018792</v>
      </c>
      <c r="DX87" s="961">
        <f>SUM(DT87:DW87)</f>
        <v>6607.3662544826366</v>
      </c>
      <c r="DY87" s="960">
        <f>+DY84*DY79</f>
        <v>1734.4549335988211</v>
      </c>
      <c r="DZ87" s="960">
        <f>+DZ84*DZ79</f>
        <v>1961.909404228925</v>
      </c>
      <c r="EA87" s="960">
        <f>+EA84*EA79</f>
        <v>1976.2316366169478</v>
      </c>
      <c r="EB87" s="960">
        <f>+EB84*EB79</f>
        <v>2615.4658949406785</v>
      </c>
      <c r="EC87" s="961">
        <f>SUM(DY87:EB87)</f>
        <v>8288.0618693853721</v>
      </c>
      <c r="ED87" s="960">
        <f>+ED84*ED79</f>
        <v>2057.9579486140387</v>
      </c>
      <c r="EE87" s="960">
        <f>+EE84*EE79</f>
        <v>2326.082231753986</v>
      </c>
      <c r="EF87" s="960">
        <f>+EF84*EF79</f>
        <v>2343.4675593625761</v>
      </c>
      <c r="EG87" s="960">
        <f>+EG84*EG79</f>
        <v>3096.3590466384526</v>
      </c>
      <c r="EH87" s="961">
        <f>SUM(ED87:EG87)</f>
        <v>9823.8667863690534</v>
      </c>
      <c r="EI87" s="960">
        <f>+EI84*EI79</f>
        <v>2388.8015132046539</v>
      </c>
      <c r="EJ87" s="960">
        <f>+EJ84*EJ79</f>
        <v>2697.9315263900835</v>
      </c>
      <c r="EK87" s="960">
        <f>+EK84*EK79</f>
        <v>2718.5539090096581</v>
      </c>
      <c r="EL87" s="960">
        <f>+EL84*EL79</f>
        <v>3585.843693237247</v>
      </c>
      <c r="EM87" s="961">
        <f>SUM(EI87:EL87)</f>
        <v>11391.130641841643</v>
      </c>
      <c r="EN87" s="960">
        <f>+EN84*EN79</f>
        <v>2734.9137034636219</v>
      </c>
      <c r="EO87" s="960">
        <f>+EO84*EO79</f>
        <v>3086.3504877522701</v>
      </c>
      <c r="EP87" s="960">
        <f>+EP84*EP79</f>
        <v>3110.4532179707153</v>
      </c>
      <c r="EQ87" s="960">
        <f>+EQ84*EQ79</f>
        <v>4095.5799285259604</v>
      </c>
      <c r="ER87" s="961">
        <f>SUM(EN87:EQ87)</f>
        <v>13027.297337712567</v>
      </c>
    </row>
    <row r="88" spans="1:149" ht="12" customHeight="1">
      <c r="A88" s="931"/>
      <c r="B88" s="484"/>
      <c r="C88" s="970" t="s">
        <v>314</v>
      </c>
      <c r="D88" s="500"/>
      <c r="E88" s="501"/>
      <c r="F88" s="501"/>
      <c r="G88" s="501"/>
      <c r="H88" s="501"/>
      <c r="I88" s="502"/>
      <c r="J88" s="502"/>
      <c r="K88" s="502"/>
      <c r="L88" s="502"/>
      <c r="M88" s="501"/>
      <c r="N88" s="359"/>
      <c r="O88" s="359"/>
      <c r="P88" s="359"/>
      <c r="Q88" s="359"/>
      <c r="R88" s="501"/>
      <c r="S88" s="359"/>
      <c r="T88" s="359"/>
      <c r="U88" s="359"/>
      <c r="V88" s="359"/>
      <c r="W88" s="501"/>
      <c r="X88" s="359"/>
      <c r="Y88" s="359"/>
      <c r="Z88" s="359"/>
      <c r="AA88" s="359"/>
      <c r="AB88" s="501"/>
      <c r="AC88" s="359"/>
      <c r="AD88" s="359"/>
      <c r="AE88" s="359"/>
      <c r="AF88" s="359"/>
      <c r="AG88" s="501"/>
      <c r="AH88" s="359"/>
      <c r="AI88" s="359"/>
      <c r="AJ88" s="359"/>
      <c r="AK88" s="359"/>
      <c r="AL88" s="501"/>
      <c r="AM88" s="359"/>
      <c r="AN88" s="359"/>
      <c r="AO88" s="359"/>
      <c r="AP88" s="359"/>
      <c r="AQ88" s="501"/>
      <c r="AR88" s="359"/>
      <c r="AS88" s="359"/>
      <c r="AT88" s="359"/>
      <c r="AU88" s="359"/>
      <c r="AV88" s="501"/>
      <c r="AW88" s="359"/>
      <c r="AX88" s="359"/>
      <c r="AY88" s="359"/>
      <c r="AZ88" s="359"/>
      <c r="BA88" s="501"/>
      <c r="BB88" s="359"/>
      <c r="BC88" s="359"/>
      <c r="BD88" s="359"/>
      <c r="BE88" s="359"/>
      <c r="BF88" s="501"/>
      <c r="BG88" s="539"/>
      <c r="BH88" s="539"/>
      <c r="BI88" s="539"/>
      <c r="BJ88" s="539"/>
      <c r="BK88" s="501"/>
      <c r="BL88" s="359"/>
      <c r="BM88" s="359"/>
      <c r="BN88" s="359"/>
      <c r="BO88" s="359"/>
      <c r="BP88" s="501"/>
      <c r="BQ88" s="572"/>
      <c r="BR88" s="572"/>
      <c r="BS88" s="572"/>
      <c r="BT88" s="572"/>
      <c r="BU88" s="573"/>
      <c r="BV88" s="572"/>
      <c r="BW88" s="572"/>
      <c r="BX88" s="572"/>
      <c r="BY88" s="572"/>
      <c r="BZ88" s="574"/>
      <c r="CA88" s="959">
        <v>0.57999999999999996</v>
      </c>
      <c r="CB88" s="959">
        <v>0.57999999999999996</v>
      </c>
      <c r="CC88" s="959">
        <v>0.57999999999999996</v>
      </c>
      <c r="CD88" s="959">
        <v>0.57999999999999996</v>
      </c>
      <c r="CE88" s="962">
        <f>CE87/CE$73</f>
        <v>0.57999999999999985</v>
      </c>
      <c r="CF88" s="959">
        <v>0.57499999999999996</v>
      </c>
      <c r="CG88" s="959">
        <v>0.57499999999999996</v>
      </c>
      <c r="CH88" s="959">
        <v>0.57499999999999996</v>
      </c>
      <c r="CI88" s="959">
        <v>0.57499999999999996</v>
      </c>
      <c r="CJ88" s="962">
        <f>CJ87/CJ$73</f>
        <v>0.57499999999999996</v>
      </c>
      <c r="CK88" s="959">
        <v>0.56999999999999995</v>
      </c>
      <c r="CL88" s="959">
        <v>0.56999999999999995</v>
      </c>
      <c r="CM88" s="959">
        <v>0.56999999999999995</v>
      </c>
      <c r="CN88" s="959">
        <v>0.56999999999999995</v>
      </c>
      <c r="CO88" s="962">
        <f>CO87/CO$73</f>
        <v>0.56999999999999995</v>
      </c>
      <c r="CP88" s="959">
        <v>0.56499999999999995</v>
      </c>
      <c r="CQ88" s="959">
        <v>0.56499999999999995</v>
      </c>
      <c r="CR88" s="959">
        <v>0.56499999999999995</v>
      </c>
      <c r="CS88" s="959">
        <v>0.56499999999999995</v>
      </c>
      <c r="CT88" s="962">
        <f>CT87/CT$73</f>
        <v>0.56499999999999995</v>
      </c>
      <c r="CU88" s="959">
        <v>0.56000000000000005</v>
      </c>
      <c r="CV88" s="959">
        <v>0.56000000000000005</v>
      </c>
      <c r="CW88" s="959">
        <v>0.56000000000000005</v>
      </c>
      <c r="CX88" s="959">
        <v>0.56000000000000005</v>
      </c>
      <c r="CY88" s="962">
        <f>CY87/CY$73</f>
        <v>0.56000000000000005</v>
      </c>
      <c r="CZ88" s="959">
        <v>0.55300000000000005</v>
      </c>
      <c r="DA88" s="959">
        <v>0.55300000000000005</v>
      </c>
      <c r="DB88" s="959">
        <v>0.55300000000000005</v>
      </c>
      <c r="DC88" s="959">
        <v>0.55300000000000005</v>
      </c>
      <c r="DD88" s="962">
        <f>DD87/DD$73</f>
        <v>0.55300000000000005</v>
      </c>
      <c r="DE88" s="959">
        <v>0.56499999999999995</v>
      </c>
      <c r="DF88" s="959">
        <v>0.56499999999999995</v>
      </c>
      <c r="DG88" s="959">
        <v>0.56499999999999995</v>
      </c>
      <c r="DH88" s="959">
        <v>0.56499999999999995</v>
      </c>
      <c r="DI88" s="962">
        <f>DI87/DI$73</f>
        <v>0.56499999999999995</v>
      </c>
      <c r="DJ88" s="959">
        <f>+DH88+0.015%</f>
        <v>0.56514999999999993</v>
      </c>
      <c r="DK88" s="959">
        <f>+DJ88+0.015%</f>
        <v>0.56529999999999991</v>
      </c>
      <c r="DL88" s="959">
        <f>+DK88+0.015%</f>
        <v>0.5654499999999999</v>
      </c>
      <c r="DM88" s="959">
        <f>+DL88+0.015%</f>
        <v>0.56559999999999988</v>
      </c>
      <c r="DN88" s="962">
        <f>DN87/DN$73</f>
        <v>0.56540323124042857</v>
      </c>
      <c r="DO88" s="959">
        <f>+DM88+0.015%</f>
        <v>0.56574999999999986</v>
      </c>
      <c r="DP88" s="959">
        <f>+DO88+0.015%</f>
        <v>0.56589999999999985</v>
      </c>
      <c r="DQ88" s="959">
        <f>+DP88+0.015%</f>
        <v>0.56604999999999983</v>
      </c>
      <c r="DR88" s="959">
        <f>+DQ88+0.015%</f>
        <v>0.56619999999999981</v>
      </c>
      <c r="DS88" s="962">
        <f>DS87/DS$73</f>
        <v>0.56600554861426611</v>
      </c>
      <c r="DT88" s="959">
        <v>0.55747750791856154</v>
      </c>
      <c r="DU88" s="959">
        <f>+DT88+0.015%</f>
        <v>0.55762750791856153</v>
      </c>
      <c r="DV88" s="963">
        <f>+DV87/DV73</f>
        <v>0.55705247014111781</v>
      </c>
      <c r="DW88" s="963">
        <f>+DW87/DW73</f>
        <v>0.55600777799087986</v>
      </c>
      <c r="DX88" s="962">
        <f>DX87/DX$73</f>
        <v>0.55693807692291308</v>
      </c>
      <c r="DY88" s="963">
        <f>+DY87/DY73</f>
        <v>0.55302842728066859</v>
      </c>
      <c r="DZ88" s="963">
        <f>+DZ87/DZ73</f>
        <v>0.54864756865904296</v>
      </c>
      <c r="EA88" s="963">
        <f>+EA87/EA73</f>
        <v>0.54815507292782417</v>
      </c>
      <c r="EB88" s="963">
        <f>+EB87/EB73</f>
        <v>0.54610394011668417</v>
      </c>
      <c r="EC88" s="962">
        <f>EC87/EC$73</f>
        <v>0.54863312532302455</v>
      </c>
      <c r="ED88" s="963">
        <f>+ED87/ED73</f>
        <v>0.54015144084002886</v>
      </c>
      <c r="EE88" s="963">
        <f>+EE87/EE73</f>
        <v>0.53548017777103507</v>
      </c>
      <c r="EF88" s="963">
        <f>+EF87/EF73</f>
        <v>0.53502385572496436</v>
      </c>
      <c r="EG88" s="963">
        <f>+EG87/EG73</f>
        <v>0.53215786449727331</v>
      </c>
      <c r="EH88" s="962">
        <f>EH87/EH$73</f>
        <v>0.53528770984836427</v>
      </c>
      <c r="EI88" s="963">
        <f>+EI87/EI73</f>
        <v>0.52718321565769199</v>
      </c>
      <c r="EJ88" s="963">
        <f>+EJ87/EJ73</f>
        <v>0.52222868302996739</v>
      </c>
      <c r="EK88" s="963">
        <f>+EK87/EK73</f>
        <v>0.52180679859571633</v>
      </c>
      <c r="EL88" s="963">
        <f>+EL87/EL73</f>
        <v>0.51814590635978308</v>
      </c>
      <c r="EM88" s="962">
        <f>EM87/EM$73</f>
        <v>0.5218620555045469</v>
      </c>
      <c r="EN88" s="963">
        <f>+EN87/EN73</f>
        <v>0.51412700747982976</v>
      </c>
      <c r="EO88" s="963">
        <f>+EO87/EO73</f>
        <v>0.50889608054013535</v>
      </c>
      <c r="EP88" s="963">
        <f>+EP87/EP73</f>
        <v>0.50850699030429791</v>
      </c>
      <c r="EQ88" s="963">
        <f>+EQ87/EQ73</f>
        <v>0.50407043021588738</v>
      </c>
      <c r="ER88" s="962">
        <f>ER87/ER$73</f>
        <v>0.50835903534999383</v>
      </c>
    </row>
    <row r="89" spans="1:149" ht="12" customHeight="1">
      <c r="A89" s="931"/>
      <c r="B89" s="484"/>
      <c r="C89" s="970" t="s">
        <v>129</v>
      </c>
      <c r="D89" s="971"/>
      <c r="E89" s="962"/>
      <c r="F89" s="962"/>
      <c r="G89" s="962"/>
      <c r="H89" s="962"/>
      <c r="I89" s="972"/>
      <c r="J89" s="972"/>
      <c r="K89" s="972"/>
      <c r="L89" s="972"/>
      <c r="M89" s="962"/>
      <c r="N89" s="963"/>
      <c r="O89" s="963"/>
      <c r="P89" s="963"/>
      <c r="Q89" s="963"/>
      <c r="R89" s="962"/>
      <c r="S89" s="963"/>
      <c r="T89" s="963"/>
      <c r="U89" s="963"/>
      <c r="V89" s="963"/>
      <c r="W89" s="962"/>
      <c r="X89" s="963"/>
      <c r="Y89" s="963"/>
      <c r="Z89" s="963"/>
      <c r="AA89" s="963"/>
      <c r="AB89" s="962"/>
      <c r="AC89" s="963"/>
      <c r="AD89" s="963"/>
      <c r="AE89" s="963"/>
      <c r="AF89" s="963"/>
      <c r="AG89" s="962"/>
      <c r="AH89" s="963"/>
      <c r="AI89" s="963"/>
      <c r="AJ89" s="963"/>
      <c r="AK89" s="963"/>
      <c r="AL89" s="962"/>
      <c r="AM89" s="963"/>
      <c r="AN89" s="963"/>
      <c r="AO89" s="963"/>
      <c r="AP89" s="963"/>
      <c r="AQ89" s="962"/>
      <c r="AR89" s="963"/>
      <c r="AS89" s="963"/>
      <c r="AT89" s="963"/>
      <c r="AU89" s="963"/>
      <c r="AV89" s="962"/>
      <c r="AW89" s="963"/>
      <c r="AX89" s="963"/>
      <c r="AY89" s="963"/>
      <c r="AZ89" s="963"/>
      <c r="BA89" s="962"/>
      <c r="BB89" s="963"/>
      <c r="BC89" s="963"/>
      <c r="BD89" s="963"/>
      <c r="BE89" s="963"/>
      <c r="BF89" s="962"/>
      <c r="BG89" s="973"/>
      <c r="BH89" s="973"/>
      <c r="BI89" s="973"/>
      <c r="BJ89" s="973"/>
      <c r="BK89" s="962"/>
      <c r="BL89" s="963"/>
      <c r="BM89" s="963"/>
      <c r="BN89" s="963"/>
      <c r="BO89" s="963"/>
      <c r="BP89" s="962"/>
      <c r="BQ89" s="974"/>
      <c r="BR89" s="974"/>
      <c r="BS89" s="974"/>
      <c r="BT89" s="974"/>
      <c r="BU89" s="975"/>
      <c r="BV89" s="974"/>
      <c r="BW89" s="974"/>
      <c r="BX89" s="974"/>
      <c r="BY89" s="974"/>
      <c r="BZ89" s="976"/>
      <c r="CA89" s="963"/>
      <c r="CB89" s="963"/>
      <c r="CC89" s="963"/>
      <c r="CD89" s="963"/>
      <c r="CE89" s="977"/>
      <c r="CF89" s="963">
        <f>CF87/CA87-1</f>
        <v>0.73292113571998474</v>
      </c>
      <c r="CG89" s="963">
        <f>CG87/CB87-1</f>
        <v>0.66237482517843937</v>
      </c>
      <c r="CH89" s="963">
        <f>CH87/CC87-1</f>
        <v>0.66542503144356857</v>
      </c>
      <c r="CI89" s="963">
        <f>CI87/CD87-1</f>
        <v>0.61749822899188445</v>
      </c>
      <c r="CJ89" s="977"/>
      <c r="CK89" s="963">
        <f>CK87/CF87-1</f>
        <v>0.56353938991325059</v>
      </c>
      <c r="CL89" s="963">
        <f>CL87/CG87-1</f>
        <v>0.54284948078842699</v>
      </c>
      <c r="CM89" s="963">
        <f>CM87/CH87-1</f>
        <v>0.49129501529401409</v>
      </c>
      <c r="CN89" s="963">
        <f>CN87/CI87-1</f>
        <v>0.51778895195439456</v>
      </c>
      <c r="CO89" s="977"/>
      <c r="CP89" s="963">
        <f t="shared" ref="CP89:EC89" si="288">CP87/CK87-1</f>
        <v>0.55481487739879487</v>
      </c>
      <c r="CQ89" s="963">
        <f t="shared" si="288"/>
        <v>1.4570863062640043</v>
      </c>
      <c r="CR89" s="963">
        <f t="shared" si="288"/>
        <v>1.3004818469108654</v>
      </c>
      <c r="CS89" s="963">
        <f t="shared" si="288"/>
        <v>1.1496628083622347</v>
      </c>
      <c r="CT89" s="962">
        <f t="shared" si="288"/>
        <v>1.1401215720350351</v>
      </c>
      <c r="CU89" s="963">
        <f t="shared" si="288"/>
        <v>1.3444530881192711</v>
      </c>
      <c r="CV89" s="963">
        <f t="shared" si="288"/>
        <v>0.50270078727873568</v>
      </c>
      <c r="CW89" s="963">
        <f t="shared" si="288"/>
        <v>0.49495565340017511</v>
      </c>
      <c r="CX89" s="963">
        <f t="shared" si="288"/>
        <v>0.46026864177824955</v>
      </c>
      <c r="CY89" s="962">
        <f t="shared" si="288"/>
        <v>0.60366885349143007</v>
      </c>
      <c r="CZ89" s="963">
        <f t="shared" si="288"/>
        <v>0.26971466362060337</v>
      </c>
      <c r="DA89" s="963">
        <f t="shared" si="288"/>
        <v>0.16785902588868162</v>
      </c>
      <c r="DB89" s="963">
        <f t="shared" si="288"/>
        <v>0.24125148247944206</v>
      </c>
      <c r="DC89" s="963">
        <f t="shared" si="288"/>
        <v>0.28112310656132866</v>
      </c>
      <c r="DD89" s="962">
        <f t="shared" si="288"/>
        <v>0.24198695940874515</v>
      </c>
      <c r="DE89" s="963">
        <f t="shared" si="288"/>
        <v>0.339486432492488</v>
      </c>
      <c r="DF89" s="963">
        <f t="shared" si="288"/>
        <v>0.37529320277424194</v>
      </c>
      <c r="DG89" s="963">
        <f t="shared" si="288"/>
        <v>0.26744988927003344</v>
      </c>
      <c r="DH89" s="963">
        <f t="shared" si="288"/>
        <v>0.23930640884053389</v>
      </c>
      <c r="DI89" s="962">
        <f t="shared" si="288"/>
        <v>0.29771446874906426</v>
      </c>
      <c r="DJ89" s="963">
        <f t="shared" si="288"/>
        <v>0.19925258177588456</v>
      </c>
      <c r="DK89" s="963">
        <f t="shared" si="288"/>
        <v>0.18622952212389388</v>
      </c>
      <c r="DL89" s="963">
        <f t="shared" si="288"/>
        <v>0.2648502493442102</v>
      </c>
      <c r="DM89" s="963">
        <f t="shared" si="288"/>
        <v>0.32691719459734214</v>
      </c>
      <c r="DN89" s="962">
        <f t="shared" si="288"/>
        <v>0.25113160137512902</v>
      </c>
      <c r="DO89" s="963">
        <f>DO87/DJ87-1</f>
        <v>0.29025725716869655</v>
      </c>
      <c r="DP89" s="963">
        <f t="shared" si="288"/>
        <v>0.36717155187087314</v>
      </c>
      <c r="DQ89" s="963">
        <f t="shared" si="288"/>
        <v>0.38355416450541613</v>
      </c>
      <c r="DR89" s="963">
        <f>DR87/DM87-1</f>
        <v>0.35045250464335465</v>
      </c>
      <c r="DS89" s="962">
        <f>DS87/DN87-1</f>
        <v>0.34967516034511803</v>
      </c>
      <c r="DT89" s="963">
        <f>DT87/DO87-1</f>
        <v>0.37046801790210271</v>
      </c>
      <c r="DU89" s="963">
        <f t="shared" si="288"/>
        <v>0.35392614960945767</v>
      </c>
      <c r="DV89" s="963">
        <f t="shared" si="288"/>
        <v>0.30677564399787527</v>
      </c>
      <c r="DW89" s="963">
        <f t="shared" si="288"/>
        <v>0.29387342334460143</v>
      </c>
      <c r="DX89" s="962">
        <f t="shared" si="288"/>
        <v>0.32595155947203525</v>
      </c>
      <c r="DY89" s="963">
        <f t="shared" si="288"/>
        <v>0.28564274707017834</v>
      </c>
      <c r="DZ89" s="963">
        <f t="shared" si="288"/>
        <v>0.26512596924716125</v>
      </c>
      <c r="EA89" s="963">
        <f t="shared" si="288"/>
        <v>0.24553152667747669</v>
      </c>
      <c r="EB89" s="963">
        <f t="shared" si="288"/>
        <v>0.23321510584374217</v>
      </c>
      <c r="EC89" s="962">
        <f t="shared" si="288"/>
        <v>0.25436695200035286</v>
      </c>
      <c r="ED89" s="963">
        <f t="shared" ref="ED89" si="289">ED87/DY87-1</f>
        <v>0.18651566480541604</v>
      </c>
      <c r="EE89" s="963">
        <f t="shared" ref="EE89" si="290">EE87/DZ87-1</f>
        <v>0.1856216330581224</v>
      </c>
      <c r="EF89" s="963">
        <f t="shared" ref="EF89" si="291">EF87/EA87-1</f>
        <v>0.18582635554518734</v>
      </c>
      <c r="EG89" s="963">
        <f t="shared" ref="EG89" si="292">EG87/EB87-1</f>
        <v>0.18386519687678105</v>
      </c>
      <c r="EH89" s="962">
        <f t="shared" ref="EH89" si="293">EH87/EC87-1</f>
        <v>0.18530326404254671</v>
      </c>
      <c r="EI89" s="963">
        <f t="shared" ref="EI89" si="294">EI87/ED87-1</f>
        <v>0.16076303445044959</v>
      </c>
      <c r="EJ89" s="963">
        <f t="shared" ref="EJ89" si="295">EJ87/EE87-1</f>
        <v>0.15986076913355896</v>
      </c>
      <c r="EK89" s="963">
        <f t="shared" ref="EK89" si="296">EK87/EF87-1</f>
        <v>0.16005613056111834</v>
      </c>
      <c r="EL89" s="963">
        <f t="shared" ref="EL89" si="297">EL87/EG87-1</f>
        <v>0.15808394285869443</v>
      </c>
      <c r="EM89" s="962">
        <f t="shared" ref="EM89" si="298">EM87/EH87-1</f>
        <v>0.15953635055874549</v>
      </c>
      <c r="EN89" s="963">
        <f t="shared" ref="EN89" si="299">EN87/EI87-1</f>
        <v>0.14488947212472558</v>
      </c>
      <c r="EO89" s="963">
        <f t="shared" ref="EO89" si="300">EO87/EJ87-1</f>
        <v>0.143969169551869</v>
      </c>
      <c r="EP89" s="963">
        <f t="shared" ref="EP89" si="301">EP87/EK87-1</f>
        <v>0.14415726966540898</v>
      </c>
      <c r="EQ89" s="963">
        <f t="shared" ref="EQ89" si="302">EQ87/EL87-1</f>
        <v>0.14215238557387622</v>
      </c>
      <c r="ER89" s="962">
        <f t="shared" ref="ER89" si="303">ER87/EM87-1</f>
        <v>0.1436351445097992</v>
      </c>
    </row>
    <row r="90" spans="1:149" ht="12" customHeight="1">
      <c r="A90" s="931"/>
      <c r="B90" s="484"/>
      <c r="C90" s="970" t="s">
        <v>313</v>
      </c>
      <c r="D90" s="971"/>
      <c r="E90" s="962"/>
      <c r="F90" s="962"/>
      <c r="G90" s="962"/>
      <c r="H90" s="962"/>
      <c r="I90" s="972"/>
      <c r="J90" s="972"/>
      <c r="K90" s="972"/>
      <c r="L90" s="972"/>
      <c r="M90" s="962"/>
      <c r="N90" s="963"/>
      <c r="O90" s="963"/>
      <c r="P90" s="963"/>
      <c r="Q90" s="963"/>
      <c r="R90" s="962"/>
      <c r="S90" s="963"/>
      <c r="T90" s="963"/>
      <c r="U90" s="963"/>
      <c r="V90" s="963"/>
      <c r="W90" s="962"/>
      <c r="X90" s="963"/>
      <c r="Y90" s="963"/>
      <c r="Z90" s="963"/>
      <c r="AA90" s="963"/>
      <c r="AB90" s="962"/>
      <c r="AC90" s="963"/>
      <c r="AD90" s="963"/>
      <c r="AE90" s="963"/>
      <c r="AF90" s="963"/>
      <c r="AG90" s="962"/>
      <c r="AH90" s="963"/>
      <c r="AI90" s="963"/>
      <c r="AJ90" s="963"/>
      <c r="AK90" s="963"/>
      <c r="AL90" s="962"/>
      <c r="AM90" s="963"/>
      <c r="AN90" s="963"/>
      <c r="AO90" s="963"/>
      <c r="AP90" s="963"/>
      <c r="AQ90" s="962"/>
      <c r="AR90" s="963"/>
      <c r="AS90" s="963"/>
      <c r="AT90" s="963"/>
      <c r="AU90" s="963"/>
      <c r="AV90" s="962"/>
      <c r="AW90" s="963"/>
      <c r="AX90" s="963"/>
      <c r="AY90" s="963"/>
      <c r="AZ90" s="963"/>
      <c r="BA90" s="962"/>
      <c r="BB90" s="963"/>
      <c r="BC90" s="963"/>
      <c r="BD90" s="963"/>
      <c r="BE90" s="963"/>
      <c r="BF90" s="962"/>
      <c r="BG90" s="973"/>
      <c r="BH90" s="973"/>
      <c r="BI90" s="973"/>
      <c r="BJ90" s="973"/>
      <c r="BK90" s="962"/>
      <c r="BL90" s="963"/>
      <c r="BM90" s="963"/>
      <c r="BN90" s="963"/>
      <c r="BO90" s="963"/>
      <c r="BP90" s="962"/>
      <c r="BQ90" s="974"/>
      <c r="BR90" s="974"/>
      <c r="BS90" s="974"/>
      <c r="BT90" s="974"/>
      <c r="BU90" s="975"/>
      <c r="BV90" s="974"/>
      <c r="BW90" s="974"/>
      <c r="BX90" s="974"/>
      <c r="BY90" s="974"/>
      <c r="BZ90" s="976"/>
      <c r="CA90" s="963"/>
      <c r="CB90" s="963">
        <f>CB87/CA87-1</f>
        <v>0.22600652383650566</v>
      </c>
      <c r="CC90" s="963">
        <f>CC87/CB87-1</f>
        <v>0.11197022121738254</v>
      </c>
      <c r="CD90" s="963">
        <f>CD87/CC87-1</f>
        <v>0.44792801698475615</v>
      </c>
      <c r="CE90" s="977"/>
      <c r="CF90" s="963"/>
      <c r="CG90" s="963">
        <f>CG87/CF87-1</f>
        <v>0.17609644127490309</v>
      </c>
      <c r="CH90" s="963">
        <f>CH87/CG87-1</f>
        <v>0.11401051831766518</v>
      </c>
      <c r="CI90" s="963">
        <f>CI87/CH87-1</f>
        <v>0.40626023925588606</v>
      </c>
      <c r="CJ90" s="977"/>
      <c r="CK90" s="963"/>
      <c r="CL90" s="963">
        <f>CL87/CK87-1</f>
        <v>0.16053346368125476</v>
      </c>
      <c r="CM90" s="963">
        <f>CM87/CL87-1</f>
        <v>7.6785748473187532E-2</v>
      </c>
      <c r="CN90" s="963">
        <f>CN87/CM87-1</f>
        <v>0.43124347149683295</v>
      </c>
      <c r="CO90" s="977"/>
      <c r="CP90" s="963">
        <f>CP87/CN87-1</f>
        <v>-0.13068294069770736</v>
      </c>
      <c r="CQ90" s="963">
        <f>CQ87/CP87-1</f>
        <v>0.83400025496473029</v>
      </c>
      <c r="CR90" s="963">
        <f>CR87/CQ87-1</f>
        <v>8.155904438441608E-3</v>
      </c>
      <c r="CS90" s="963">
        <f>CS87/CR87-1</f>
        <v>0.33741149251816105</v>
      </c>
      <c r="CT90" s="977"/>
      <c r="CU90" s="963">
        <f>CU87/CS87-1</f>
        <v>-5.1910347842519688E-2</v>
      </c>
      <c r="CV90" s="963">
        <f>CV87/CU87-1</f>
        <v>0.17552090974690326</v>
      </c>
      <c r="CW90" s="963">
        <f>CW87/CV87-1</f>
        <v>2.9597253211888219E-3</v>
      </c>
      <c r="CX90" s="963">
        <f>CX87/CW87-1</f>
        <v>0.30637993122819118</v>
      </c>
      <c r="CY90" s="977"/>
      <c r="CZ90" s="963">
        <f>CZ87/CX87-1</f>
        <v>-0.17562885394472871</v>
      </c>
      <c r="DA90" s="963">
        <f>DA87/CZ87-1</f>
        <v>8.1221430218126001E-2</v>
      </c>
      <c r="DB90" s="963">
        <f>DB87/DA87-1</f>
        <v>6.5989317481854881E-2</v>
      </c>
      <c r="DC90" s="963">
        <f>DC87/DB87-1</f>
        <v>0.34834361889445287</v>
      </c>
      <c r="DD90" s="977"/>
      <c r="DE90" s="963">
        <f>DE87/DC87-1</f>
        <v>-0.13807349206025865</v>
      </c>
      <c r="DF90" s="963">
        <f>DF87/DE87-1</f>
        <v>0.11012433392539966</v>
      </c>
      <c r="DG90" s="963">
        <f>DG87/DF87-1</f>
        <v>-1.7599999999999949E-2</v>
      </c>
      <c r="DH90" s="963">
        <f>DH87/DG87-1</f>
        <v>0.3184039087947883</v>
      </c>
      <c r="DI90" s="977"/>
      <c r="DJ90" s="963">
        <f>DJ87/DH87-1</f>
        <v>-0.16593057005580858</v>
      </c>
      <c r="DK90" s="963">
        <f>DK87/DJ87-1</f>
        <v>9.8069145851150674E-2</v>
      </c>
      <c r="DL90" s="963">
        <f>DL87/DK87-1</f>
        <v>4.7511347324208808E-2</v>
      </c>
      <c r="DM90" s="963">
        <f>DM87/DL87-1</f>
        <v>0.38309876359764528</v>
      </c>
      <c r="DN90" s="977"/>
      <c r="DO90" s="963">
        <f>DO87/DM87-1</f>
        <v>-0.18897415803356399</v>
      </c>
      <c r="DP90" s="963">
        <f>DP87/DO87-1</f>
        <v>0.16352680045306567</v>
      </c>
      <c r="DQ90" s="963">
        <f>DQ87/DP87-1</f>
        <v>6.00635194419048E-2</v>
      </c>
      <c r="DR90" s="963">
        <f>DR87/DQ87-1</f>
        <v>0.35000799924393222</v>
      </c>
      <c r="DS90" s="977"/>
      <c r="DT90" s="963">
        <f>DT87/DR87-1</f>
        <v>-0.17695366976222449</v>
      </c>
      <c r="DU90" s="963">
        <f>DU87/DT87-1</f>
        <v>0.14948276087195933</v>
      </c>
      <c r="DV90" s="963">
        <f>DV87/DU87-1</f>
        <v>2.3146785884098353E-2</v>
      </c>
      <c r="DW90" s="963">
        <f>DW87/DV87-1</f>
        <v>0.33667893149620309</v>
      </c>
      <c r="DX90" s="977"/>
      <c r="DY90" s="963">
        <f>DY87/DW87-1</f>
        <v>-0.18218928847176397</v>
      </c>
      <c r="DZ90" s="963">
        <f>DZ87/DY87-1</f>
        <v>0.13113887609530361</v>
      </c>
      <c r="EA90" s="963">
        <f>EA87/DZ87-1</f>
        <v>7.3001497200384513E-3</v>
      </c>
      <c r="EB90" s="963">
        <f>EB87/EA87-1</f>
        <v>0.3234612008428408</v>
      </c>
      <c r="EC90" s="977"/>
      <c r="ED90" s="963">
        <f>ED87/EB87-1</f>
        <v>-0.21315817858878428</v>
      </c>
      <c r="EE90" s="963">
        <f>EE87/ED87-1</f>
        <v>0.13028657039397684</v>
      </c>
      <c r="EF90" s="963">
        <f>EF87/EE87-1</f>
        <v>7.4740812561389092E-3</v>
      </c>
      <c r="EG90" s="963">
        <f>EG87/EF87-1</f>
        <v>0.32127241713585453</v>
      </c>
      <c r="EH90" s="977"/>
      <c r="EI90" s="963">
        <f>EI87/EG87-1</f>
        <v>-0.22851275410129035</v>
      </c>
      <c r="EJ90" s="963">
        <f>EJ87/EI87-1</f>
        <v>0.12940799454313878</v>
      </c>
      <c r="EK90" s="963">
        <f>EK87/EJ87-1</f>
        <v>7.6437753952813825E-3</v>
      </c>
      <c r="EL90" s="963">
        <f>EL87/EK87-1</f>
        <v>0.31902614892177494</v>
      </c>
      <c r="EM90" s="977"/>
      <c r="EN90" s="963">
        <f>EN87/EL87-1</f>
        <v>-0.23730258833602924</v>
      </c>
      <c r="EO90" s="963">
        <f>EO87/EN87-1</f>
        <v>0.12850013652846615</v>
      </c>
      <c r="EP90" s="963">
        <f>EP87/EO87-1</f>
        <v>7.809459850426359E-3</v>
      </c>
      <c r="EQ90" s="963">
        <f>EQ87/EP87-1</f>
        <v>0.31671484556130047</v>
      </c>
      <c r="ER90" s="977"/>
    </row>
    <row r="91" spans="1:149" ht="12" customHeight="1">
      <c r="A91" s="931"/>
      <c r="B91" s="484"/>
      <c r="C91" s="1041" t="s">
        <v>589</v>
      </c>
      <c r="D91" s="500"/>
      <c r="E91" s="643"/>
      <c r="F91" s="643"/>
      <c r="G91" s="643"/>
      <c r="H91" s="643"/>
      <c r="I91" s="502"/>
      <c r="J91" s="502"/>
      <c r="K91" s="502"/>
      <c r="L91" s="502"/>
      <c r="M91" s="643"/>
      <c r="N91" s="644"/>
      <c r="O91" s="644"/>
      <c r="P91" s="644"/>
      <c r="Q91" s="644"/>
      <c r="R91" s="643"/>
      <c r="S91" s="644"/>
      <c r="T91" s="644"/>
      <c r="U91" s="644"/>
      <c r="V91" s="644"/>
      <c r="W91" s="643"/>
      <c r="X91" s="644"/>
      <c r="Y91" s="644"/>
      <c r="Z91" s="644"/>
      <c r="AA91" s="644"/>
      <c r="AB91" s="643"/>
      <c r="AC91" s="644"/>
      <c r="AD91" s="644"/>
      <c r="AE91" s="644"/>
      <c r="AF91" s="644"/>
      <c r="AG91" s="643"/>
      <c r="AH91" s="644"/>
      <c r="AI91" s="644"/>
      <c r="AJ91" s="644"/>
      <c r="AK91" s="644"/>
      <c r="AL91" s="643"/>
      <c r="AM91" s="644"/>
      <c r="AN91" s="644"/>
      <c r="AO91" s="644"/>
      <c r="AP91" s="644"/>
      <c r="AQ91" s="643"/>
      <c r="AR91" s="644"/>
      <c r="AS91" s="644"/>
      <c r="AT91" s="644"/>
      <c r="AU91" s="644"/>
      <c r="AV91" s="643"/>
      <c r="AW91" s="644"/>
      <c r="AX91" s="644"/>
      <c r="AY91" s="644"/>
      <c r="AZ91" s="644"/>
      <c r="BA91" s="643"/>
      <c r="BB91" s="644"/>
      <c r="BC91" s="644"/>
      <c r="BD91" s="644"/>
      <c r="BE91" s="644"/>
      <c r="BF91" s="643"/>
      <c r="BG91" s="654"/>
      <c r="BH91" s="654"/>
      <c r="BI91" s="654"/>
      <c r="BJ91" s="654"/>
      <c r="BK91" s="643"/>
      <c r="BL91" s="644"/>
      <c r="BM91" s="644"/>
      <c r="BN91" s="644"/>
      <c r="BO91" s="644"/>
      <c r="BP91" s="643"/>
      <c r="BQ91" s="581"/>
      <c r="BR91" s="581"/>
      <c r="BS91" s="581"/>
      <c r="BT91" s="581"/>
      <c r="BU91" s="583"/>
      <c r="BV91" s="1042"/>
      <c r="BW91" s="1042"/>
      <c r="BX91" s="1042"/>
      <c r="BY91" s="1042"/>
      <c r="BZ91" s="583"/>
      <c r="CA91" s="1043">
        <f>CA63-CA79</f>
        <v>3065.8628839273042</v>
      </c>
      <c r="CB91" s="1043">
        <f>CB63-CB79</f>
        <v>3561.5844229771337</v>
      </c>
      <c r="CC91" s="1043">
        <f>CC63-CC79</f>
        <v>4010.3895627589945</v>
      </c>
      <c r="CD91" s="1043">
        <f>CD63-CD79</f>
        <v>5594.2971899999993</v>
      </c>
      <c r="CE91" s="955">
        <f>SUM(CA91:CD91)</f>
        <v>16232.134059663431</v>
      </c>
      <c r="CF91" s="1043">
        <f>CF63-CF79</f>
        <v>5022.4701296407784</v>
      </c>
      <c r="CG91" s="1043">
        <f>CG63-CG79</f>
        <v>5310.5647821420416</v>
      </c>
      <c r="CH91" s="1043">
        <f>CH63-CH79</f>
        <v>5855.5351523178815</v>
      </c>
      <c r="CI91" s="1043">
        <f>CI63-CI79</f>
        <v>8203.0638732943444</v>
      </c>
      <c r="CJ91" s="955">
        <f>SUM(CF91:CI91)</f>
        <v>24391.633937395047</v>
      </c>
      <c r="CK91" s="1043">
        <f>CK63-CK79</f>
        <v>7079.3889139072835</v>
      </c>
      <c r="CL91" s="1043">
        <f>CL63-CL79</f>
        <v>7996.3329310344834</v>
      </c>
      <c r="CM91" s="1043">
        <f>CM63-CM79</f>
        <v>8571.11</v>
      </c>
      <c r="CN91" s="1043">
        <f>CN63-CN79</f>
        <v>11788.73340740741</v>
      </c>
      <c r="CO91" s="955">
        <f>SUM(CK91:CN91)</f>
        <v>35435.565252349174</v>
      </c>
      <c r="CP91" s="1043">
        <f>CP63-CP79</f>
        <v>10115.252</v>
      </c>
      <c r="CQ91" s="1043">
        <f>CQ63-CQ79</f>
        <v>16705.466</v>
      </c>
      <c r="CR91" s="1043">
        <f>CR63-CR79</f>
        <v>16917.154999999999</v>
      </c>
      <c r="CS91" s="1043">
        <f>CS63-CS79</f>
        <v>22039.273999999998</v>
      </c>
      <c r="CT91" s="955">
        <f>SUM(CP91:CS91)</f>
        <v>65777.146999999997</v>
      </c>
      <c r="CU91" s="1043">
        <f>CU63-CU79</f>
        <v>20046.885999999999</v>
      </c>
      <c r="CV91" s="1043">
        <f>CV63-CV79</f>
        <v>21893.370999999999</v>
      </c>
      <c r="CW91" s="1043">
        <f>CW63-CW79</f>
        <v>21264.997000000003</v>
      </c>
      <c r="CX91" s="1043">
        <f>CX63-CX79</f>
        <v>26356.560000000012</v>
      </c>
      <c r="CY91" s="955">
        <f>SUM(CU91:CX91)</f>
        <v>89561.814000000013</v>
      </c>
      <c r="CZ91" s="1043">
        <f>CZ63-CZ79</f>
        <v>21199.951999999997</v>
      </c>
      <c r="DA91" s="1043">
        <f>DA63-DA79</f>
        <v>21950.218999999997</v>
      </c>
      <c r="DB91" s="1043">
        <f>DB63-DB79</f>
        <v>21200</v>
      </c>
      <c r="DC91" s="1043">
        <f>DC63-DC79</f>
        <v>26800</v>
      </c>
      <c r="DD91" s="955">
        <f>SUM(CZ91:DC91)</f>
        <v>91150.171000000002</v>
      </c>
      <c r="DE91" s="1043">
        <f>DE63-DE79</f>
        <v>22100</v>
      </c>
      <c r="DF91" s="1043">
        <f>DF63-DF79</f>
        <v>23300</v>
      </c>
      <c r="DG91" s="1043">
        <f>DG63-DG79</f>
        <v>23400</v>
      </c>
      <c r="DH91" s="1043">
        <f>DH63-DH79</f>
        <v>30051</v>
      </c>
      <c r="DI91" s="955">
        <f>SUM(DE91:DH91)</f>
        <v>98851</v>
      </c>
      <c r="DJ91" s="1043">
        <f>DJ63-DJ79</f>
        <v>24617</v>
      </c>
      <c r="DK91" s="1043">
        <f>DK63-DK79</f>
        <v>25845</v>
      </c>
      <c r="DL91" s="1043">
        <f>DL63-DL79</f>
        <v>26815</v>
      </c>
      <c r="DM91" s="1043">
        <f>DM63-DM79</f>
        <v>33810</v>
      </c>
      <c r="DN91" s="955">
        <f>SUM(DJ91:DM91)</f>
        <v>111087</v>
      </c>
      <c r="DO91" s="1043">
        <f>DO63-DO79</f>
        <v>27212</v>
      </c>
      <c r="DP91" s="1043">
        <f>DP63-DP79</f>
        <v>31269.972000000002</v>
      </c>
      <c r="DQ91" s="1043">
        <f>DQ63-DQ79</f>
        <v>32020.523999999998</v>
      </c>
      <c r="DR91" s="1043">
        <f>DR63-DR79</f>
        <v>39681.207999999984</v>
      </c>
      <c r="DS91" s="955">
        <f>SUM(DO91:DR91)</f>
        <v>130183.70399999998</v>
      </c>
      <c r="DT91" s="1043">
        <f>DT63-DT79</f>
        <v>33743</v>
      </c>
      <c r="DU91" s="1043">
        <f>DU63-DU79</f>
        <v>36981.439999999988</v>
      </c>
      <c r="DV91" s="1043">
        <f>DV63-DV79</f>
        <v>39234.343200000003</v>
      </c>
      <c r="DW91" s="1043">
        <f>DW63-DW79</f>
        <v>47993.660519999976</v>
      </c>
      <c r="DX91" s="955">
        <f>SUM(DT91:DW91)</f>
        <v>157952.44371999998</v>
      </c>
      <c r="DY91" s="1043">
        <f>DY63-DY79</f>
        <v>40619.57759999999</v>
      </c>
      <c r="DZ91" s="1043">
        <f>DZ63-DZ79</f>
        <v>44764.877449999985</v>
      </c>
      <c r="EA91" s="1043">
        <f>EA63-EA79</f>
        <v>46800.112124999985</v>
      </c>
      <c r="EB91" s="1043">
        <f>EB63-EB79</f>
        <v>56540.698090799968</v>
      </c>
      <c r="EC91" s="955">
        <f>SUM(DY91:EB91)</f>
        <v>188725.26526579994</v>
      </c>
      <c r="ED91" s="1043">
        <f>ED63-ED79</f>
        <v>47196.080639999986</v>
      </c>
      <c r="EE91" s="1043">
        <f>EE63-EE79</f>
        <v>51956.611859999975</v>
      </c>
      <c r="EF91" s="1043">
        <f>EF63-EF79</f>
        <v>54365.881049999996</v>
      </c>
      <c r="EG91" s="1043">
        <f>EG63-EG79</f>
        <v>65471.684945759946</v>
      </c>
      <c r="EH91" s="955">
        <f>SUM(ED91:EG91)</f>
        <v>218990.25849575992</v>
      </c>
      <c r="EI91" s="1043">
        <f>EI63-EI79</f>
        <v>53637.185087999984</v>
      </c>
      <c r="EJ91" s="1043">
        <f>EJ63-EJ79</f>
        <v>58979.56066649998</v>
      </c>
      <c r="EK91" s="1043">
        <f>EK63-EK79</f>
        <v>61771.662371249986</v>
      </c>
      <c r="EL91" s="1043">
        <f>EL63-EL79</f>
        <v>74136.075314507936</v>
      </c>
      <c r="EM91" s="955">
        <f>SUM(EI91:EL91)</f>
        <v>248524.4834402579</v>
      </c>
      <c r="EN91" s="1043">
        <f>EN63-EN79</f>
        <v>60110.011491839978</v>
      </c>
      <c r="EO91" s="1043">
        <f>EO63-EO79</f>
        <v>66015.718781099975</v>
      </c>
      <c r="EP91" s="1043">
        <f>EP63-EP79</f>
        <v>69209.560830149974</v>
      </c>
      <c r="EQ91" s="1043">
        <f>EQ63-EQ79</f>
        <v>82757.788148587599</v>
      </c>
      <c r="ER91" s="955">
        <f>SUM(EN91:EQ91)</f>
        <v>278093.0792516775</v>
      </c>
    </row>
    <row r="92" spans="1:149" ht="12" customHeight="1">
      <c r="A92" s="934"/>
      <c r="B92" s="619"/>
      <c r="C92" s="642" t="s">
        <v>129</v>
      </c>
      <c r="D92" s="500"/>
      <c r="E92" s="501"/>
      <c r="F92" s="501"/>
      <c r="G92" s="501"/>
      <c r="H92" s="501"/>
      <c r="I92" s="502"/>
      <c r="J92" s="502"/>
      <c r="K92" s="502"/>
      <c r="L92" s="502"/>
      <c r="M92" s="501"/>
      <c r="N92" s="359"/>
      <c r="O92" s="359"/>
      <c r="P92" s="359"/>
      <c r="Q92" s="359"/>
      <c r="R92" s="501"/>
      <c r="S92" s="359"/>
      <c r="T92" s="359"/>
      <c r="U92" s="359"/>
      <c r="V92" s="359"/>
      <c r="W92" s="501"/>
      <c r="X92" s="359"/>
      <c r="Y92" s="359"/>
      <c r="Z92" s="359"/>
      <c r="AA92" s="359"/>
      <c r="AB92" s="501"/>
      <c r="AC92" s="359"/>
      <c r="AD92" s="359"/>
      <c r="AE92" s="359"/>
      <c r="AF92" s="359"/>
      <c r="AG92" s="501"/>
      <c r="AH92" s="359"/>
      <c r="AI92" s="359"/>
      <c r="AJ92" s="359"/>
      <c r="AK92" s="359"/>
      <c r="AL92" s="501"/>
      <c r="AM92" s="359"/>
      <c r="AN92" s="359"/>
      <c r="AO92" s="359"/>
      <c r="AP92" s="359"/>
      <c r="AQ92" s="501"/>
      <c r="AR92" s="359"/>
      <c r="AS92" s="359"/>
      <c r="AT92" s="359"/>
      <c r="AU92" s="359"/>
      <c r="AV92" s="501"/>
      <c r="AW92" s="359"/>
      <c r="AX92" s="359"/>
      <c r="AY92" s="359"/>
      <c r="AZ92" s="359"/>
      <c r="BA92" s="501"/>
      <c r="BB92" s="359"/>
      <c r="BC92" s="359"/>
      <c r="BD92" s="359"/>
      <c r="BE92" s="359"/>
      <c r="BF92" s="501"/>
      <c r="BG92" s="539"/>
      <c r="BH92" s="539"/>
      <c r="BI92" s="539"/>
      <c r="BJ92" s="539"/>
      <c r="BK92" s="501"/>
      <c r="BL92" s="359"/>
      <c r="BM92" s="359"/>
      <c r="BN92" s="359"/>
      <c r="BO92" s="359"/>
      <c r="BP92" s="501"/>
      <c r="BQ92" s="359"/>
      <c r="BR92" s="359"/>
      <c r="BS92" s="359"/>
      <c r="BT92" s="359"/>
      <c r="BU92" s="501"/>
      <c r="BV92" s="359"/>
      <c r="BW92" s="359"/>
      <c r="BX92" s="359"/>
      <c r="BY92" s="359"/>
      <c r="BZ92" s="243"/>
      <c r="CA92" s="359"/>
      <c r="CB92" s="359"/>
      <c r="CC92" s="359"/>
      <c r="CD92" s="359"/>
      <c r="CE92" s="243"/>
      <c r="CF92" s="359">
        <f t="shared" ref="CF92:DK92" si="304">CF91/CA91-1</f>
        <v>0.638191373779607</v>
      </c>
      <c r="CG92" s="359">
        <f t="shared" si="304"/>
        <v>0.49106806169792616</v>
      </c>
      <c r="CH92" s="359">
        <f t="shared" si="304"/>
        <v>0.46009136037385301</v>
      </c>
      <c r="CI92" s="359">
        <f t="shared" si="304"/>
        <v>0.46632608077340021</v>
      </c>
      <c r="CJ92" s="243">
        <f t="shared" si="304"/>
        <v>0.50267573245392483</v>
      </c>
      <c r="CK92" s="359">
        <f t="shared" si="304"/>
        <v>0.40954325882942033</v>
      </c>
      <c r="CL92" s="359">
        <f t="shared" si="304"/>
        <v>0.50574058674963096</v>
      </c>
      <c r="CM92" s="359">
        <f t="shared" si="304"/>
        <v>0.46376202636358066</v>
      </c>
      <c r="CN92" s="359">
        <f t="shared" si="304"/>
        <v>0.43711344803573526</v>
      </c>
      <c r="CO92" s="243">
        <f t="shared" si="304"/>
        <v>0.45277537959531977</v>
      </c>
      <c r="CP92" s="359">
        <f t="shared" si="304"/>
        <v>0.42883123430736214</v>
      </c>
      <c r="CQ92" s="359">
        <f t="shared" si="304"/>
        <v>1.0891408779597698</v>
      </c>
      <c r="CR92" s="359">
        <f t="shared" si="304"/>
        <v>0.97374144072354651</v>
      </c>
      <c r="CS92" s="359">
        <f t="shared" si="304"/>
        <v>0.86952009502154803</v>
      </c>
      <c r="CT92" s="243">
        <f t="shared" si="304"/>
        <v>0.85624658536071618</v>
      </c>
      <c r="CU92" s="359">
        <f t="shared" si="304"/>
        <v>0.98184741220485638</v>
      </c>
      <c r="CV92" s="359">
        <f t="shared" si="304"/>
        <v>0.31055134888185698</v>
      </c>
      <c r="CW92" s="359">
        <f t="shared" si="304"/>
        <v>0.25700787159543115</v>
      </c>
      <c r="CX92" s="359">
        <f t="shared" si="304"/>
        <v>0.1958905724390021</v>
      </c>
      <c r="CY92" s="243">
        <f t="shared" si="304"/>
        <v>0.36159468880582524</v>
      </c>
      <c r="CZ92" s="359">
        <f t="shared" si="304"/>
        <v>5.7518459475451644E-2</v>
      </c>
      <c r="DA92" s="359">
        <f t="shared" si="304"/>
        <v>2.5965850576412652E-3</v>
      </c>
      <c r="DB92" s="359">
        <f t="shared" si="304"/>
        <v>-3.0565252372244389E-3</v>
      </c>
      <c r="DC92" s="359">
        <f t="shared" si="304"/>
        <v>1.6824653900205044E-2</v>
      </c>
      <c r="DD92" s="243">
        <f t="shared" si="304"/>
        <v>1.7734756913253102E-2</v>
      </c>
      <c r="DE92" s="359">
        <f t="shared" si="304"/>
        <v>4.2455190464582238E-2</v>
      </c>
      <c r="DF92" s="359">
        <f t="shared" si="304"/>
        <v>6.1492826108022092E-2</v>
      </c>
      <c r="DG92" s="359">
        <f t="shared" si="304"/>
        <v>0.10377358490566047</v>
      </c>
      <c r="DH92" s="359">
        <f t="shared" si="304"/>
        <v>0.12130597014925382</v>
      </c>
      <c r="DI92" s="243">
        <f t="shared" si="304"/>
        <v>8.4485074635789692E-2</v>
      </c>
      <c r="DJ92" s="359">
        <f t="shared" si="304"/>
        <v>0.11389140271493203</v>
      </c>
      <c r="DK92" s="359">
        <f t="shared" si="304"/>
        <v>0.10922746781115888</v>
      </c>
      <c r="DL92" s="359">
        <f t="shared" ref="DL92:EC92" si="305">DL91/DG91-1</f>
        <v>0.14594017094017087</v>
      </c>
      <c r="DM92" s="359">
        <f t="shared" si="305"/>
        <v>0.12508735150244576</v>
      </c>
      <c r="DN92" s="243">
        <f t="shared" si="305"/>
        <v>0.12378225814609878</v>
      </c>
      <c r="DO92" s="359">
        <f>DO91/DJ91-1</f>
        <v>0.10541495714343752</v>
      </c>
      <c r="DP92" s="359">
        <f t="shared" ref="DP92:DQ92" si="306">DP91/DK91-1</f>
        <v>0.20990412071967501</v>
      </c>
      <c r="DQ92" s="359">
        <f t="shared" si="306"/>
        <v>0.19412731680029816</v>
      </c>
      <c r="DR92" s="359">
        <f>DR91/DM91-1</f>
        <v>0.1736530020703928</v>
      </c>
      <c r="DS92" s="243">
        <f>DS91/DN91-1</f>
        <v>0.17190763995787073</v>
      </c>
      <c r="DT92" s="359">
        <f>DT91/DO91-1</f>
        <v>0.24000440981919735</v>
      </c>
      <c r="DU92" s="359">
        <f t="shared" ref="DU92" si="307">DU91/DP91-1</f>
        <v>0.18265024349877845</v>
      </c>
      <c r="DV92" s="359">
        <f t="shared" si="305"/>
        <v>0.22528735632183916</v>
      </c>
      <c r="DW92" s="359">
        <f t="shared" si="305"/>
        <v>0.20948083334559753</v>
      </c>
      <c r="DX92" s="243">
        <f t="shared" si="305"/>
        <v>0.21330426825157778</v>
      </c>
      <c r="DY92" s="359">
        <f t="shared" si="305"/>
        <v>0.20379271552618294</v>
      </c>
      <c r="DZ92" s="359">
        <f t="shared" si="305"/>
        <v>0.21046874999999998</v>
      </c>
      <c r="EA92" s="359">
        <f t="shared" si="305"/>
        <v>0.19283536585365812</v>
      </c>
      <c r="EB92" s="359">
        <f t="shared" si="305"/>
        <v>0.17808680309430169</v>
      </c>
      <c r="EC92" s="243">
        <f t="shared" si="305"/>
        <v>0.19482333303022847</v>
      </c>
      <c r="ED92" s="359">
        <f t="shared" ref="ED92" si="308">ED91/DY91-1</f>
        <v>0.16190476190476177</v>
      </c>
      <c r="EE92" s="359">
        <f t="shared" ref="EE92" si="309">EE91/DZ91-1</f>
        <v>0.16065573770491781</v>
      </c>
      <c r="EF92" s="359">
        <f t="shared" ref="EF92" si="310">EF91/EA91-1</f>
        <v>0.16166134185303549</v>
      </c>
      <c r="EG92" s="359">
        <f t="shared" ref="EG92" si="311">EG91/EB91-1</f>
        <v>0.15795678434350968</v>
      </c>
      <c r="EH92" s="243">
        <f t="shared" ref="EH92" si="312">EH91/EC91-1</f>
        <v>0.16036535006235053</v>
      </c>
      <c r="EI92" s="359">
        <f t="shared" ref="EI92" si="313">EI91/ED91-1</f>
        <v>0.13647540983606565</v>
      </c>
      <c r="EJ92" s="359">
        <f t="shared" ref="EJ92" si="314">EJ91/EE91-1</f>
        <v>0.13516949152542379</v>
      </c>
      <c r="EK92" s="359">
        <f t="shared" ref="EK92" si="315">EK91/EF91-1</f>
        <v>0.13622112211221094</v>
      </c>
      <c r="EL92" s="359">
        <f t="shared" ref="EL92" si="316">EL91/EG91-1</f>
        <v>0.13233797749249931</v>
      </c>
      <c r="EM92" s="243">
        <f t="shared" ref="EM92" si="317">EM91/EH91-1</f>
        <v>0.13486547368530477</v>
      </c>
      <c r="EN92" s="359">
        <f t="shared" ref="EN92" si="318">EN91/EI91-1</f>
        <v>0.12067796610169479</v>
      </c>
      <c r="EO92" s="359">
        <f t="shared" ref="EO92" si="319">EO91/EJ91-1</f>
        <v>0.11929824561403501</v>
      </c>
      <c r="EP92" s="359">
        <f t="shared" ref="EP92" si="320">EP91/EK91-1</f>
        <v>0.12040955631399308</v>
      </c>
      <c r="EQ92" s="359">
        <f t="shared" ref="EQ92" si="321">EQ91/EL91-1</f>
        <v>0.1162957817432837</v>
      </c>
      <c r="ER92" s="243">
        <f t="shared" ref="ER92" si="322">ER91/EM91-1</f>
        <v>0.11897659096644908</v>
      </c>
    </row>
    <row r="93" spans="1:149" ht="12" customHeight="1">
      <c r="A93" s="934"/>
      <c r="B93" s="619"/>
      <c r="C93" s="642" t="s">
        <v>577</v>
      </c>
      <c r="D93" s="500"/>
      <c r="E93" s="501"/>
      <c r="F93" s="501"/>
      <c r="G93" s="501"/>
      <c r="H93" s="501"/>
      <c r="I93" s="502"/>
      <c r="J93" s="502"/>
      <c r="K93" s="502"/>
      <c r="L93" s="502"/>
      <c r="M93" s="501"/>
      <c r="N93" s="359"/>
      <c r="O93" s="359"/>
      <c r="P93" s="359"/>
      <c r="Q93" s="359"/>
      <c r="R93" s="501"/>
      <c r="S93" s="359"/>
      <c r="T93" s="359"/>
      <c r="U93" s="359"/>
      <c r="V93" s="359"/>
      <c r="W93" s="501"/>
      <c r="X93" s="359"/>
      <c r="Y93" s="359"/>
      <c r="Z93" s="359"/>
      <c r="AA93" s="359"/>
      <c r="AB93" s="501"/>
      <c r="AC93" s="359"/>
      <c r="AD93" s="359"/>
      <c r="AE93" s="359"/>
      <c r="AF93" s="359"/>
      <c r="AG93" s="501"/>
      <c r="AH93" s="359"/>
      <c r="AI93" s="359"/>
      <c r="AJ93" s="359"/>
      <c r="AK93" s="359"/>
      <c r="AL93" s="501"/>
      <c r="AM93" s="359"/>
      <c r="AN93" s="359"/>
      <c r="AO93" s="359"/>
      <c r="AP93" s="359"/>
      <c r="AQ93" s="501"/>
      <c r="AR93" s="359"/>
      <c r="AS93" s="359"/>
      <c r="AT93" s="359"/>
      <c r="AU93" s="359"/>
      <c r="AV93" s="501"/>
      <c r="AW93" s="359"/>
      <c r="AX93" s="359"/>
      <c r="AY93" s="359"/>
      <c r="AZ93" s="359"/>
      <c r="BA93" s="501"/>
      <c r="BB93" s="359"/>
      <c r="BC93" s="359"/>
      <c r="BD93" s="359"/>
      <c r="BE93" s="359"/>
      <c r="BF93" s="501"/>
      <c r="BG93" s="539"/>
      <c r="BH93" s="539"/>
      <c r="BI93" s="539"/>
      <c r="BJ93" s="539"/>
      <c r="BK93" s="501"/>
      <c r="BL93" s="359"/>
      <c r="BM93" s="359"/>
      <c r="BN93" s="359"/>
      <c r="BO93" s="359"/>
      <c r="BP93" s="501"/>
      <c r="BQ93" s="359"/>
      <c r="BR93" s="359"/>
      <c r="BS93" s="359"/>
      <c r="BT93" s="359"/>
      <c r="BU93" s="501"/>
      <c r="BV93" s="359"/>
      <c r="BW93" s="359"/>
      <c r="BX93" s="359"/>
      <c r="BY93" s="359"/>
      <c r="BZ93" s="243"/>
      <c r="CA93" s="359">
        <f t="shared" ref="CA93:DF93" si="323">CA91/CA63</f>
        <v>0.63182076671505571</v>
      </c>
      <c r="CB93" s="359">
        <f t="shared" si="323"/>
        <v>0.60717318916608687</v>
      </c>
      <c r="CC93" s="359">
        <f t="shared" si="323"/>
        <v>0.62361249012719755</v>
      </c>
      <c r="CD93" s="359">
        <f t="shared" si="323"/>
        <v>0.61</v>
      </c>
      <c r="CE93" s="243">
        <f t="shared" si="323"/>
        <v>0.61671890394482665</v>
      </c>
      <c r="CF93" s="359">
        <f t="shared" si="323"/>
        <v>0.63156404602274863</v>
      </c>
      <c r="CG93" s="359">
        <f t="shared" si="323"/>
        <v>0.58130195185493228</v>
      </c>
      <c r="CH93" s="359">
        <f t="shared" si="323"/>
        <v>0.58586941602090659</v>
      </c>
      <c r="CI93" s="359">
        <f t="shared" si="323"/>
        <v>0.58507395270718854</v>
      </c>
      <c r="CJ93" s="243">
        <f t="shared" si="323"/>
        <v>0.59342366013585224</v>
      </c>
      <c r="CK93" s="359">
        <f t="shared" si="323"/>
        <v>0.59421624202899082</v>
      </c>
      <c r="CL93" s="359">
        <f t="shared" si="323"/>
        <v>0.58061426889718626</v>
      </c>
      <c r="CM93" s="359">
        <f t="shared" si="323"/>
        <v>0.57830418909244996</v>
      </c>
      <c r="CN93" s="359">
        <f t="shared" si="323"/>
        <v>0.57139969614204189</v>
      </c>
      <c r="CO93" s="243">
        <f t="shared" si="323"/>
        <v>0.57959534785690081</v>
      </c>
      <c r="CP93" s="359">
        <f t="shared" si="323"/>
        <v>0.58082719675833572</v>
      </c>
      <c r="CQ93" s="359">
        <f t="shared" si="323"/>
        <v>0.55489810388585248</v>
      </c>
      <c r="CR93" s="359">
        <f t="shared" si="323"/>
        <v>0.54717696372774272</v>
      </c>
      <c r="CS93" s="359">
        <f t="shared" si="323"/>
        <v>0.5357234549156118</v>
      </c>
      <c r="CT93" s="243">
        <f t="shared" si="323"/>
        <v>0.55008125423832033</v>
      </c>
      <c r="CU93" s="359">
        <f t="shared" si="323"/>
        <v>0.53677530169449739</v>
      </c>
      <c r="CV93" s="359">
        <f t="shared" si="323"/>
        <v>0.51888176936609309</v>
      </c>
      <c r="CW93" s="359">
        <f t="shared" si="323"/>
        <v>0.50915835095115658</v>
      </c>
      <c r="CX93" s="359">
        <f t="shared" si="323"/>
        <v>0.48757375608066822</v>
      </c>
      <c r="CY93" s="243">
        <f t="shared" si="323"/>
        <v>0.5107258641838639</v>
      </c>
      <c r="CZ93" s="359">
        <f t="shared" si="323"/>
        <v>0.49074017489649058</v>
      </c>
      <c r="DA93" s="359">
        <f t="shared" si="323"/>
        <v>0.46851902655993982</v>
      </c>
      <c r="DB93" s="359">
        <f t="shared" si="323"/>
        <v>0.45887445887445888</v>
      </c>
      <c r="DC93" s="359">
        <f t="shared" si="323"/>
        <v>0.43934426229508194</v>
      </c>
      <c r="DD93" s="243">
        <f t="shared" si="323"/>
        <v>0.46210439533662051</v>
      </c>
      <c r="DE93" s="359">
        <f t="shared" si="323"/>
        <v>0.44556451612903225</v>
      </c>
      <c r="DF93" s="359">
        <f t="shared" si="323"/>
        <v>0.42363636363636364</v>
      </c>
      <c r="DG93" s="359">
        <f t="shared" ref="DG93:EC93" si="324">DG91/DG63</f>
        <v>0.41637010676156583</v>
      </c>
      <c r="DH93" s="359">
        <f t="shared" si="324"/>
        <v>0.40001331114808653</v>
      </c>
      <c r="DI93" s="243">
        <f t="shared" si="324"/>
        <v>0.41899332414962381</v>
      </c>
      <c r="DJ93" s="359">
        <f t="shared" si="324"/>
        <v>0.40451893846027442</v>
      </c>
      <c r="DK93" s="359">
        <f t="shared" si="324"/>
        <v>0.38434084318536693</v>
      </c>
      <c r="DL93" s="359">
        <f t="shared" si="324"/>
        <v>0.38463745248511799</v>
      </c>
      <c r="DM93" s="359">
        <f t="shared" si="324"/>
        <v>0.35792928223586701</v>
      </c>
      <c r="DN93" s="243">
        <f t="shared" si="324"/>
        <v>0.38007698229407239</v>
      </c>
      <c r="DO93" s="359">
        <f>DO91/DO63</f>
        <v>0.3640401337792642</v>
      </c>
      <c r="DP93" s="359">
        <f t="shared" ref="DP93:DQ93" si="325">DP91/DP63</f>
        <v>0.35600000000000004</v>
      </c>
      <c r="DQ93" s="359">
        <f t="shared" si="325"/>
        <v>0.34799999999999998</v>
      </c>
      <c r="DR93" s="359">
        <f>DR91/DR63</f>
        <v>0.32042060383879317</v>
      </c>
      <c r="DS93" s="243">
        <f>DS91/DS63</f>
        <v>0.34399999999999997</v>
      </c>
      <c r="DT93" s="359">
        <f>DT91/DT63</f>
        <v>0.33494138550569269</v>
      </c>
      <c r="DU93" s="359">
        <f t="shared" ref="DU93" si="326">DU91/DU63</f>
        <v>0.3199999999999999</v>
      </c>
      <c r="DV93" s="359">
        <f t="shared" si="324"/>
        <v>0.32800000000000001</v>
      </c>
      <c r="DW93" s="359">
        <f t="shared" si="324"/>
        <v>0.3004206038387931</v>
      </c>
      <c r="DX93" s="243">
        <f t="shared" si="324"/>
        <v>0.31865694263249</v>
      </c>
      <c r="DY93" s="359">
        <f t="shared" si="324"/>
        <v>0.31499999999999989</v>
      </c>
      <c r="DZ93" s="359">
        <f t="shared" si="324"/>
        <v>0.30499999999999988</v>
      </c>
      <c r="EA93" s="359">
        <f t="shared" si="324"/>
        <v>0.31299999999999989</v>
      </c>
      <c r="EB93" s="359">
        <f t="shared" si="324"/>
        <v>0.28542060383879309</v>
      </c>
      <c r="EC93" s="243">
        <f t="shared" si="324"/>
        <v>0.30276538379618867</v>
      </c>
      <c r="ED93" s="359">
        <f t="shared" ref="ED93:ER93" si="327">ED91/ED63</f>
        <v>0.30499999999999994</v>
      </c>
      <c r="EE93" s="359">
        <f t="shared" si="327"/>
        <v>0.29499999999999987</v>
      </c>
      <c r="EF93" s="359">
        <f t="shared" si="327"/>
        <v>0.30299999999999999</v>
      </c>
      <c r="EG93" s="359">
        <f t="shared" si="327"/>
        <v>0.27542060383879308</v>
      </c>
      <c r="EH93" s="243">
        <f t="shared" si="327"/>
        <v>0.29276538379618872</v>
      </c>
      <c r="EI93" s="359">
        <f t="shared" si="327"/>
        <v>0.29499999999999993</v>
      </c>
      <c r="EJ93" s="359">
        <f t="shared" si="327"/>
        <v>0.28499999999999992</v>
      </c>
      <c r="EK93" s="359">
        <f t="shared" si="327"/>
        <v>0.29299999999999993</v>
      </c>
      <c r="EL93" s="359">
        <f t="shared" si="327"/>
        <v>0.26542060383879307</v>
      </c>
      <c r="EM93" s="243">
        <f t="shared" si="327"/>
        <v>0.28276538379618871</v>
      </c>
      <c r="EN93" s="359">
        <f t="shared" si="327"/>
        <v>0.28499999999999986</v>
      </c>
      <c r="EO93" s="359">
        <f t="shared" si="327"/>
        <v>0.27499999999999991</v>
      </c>
      <c r="EP93" s="359">
        <f t="shared" si="327"/>
        <v>0.28299999999999992</v>
      </c>
      <c r="EQ93" s="359">
        <f t="shared" si="327"/>
        <v>0.25542060383879306</v>
      </c>
      <c r="ER93" s="243">
        <f t="shared" si="327"/>
        <v>0.27276538379618859</v>
      </c>
    </row>
    <row r="94" spans="1:149" ht="12" customHeight="1">
      <c r="A94" s="936"/>
      <c r="B94" s="499"/>
      <c r="C94" s="938" t="s">
        <v>315</v>
      </c>
      <c r="D94" s="643"/>
      <c r="E94" s="643"/>
      <c r="F94" s="643"/>
      <c r="G94" s="643"/>
      <c r="H94" s="643"/>
      <c r="I94" s="644"/>
      <c r="J94" s="644"/>
      <c r="K94" s="644"/>
      <c r="L94" s="644"/>
      <c r="M94" s="643"/>
      <c r="N94" s="644"/>
      <c r="O94" s="644"/>
      <c r="P94" s="644"/>
      <c r="Q94" s="644"/>
      <c r="R94" s="643"/>
      <c r="S94" s="644"/>
      <c r="T94" s="644"/>
      <c r="U94" s="644"/>
      <c r="V94" s="644"/>
      <c r="W94" s="643"/>
      <c r="X94" s="644"/>
      <c r="Y94" s="644"/>
      <c r="Z94" s="644"/>
      <c r="AA94" s="644"/>
      <c r="AB94" s="643"/>
      <c r="AC94" s="644"/>
      <c r="AD94" s="644"/>
      <c r="AE94" s="644"/>
      <c r="AF94" s="644"/>
      <c r="AG94" s="643"/>
      <c r="AH94" s="644"/>
      <c r="AI94" s="644"/>
      <c r="AJ94" s="644"/>
      <c r="AK94" s="644"/>
      <c r="AL94" s="643"/>
      <c r="AM94" s="644"/>
      <c r="AN94" s="644"/>
      <c r="AO94" s="644"/>
      <c r="AP94" s="644"/>
      <c r="AQ94" s="643"/>
      <c r="AR94" s="644"/>
      <c r="AS94" s="644"/>
      <c r="AT94" s="644"/>
      <c r="AU94" s="644"/>
      <c r="AV94" s="643"/>
      <c r="AW94" s="644"/>
      <c r="AX94" s="644"/>
      <c r="AY94" s="644"/>
      <c r="AZ94" s="644"/>
      <c r="BA94" s="643"/>
      <c r="BB94" s="644"/>
      <c r="BC94" s="644"/>
      <c r="BD94" s="644"/>
      <c r="BE94" s="644"/>
      <c r="BF94" s="643"/>
      <c r="BG94" s="654"/>
      <c r="BH94" s="654"/>
      <c r="BI94" s="654"/>
      <c r="BJ94" s="654"/>
      <c r="BK94" s="643"/>
      <c r="BL94" s="644"/>
      <c r="BM94" s="644"/>
      <c r="BN94" s="644"/>
      <c r="BO94" s="644"/>
      <c r="BP94" s="643"/>
      <c r="BQ94" s="581"/>
      <c r="BR94" s="581"/>
      <c r="BS94" s="581"/>
      <c r="BT94" s="581"/>
      <c r="BU94" s="582"/>
      <c r="BV94" s="581"/>
      <c r="BW94" s="581"/>
      <c r="BX94" s="581"/>
      <c r="BY94" s="581"/>
      <c r="BZ94" s="583"/>
      <c r="CA94" s="359">
        <f>+CA97/CA91</f>
        <v>7.241569776780153E-3</v>
      </c>
      <c r="CB94" s="627">
        <f>+CB97/CB91</f>
        <v>7.6424918708643949E-3</v>
      </c>
      <c r="CC94" s="627">
        <f>+CC97/CC91</f>
        <v>7.5471820196882236E-3</v>
      </c>
      <c r="CD94" s="627">
        <f>+CD97/CD91</f>
        <v>7.8338061979149158E-3</v>
      </c>
      <c r="CE94" s="243">
        <f>AVERAGE(CA94:CD94)</f>
        <v>7.566262466311922E-3</v>
      </c>
      <c r="CF94" s="627">
        <f>+CF97/CF91</f>
        <v>7.2724056205810432E-3</v>
      </c>
      <c r="CG94" s="627">
        <f>+CG97/CG91</f>
        <v>8.0890530032613431E-3</v>
      </c>
      <c r="CH94" s="627">
        <f>+CH97/CH91</f>
        <v>8.1726159531391156E-3</v>
      </c>
      <c r="CI94" s="627">
        <f>+CI97/CI91</f>
        <v>8.2038420082390165E-3</v>
      </c>
      <c r="CJ94" s="243">
        <f>AVERAGE(CF94:CI94)</f>
        <v>7.934479146305129E-3</v>
      </c>
      <c r="CK94" s="627">
        <f>+CK97/CK91</f>
        <v>7.6290906823751519E-3</v>
      </c>
      <c r="CL94" s="627">
        <f>+CL97/CL91</f>
        <v>7.8385430597486573E-3</v>
      </c>
      <c r="CM94" s="627">
        <f>+CM97/CM91</f>
        <v>7.8744176658565798E-3</v>
      </c>
      <c r="CN94" s="627">
        <f>+CN97/CN91</f>
        <v>8.194111840658205E-3</v>
      </c>
      <c r="CO94" s="243">
        <f>AVERAGE(CK94:CN94)</f>
        <v>7.8840408121596487E-3</v>
      </c>
      <c r="CP94" s="627">
        <f>+CP97/CP91</f>
        <v>7.8168848388552245E-3</v>
      </c>
      <c r="CQ94" s="627">
        <f>+CQ97/CQ91</f>
        <v>8.6806294418844705E-3</v>
      </c>
      <c r="CR94" s="627">
        <f>+CR97/CR91</f>
        <v>8.6419188096343615E-3</v>
      </c>
      <c r="CS94" s="627">
        <f>+CS97/CS91</f>
        <v>8.8716679142879194E-3</v>
      </c>
      <c r="CT94" s="243">
        <f>AVERAGE(CP94:CS94)</f>
        <v>8.5027752511654935E-3</v>
      </c>
      <c r="CU94" s="627">
        <f>+CU97/CU91</f>
        <v>8.6632487459648334E-3</v>
      </c>
      <c r="CV94" s="627">
        <f>+CV97/CV91</f>
        <v>9.3249267095505753E-3</v>
      </c>
      <c r="CW94" s="627">
        <f>+CW97/CW91</f>
        <v>9.6288901428013343E-3</v>
      </c>
      <c r="CX94" s="627">
        <f>+CX97/CX91</f>
        <v>1.0148978470635008E-2</v>
      </c>
      <c r="CY94" s="243">
        <f>AVERAGE(CU94:CX94)</f>
        <v>9.4415110172379382E-3</v>
      </c>
      <c r="CZ94" s="627">
        <f>+CZ97/CZ91</f>
        <v>9.9255503031327602E-3</v>
      </c>
      <c r="DA94" s="627">
        <f>+DA97/DA91</f>
        <v>1.0364903420781358E-2</v>
      </c>
      <c r="DB94" s="627">
        <f>+DB97/DB91</f>
        <v>1.143987051886792E-2</v>
      </c>
      <c r="DC94" s="627">
        <f>+DC97/DC91</f>
        <v>1.2201767910447758E-2</v>
      </c>
      <c r="DD94" s="243">
        <f>AVERAGE(CZ94:DC94)</f>
        <v>1.0983023038307449E-2</v>
      </c>
      <c r="DE94" s="627">
        <f>+DE97/DE91</f>
        <v>1.1973303167420813E-2</v>
      </c>
      <c r="DF94" s="627">
        <f>+DF97/DF91</f>
        <v>1.2607296137339056E-2</v>
      </c>
      <c r="DG94" s="627">
        <f>+DG97/DG91</f>
        <v>1.2332478632478631E-2</v>
      </c>
      <c r="DH94" s="627">
        <f>+DH97/DH91</f>
        <v>1.2660643572593257E-2</v>
      </c>
      <c r="DI94" s="243">
        <f>AVERAGE(DE94:DH94)</f>
        <v>1.2393430377457939E-2</v>
      </c>
      <c r="DJ94" s="627">
        <f>+DJ97/DJ91</f>
        <v>1.2613234756469107E-2</v>
      </c>
      <c r="DK94" s="627">
        <f>+DK97/DK91</f>
        <v>1.3188624492164827E-2</v>
      </c>
      <c r="DL94" s="627">
        <f>+DL97/DL91</f>
        <v>1.3311952265523027E-2</v>
      </c>
      <c r="DM94" s="627">
        <f>+DM97/DM91</f>
        <v>1.4598639455782313E-2</v>
      </c>
      <c r="DN94" s="243">
        <f>AVERAGE(DJ94:DM94)</f>
        <v>1.3428112742484819E-2</v>
      </c>
      <c r="DO94" s="627">
        <f>+DO97/DO91</f>
        <v>1.4387035131559605E-2</v>
      </c>
      <c r="DP94" s="627">
        <f>+DP97/DP91</f>
        <v>1.4563492413744404E-2</v>
      </c>
      <c r="DQ94" s="627">
        <f>+DQ97/DQ91</f>
        <v>1.507236421240327E-2</v>
      </c>
      <c r="DR94" s="627">
        <f>+DR97/DR91</f>
        <v>1.641520086787681E-2</v>
      </c>
      <c r="DS94" s="243">
        <f>AVERAGE(DO94:DR94)</f>
        <v>1.5109523156396023E-2</v>
      </c>
      <c r="DT94" s="627">
        <f>+DT97/DT91</f>
        <v>1.520433867765166E-2</v>
      </c>
      <c r="DU94" s="627">
        <f>+DU97/DU91</f>
        <v>1.6543974490987916E-2</v>
      </c>
      <c r="DV94" s="627">
        <f>+DQ94+DV95/10000</f>
        <v>1.537236421240327E-2</v>
      </c>
      <c r="DW94" s="627">
        <f>+DR94+DW95/10000</f>
        <v>1.6715200867876812E-2</v>
      </c>
      <c r="DX94" s="243">
        <f>AVERAGE(DT94:DW94)</f>
        <v>1.5958969562229912E-2</v>
      </c>
      <c r="DY94" s="627">
        <f>+DT94+DY95/10000</f>
        <v>1.550433867765166E-2</v>
      </c>
      <c r="DZ94" s="627">
        <f>+DU94+DZ95/10000</f>
        <v>1.6843974490987918E-2</v>
      </c>
      <c r="EA94" s="627">
        <f>+DV94+EA95/10000</f>
        <v>1.567236421240327E-2</v>
      </c>
      <c r="EB94" s="627">
        <f>+DW94+EB95/10000</f>
        <v>1.7015200867876813E-2</v>
      </c>
      <c r="EC94" s="243">
        <f>AVERAGE(DY94:EB94)</f>
        <v>1.6258969562229914E-2</v>
      </c>
      <c r="ED94" s="627">
        <f>+DY94+ED95/10000</f>
        <v>1.5804338677651662E-2</v>
      </c>
      <c r="EE94" s="627">
        <f>+DZ94+EE95/10000</f>
        <v>1.714397449098792E-2</v>
      </c>
      <c r="EF94" s="627">
        <f>+EA94+EF95/10000</f>
        <v>1.5972364212403271E-2</v>
      </c>
      <c r="EG94" s="627">
        <f>+EB94+EG95/10000</f>
        <v>1.7315200867876815E-2</v>
      </c>
      <c r="EH94" s="243">
        <f>AVERAGE(ED94:EG94)</f>
        <v>1.6558969562229915E-2</v>
      </c>
      <c r="EI94" s="627">
        <f>+ED94+EI95/10000</f>
        <v>1.6104338677651663E-2</v>
      </c>
      <c r="EJ94" s="627">
        <f>+EE94+EJ95/10000</f>
        <v>1.7443974490987921E-2</v>
      </c>
      <c r="EK94" s="627">
        <f>+EF94+EK95/10000</f>
        <v>1.6272364212403273E-2</v>
      </c>
      <c r="EL94" s="627">
        <f>+EG94+EL95/10000</f>
        <v>1.7615200867876817E-2</v>
      </c>
      <c r="EM94" s="243">
        <f>AVERAGE(EI94:EL94)</f>
        <v>1.6858969562229917E-2</v>
      </c>
      <c r="EN94" s="627">
        <f>+EI94+EN95/10000</f>
        <v>1.6404338677651665E-2</v>
      </c>
      <c r="EO94" s="627">
        <f>+EJ94+EO95/10000</f>
        <v>1.7743974490987923E-2</v>
      </c>
      <c r="EP94" s="627">
        <f>+EK94+EP95/10000</f>
        <v>1.6572364212403275E-2</v>
      </c>
      <c r="EQ94" s="627">
        <f>+EL94+EQ95/10000</f>
        <v>1.7915200867876818E-2</v>
      </c>
      <c r="ER94" s="243">
        <f>AVERAGE(EN94:EQ94)</f>
        <v>1.7158969562229918E-2</v>
      </c>
      <c r="ES94" s="1638" t="s">
        <v>616</v>
      </c>
    </row>
    <row r="95" spans="1:149" s="1070" customFormat="1" ht="12" customHeight="1">
      <c r="A95" s="935"/>
      <c r="B95" s="868"/>
      <c r="C95" s="939" t="s">
        <v>274</v>
      </c>
      <c r="D95" s="869"/>
      <c r="E95" s="869"/>
      <c r="F95" s="869"/>
      <c r="G95" s="869"/>
      <c r="H95" s="869"/>
      <c r="I95" s="870"/>
      <c r="J95" s="870"/>
      <c r="K95" s="870"/>
      <c r="L95" s="870"/>
      <c r="M95" s="869"/>
      <c r="N95" s="870"/>
      <c r="O95" s="870"/>
      <c r="P95" s="870"/>
      <c r="Q95" s="870"/>
      <c r="R95" s="869"/>
      <c r="S95" s="870"/>
      <c r="T95" s="870"/>
      <c r="U95" s="870"/>
      <c r="V95" s="870"/>
      <c r="W95" s="869"/>
      <c r="X95" s="870"/>
      <c r="Y95" s="870"/>
      <c r="Z95" s="870"/>
      <c r="AA95" s="870"/>
      <c r="AB95" s="869"/>
      <c r="AC95" s="870"/>
      <c r="AD95" s="870"/>
      <c r="AE95" s="870"/>
      <c r="AF95" s="870"/>
      <c r="AG95" s="869"/>
      <c r="AH95" s="870"/>
      <c r="AI95" s="870"/>
      <c r="AJ95" s="870"/>
      <c r="AK95" s="870"/>
      <c r="AL95" s="869"/>
      <c r="AM95" s="870"/>
      <c r="AN95" s="870"/>
      <c r="AO95" s="870"/>
      <c r="AP95" s="870"/>
      <c r="AQ95" s="869"/>
      <c r="AR95" s="870"/>
      <c r="AS95" s="870"/>
      <c r="AT95" s="870"/>
      <c r="AU95" s="870"/>
      <c r="AV95" s="869"/>
      <c r="AW95" s="870"/>
      <c r="AX95" s="870"/>
      <c r="AY95" s="870"/>
      <c r="AZ95" s="870"/>
      <c r="BA95" s="869"/>
      <c r="BB95" s="870"/>
      <c r="BC95" s="870"/>
      <c r="BD95" s="870"/>
      <c r="BE95" s="870"/>
      <c r="BF95" s="869"/>
      <c r="BG95" s="871"/>
      <c r="BH95" s="871"/>
      <c r="BI95" s="871"/>
      <c r="BJ95" s="871"/>
      <c r="BK95" s="869"/>
      <c r="BL95" s="870"/>
      <c r="BM95" s="870"/>
      <c r="BN95" s="870"/>
      <c r="BO95" s="870"/>
      <c r="BP95" s="869"/>
      <c r="BQ95" s="870"/>
      <c r="BR95" s="870"/>
      <c r="BS95" s="870"/>
      <c r="BT95" s="870"/>
      <c r="BU95" s="869"/>
      <c r="BV95" s="870"/>
      <c r="BW95" s="870"/>
      <c r="BX95" s="870"/>
      <c r="BY95" s="870"/>
      <c r="BZ95" s="872"/>
      <c r="CA95" s="873"/>
      <c r="CB95" s="870">
        <f>(CB94-CA94)*10000</f>
        <v>4.0092209408424191</v>
      </c>
      <c r="CC95" s="870">
        <f>(CC94-CB94)*10000</f>
        <v>-0.95309851176171234</v>
      </c>
      <c r="CD95" s="870">
        <f>(CD94-CC94)*10000</f>
        <v>2.8662417822669215</v>
      </c>
      <c r="CE95" s="869"/>
      <c r="CF95" s="873"/>
      <c r="CG95" s="870">
        <f>(CG94-CF94)*10000</f>
        <v>8.1664738268029993</v>
      </c>
      <c r="CH95" s="870">
        <f>(CH94-CG94)*10000</f>
        <v>0.83562949877772486</v>
      </c>
      <c r="CI95" s="870">
        <f>(CI94-CH94)*10000</f>
        <v>0.31226055099900851</v>
      </c>
      <c r="CJ95" s="869"/>
      <c r="CK95" s="873"/>
      <c r="CL95" s="870">
        <f>(CL94-CK94)*10000</f>
        <v>2.0945237737350544</v>
      </c>
      <c r="CM95" s="870">
        <f>(CM94-CL94)*10000</f>
        <v>0.35874606107922508</v>
      </c>
      <c r="CN95" s="870">
        <f>(CN94-CM94)*10000</f>
        <v>3.1969417480162514</v>
      </c>
      <c r="CO95" s="869"/>
      <c r="CP95" s="870">
        <f>(CP94-CN94)*10000</f>
        <v>-3.7722700180298046</v>
      </c>
      <c r="CQ95" s="870">
        <f>(CQ94-CP94)*10000</f>
        <v>8.6374460302924589</v>
      </c>
      <c r="CR95" s="870">
        <f>(CR94-CQ94)*10000</f>
        <v>-0.38710632250109001</v>
      </c>
      <c r="CS95" s="870">
        <f>(CS94-CR94)*10000</f>
        <v>2.2974910465355798</v>
      </c>
      <c r="CT95" s="872"/>
      <c r="CU95" s="870">
        <f>(CU94-CS94)*10000</f>
        <v>-2.08419168323086</v>
      </c>
      <c r="CV95" s="870">
        <f>(CV94-CU94)*10000</f>
        <v>6.6167796358574185</v>
      </c>
      <c r="CW95" s="870">
        <f>(CW94-CV94)*10000</f>
        <v>3.0396343325075903</v>
      </c>
      <c r="CX95" s="870">
        <f>(CX94-CW94)*10000</f>
        <v>5.2008832783367351</v>
      </c>
      <c r="CY95" s="872"/>
      <c r="CZ95" s="870">
        <f>(CZ94-CX94)*10000</f>
        <v>-2.2342816750224768</v>
      </c>
      <c r="DA95" s="870">
        <f>(DA94-CZ94)*10000</f>
        <v>4.3935311764859746</v>
      </c>
      <c r="DB95" s="870">
        <f>(DB94-DA94)*10000</f>
        <v>10.749670980865627</v>
      </c>
      <c r="DC95" s="870">
        <f>(DC94-DB94)*10000</f>
        <v>7.6189739157983727</v>
      </c>
      <c r="DD95" s="874"/>
      <c r="DE95" s="870">
        <f>(DE94-DC94)*10000</f>
        <v>-2.2846474302694495</v>
      </c>
      <c r="DF95" s="870">
        <f>(DF94-DE94)*10000</f>
        <v>6.3399296991824281</v>
      </c>
      <c r="DG95" s="870">
        <f>(DG94-DF94)*10000</f>
        <v>-2.748175048604244</v>
      </c>
      <c r="DH95" s="870">
        <f>(DH94-DG94)*10000</f>
        <v>3.281649401146256</v>
      </c>
      <c r="DI95" s="874"/>
      <c r="DJ95" s="870">
        <f>(DJ94-DI94)*10000</f>
        <v>2.1980437901116847</v>
      </c>
      <c r="DK95" s="870">
        <f>(DK94-DJ94)*10000</f>
        <v>5.7538973569572045</v>
      </c>
      <c r="DL95" s="870">
        <f>(DL94-DK94)*10000</f>
        <v>1.2332777335819987</v>
      </c>
      <c r="DM95" s="870">
        <f>(DM94-DL94)*10000</f>
        <v>12.866871902592857</v>
      </c>
      <c r="DN95" s="874"/>
      <c r="DO95" s="965">
        <f>(DO94-DN94)*10000</f>
        <v>9.5892238907478546</v>
      </c>
      <c r="DP95" s="870">
        <f>(DP94-DO94)*10000</f>
        <v>1.7645728218479948</v>
      </c>
      <c r="DQ95" s="870">
        <f>(DQ94-DP94)*10000</f>
        <v>5.0887179865886578</v>
      </c>
      <c r="DR95" s="870">
        <f>(DR94-DQ94)*10000</f>
        <v>13.428366554735401</v>
      </c>
      <c r="DS95" s="874"/>
      <c r="DT95" s="965">
        <f>(DT94-DS94)*10000</f>
        <v>0.94815521255637436</v>
      </c>
      <c r="DU95" s="870">
        <f>(DU94-DT94)*10000</f>
        <v>13.396358133362565</v>
      </c>
      <c r="DV95" s="875">
        <v>3</v>
      </c>
      <c r="DW95" s="875">
        <v>3</v>
      </c>
      <c r="DX95" s="874"/>
      <c r="DY95" s="875">
        <v>3</v>
      </c>
      <c r="DZ95" s="875">
        <v>3</v>
      </c>
      <c r="EA95" s="875">
        <v>3</v>
      </c>
      <c r="EB95" s="875">
        <v>3</v>
      </c>
      <c r="EC95" s="874"/>
      <c r="ED95" s="875">
        <v>3</v>
      </c>
      <c r="EE95" s="875">
        <v>3</v>
      </c>
      <c r="EF95" s="875">
        <v>3</v>
      </c>
      <c r="EG95" s="875">
        <v>3</v>
      </c>
      <c r="EH95" s="874"/>
      <c r="EI95" s="875">
        <v>3</v>
      </c>
      <c r="EJ95" s="875">
        <v>3</v>
      </c>
      <c r="EK95" s="875">
        <v>3</v>
      </c>
      <c r="EL95" s="875">
        <v>3</v>
      </c>
      <c r="EM95" s="874"/>
      <c r="EN95" s="875">
        <v>3</v>
      </c>
      <c r="EO95" s="875">
        <v>3</v>
      </c>
      <c r="EP95" s="875">
        <v>3</v>
      </c>
      <c r="EQ95" s="875">
        <v>3</v>
      </c>
      <c r="ER95" s="874"/>
      <c r="ES95" s="868"/>
    </row>
    <row r="96" spans="1:149" s="1070" customFormat="1" ht="12" customHeight="1">
      <c r="A96" s="935"/>
      <c r="B96" s="868"/>
      <c r="C96" s="939" t="s">
        <v>273</v>
      </c>
      <c r="D96" s="869"/>
      <c r="E96" s="869"/>
      <c r="F96" s="869"/>
      <c r="G96" s="869"/>
      <c r="H96" s="869"/>
      <c r="I96" s="870"/>
      <c r="J96" s="870"/>
      <c r="K96" s="870"/>
      <c r="L96" s="870"/>
      <c r="M96" s="869"/>
      <c r="N96" s="870"/>
      <c r="O96" s="870"/>
      <c r="P96" s="870"/>
      <c r="Q96" s="870"/>
      <c r="R96" s="869"/>
      <c r="S96" s="870"/>
      <c r="T96" s="870"/>
      <c r="U96" s="870"/>
      <c r="V96" s="870"/>
      <c r="W96" s="869"/>
      <c r="X96" s="870"/>
      <c r="Y96" s="870"/>
      <c r="Z96" s="870"/>
      <c r="AA96" s="870"/>
      <c r="AB96" s="869"/>
      <c r="AC96" s="870"/>
      <c r="AD96" s="870"/>
      <c r="AE96" s="870"/>
      <c r="AF96" s="870"/>
      <c r="AG96" s="869"/>
      <c r="AH96" s="870"/>
      <c r="AI96" s="870"/>
      <c r="AJ96" s="870"/>
      <c r="AK96" s="870"/>
      <c r="AL96" s="869"/>
      <c r="AM96" s="870"/>
      <c r="AN96" s="870"/>
      <c r="AO96" s="870"/>
      <c r="AP96" s="870"/>
      <c r="AQ96" s="869"/>
      <c r="AR96" s="870"/>
      <c r="AS96" s="870"/>
      <c r="AT96" s="870"/>
      <c r="AU96" s="870"/>
      <c r="AV96" s="869"/>
      <c r="AW96" s="870"/>
      <c r="AX96" s="870"/>
      <c r="AY96" s="870"/>
      <c r="AZ96" s="870"/>
      <c r="BA96" s="869"/>
      <c r="BB96" s="870"/>
      <c r="BC96" s="870"/>
      <c r="BD96" s="870"/>
      <c r="BE96" s="870"/>
      <c r="BF96" s="869"/>
      <c r="BG96" s="871"/>
      <c r="BH96" s="871"/>
      <c r="BI96" s="871"/>
      <c r="BJ96" s="871"/>
      <c r="BK96" s="869"/>
      <c r="BL96" s="870"/>
      <c r="BM96" s="870"/>
      <c r="BN96" s="870"/>
      <c r="BO96" s="870"/>
      <c r="BP96" s="869"/>
      <c r="BQ96" s="870"/>
      <c r="BR96" s="870"/>
      <c r="BS96" s="870"/>
      <c r="BT96" s="870"/>
      <c r="BU96" s="869"/>
      <c r="BV96" s="870"/>
      <c r="BW96" s="870"/>
      <c r="BX96" s="870"/>
      <c r="BY96" s="870"/>
      <c r="BZ96" s="872"/>
      <c r="CA96" s="873"/>
      <c r="CB96" s="873"/>
      <c r="CC96" s="873"/>
      <c r="CD96" s="873"/>
      <c r="CE96" s="872"/>
      <c r="CF96" s="873"/>
      <c r="CG96" s="873"/>
      <c r="CH96" s="873"/>
      <c r="CI96" s="873"/>
      <c r="CJ96" s="872"/>
      <c r="CK96" s="873"/>
      <c r="CL96" s="873"/>
      <c r="CM96" s="873"/>
      <c r="CN96" s="873"/>
      <c r="CO96" s="872"/>
      <c r="CP96" s="870">
        <f t="shared" ref="CP96:EC96" si="328">(CP94-CK94)</f>
        <v>1.8779415648007263E-4</v>
      </c>
      <c r="CQ96" s="870">
        <f t="shared" si="328"/>
        <v>8.4208638213581315E-4</v>
      </c>
      <c r="CR96" s="870">
        <f t="shared" si="328"/>
        <v>7.6750114377778164E-4</v>
      </c>
      <c r="CS96" s="870">
        <f t="shared" si="328"/>
        <v>6.7755607362971447E-4</v>
      </c>
      <c r="CT96" s="869">
        <f t="shared" si="328"/>
        <v>6.1873443900584482E-4</v>
      </c>
      <c r="CU96" s="870">
        <f t="shared" si="328"/>
        <v>8.4636390710960893E-4</v>
      </c>
      <c r="CV96" s="870">
        <f t="shared" si="328"/>
        <v>6.4429726766610483E-4</v>
      </c>
      <c r="CW96" s="870">
        <f t="shared" si="328"/>
        <v>9.8697133316697286E-4</v>
      </c>
      <c r="CX96" s="870">
        <f t="shared" si="328"/>
        <v>1.2773105563470884E-3</v>
      </c>
      <c r="CY96" s="869">
        <f t="shared" si="328"/>
        <v>9.3873576607244463E-4</v>
      </c>
      <c r="CZ96" s="870">
        <f t="shared" si="328"/>
        <v>1.2623015571679268E-3</v>
      </c>
      <c r="DA96" s="870">
        <f t="shared" si="328"/>
        <v>1.0399767112307823E-3</v>
      </c>
      <c r="DB96" s="870">
        <f t="shared" si="328"/>
        <v>1.8109803760665861E-3</v>
      </c>
      <c r="DC96" s="870">
        <f t="shared" si="328"/>
        <v>2.0527894398127498E-3</v>
      </c>
      <c r="DD96" s="869">
        <f t="shared" si="328"/>
        <v>1.5415120210695108E-3</v>
      </c>
      <c r="DE96" s="870">
        <f t="shared" si="328"/>
        <v>2.0477528642880525E-3</v>
      </c>
      <c r="DF96" s="870">
        <f t="shared" si="328"/>
        <v>2.2423927165576979E-3</v>
      </c>
      <c r="DG96" s="870">
        <f t="shared" si="328"/>
        <v>8.9260811361071071E-4</v>
      </c>
      <c r="DH96" s="870">
        <f t="shared" si="328"/>
        <v>4.588756621454991E-4</v>
      </c>
      <c r="DI96" s="869">
        <f t="shared" si="328"/>
        <v>1.4104073391504896E-3</v>
      </c>
      <c r="DJ96" s="870">
        <f t="shared" si="328"/>
        <v>6.3993158904829435E-4</v>
      </c>
      <c r="DK96" s="870">
        <f t="shared" si="328"/>
        <v>5.8132835482577194E-4</v>
      </c>
      <c r="DL96" s="870">
        <f t="shared" si="328"/>
        <v>9.7947363304439622E-4</v>
      </c>
      <c r="DM96" s="870">
        <f t="shared" si="328"/>
        <v>1.9379958831890563E-3</v>
      </c>
      <c r="DN96" s="869">
        <f t="shared" si="328"/>
        <v>1.0346823650268806E-3</v>
      </c>
      <c r="DO96" s="870">
        <f>(DO94-DJ94)</f>
        <v>1.7738003750904976E-3</v>
      </c>
      <c r="DP96" s="870">
        <f t="shared" si="328"/>
        <v>1.3748679215795766E-3</v>
      </c>
      <c r="DQ96" s="870">
        <f t="shared" si="328"/>
        <v>1.7604119468802425E-3</v>
      </c>
      <c r="DR96" s="870">
        <f>(DR94-DM94)</f>
        <v>1.8165614120944969E-3</v>
      </c>
      <c r="DS96" s="869">
        <f>(DS94-DN94)</f>
        <v>1.6814104139112034E-3</v>
      </c>
      <c r="DT96" s="870">
        <f>(DT94-DO94)</f>
        <v>8.1730354609205538E-4</v>
      </c>
      <c r="DU96" s="870">
        <f t="shared" si="328"/>
        <v>1.9804820772435124E-3</v>
      </c>
      <c r="DV96" s="870">
        <f t="shared" si="328"/>
        <v>2.9999999999999992E-4</v>
      </c>
      <c r="DW96" s="870">
        <f t="shared" si="328"/>
        <v>3.0000000000000165E-4</v>
      </c>
      <c r="DX96" s="869">
        <f t="shared" si="328"/>
        <v>8.4944640583388929E-4</v>
      </c>
      <c r="DY96" s="870">
        <f t="shared" si="328"/>
        <v>2.9999999999999992E-4</v>
      </c>
      <c r="DZ96" s="870">
        <f t="shared" si="328"/>
        <v>3.0000000000000165E-4</v>
      </c>
      <c r="EA96" s="870">
        <f t="shared" si="328"/>
        <v>2.9999999999999992E-4</v>
      </c>
      <c r="EB96" s="870">
        <f t="shared" si="328"/>
        <v>3.0000000000000165E-4</v>
      </c>
      <c r="EC96" s="869">
        <f t="shared" si="328"/>
        <v>3.0000000000000165E-4</v>
      </c>
      <c r="ED96" s="870">
        <f t="shared" ref="ED96" si="329">(ED94-DY94)</f>
        <v>3.0000000000000165E-4</v>
      </c>
      <c r="EE96" s="870">
        <f t="shared" ref="EE96" si="330">(EE94-DZ94)</f>
        <v>3.0000000000000165E-4</v>
      </c>
      <c r="EF96" s="870">
        <f t="shared" ref="EF96" si="331">(EF94-EA94)</f>
        <v>3.0000000000000165E-4</v>
      </c>
      <c r="EG96" s="870">
        <f t="shared" ref="EG96" si="332">(EG94-EB94)</f>
        <v>3.0000000000000165E-4</v>
      </c>
      <c r="EH96" s="869">
        <f t="shared" ref="EH96" si="333">(EH94-EC94)</f>
        <v>3.0000000000000165E-4</v>
      </c>
      <c r="EI96" s="870">
        <f t="shared" ref="EI96" si="334">(EI94-ED94)</f>
        <v>3.0000000000000165E-4</v>
      </c>
      <c r="EJ96" s="870">
        <f t="shared" ref="EJ96" si="335">(EJ94-EE94)</f>
        <v>3.0000000000000165E-4</v>
      </c>
      <c r="EK96" s="870">
        <f t="shared" ref="EK96" si="336">(EK94-EF94)</f>
        <v>3.0000000000000165E-4</v>
      </c>
      <c r="EL96" s="870">
        <f t="shared" ref="EL96" si="337">(EL94-EG94)</f>
        <v>3.0000000000000165E-4</v>
      </c>
      <c r="EM96" s="869">
        <f t="shared" ref="EM96" si="338">(EM94-EH94)</f>
        <v>3.0000000000000165E-4</v>
      </c>
      <c r="EN96" s="870">
        <f t="shared" ref="EN96" si="339">(EN94-EI94)</f>
        <v>3.0000000000000165E-4</v>
      </c>
      <c r="EO96" s="870">
        <f t="shared" ref="EO96" si="340">(EO94-EJ94)</f>
        <v>3.0000000000000165E-4</v>
      </c>
      <c r="EP96" s="870">
        <f t="shared" ref="EP96" si="341">(EP94-EK94)</f>
        <v>3.0000000000000165E-4</v>
      </c>
      <c r="EQ96" s="870">
        <f t="shared" ref="EQ96" si="342">(EQ94-EL94)</f>
        <v>3.0000000000000165E-4</v>
      </c>
      <c r="ER96" s="869">
        <f t="shared" ref="ER96" si="343">(ER94-EM94)</f>
        <v>3.0000000000000165E-4</v>
      </c>
      <c r="ES96" s="868"/>
    </row>
    <row r="97" spans="1:149" ht="12" customHeight="1">
      <c r="A97" s="932"/>
      <c r="B97" s="89"/>
      <c r="C97" s="653" t="s">
        <v>590</v>
      </c>
      <c r="D97" s="500"/>
      <c r="E97" s="643"/>
      <c r="F97" s="643"/>
      <c r="G97" s="643"/>
      <c r="H97" s="643"/>
      <c r="I97" s="502"/>
      <c r="J97" s="502"/>
      <c r="K97" s="502"/>
      <c r="L97" s="502"/>
      <c r="M97" s="643"/>
      <c r="N97" s="644"/>
      <c r="O97" s="644"/>
      <c r="P97" s="644"/>
      <c r="Q97" s="644"/>
      <c r="R97" s="643"/>
      <c r="S97" s="644"/>
      <c r="T97" s="644"/>
      <c r="U97" s="644"/>
      <c r="V97" s="644"/>
      <c r="W97" s="643"/>
      <c r="X97" s="644"/>
      <c r="Y97" s="644"/>
      <c r="Z97" s="644"/>
      <c r="AA97" s="644"/>
      <c r="AB97" s="643"/>
      <c r="AC97" s="644"/>
      <c r="AD97" s="644"/>
      <c r="AE97" s="644"/>
      <c r="AF97" s="644"/>
      <c r="AG97" s="643"/>
      <c r="AH97" s="644"/>
      <c r="AI97" s="644"/>
      <c r="AJ97" s="644"/>
      <c r="AK97" s="644"/>
      <c r="AL97" s="643"/>
      <c r="AM97" s="644"/>
      <c r="AN97" s="644"/>
      <c r="AO97" s="644"/>
      <c r="AP97" s="644"/>
      <c r="AQ97" s="643"/>
      <c r="AR97" s="644"/>
      <c r="AS97" s="644"/>
      <c r="AT97" s="644"/>
      <c r="AU97" s="644"/>
      <c r="AV97" s="643"/>
      <c r="AW97" s="644"/>
      <c r="AX97" s="644"/>
      <c r="AY97" s="644"/>
      <c r="AZ97" s="644"/>
      <c r="BA97" s="643"/>
      <c r="BB97" s="644"/>
      <c r="BC97" s="644"/>
      <c r="BD97" s="644"/>
      <c r="BE97" s="644"/>
      <c r="BF97" s="643"/>
      <c r="BG97" s="654"/>
      <c r="BH97" s="654"/>
      <c r="BI97" s="654"/>
      <c r="BJ97" s="654"/>
      <c r="BK97" s="643"/>
      <c r="BL97" s="644"/>
      <c r="BM97" s="644"/>
      <c r="BN97" s="644"/>
      <c r="BO97" s="644"/>
      <c r="BP97" s="643"/>
      <c r="BQ97" s="644"/>
      <c r="BR97" s="644"/>
      <c r="BS97" s="644"/>
      <c r="BT97" s="644"/>
      <c r="BU97" s="643"/>
      <c r="BV97" s="644"/>
      <c r="BW97" s="644"/>
      <c r="BX97" s="644"/>
      <c r="BY97" s="644"/>
      <c r="BZ97" s="655"/>
      <c r="CA97" s="1039">
        <f>+CA98*CA73</f>
        <v>22.201660000000004</v>
      </c>
      <c r="CB97" s="1039">
        <f>+CB98*CB73</f>
        <v>27.219380000000001</v>
      </c>
      <c r="CC97" s="1039">
        <f>+CC98*CC73</f>
        <v>30.267140000000001</v>
      </c>
      <c r="CD97" s="1039">
        <f>+CD98*CD73</f>
        <v>43.824639999999995</v>
      </c>
      <c r="CE97" s="1037">
        <f>SUM(CA97:CD97)</f>
        <v>123.51282</v>
      </c>
      <c r="CF97" s="1044">
        <f>+CF98*CF73</f>
        <v>36.525439999999996</v>
      </c>
      <c r="CG97" s="1044">
        <f>+CG98*CG73</f>
        <v>42.957439999999998</v>
      </c>
      <c r="CH97" s="1044">
        <f>+CH98*CH73</f>
        <v>47.855040000000002</v>
      </c>
      <c r="CI97" s="1044">
        <f>+CI98*CI73</f>
        <v>67.296639999999996</v>
      </c>
      <c r="CJ97" s="1045">
        <f>SUM(CF97:CI97)</f>
        <v>194.63455999999999</v>
      </c>
      <c r="CK97" s="1044">
        <f>+CK98*CK73</f>
        <v>54.009300000000003</v>
      </c>
      <c r="CL97" s="1044">
        <f>+CL98*CL73</f>
        <v>62.679599999999994</v>
      </c>
      <c r="CM97" s="1044">
        <f>+CM98*CM73</f>
        <v>67.492499999999993</v>
      </c>
      <c r="CN97" s="1044">
        <f>+CN98*CN73</f>
        <v>96.598200000000006</v>
      </c>
      <c r="CO97" s="1045">
        <f>SUM(CK97:CN97)</f>
        <v>280.77960000000002</v>
      </c>
      <c r="CP97" s="1044">
        <f>+CP98*CP73</f>
        <v>79.069759999999988</v>
      </c>
      <c r="CQ97" s="1044">
        <f>+CQ98*CQ73</f>
        <v>145.01396</v>
      </c>
      <c r="CR97" s="1044">
        <f>+CR98*CR73</f>
        <v>146.19667999999999</v>
      </c>
      <c r="CS97" s="1044">
        <f>+CS98*CS73</f>
        <v>195.52511999999996</v>
      </c>
      <c r="CT97" s="1045">
        <f>SUM(CP97:CS97)</f>
        <v>565.80551999999989</v>
      </c>
      <c r="CU97" s="1044">
        <f>+CU98*CU73</f>
        <v>173.67115999999996</v>
      </c>
      <c r="CV97" s="1044">
        <f>+CV98*CV73</f>
        <v>204.15407999999996</v>
      </c>
      <c r="CW97" s="1044">
        <f>+CW98*CW73</f>
        <v>204.75831999999997</v>
      </c>
      <c r="CX97" s="1044">
        <f>+CX98*CX73</f>
        <v>267.49215999999996</v>
      </c>
      <c r="CY97" s="1045">
        <f>SUM(CU97:CX97)</f>
        <v>850.07571999999982</v>
      </c>
      <c r="CZ97" s="1044">
        <f>+CZ98*CZ73</f>
        <v>210.42118999999994</v>
      </c>
      <c r="DA97" s="1044">
        <f>+DA98*DA73</f>
        <v>227.51189999999994</v>
      </c>
      <c r="DB97" s="1044">
        <f>+DB98*DB73</f>
        <v>242.52525499999993</v>
      </c>
      <c r="DC97" s="1044">
        <f>+DC98*DC73</f>
        <v>327.0073799999999</v>
      </c>
      <c r="DD97" s="1045">
        <f>SUM(CZ97:DC97)</f>
        <v>1007.4657249999997</v>
      </c>
      <c r="DE97" s="1044">
        <f>+DE98*DE73</f>
        <v>264.60999999999996</v>
      </c>
      <c r="DF97" s="1044">
        <f>+DF98*DF73</f>
        <v>293.75</v>
      </c>
      <c r="DG97" s="1044">
        <f>+DG98*DG73</f>
        <v>288.58</v>
      </c>
      <c r="DH97" s="1044">
        <f>+DH98*DH73</f>
        <v>380.46499999999997</v>
      </c>
      <c r="DI97" s="1045">
        <f>SUM(DE97:DH97)</f>
        <v>1227.4049999999997</v>
      </c>
      <c r="DJ97" s="1044">
        <f>+DJ98*DJ73</f>
        <v>310.5</v>
      </c>
      <c r="DK97" s="1044">
        <f>+DK98*DK73</f>
        <v>340.85999999999996</v>
      </c>
      <c r="DL97" s="1044">
        <f>+DL98*DL73</f>
        <v>356.96</v>
      </c>
      <c r="DM97" s="1044">
        <f>+DM98*DM73</f>
        <v>493.58</v>
      </c>
      <c r="DN97" s="1045">
        <f>SUM(DJ97:DM97)</f>
        <v>1501.8999999999999</v>
      </c>
      <c r="DO97" s="1044">
        <f>+DO98*DO73</f>
        <v>391.49999999999994</v>
      </c>
      <c r="DP97" s="1044">
        <f>+DP98*DP73</f>
        <v>455.4</v>
      </c>
      <c r="DQ97" s="1044">
        <f>+DQ98*DQ73</f>
        <v>482.62499999999994</v>
      </c>
      <c r="DR97" s="1044">
        <f>+DR98*DR73</f>
        <v>651.37499999999989</v>
      </c>
      <c r="DS97" s="1045">
        <f>SUM(DO97:DR97)</f>
        <v>1980.8999999999996</v>
      </c>
      <c r="DT97" s="1044">
        <f>+DT98*DT73</f>
        <v>513.04</v>
      </c>
      <c r="DU97" s="1044">
        <f>+DU98*DU73</f>
        <v>611.81999999999994</v>
      </c>
      <c r="DV97" s="1044">
        <f>+DV94*DV91</f>
        <v>603.12461330482768</v>
      </c>
      <c r="DW97" s="1044">
        <f>+DW94*DW91</f>
        <v>802.22367597648861</v>
      </c>
      <c r="DX97" s="1045">
        <f>SUM(DT97:DW97)</f>
        <v>2530.2082892813164</v>
      </c>
      <c r="DY97" s="1044">
        <f>+DY94*DY91</f>
        <v>629.77968805355283</v>
      </c>
      <c r="DZ97" s="1044">
        <f>+DZ94*DZ91</f>
        <v>754.01845386000002</v>
      </c>
      <c r="EA97" s="1044">
        <f>+EA94*EA91</f>
        <v>733.46840240431015</v>
      </c>
      <c r="EB97" s="1044">
        <f>+EB94*EB91</f>
        <v>962.05133522494054</v>
      </c>
      <c r="EC97" s="1045">
        <f>SUM(DY97:EB97)</f>
        <v>3079.3178795428034</v>
      </c>
      <c r="ED97" s="1044">
        <f>+ED94*ED91</f>
        <v>745.90284269231859</v>
      </c>
      <c r="EE97" s="1044">
        <f>+EE94*EE91</f>
        <v>890.74282836600003</v>
      </c>
      <c r="EF97" s="1044">
        <f>+EF94*EF91</f>
        <v>868.35165285879316</v>
      </c>
      <c r="EG97" s="1044">
        <f>+EG94*EG91</f>
        <v>1133.6553759941801</v>
      </c>
      <c r="EH97" s="1045">
        <f>SUM(ED97:EG97)</f>
        <v>3638.6526999112921</v>
      </c>
      <c r="EI97" s="1044">
        <f>+EI94*EI91</f>
        <v>863.79139437303922</v>
      </c>
      <c r="EJ97" s="1044">
        <f>+EJ94*EJ91</f>
        <v>1028.8379517561002</v>
      </c>
      <c r="EK97" s="1044">
        <f>+EK94*EK91</f>
        <v>1005.1709881105862</v>
      </c>
      <c r="EL97" s="1044">
        <f>+EL94*EL91</f>
        <v>1305.9218582211013</v>
      </c>
      <c r="EM97" s="1045">
        <f>SUM(EI97:EL97)</f>
        <v>4203.7221924608266</v>
      </c>
      <c r="EN97" s="1044">
        <f>+EN94*EN91</f>
        <v>986.06498642967665</v>
      </c>
      <c r="EO97" s="1044">
        <f>+EO94*EO91</f>
        <v>1171.3812300560703</v>
      </c>
      <c r="EP97" s="1044">
        <f>+EP94*EP91</f>
        <v>1146.9660490577248</v>
      </c>
      <c r="EQ97" s="1044">
        <f>+EQ94*EQ91</f>
        <v>1482.6223980631423</v>
      </c>
      <c r="ER97" s="1045">
        <f>SUM(EN97:EQ97)</f>
        <v>4787.0346636066142</v>
      </c>
      <c r="ES97" s="499"/>
    </row>
    <row r="98" spans="1:149" ht="12" customHeight="1">
      <c r="A98" s="931"/>
      <c r="B98" s="484"/>
      <c r="C98" s="642" t="s">
        <v>314</v>
      </c>
      <c r="D98" s="500"/>
      <c r="E98" s="501"/>
      <c r="F98" s="501"/>
      <c r="G98" s="501"/>
      <c r="H98" s="501"/>
      <c r="I98" s="502"/>
      <c r="J98" s="502"/>
      <c r="K98" s="502"/>
      <c r="L98" s="502"/>
      <c r="M98" s="501"/>
      <c r="N98" s="359"/>
      <c r="O98" s="359"/>
      <c r="P98" s="359"/>
      <c r="Q98" s="359"/>
      <c r="R98" s="501"/>
      <c r="S98" s="359"/>
      <c r="T98" s="359"/>
      <c r="U98" s="359"/>
      <c r="V98" s="359"/>
      <c r="W98" s="501"/>
      <c r="X98" s="359"/>
      <c r="Y98" s="359"/>
      <c r="Z98" s="359"/>
      <c r="AA98" s="359"/>
      <c r="AB98" s="501"/>
      <c r="AC98" s="359"/>
      <c r="AD98" s="359"/>
      <c r="AE98" s="359"/>
      <c r="AF98" s="359"/>
      <c r="AG98" s="501"/>
      <c r="AH98" s="359"/>
      <c r="AI98" s="359"/>
      <c r="AJ98" s="359"/>
      <c r="AK98" s="359"/>
      <c r="AL98" s="501"/>
      <c r="AM98" s="359"/>
      <c r="AN98" s="359"/>
      <c r="AO98" s="359"/>
      <c r="AP98" s="359"/>
      <c r="AQ98" s="501"/>
      <c r="AR98" s="359"/>
      <c r="AS98" s="359"/>
      <c r="AT98" s="359"/>
      <c r="AU98" s="359"/>
      <c r="AV98" s="501"/>
      <c r="AW98" s="359"/>
      <c r="AX98" s="359"/>
      <c r="AY98" s="359"/>
      <c r="AZ98" s="359"/>
      <c r="BA98" s="501"/>
      <c r="BB98" s="359"/>
      <c r="BC98" s="359"/>
      <c r="BD98" s="359"/>
      <c r="BE98" s="359"/>
      <c r="BF98" s="501"/>
      <c r="BG98" s="539"/>
      <c r="BH98" s="539"/>
      <c r="BI98" s="539"/>
      <c r="BJ98" s="539"/>
      <c r="BK98" s="501"/>
      <c r="BL98" s="359"/>
      <c r="BM98" s="359"/>
      <c r="BN98" s="359"/>
      <c r="BO98" s="359"/>
      <c r="BP98" s="501"/>
      <c r="BQ98" s="359"/>
      <c r="BR98" s="359"/>
      <c r="BS98" s="359"/>
      <c r="BT98" s="359"/>
      <c r="BU98" s="501"/>
      <c r="BV98" s="359"/>
      <c r="BW98" s="359"/>
      <c r="BX98" s="359"/>
      <c r="BY98" s="359"/>
      <c r="BZ98" s="243"/>
      <c r="CA98" s="959">
        <v>0.34</v>
      </c>
      <c r="CB98" s="959">
        <v>0.34</v>
      </c>
      <c r="CC98" s="959">
        <v>0.34</v>
      </c>
      <c r="CD98" s="959">
        <v>0.34</v>
      </c>
      <c r="CE98" s="243">
        <f>CE97/CE73</f>
        <v>0.33999999999999997</v>
      </c>
      <c r="CF98" s="959">
        <v>0.32</v>
      </c>
      <c r="CG98" s="959">
        <v>0.32</v>
      </c>
      <c r="CH98" s="959">
        <v>0.32</v>
      </c>
      <c r="CI98" s="959">
        <v>0.32</v>
      </c>
      <c r="CJ98" s="977">
        <f>CJ97/CJ73</f>
        <v>0.32</v>
      </c>
      <c r="CK98" s="959">
        <v>0.3</v>
      </c>
      <c r="CL98" s="959">
        <v>0.3</v>
      </c>
      <c r="CM98" s="959">
        <v>0.3</v>
      </c>
      <c r="CN98" s="959">
        <v>0.3</v>
      </c>
      <c r="CO98" s="977">
        <f>CO97/CO73</f>
        <v>0.3</v>
      </c>
      <c r="CP98" s="959">
        <f>CK98-2%</f>
        <v>0.27999999999999997</v>
      </c>
      <c r="CQ98" s="959">
        <f>CL98-2%</f>
        <v>0.27999999999999997</v>
      </c>
      <c r="CR98" s="959">
        <f>CM98-2%</f>
        <v>0.27999999999999997</v>
      </c>
      <c r="CS98" s="959">
        <f>CN98-2%</f>
        <v>0.27999999999999997</v>
      </c>
      <c r="CT98" s="977">
        <f>CT97/CT73</f>
        <v>0.27999999999999997</v>
      </c>
      <c r="CU98" s="959">
        <f>CP98-2%</f>
        <v>0.25999999999999995</v>
      </c>
      <c r="CV98" s="959">
        <f>CQ98-2%</f>
        <v>0.25999999999999995</v>
      </c>
      <c r="CW98" s="959">
        <f>CR98-2%</f>
        <v>0.25999999999999995</v>
      </c>
      <c r="CX98" s="959">
        <f>CS98-2%</f>
        <v>0.25999999999999995</v>
      </c>
      <c r="CY98" s="977">
        <f>CY97/CY73</f>
        <v>0.25999999999999995</v>
      </c>
      <c r="CZ98" s="959">
        <f>CU98-1.5%</f>
        <v>0.24499999999999994</v>
      </c>
      <c r="DA98" s="959">
        <f>CV98-1.5%</f>
        <v>0.24499999999999994</v>
      </c>
      <c r="DB98" s="959">
        <f>CW98-1.5%</f>
        <v>0.24499999999999994</v>
      </c>
      <c r="DC98" s="959">
        <f>CX98-1.5%</f>
        <v>0.24499999999999994</v>
      </c>
      <c r="DD98" s="977">
        <f>DD97/DD73</f>
        <v>0.24499999999999994</v>
      </c>
      <c r="DE98" s="959">
        <v>0.23499999999999999</v>
      </c>
      <c r="DF98" s="959">
        <v>0.23499999999999999</v>
      </c>
      <c r="DG98" s="959">
        <v>0.23499999999999999</v>
      </c>
      <c r="DH98" s="959">
        <v>0.23499999999999999</v>
      </c>
      <c r="DI98" s="977">
        <f>DI97/DI73</f>
        <v>0.23499999999999996</v>
      </c>
      <c r="DJ98" s="959">
        <f>+DE98-0.5%</f>
        <v>0.22999999999999998</v>
      </c>
      <c r="DK98" s="959">
        <f>+DF98-0.5%</f>
        <v>0.22999999999999998</v>
      </c>
      <c r="DL98" s="959">
        <f>+DG98-0.5%</f>
        <v>0.22999999999999998</v>
      </c>
      <c r="DM98" s="959">
        <f>+DH98-0.5%</f>
        <v>0.22999999999999998</v>
      </c>
      <c r="DN98" s="977">
        <f t="shared" ref="DN98:EC98" si="344">DN97/DN73</f>
        <v>0.22999999999999998</v>
      </c>
      <c r="DO98" s="959">
        <f>+DJ98-0.5%</f>
        <v>0.22499999999999998</v>
      </c>
      <c r="DP98" s="959">
        <f>+DK98-0.5%</f>
        <v>0.22499999999999998</v>
      </c>
      <c r="DQ98" s="959">
        <f>+DL98-0.5%</f>
        <v>0.22499999999999998</v>
      </c>
      <c r="DR98" s="959">
        <f>+DM98-0.5%</f>
        <v>0.22499999999999998</v>
      </c>
      <c r="DS98" s="977">
        <f>DS97/DS73</f>
        <v>0.22499999999999995</v>
      </c>
      <c r="DT98" s="959">
        <v>0.21199999999999999</v>
      </c>
      <c r="DU98" s="959">
        <f>+DP98-0.5%</f>
        <v>0.21999999999999997</v>
      </c>
      <c r="DV98" s="963">
        <f t="shared" si="344"/>
        <v>0.2117483495528118</v>
      </c>
      <c r="DW98" s="963">
        <f t="shared" si="344"/>
        <v>0.21031299914435483</v>
      </c>
      <c r="DX98" s="977">
        <f t="shared" si="344"/>
        <v>0.21327247265742644</v>
      </c>
      <c r="DY98" s="963">
        <f t="shared" si="344"/>
        <v>0.20080433551242954</v>
      </c>
      <c r="DZ98" s="963">
        <f t="shared" si="344"/>
        <v>0.21086110833794058</v>
      </c>
      <c r="EA98" s="963">
        <f t="shared" si="344"/>
        <v>0.20344499003085204</v>
      </c>
      <c r="EB98" s="963">
        <f t="shared" si="344"/>
        <v>0.20087435503446821</v>
      </c>
      <c r="EC98" s="977">
        <f t="shared" si="344"/>
        <v>0.20383725637438097</v>
      </c>
      <c r="ED98" s="963">
        <f t="shared" ref="ED98:ER98" si="345">ED97/ED73</f>
        <v>0.19577683571147234</v>
      </c>
      <c r="EE98" s="963">
        <f t="shared" si="345"/>
        <v>0.20505514447012327</v>
      </c>
      <c r="EF98" s="963">
        <f t="shared" si="345"/>
        <v>0.19824846628729331</v>
      </c>
      <c r="EG98" s="963">
        <f t="shared" si="345"/>
        <v>0.1948364562629997</v>
      </c>
      <c r="EH98" s="977">
        <f t="shared" si="345"/>
        <v>0.19826470706744706</v>
      </c>
      <c r="EI98" s="963">
        <f t="shared" si="345"/>
        <v>0.19062962009435369</v>
      </c>
      <c r="EJ98" s="963">
        <f t="shared" si="345"/>
        <v>0.19914837843039937</v>
      </c>
      <c r="EK98" s="963">
        <f t="shared" si="345"/>
        <v>0.19293531520894128</v>
      </c>
      <c r="EL98" s="963">
        <f t="shared" si="345"/>
        <v>0.18870261025018292</v>
      </c>
      <c r="EM98" s="977">
        <f t="shared" si="345"/>
        <v>0.19258519396394302</v>
      </c>
      <c r="EN98" s="963">
        <f t="shared" si="345"/>
        <v>0.18536696057783744</v>
      </c>
      <c r="EO98" s="963">
        <f t="shared" si="345"/>
        <v>0.19314440118171841</v>
      </c>
      <c r="EP98" s="963">
        <f t="shared" si="345"/>
        <v>0.18750973337836149</v>
      </c>
      <c r="EQ98" s="963">
        <f t="shared" si="345"/>
        <v>0.1824762605251794</v>
      </c>
      <c r="ER98" s="977">
        <f t="shared" si="345"/>
        <v>0.18680254704352506</v>
      </c>
      <c r="ES98" s="490"/>
    </row>
    <row r="99" spans="1:149" ht="12" customHeight="1">
      <c r="A99" s="937"/>
      <c r="B99" s="618"/>
      <c r="C99" s="642" t="s">
        <v>129</v>
      </c>
      <c r="D99" s="500"/>
      <c r="E99" s="501"/>
      <c r="F99" s="501"/>
      <c r="G99" s="501"/>
      <c r="H99" s="501"/>
      <c r="I99" s="502"/>
      <c r="J99" s="502"/>
      <c r="K99" s="502"/>
      <c r="L99" s="502"/>
      <c r="M99" s="501"/>
      <c r="N99" s="359"/>
      <c r="O99" s="359"/>
      <c r="P99" s="359"/>
      <c r="Q99" s="359"/>
      <c r="R99" s="501"/>
      <c r="S99" s="359"/>
      <c r="T99" s="359"/>
      <c r="U99" s="359"/>
      <c r="V99" s="359"/>
      <c r="W99" s="501"/>
      <c r="X99" s="359"/>
      <c r="Y99" s="359"/>
      <c r="Z99" s="359"/>
      <c r="AA99" s="359"/>
      <c r="AB99" s="501"/>
      <c r="AC99" s="359"/>
      <c r="AD99" s="359"/>
      <c r="AE99" s="359"/>
      <c r="AF99" s="359"/>
      <c r="AG99" s="501"/>
      <c r="AH99" s="359"/>
      <c r="AI99" s="359"/>
      <c r="AJ99" s="359"/>
      <c r="AK99" s="359"/>
      <c r="AL99" s="501"/>
      <c r="AM99" s="359"/>
      <c r="AN99" s="359"/>
      <c r="AO99" s="359"/>
      <c r="AP99" s="359"/>
      <c r="AQ99" s="501"/>
      <c r="AR99" s="359"/>
      <c r="AS99" s="359"/>
      <c r="AT99" s="359"/>
      <c r="AU99" s="359"/>
      <c r="AV99" s="501"/>
      <c r="AW99" s="359"/>
      <c r="AX99" s="359"/>
      <c r="AY99" s="359"/>
      <c r="AZ99" s="359"/>
      <c r="BA99" s="501"/>
      <c r="BB99" s="359"/>
      <c r="BC99" s="359"/>
      <c r="BD99" s="359"/>
      <c r="BE99" s="359"/>
      <c r="BF99" s="501"/>
      <c r="BG99" s="539"/>
      <c r="BH99" s="539"/>
      <c r="BI99" s="539"/>
      <c r="BJ99" s="539"/>
      <c r="BK99" s="501"/>
      <c r="BL99" s="359"/>
      <c r="BM99" s="359"/>
      <c r="BN99" s="359"/>
      <c r="BO99" s="359"/>
      <c r="BP99" s="501"/>
      <c r="BQ99" s="359"/>
      <c r="BR99" s="359"/>
      <c r="BS99" s="359"/>
      <c r="BT99" s="359"/>
      <c r="BU99" s="501"/>
      <c r="BV99" s="359"/>
      <c r="BW99" s="359"/>
      <c r="BX99" s="359"/>
      <c r="BY99" s="359"/>
      <c r="BZ99" s="243"/>
      <c r="CA99" s="359"/>
      <c r="CB99" s="359"/>
      <c r="CC99" s="359"/>
      <c r="CD99" s="359"/>
      <c r="CE99" s="501"/>
      <c r="CF99" s="359">
        <f t="shared" ref="CF99:DK99" si="346">CF97/CA97-1</f>
        <v>0.64516707309273214</v>
      </c>
      <c r="CG99" s="359">
        <f t="shared" si="346"/>
        <v>0.57819318441492773</v>
      </c>
      <c r="CH99" s="359">
        <f t="shared" si="346"/>
        <v>0.5810889301070401</v>
      </c>
      <c r="CI99" s="359">
        <f t="shared" si="346"/>
        <v>0.53558911151352318</v>
      </c>
      <c r="CJ99" s="501">
        <f t="shared" si="346"/>
        <v>0.57582476053902742</v>
      </c>
      <c r="CK99" s="359">
        <f t="shared" si="346"/>
        <v>0.47867623223703837</v>
      </c>
      <c r="CL99" s="359">
        <f t="shared" si="346"/>
        <v>0.45910929515352872</v>
      </c>
      <c r="CM99" s="359">
        <f t="shared" si="346"/>
        <v>0.41035301610864794</v>
      </c>
      <c r="CN99" s="359">
        <f t="shared" si="346"/>
        <v>0.43540895949634351</v>
      </c>
      <c r="CO99" s="501">
        <f t="shared" si="346"/>
        <v>0.44259888891263732</v>
      </c>
      <c r="CP99" s="359">
        <f t="shared" si="346"/>
        <v>0.46400268101974995</v>
      </c>
      <c r="CQ99" s="359">
        <f t="shared" si="346"/>
        <v>1.3135750706769032</v>
      </c>
      <c r="CR99" s="359">
        <f t="shared" si="346"/>
        <v>1.1661174204541247</v>
      </c>
      <c r="CS99" s="359">
        <f t="shared" si="346"/>
        <v>1.0241072815021393</v>
      </c>
      <c r="CT99" s="501">
        <f t="shared" si="346"/>
        <v>1.0151233209250239</v>
      </c>
      <c r="CU99" s="359">
        <f t="shared" si="346"/>
        <v>1.1964295831933724</v>
      </c>
      <c r="CV99" s="359">
        <f t="shared" si="346"/>
        <v>0.40782363297988677</v>
      </c>
      <c r="CW99" s="359">
        <f t="shared" si="346"/>
        <v>0.40056750946738306</v>
      </c>
      <c r="CX99" s="359">
        <f t="shared" si="346"/>
        <v>0.36807055789046439</v>
      </c>
      <c r="CY99" s="501">
        <f t="shared" si="346"/>
        <v>0.50241680215491713</v>
      </c>
      <c r="CZ99" s="359">
        <f t="shared" si="346"/>
        <v>0.21160698183855042</v>
      </c>
      <c r="DA99" s="359">
        <f t="shared" si="346"/>
        <v>0.11441270240594736</v>
      </c>
      <c r="DB99" s="359">
        <f t="shared" si="346"/>
        <v>0.1844464000290682</v>
      </c>
      <c r="DC99" s="359">
        <f t="shared" si="346"/>
        <v>0.22249332466416938</v>
      </c>
      <c r="DD99" s="501">
        <f t="shared" si="346"/>
        <v>0.18514821832577444</v>
      </c>
      <c r="DE99" s="359">
        <f t="shared" si="346"/>
        <v>0.25752544218574203</v>
      </c>
      <c r="DF99" s="359">
        <f t="shared" si="346"/>
        <v>0.29114125458932083</v>
      </c>
      <c r="DG99" s="359">
        <f t="shared" si="346"/>
        <v>0.18989669756248717</v>
      </c>
      <c r="DH99" s="359">
        <f t="shared" si="346"/>
        <v>0.16347527080275714</v>
      </c>
      <c r="DI99" s="501">
        <f t="shared" si="346"/>
        <v>0.21830943678009507</v>
      </c>
      <c r="DJ99" s="359">
        <f t="shared" si="346"/>
        <v>0.17342504062582687</v>
      </c>
      <c r="DK99" s="359">
        <f t="shared" si="346"/>
        <v>0.16037446808510625</v>
      </c>
      <c r="DL99" s="359">
        <f t="shared" ref="DL99:EC99" si="347">DL97/DG97-1</f>
        <v>0.23695335782105476</v>
      </c>
      <c r="DM99" s="359">
        <f t="shared" si="347"/>
        <v>0.29730724245331386</v>
      </c>
      <c r="DN99" s="501">
        <f t="shared" si="347"/>
        <v>0.22363848933318686</v>
      </c>
      <c r="DO99" s="359">
        <f>DO97/DJ97-1</f>
        <v>0.26086956521739113</v>
      </c>
      <c r="DP99" s="359">
        <f t="shared" ref="DP99:DQ99" si="348">DP97/DK97-1</f>
        <v>0.33603238866396778</v>
      </c>
      <c r="DQ99" s="359">
        <f t="shared" si="348"/>
        <v>0.35204224562976227</v>
      </c>
      <c r="DR99" s="359">
        <f>DR97/DM97-1</f>
        <v>0.31969488228858522</v>
      </c>
      <c r="DS99" s="501">
        <f>DS97/DN97-1</f>
        <v>0.31892935614887796</v>
      </c>
      <c r="DT99" s="359">
        <f>DT97/DO97-1</f>
        <v>0.31044699872286086</v>
      </c>
      <c r="DU99" s="359">
        <f t="shared" ref="DU99" si="349">DU97/DP97-1</f>
        <v>0.34347826086956523</v>
      </c>
      <c r="DV99" s="359">
        <f t="shared" si="347"/>
        <v>0.24967544844305145</v>
      </c>
      <c r="DW99" s="359">
        <f t="shared" si="347"/>
        <v>0.23158499478255812</v>
      </c>
      <c r="DX99" s="501">
        <f t="shared" si="347"/>
        <v>0.27730238239250693</v>
      </c>
      <c r="DY99" s="359">
        <f t="shared" si="347"/>
        <v>0.22754500244338227</v>
      </c>
      <c r="DZ99" s="359">
        <f t="shared" si="347"/>
        <v>0.23241877326664717</v>
      </c>
      <c r="EA99" s="359">
        <f t="shared" si="347"/>
        <v>0.21611419302764379</v>
      </c>
      <c r="EB99" s="359">
        <f t="shared" si="347"/>
        <v>0.19923079314993464</v>
      </c>
      <c r="EC99" s="501">
        <f t="shared" si="347"/>
        <v>0.21702149684184957</v>
      </c>
      <c r="ED99" s="359">
        <f t="shared" ref="ED99" si="350">ED97/DY97-1</f>
        <v>0.18438694807332578</v>
      </c>
      <c r="EE99" s="359">
        <f t="shared" ref="EE99" si="351">EE97/DZ97-1</f>
        <v>0.18132762375519507</v>
      </c>
      <c r="EF99" s="359">
        <f t="shared" ref="EF99" si="352">EF97/EA97-1</f>
        <v>0.18389783392486381</v>
      </c>
      <c r="EG99" s="359">
        <f t="shared" ref="EG99" si="353">EG97/EB97-1</f>
        <v>0.17837306023707789</v>
      </c>
      <c r="EH99" s="501">
        <f t="shared" ref="EH99" si="354">EH97/EC97-1</f>
        <v>0.18164244233581206</v>
      </c>
      <c r="EI99" s="359">
        <f t="shared" ref="EI99" si="355">EI97/ED97-1</f>
        <v>0.1580481329916974</v>
      </c>
      <c r="EJ99" s="359">
        <f t="shared" ref="EJ99" si="356">EJ97/EE97-1</f>
        <v>0.15503366290742426</v>
      </c>
      <c r="EK99" s="359">
        <f t="shared" ref="EK99" si="357">EK97/EF97-1</f>
        <v>0.15756212912286816</v>
      </c>
      <c r="EL99" s="359">
        <f t="shared" ref="EL99" si="358">EL97/EG97-1</f>
        <v>0.15195665797098967</v>
      </c>
      <c r="EM99" s="501">
        <f t="shared" ref="EM99" si="359">EM97/EH97-1</f>
        <v>0.15529635256569296</v>
      </c>
      <c r="EN99" s="359">
        <f t="shared" ref="EN99" si="360">EN97/EI97-1</f>
        <v>0.14155453834474296</v>
      </c>
      <c r="EO99" s="359">
        <f t="shared" ref="EO99" si="361">EO97/EJ97-1</f>
        <v>0.13854784230759187</v>
      </c>
      <c r="EP99" s="359">
        <f t="shared" ref="EP99" si="362">EP97/EK97-1</f>
        <v>0.14106561234290083</v>
      </c>
      <c r="EQ99" s="359">
        <f t="shared" ref="EQ99" si="363">EQ97/EL97-1</f>
        <v>0.13530713092032842</v>
      </c>
      <c r="ER99" s="501">
        <f t="shared" ref="ER99" si="364">ER97/EM97-1</f>
        <v>0.13876094671335104</v>
      </c>
      <c r="ES99" s="340"/>
    </row>
    <row r="100" spans="1:149" ht="12" customHeight="1">
      <c r="A100" s="937"/>
      <c r="B100" s="618"/>
      <c r="C100" s="642" t="s">
        <v>313</v>
      </c>
      <c r="D100" s="500"/>
      <c r="E100" s="501"/>
      <c r="F100" s="501"/>
      <c r="G100" s="501"/>
      <c r="H100" s="501"/>
      <c r="I100" s="502"/>
      <c r="J100" s="502"/>
      <c r="K100" s="502"/>
      <c r="L100" s="502"/>
      <c r="M100" s="501"/>
      <c r="N100" s="359"/>
      <c r="O100" s="359"/>
      <c r="P100" s="359"/>
      <c r="Q100" s="359"/>
      <c r="R100" s="501"/>
      <c r="S100" s="359"/>
      <c r="T100" s="359"/>
      <c r="U100" s="359"/>
      <c r="V100" s="359"/>
      <c r="W100" s="501"/>
      <c r="X100" s="359"/>
      <c r="Y100" s="359"/>
      <c r="Z100" s="359"/>
      <c r="AA100" s="359"/>
      <c r="AB100" s="501"/>
      <c r="AC100" s="359"/>
      <c r="AD100" s="359"/>
      <c r="AE100" s="359"/>
      <c r="AF100" s="359"/>
      <c r="AG100" s="501"/>
      <c r="AH100" s="359"/>
      <c r="AI100" s="359"/>
      <c r="AJ100" s="359"/>
      <c r="AK100" s="359"/>
      <c r="AL100" s="501"/>
      <c r="AM100" s="359"/>
      <c r="AN100" s="359"/>
      <c r="AO100" s="359"/>
      <c r="AP100" s="359"/>
      <c r="AQ100" s="501"/>
      <c r="AR100" s="359"/>
      <c r="AS100" s="359"/>
      <c r="AT100" s="359"/>
      <c r="AU100" s="359"/>
      <c r="AV100" s="501"/>
      <c r="AW100" s="359"/>
      <c r="AX100" s="359"/>
      <c r="AY100" s="359"/>
      <c r="AZ100" s="359"/>
      <c r="BA100" s="501"/>
      <c r="BB100" s="359"/>
      <c r="BC100" s="359"/>
      <c r="BD100" s="359"/>
      <c r="BE100" s="359"/>
      <c r="BF100" s="501"/>
      <c r="BG100" s="539"/>
      <c r="BH100" s="539"/>
      <c r="BI100" s="539"/>
      <c r="BJ100" s="539"/>
      <c r="BK100" s="501"/>
      <c r="BL100" s="359"/>
      <c r="BM100" s="359"/>
      <c r="BN100" s="359"/>
      <c r="BO100" s="359"/>
      <c r="BP100" s="501"/>
      <c r="BQ100" s="359"/>
      <c r="BR100" s="359"/>
      <c r="BS100" s="359"/>
      <c r="BT100" s="359"/>
      <c r="BU100" s="501"/>
      <c r="BV100" s="359"/>
      <c r="BW100" s="359"/>
      <c r="BX100" s="359"/>
      <c r="BY100" s="359"/>
      <c r="BZ100" s="243"/>
      <c r="CA100" s="359"/>
      <c r="CB100" s="359">
        <f>CB97/CA97-1</f>
        <v>0.22600652383650566</v>
      </c>
      <c r="CC100" s="359">
        <f>CC97/CB97-1</f>
        <v>0.11197022121738254</v>
      </c>
      <c r="CD100" s="359">
        <f>CD97/CC97-1</f>
        <v>0.44792801698475615</v>
      </c>
      <c r="CE100" s="243"/>
      <c r="CF100" s="359"/>
      <c r="CG100" s="359">
        <f>CG97/CF97-1</f>
        <v>0.17609644127490331</v>
      </c>
      <c r="CH100" s="359">
        <f>CH97/CG97-1</f>
        <v>0.11401051831766518</v>
      </c>
      <c r="CI100" s="359">
        <f>CI97/CH97-1</f>
        <v>0.40626023925588606</v>
      </c>
      <c r="CJ100" s="243"/>
      <c r="CK100" s="359"/>
      <c r="CL100" s="359">
        <f>CL97/CK97-1</f>
        <v>0.16053346368125476</v>
      </c>
      <c r="CM100" s="359">
        <f>CM97/CL97-1</f>
        <v>7.6785748473187532E-2</v>
      </c>
      <c r="CN100" s="359">
        <f>CN97/CM97-1</f>
        <v>0.43124347149683318</v>
      </c>
      <c r="CO100" s="1066"/>
      <c r="CP100" s="359">
        <f>CP97/CN97-1</f>
        <v>-0.18145721141801829</v>
      </c>
      <c r="CQ100" s="359">
        <f>CQ97/CP97-1</f>
        <v>0.83400025496473007</v>
      </c>
      <c r="CR100" s="359">
        <f>CR97/CQ97-1</f>
        <v>8.155904438441608E-3</v>
      </c>
      <c r="CS100" s="359">
        <f>CS97/CR97-1</f>
        <v>0.33741149251816105</v>
      </c>
      <c r="CT100" s="243"/>
      <c r="CU100" s="359">
        <f>CU97/CS97-1</f>
        <v>-0.111770600115218</v>
      </c>
      <c r="CV100" s="359">
        <f>CV97/CU97-1</f>
        <v>0.17552090974690326</v>
      </c>
      <c r="CW100" s="359">
        <f>CW97/CV97-1</f>
        <v>2.9597253211888219E-3</v>
      </c>
      <c r="CX100" s="359">
        <f>CX97/CW97-1</f>
        <v>0.3063799312281914</v>
      </c>
      <c r="CY100" s="243"/>
      <c r="CZ100" s="359">
        <f>CZ97/CX97-1</f>
        <v>-0.21335567367656694</v>
      </c>
      <c r="DA100" s="359">
        <f>DA97/CZ97-1</f>
        <v>8.1221430218125779E-2</v>
      </c>
      <c r="DB100" s="359">
        <f>DB97/DA97-1</f>
        <v>6.5989317481854659E-2</v>
      </c>
      <c r="DC100" s="359">
        <f>DC97/DB97-1</f>
        <v>0.34834361889445287</v>
      </c>
      <c r="DD100" s="243"/>
      <c r="DE100" s="359">
        <f>DE97/DC97-1</f>
        <v>-0.1908133694108064</v>
      </c>
      <c r="DF100" s="359">
        <f>DF97/DE97-1</f>
        <v>0.11012433392539989</v>
      </c>
      <c r="DG100" s="359">
        <f>DG97/DF97-1</f>
        <v>-1.760000000000006E-2</v>
      </c>
      <c r="DH100" s="359">
        <f>DH97/DG97-1</f>
        <v>0.3184039087947883</v>
      </c>
      <c r="DI100" s="243"/>
      <c r="DJ100" s="359">
        <f>DJ97/DI97-1</f>
        <v>-0.74702726483923398</v>
      </c>
      <c r="DK100" s="359">
        <f>DK97/DJ97-1</f>
        <v>9.7777777777777741E-2</v>
      </c>
      <c r="DL100" s="359">
        <f>DL97/DK97-1</f>
        <v>4.7233468286099978E-2</v>
      </c>
      <c r="DM100" s="359">
        <f>DM97/DL97-1</f>
        <v>0.38273195876288657</v>
      </c>
      <c r="DN100" s="243"/>
      <c r="DO100" s="359">
        <f>DO97/DN97-1</f>
        <v>-0.7393301817697584</v>
      </c>
      <c r="DP100" s="359">
        <f>DP97/DO97-1</f>
        <v>0.16321839080459788</v>
      </c>
      <c r="DQ100" s="359">
        <f>DQ97/DP97-1</f>
        <v>5.9782608695652106E-2</v>
      </c>
      <c r="DR100" s="359">
        <f>DR97/DQ97-1</f>
        <v>0.34965034965034958</v>
      </c>
      <c r="DS100" s="243"/>
      <c r="DT100" s="359">
        <f>DT97/DS97-1</f>
        <v>-0.74100661315563632</v>
      </c>
      <c r="DU100" s="359">
        <f>DU97/DT97-1</f>
        <v>0.19253859348198965</v>
      </c>
      <c r="DV100" s="359">
        <f>DV97/DU97-1</f>
        <v>-1.4212328291282161E-2</v>
      </c>
      <c r="DW100" s="359">
        <f>DW97/DV97-1</f>
        <v>0.33011264717036748</v>
      </c>
      <c r="DX100" s="243"/>
      <c r="DY100" s="359">
        <f>DY97/DW97-1</f>
        <v>-0.21495749014516707</v>
      </c>
      <c r="DZ100" s="359">
        <f>DZ97/DY97-1</f>
        <v>0.19727337696525171</v>
      </c>
      <c r="EA100" s="359">
        <f>EA97/DZ97-1</f>
        <v>-2.7254043121211824E-2</v>
      </c>
      <c r="EB100" s="359">
        <f>EB97/EA97-1</f>
        <v>0.31164659864192545</v>
      </c>
      <c r="EC100" s="243"/>
      <c r="ED100" s="359">
        <f>ED97/EB97-1</f>
        <v>-0.22467459335949425</v>
      </c>
      <c r="EE100" s="359">
        <f>EE97/ED97-1</f>
        <v>0.19418076642647586</v>
      </c>
      <c r="EF100" s="359">
        <f>EF97/EE97-1</f>
        <v>-2.5137643317636127E-2</v>
      </c>
      <c r="EG100" s="359">
        <f>EG97/EF97-1</f>
        <v>0.30552567299429012</v>
      </c>
      <c r="EH100" s="243"/>
      <c r="EI100" s="359">
        <f>EI97/EG97-1</f>
        <v>-0.23804763540637619</v>
      </c>
      <c r="EJ100" s="359">
        <f>EJ97/EI97-1</f>
        <v>0.19107224088850261</v>
      </c>
      <c r="EK100" s="359">
        <f>EK97/EJ97-1</f>
        <v>-2.3003587304606499E-2</v>
      </c>
      <c r="EL100" s="359">
        <f>EL97/EK97-1</f>
        <v>0.29920369137974689</v>
      </c>
      <c r="EM100" s="243"/>
      <c r="EN100" s="359">
        <f>EN97/EL97-1</f>
        <v>-0.24492803285115905</v>
      </c>
      <c r="EO100" s="359">
        <f>EO97/EN97-1</f>
        <v>0.18793512210324281</v>
      </c>
      <c r="EP100" s="359">
        <f>EP97/EO97-1</f>
        <v>-2.0843070020147736E-2</v>
      </c>
      <c r="EQ100" s="359">
        <f>EQ97/EP97-1</f>
        <v>0.29264715314038425</v>
      </c>
      <c r="ER100" s="243"/>
      <c r="ES100" s="340"/>
    </row>
    <row r="101" spans="1:149" ht="12" customHeight="1">
      <c r="A101" s="931"/>
      <c r="B101" s="484"/>
      <c r="C101" s="656" t="s">
        <v>316</v>
      </c>
      <c r="D101" s="650"/>
      <c r="E101" s="591"/>
      <c r="F101" s="591"/>
      <c r="G101" s="591"/>
      <c r="H101" s="591"/>
      <c r="I101" s="651"/>
      <c r="J101" s="651"/>
      <c r="K101" s="651"/>
      <c r="L101" s="651"/>
      <c r="M101" s="591"/>
      <c r="N101" s="590"/>
      <c r="O101" s="590"/>
      <c r="P101" s="590"/>
      <c r="Q101" s="590"/>
      <c r="R101" s="591"/>
      <c r="S101" s="590"/>
      <c r="T101" s="590"/>
      <c r="U101" s="590"/>
      <c r="V101" s="590"/>
      <c r="W101" s="591"/>
      <c r="X101" s="590"/>
      <c r="Y101" s="590"/>
      <c r="Z101" s="590"/>
      <c r="AA101" s="590"/>
      <c r="AB101" s="591"/>
      <c r="AC101" s="590"/>
      <c r="AD101" s="590"/>
      <c r="AE101" s="590"/>
      <c r="AF101" s="590"/>
      <c r="AG101" s="591"/>
      <c r="AH101" s="590"/>
      <c r="AI101" s="590"/>
      <c r="AJ101" s="590"/>
      <c r="AK101" s="590"/>
      <c r="AL101" s="591"/>
      <c r="AM101" s="590"/>
      <c r="AN101" s="590"/>
      <c r="AO101" s="590"/>
      <c r="AP101" s="590"/>
      <c r="AQ101" s="591"/>
      <c r="AR101" s="590"/>
      <c r="AS101" s="590"/>
      <c r="AT101" s="590"/>
      <c r="AU101" s="590"/>
      <c r="AV101" s="591"/>
      <c r="AW101" s="590"/>
      <c r="AX101" s="590"/>
      <c r="AY101" s="590"/>
      <c r="AZ101" s="590"/>
      <c r="BA101" s="591"/>
      <c r="BB101" s="590"/>
      <c r="BC101" s="590"/>
      <c r="BD101" s="590"/>
      <c r="BE101" s="590"/>
      <c r="BF101" s="591"/>
      <c r="BG101" s="652"/>
      <c r="BH101" s="652"/>
      <c r="BI101" s="652"/>
      <c r="BJ101" s="652"/>
      <c r="BK101" s="591"/>
      <c r="BL101" s="590"/>
      <c r="BM101" s="590"/>
      <c r="BN101" s="590"/>
      <c r="BO101" s="590"/>
      <c r="BP101" s="591"/>
      <c r="BQ101" s="590"/>
      <c r="BR101" s="590"/>
      <c r="BS101" s="590"/>
      <c r="BT101" s="590"/>
      <c r="BU101" s="591"/>
      <c r="BV101" s="590"/>
      <c r="BW101" s="590"/>
      <c r="BX101" s="590"/>
      <c r="BY101" s="590"/>
      <c r="BZ101" s="352"/>
      <c r="CA101" s="1046">
        <f t="shared" ref="CA101:DF101" si="365">+CA97+CA87</f>
        <v>60.075080000000007</v>
      </c>
      <c r="CB101" s="1046">
        <f t="shared" si="365"/>
        <v>73.652439999999999</v>
      </c>
      <c r="CC101" s="1046">
        <f t="shared" si="365"/>
        <v>81.899320000000003</v>
      </c>
      <c r="CD101" s="1046">
        <f t="shared" si="365"/>
        <v>118.58431999999999</v>
      </c>
      <c r="CE101" s="1047">
        <f t="shared" si="365"/>
        <v>334.21115999999995</v>
      </c>
      <c r="CF101" s="1046">
        <f t="shared" si="365"/>
        <v>102.15708999999998</v>
      </c>
      <c r="CG101" s="1046">
        <f t="shared" si="365"/>
        <v>120.14658999999997</v>
      </c>
      <c r="CH101" s="1046">
        <f t="shared" si="365"/>
        <v>133.84456499999999</v>
      </c>
      <c r="CI101" s="1046">
        <f t="shared" si="365"/>
        <v>188.22028999999998</v>
      </c>
      <c r="CJ101" s="1047">
        <f t="shared" si="365"/>
        <v>544.36853499999995</v>
      </c>
      <c r="CK101" s="1046">
        <f t="shared" si="365"/>
        <v>156.62697</v>
      </c>
      <c r="CL101" s="1046">
        <f t="shared" si="365"/>
        <v>181.77083999999996</v>
      </c>
      <c r="CM101" s="1046">
        <f t="shared" si="365"/>
        <v>195.72825</v>
      </c>
      <c r="CN101" s="1046">
        <f t="shared" si="365"/>
        <v>280.13477999999998</v>
      </c>
      <c r="CO101" s="1047">
        <f t="shared" si="365"/>
        <v>814.26083999999992</v>
      </c>
      <c r="CP101" s="1046">
        <f t="shared" si="365"/>
        <v>238.62123999999994</v>
      </c>
      <c r="CQ101" s="1046">
        <f t="shared" si="365"/>
        <v>437.631415</v>
      </c>
      <c r="CR101" s="1046">
        <f t="shared" si="365"/>
        <v>441.200695</v>
      </c>
      <c r="CS101" s="1046">
        <f t="shared" si="365"/>
        <v>590.06687999999986</v>
      </c>
      <c r="CT101" s="1047">
        <f t="shared" si="365"/>
        <v>1707.5202299999996</v>
      </c>
      <c r="CU101" s="1046">
        <f t="shared" si="365"/>
        <v>547.73212000000001</v>
      </c>
      <c r="CV101" s="1046">
        <f t="shared" si="365"/>
        <v>643.87056000000007</v>
      </c>
      <c r="CW101" s="1046">
        <f t="shared" si="365"/>
        <v>645.77624000000003</v>
      </c>
      <c r="CX101" s="1046">
        <f t="shared" si="365"/>
        <v>843.62912000000006</v>
      </c>
      <c r="CY101" s="1047">
        <f t="shared" si="365"/>
        <v>2681.0080399999997</v>
      </c>
      <c r="CZ101" s="1046">
        <f t="shared" si="365"/>
        <v>685.37187599999993</v>
      </c>
      <c r="DA101" s="1046">
        <f t="shared" si="365"/>
        <v>741.03876000000002</v>
      </c>
      <c r="DB101" s="1046">
        <f t="shared" si="365"/>
        <v>789.93940199999997</v>
      </c>
      <c r="DC101" s="1046">
        <f t="shared" si="365"/>
        <v>1065.1097519999998</v>
      </c>
      <c r="DD101" s="1047">
        <f t="shared" si="365"/>
        <v>3281.4597899999994</v>
      </c>
      <c r="DE101" s="1046">
        <f t="shared" si="365"/>
        <v>900.8</v>
      </c>
      <c r="DF101" s="1046">
        <f t="shared" si="365"/>
        <v>999.99999999999989</v>
      </c>
      <c r="DG101" s="1046">
        <f t="shared" ref="DG101:EC101" si="366">+DG97+DG87</f>
        <v>982.39999999999986</v>
      </c>
      <c r="DH101" s="1046">
        <f t="shared" si="366"/>
        <v>1295.1999999999998</v>
      </c>
      <c r="DI101" s="1047">
        <f t="shared" si="366"/>
        <v>4178.3999999999996</v>
      </c>
      <c r="DJ101" s="1046">
        <f t="shared" si="366"/>
        <v>1073.4524999999999</v>
      </c>
      <c r="DK101" s="1046">
        <f t="shared" si="366"/>
        <v>1178.6345999999999</v>
      </c>
      <c r="DL101" s="1046">
        <f t="shared" si="366"/>
        <v>1234.5383999999999</v>
      </c>
      <c r="DM101" s="1046">
        <f t="shared" si="366"/>
        <v>1707.3575999999996</v>
      </c>
      <c r="DN101" s="1047">
        <f t="shared" si="366"/>
        <v>5193.9830999999986</v>
      </c>
      <c r="DO101" s="1046">
        <f>+DO97+DO87</f>
        <v>1375.9049999999997</v>
      </c>
      <c r="DP101" s="1046">
        <f t="shared" ref="DP101:DQ101" si="367">+DP97+DP87</f>
        <v>1600.7815999999998</v>
      </c>
      <c r="DQ101" s="1046">
        <f t="shared" si="367"/>
        <v>1696.8022499999997</v>
      </c>
      <c r="DR101" s="1046">
        <f>+DR97+DR87</f>
        <v>2290.5239999999994</v>
      </c>
      <c r="DS101" s="1047">
        <f>+DS97+DS87</f>
        <v>6964.0128499999983</v>
      </c>
      <c r="DT101" s="1046">
        <f>+DT97+DT87</f>
        <v>1862.135569162919</v>
      </c>
      <c r="DU101" s="1046">
        <f t="shared" ref="DU101" si="368">+DU97+DU87</f>
        <v>2162.5820995215195</v>
      </c>
      <c r="DV101" s="1046">
        <f t="shared" si="366"/>
        <v>2189.7818711011464</v>
      </c>
      <c r="DW101" s="1046">
        <f t="shared" si="366"/>
        <v>2923.0750039783679</v>
      </c>
      <c r="DX101" s="1047">
        <f t="shared" si="366"/>
        <v>9137.5745437639525</v>
      </c>
      <c r="DY101" s="1046">
        <f t="shared" si="366"/>
        <v>2364.2346216523738</v>
      </c>
      <c r="DZ101" s="1046">
        <f t="shared" si="366"/>
        <v>2715.9278580889249</v>
      </c>
      <c r="EA101" s="1046">
        <f t="shared" si="366"/>
        <v>2709.7000390212579</v>
      </c>
      <c r="EB101" s="1046">
        <f t="shared" si="366"/>
        <v>3577.5172301656189</v>
      </c>
      <c r="EC101" s="1047">
        <f t="shared" si="366"/>
        <v>11367.379748928175</v>
      </c>
      <c r="ED101" s="1046">
        <f t="shared" ref="ED101:ER101" si="369">+ED97+ED87</f>
        <v>2803.8607913063574</v>
      </c>
      <c r="EE101" s="1046">
        <f t="shared" si="369"/>
        <v>3216.8250601199861</v>
      </c>
      <c r="EF101" s="1046">
        <f t="shared" si="369"/>
        <v>3211.8192122213695</v>
      </c>
      <c r="EG101" s="1046">
        <f t="shared" si="369"/>
        <v>4230.0144226326329</v>
      </c>
      <c r="EH101" s="1047">
        <f t="shared" si="369"/>
        <v>13462.519486280346</v>
      </c>
      <c r="EI101" s="1046">
        <f t="shared" si="369"/>
        <v>3252.592907577693</v>
      </c>
      <c r="EJ101" s="1046">
        <f t="shared" si="369"/>
        <v>3726.7694781461837</v>
      </c>
      <c r="EK101" s="1046">
        <f t="shared" si="369"/>
        <v>3723.7248971202443</v>
      </c>
      <c r="EL101" s="1046">
        <f t="shared" si="369"/>
        <v>4891.7655514583485</v>
      </c>
      <c r="EM101" s="1047">
        <f t="shared" si="369"/>
        <v>15594.85283430247</v>
      </c>
      <c r="EN101" s="1046">
        <f t="shared" si="369"/>
        <v>3720.9786898932985</v>
      </c>
      <c r="EO101" s="1046">
        <f t="shared" si="369"/>
        <v>4257.7317178083404</v>
      </c>
      <c r="EP101" s="1046">
        <f t="shared" si="369"/>
        <v>4257.4192670284401</v>
      </c>
      <c r="EQ101" s="1046">
        <f t="shared" si="369"/>
        <v>5578.202326589103</v>
      </c>
      <c r="ER101" s="1047">
        <f t="shared" si="369"/>
        <v>17814.332001319181</v>
      </c>
      <c r="ES101" s="490"/>
    </row>
    <row r="102" spans="1:149" ht="12" customHeight="1">
      <c r="A102" s="931"/>
      <c r="B102" s="484"/>
      <c r="C102" s="940" t="s">
        <v>314</v>
      </c>
      <c r="D102" s="650"/>
      <c r="E102" s="591"/>
      <c r="F102" s="591"/>
      <c r="G102" s="591"/>
      <c r="H102" s="591"/>
      <c r="I102" s="651"/>
      <c r="J102" s="651"/>
      <c r="K102" s="651"/>
      <c r="L102" s="651"/>
      <c r="M102" s="591"/>
      <c r="N102" s="590"/>
      <c r="O102" s="590"/>
      <c r="P102" s="590"/>
      <c r="Q102" s="590"/>
      <c r="R102" s="591"/>
      <c r="S102" s="590"/>
      <c r="T102" s="590"/>
      <c r="U102" s="590"/>
      <c r="V102" s="590"/>
      <c r="W102" s="591"/>
      <c r="X102" s="590"/>
      <c r="Y102" s="590"/>
      <c r="Z102" s="590"/>
      <c r="AA102" s="590"/>
      <c r="AB102" s="591"/>
      <c r="AC102" s="590"/>
      <c r="AD102" s="590"/>
      <c r="AE102" s="590"/>
      <c r="AF102" s="590"/>
      <c r="AG102" s="591"/>
      <c r="AH102" s="590"/>
      <c r="AI102" s="590"/>
      <c r="AJ102" s="590"/>
      <c r="AK102" s="590"/>
      <c r="AL102" s="591"/>
      <c r="AM102" s="590"/>
      <c r="AN102" s="590"/>
      <c r="AO102" s="590"/>
      <c r="AP102" s="590"/>
      <c r="AQ102" s="591"/>
      <c r="AR102" s="590"/>
      <c r="AS102" s="590"/>
      <c r="AT102" s="590"/>
      <c r="AU102" s="590"/>
      <c r="AV102" s="591"/>
      <c r="AW102" s="590"/>
      <c r="AX102" s="590"/>
      <c r="AY102" s="590"/>
      <c r="AZ102" s="590"/>
      <c r="BA102" s="591"/>
      <c r="BB102" s="590"/>
      <c r="BC102" s="590"/>
      <c r="BD102" s="590"/>
      <c r="BE102" s="590"/>
      <c r="BF102" s="591"/>
      <c r="BG102" s="652"/>
      <c r="BH102" s="652"/>
      <c r="BI102" s="652"/>
      <c r="BJ102" s="652"/>
      <c r="BK102" s="591"/>
      <c r="BL102" s="590"/>
      <c r="BM102" s="590"/>
      <c r="BN102" s="590"/>
      <c r="BO102" s="590"/>
      <c r="BP102" s="591"/>
      <c r="BQ102" s="590"/>
      <c r="BR102" s="590"/>
      <c r="BS102" s="590"/>
      <c r="BT102" s="590"/>
      <c r="BU102" s="591"/>
      <c r="BV102" s="590"/>
      <c r="BW102" s="590"/>
      <c r="BX102" s="590"/>
      <c r="BY102" s="590"/>
      <c r="BZ102" s="352"/>
      <c r="CA102" s="353">
        <f t="shared" ref="CA102:DF102" si="370">CA101/CA73</f>
        <v>0.92</v>
      </c>
      <c r="CB102" s="353">
        <f t="shared" si="370"/>
        <v>0.91999999999999993</v>
      </c>
      <c r="CC102" s="353">
        <f t="shared" si="370"/>
        <v>0.92</v>
      </c>
      <c r="CD102" s="353">
        <f t="shared" si="370"/>
        <v>0.92</v>
      </c>
      <c r="CE102" s="352">
        <f t="shared" si="370"/>
        <v>0.91999999999999982</v>
      </c>
      <c r="CF102" s="353">
        <f t="shared" si="370"/>
        <v>0.89499999999999991</v>
      </c>
      <c r="CG102" s="353">
        <f t="shared" si="370"/>
        <v>0.89499999999999991</v>
      </c>
      <c r="CH102" s="353">
        <f t="shared" si="370"/>
        <v>0.89499999999999991</v>
      </c>
      <c r="CI102" s="353">
        <f t="shared" si="370"/>
        <v>0.89499999999999991</v>
      </c>
      <c r="CJ102" s="352">
        <f t="shared" si="370"/>
        <v>0.89500000000000002</v>
      </c>
      <c r="CK102" s="353">
        <f t="shared" si="370"/>
        <v>0.87</v>
      </c>
      <c r="CL102" s="353">
        <f t="shared" si="370"/>
        <v>0.86999999999999988</v>
      </c>
      <c r="CM102" s="353">
        <f t="shared" si="370"/>
        <v>0.87</v>
      </c>
      <c r="CN102" s="353">
        <f t="shared" si="370"/>
        <v>0.86999999999999988</v>
      </c>
      <c r="CO102" s="352">
        <f t="shared" si="370"/>
        <v>0.86999999999999988</v>
      </c>
      <c r="CP102" s="353">
        <f t="shared" si="370"/>
        <v>0.84499999999999986</v>
      </c>
      <c r="CQ102" s="353">
        <f t="shared" si="370"/>
        <v>0.84499999999999997</v>
      </c>
      <c r="CR102" s="353">
        <f t="shared" si="370"/>
        <v>0.84500000000000008</v>
      </c>
      <c r="CS102" s="353">
        <f t="shared" si="370"/>
        <v>0.84499999999999986</v>
      </c>
      <c r="CT102" s="352">
        <f t="shared" si="370"/>
        <v>0.84499999999999986</v>
      </c>
      <c r="CU102" s="353">
        <f t="shared" si="370"/>
        <v>0.82</v>
      </c>
      <c r="CV102" s="353">
        <f t="shared" si="370"/>
        <v>0.82000000000000017</v>
      </c>
      <c r="CW102" s="353">
        <f t="shared" si="370"/>
        <v>0.82</v>
      </c>
      <c r="CX102" s="353">
        <f t="shared" si="370"/>
        <v>0.82000000000000006</v>
      </c>
      <c r="CY102" s="352">
        <f t="shared" si="370"/>
        <v>0.82</v>
      </c>
      <c r="CZ102" s="353">
        <f t="shared" si="370"/>
        <v>0.79799999999999993</v>
      </c>
      <c r="DA102" s="353">
        <f t="shared" si="370"/>
        <v>0.79800000000000004</v>
      </c>
      <c r="DB102" s="353">
        <f t="shared" si="370"/>
        <v>0.79799999999999993</v>
      </c>
      <c r="DC102" s="353">
        <f t="shared" si="370"/>
        <v>0.79799999999999993</v>
      </c>
      <c r="DD102" s="352">
        <f t="shared" si="370"/>
        <v>0.79799999999999993</v>
      </c>
      <c r="DE102" s="353">
        <f t="shared" si="370"/>
        <v>0.79999999999999993</v>
      </c>
      <c r="DF102" s="353">
        <f t="shared" si="370"/>
        <v>0.79999999999999993</v>
      </c>
      <c r="DG102" s="353">
        <f t="shared" ref="DG102:EC102" si="371">DG101/DG73</f>
        <v>0.79999999999999993</v>
      </c>
      <c r="DH102" s="353">
        <f t="shared" si="371"/>
        <v>0.79999999999999993</v>
      </c>
      <c r="DI102" s="352">
        <f t="shared" si="371"/>
        <v>0.79999999999999993</v>
      </c>
      <c r="DJ102" s="353">
        <f t="shared" si="371"/>
        <v>0.79514999999999991</v>
      </c>
      <c r="DK102" s="353">
        <f t="shared" si="371"/>
        <v>0.7952999999999999</v>
      </c>
      <c r="DL102" s="353">
        <f t="shared" si="371"/>
        <v>0.79544999999999999</v>
      </c>
      <c r="DM102" s="353">
        <f t="shared" si="371"/>
        <v>0.79559999999999986</v>
      </c>
      <c r="DN102" s="352">
        <f t="shared" si="371"/>
        <v>0.79540323124042855</v>
      </c>
      <c r="DO102" s="353">
        <f>DO101/DO73</f>
        <v>0.79074999999999984</v>
      </c>
      <c r="DP102" s="353">
        <f t="shared" ref="DP102:DQ102" si="372">DP101/DP73</f>
        <v>0.79089999999999994</v>
      </c>
      <c r="DQ102" s="353">
        <f t="shared" si="372"/>
        <v>0.79104999999999992</v>
      </c>
      <c r="DR102" s="353">
        <f>DR101/DR73</f>
        <v>0.79119999999999979</v>
      </c>
      <c r="DS102" s="352">
        <f>DS101/DS73</f>
        <v>0.79100554861426609</v>
      </c>
      <c r="DT102" s="353">
        <f>DT101/DT73</f>
        <v>0.76947750791856151</v>
      </c>
      <c r="DU102" s="353">
        <f t="shared" ref="DU102" si="373">DU101/DU73</f>
        <v>0.7776275079185615</v>
      </c>
      <c r="DV102" s="353">
        <f t="shared" si="371"/>
        <v>0.76880081969392955</v>
      </c>
      <c r="DW102" s="353">
        <f t="shared" si="371"/>
        <v>0.76632077713523472</v>
      </c>
      <c r="DX102" s="352">
        <f t="shared" si="371"/>
        <v>0.77021054958033952</v>
      </c>
      <c r="DY102" s="353">
        <f t="shared" si="371"/>
        <v>0.75383276279309808</v>
      </c>
      <c r="DZ102" s="353">
        <f t="shared" si="371"/>
        <v>0.75950867699698354</v>
      </c>
      <c r="EA102" s="353">
        <f t="shared" si="371"/>
        <v>0.75160006295867621</v>
      </c>
      <c r="EB102" s="353">
        <f t="shared" si="371"/>
        <v>0.74697829515115244</v>
      </c>
      <c r="EC102" s="352">
        <f t="shared" si="371"/>
        <v>0.75247038169740554</v>
      </c>
      <c r="ED102" s="353">
        <f t="shared" ref="ED102:ER102" si="374">ED101/ED73</f>
        <v>0.73592827655150128</v>
      </c>
      <c r="EE102" s="353">
        <f t="shared" si="374"/>
        <v>0.74053532224115837</v>
      </c>
      <c r="EF102" s="353">
        <f t="shared" si="374"/>
        <v>0.73327232201225767</v>
      </c>
      <c r="EG102" s="353">
        <f t="shared" si="374"/>
        <v>0.72699432076027304</v>
      </c>
      <c r="EH102" s="352">
        <f t="shared" si="374"/>
        <v>0.7335524169158113</v>
      </c>
      <c r="EI102" s="353">
        <f t="shared" si="374"/>
        <v>0.71781283575204569</v>
      </c>
      <c r="EJ102" s="353">
        <f t="shared" si="374"/>
        <v>0.72137706146036684</v>
      </c>
      <c r="EK102" s="353">
        <f t="shared" si="374"/>
        <v>0.71474211380465769</v>
      </c>
      <c r="EL102" s="353">
        <f t="shared" si="374"/>
        <v>0.70684851660996606</v>
      </c>
      <c r="EM102" s="352">
        <f t="shared" si="374"/>
        <v>0.71444724946849003</v>
      </c>
      <c r="EN102" s="353">
        <f t="shared" si="374"/>
        <v>0.69949396805766717</v>
      </c>
      <c r="EO102" s="353">
        <f t="shared" si="374"/>
        <v>0.70204048172185374</v>
      </c>
      <c r="EP102" s="353">
        <f t="shared" si="374"/>
        <v>0.69601672368265943</v>
      </c>
      <c r="EQ102" s="353">
        <f t="shared" si="374"/>
        <v>0.68654669074106678</v>
      </c>
      <c r="ER102" s="352">
        <f t="shared" si="374"/>
        <v>0.69516158239351888</v>
      </c>
      <c r="ES102" s="490"/>
    </row>
    <row r="103" spans="1:149" ht="12" customHeight="1">
      <c r="A103" s="931"/>
      <c r="B103" s="484"/>
      <c r="C103" s="940" t="s">
        <v>129</v>
      </c>
      <c r="D103" s="650"/>
      <c r="E103" s="591"/>
      <c r="F103" s="591"/>
      <c r="G103" s="591"/>
      <c r="H103" s="591"/>
      <c r="I103" s="651"/>
      <c r="J103" s="651"/>
      <c r="K103" s="651"/>
      <c r="L103" s="651"/>
      <c r="M103" s="591"/>
      <c r="N103" s="590"/>
      <c r="O103" s="590"/>
      <c r="P103" s="590"/>
      <c r="Q103" s="590"/>
      <c r="R103" s="591"/>
      <c r="S103" s="590"/>
      <c r="T103" s="590"/>
      <c r="U103" s="590"/>
      <c r="V103" s="590"/>
      <c r="W103" s="591"/>
      <c r="X103" s="590"/>
      <c r="Y103" s="590"/>
      <c r="Z103" s="590"/>
      <c r="AA103" s="590"/>
      <c r="AB103" s="591"/>
      <c r="AC103" s="590"/>
      <c r="AD103" s="590"/>
      <c r="AE103" s="590"/>
      <c r="AF103" s="590"/>
      <c r="AG103" s="591"/>
      <c r="AH103" s="590"/>
      <c r="AI103" s="590"/>
      <c r="AJ103" s="590"/>
      <c r="AK103" s="590"/>
      <c r="AL103" s="591"/>
      <c r="AM103" s="590"/>
      <c r="AN103" s="590"/>
      <c r="AO103" s="590"/>
      <c r="AP103" s="590"/>
      <c r="AQ103" s="591"/>
      <c r="AR103" s="590"/>
      <c r="AS103" s="590"/>
      <c r="AT103" s="590"/>
      <c r="AU103" s="590"/>
      <c r="AV103" s="591"/>
      <c r="AW103" s="590"/>
      <c r="AX103" s="590"/>
      <c r="AY103" s="590"/>
      <c r="AZ103" s="590"/>
      <c r="BA103" s="591"/>
      <c r="BB103" s="590"/>
      <c r="BC103" s="590"/>
      <c r="BD103" s="590"/>
      <c r="BE103" s="590"/>
      <c r="BF103" s="591"/>
      <c r="BG103" s="652"/>
      <c r="BH103" s="652"/>
      <c r="BI103" s="652"/>
      <c r="BJ103" s="652"/>
      <c r="BK103" s="591"/>
      <c r="BL103" s="590"/>
      <c r="BM103" s="590"/>
      <c r="BN103" s="590"/>
      <c r="BO103" s="590"/>
      <c r="BP103" s="591"/>
      <c r="BQ103" s="587"/>
      <c r="BR103" s="587"/>
      <c r="BS103" s="587"/>
      <c r="BT103" s="587"/>
      <c r="BU103" s="588"/>
      <c r="BV103" s="587"/>
      <c r="BW103" s="587"/>
      <c r="BX103" s="587"/>
      <c r="BY103" s="587"/>
      <c r="BZ103" s="589"/>
      <c r="CA103" s="590"/>
      <c r="CB103" s="590"/>
      <c r="CC103" s="590"/>
      <c r="CD103" s="590"/>
      <c r="CE103" s="352"/>
      <c r="CF103" s="590"/>
      <c r="CG103" s="590"/>
      <c r="CH103" s="590"/>
      <c r="CI103" s="590"/>
      <c r="CJ103" s="352"/>
      <c r="CK103" s="590"/>
      <c r="CL103" s="590"/>
      <c r="CM103" s="590"/>
      <c r="CN103" s="590"/>
      <c r="CO103" s="352"/>
      <c r="CP103" s="590">
        <f t="shared" ref="CP103:EC103" si="375">CP101/CK101-1</f>
        <v>0.52350032692326187</v>
      </c>
      <c r="CQ103" s="590">
        <f t="shared" si="375"/>
        <v>1.407599673302935</v>
      </c>
      <c r="CR103" s="590">
        <f t="shared" si="375"/>
        <v>1.2541492860637131</v>
      </c>
      <c r="CS103" s="590">
        <f t="shared" si="375"/>
        <v>1.1063677991001328</v>
      </c>
      <c r="CT103" s="591">
        <f t="shared" si="375"/>
        <v>1.0970187268246865</v>
      </c>
      <c r="CU103" s="590">
        <f t="shared" si="375"/>
        <v>1.2954038793864289</v>
      </c>
      <c r="CV103" s="590">
        <f t="shared" si="375"/>
        <v>0.47126220360574456</v>
      </c>
      <c r="CW103" s="590">
        <f t="shared" si="375"/>
        <v>0.46367910866504869</v>
      </c>
      <c r="CX103" s="590">
        <f t="shared" si="375"/>
        <v>0.42971779741306659</v>
      </c>
      <c r="CY103" s="591">
        <f t="shared" si="375"/>
        <v>0.57011787790063262</v>
      </c>
      <c r="CZ103" s="590">
        <f t="shared" si="375"/>
        <v>0.25129027671409876</v>
      </c>
      <c r="DA103" s="590">
        <f t="shared" si="375"/>
        <v>0.1509126306380586</v>
      </c>
      <c r="DB103" s="590">
        <f t="shared" si="375"/>
        <v>0.22324011487322593</v>
      </c>
      <c r="DC103" s="590">
        <f t="shared" si="375"/>
        <v>0.26253317571588775</v>
      </c>
      <c r="DD103" s="591">
        <f t="shared" si="375"/>
        <v>0.22396491955316922</v>
      </c>
      <c r="DE103" s="590">
        <f t="shared" si="375"/>
        <v>0.3143229705562065</v>
      </c>
      <c r="DF103" s="590">
        <f t="shared" si="375"/>
        <v>0.34945707833150297</v>
      </c>
      <c r="DG103" s="590">
        <f t="shared" si="375"/>
        <v>0.24363969883350611</v>
      </c>
      <c r="DH103" s="590">
        <f t="shared" si="375"/>
        <v>0.21602491909209376</v>
      </c>
      <c r="DI103" s="591">
        <f t="shared" si="375"/>
        <v>0.27333573086385443</v>
      </c>
      <c r="DJ103" s="590">
        <f t="shared" si="375"/>
        <v>0.19166574156305494</v>
      </c>
      <c r="DK103" s="590">
        <f t="shared" si="375"/>
        <v>0.17863460000000009</v>
      </c>
      <c r="DL103" s="590">
        <f t="shared" si="375"/>
        <v>0.25665553745928338</v>
      </c>
      <c r="DM103" s="590">
        <f t="shared" si="375"/>
        <v>0.31821927115503379</v>
      </c>
      <c r="DN103" s="591">
        <f t="shared" si="375"/>
        <v>0.24305549971280849</v>
      </c>
      <c r="DO103" s="590">
        <f>DO101/DJ101-1</f>
        <v>0.2817567614775689</v>
      </c>
      <c r="DP103" s="590">
        <f t="shared" si="375"/>
        <v>0.35816613562846356</v>
      </c>
      <c r="DQ103" s="590">
        <f t="shared" si="375"/>
        <v>0.37444266618195088</v>
      </c>
      <c r="DR103" s="590">
        <f>DR101/DM101-1</f>
        <v>0.34156078375145316</v>
      </c>
      <c r="DS103" s="591">
        <f>DS101/DN101-1</f>
        <v>0.34078465715454498</v>
      </c>
      <c r="DT103" s="590">
        <f>DT101/DO101-1</f>
        <v>0.35338963748436059</v>
      </c>
      <c r="DU103" s="590">
        <f t="shared" si="375"/>
        <v>0.35095387123485167</v>
      </c>
      <c r="DV103" s="590">
        <f t="shared" si="375"/>
        <v>0.2905345163828883</v>
      </c>
      <c r="DW103" s="590">
        <f t="shared" si="375"/>
        <v>0.27615995465595145</v>
      </c>
      <c r="DX103" s="591">
        <f t="shared" si="375"/>
        <v>0.31211339504693125</v>
      </c>
      <c r="DY103" s="590">
        <f t="shared" si="375"/>
        <v>0.26963614293408411</v>
      </c>
      <c r="DZ103" s="590">
        <f t="shared" si="375"/>
        <v>0.25587271747502016</v>
      </c>
      <c r="EA103" s="590">
        <f t="shared" si="375"/>
        <v>0.23742920460779371</v>
      </c>
      <c r="EB103" s="590">
        <f t="shared" si="375"/>
        <v>0.22388827700163039</v>
      </c>
      <c r="EC103" s="591">
        <f t="shared" si="375"/>
        <v>0.24402593866508915</v>
      </c>
      <c r="ED103" s="590">
        <f t="shared" ref="ED103" si="376">ED101/DY101-1</f>
        <v>0.18594862186170302</v>
      </c>
      <c r="EE103" s="590">
        <f t="shared" ref="EE103" si="377">EE101/DZ101-1</f>
        <v>0.18442949452402613</v>
      </c>
      <c r="EF103" s="590">
        <f t="shared" ref="EF103" si="378">EF101/EA101-1</f>
        <v>0.18530433847632688</v>
      </c>
      <c r="EG103" s="590">
        <f t="shared" ref="EG103" si="379">EG101/EB101-1</f>
        <v>0.18238827390268275</v>
      </c>
      <c r="EH103" s="591">
        <f t="shared" ref="EH103" si="380">EH101/EC101-1</f>
        <v>0.18431158135186965</v>
      </c>
      <c r="EI103" s="590">
        <f t="shared" ref="EI103" si="381">EI101/ED101-1</f>
        <v>0.16004079719744757</v>
      </c>
      <c r="EJ103" s="590">
        <f t="shared" ref="EJ103" si="382">EJ101/EE101-1</f>
        <v>0.15852413746340832</v>
      </c>
      <c r="EK103" s="590">
        <f t="shared" ref="EK103" si="383">EK101/EF101-1</f>
        <v>0.15938184906267772</v>
      </c>
      <c r="EL103" s="590">
        <f t="shared" ref="EL103" si="384">EL101/EG101-1</f>
        <v>0.15644181383520239</v>
      </c>
      <c r="EM103" s="591">
        <f t="shared" ref="EM103" si="385">EM101/EH101-1</f>
        <v>0.15839036297738951</v>
      </c>
      <c r="EN103" s="590">
        <f t="shared" ref="EN103" si="386">EN101/EI101-1</f>
        <v>0.14400381345737689</v>
      </c>
      <c r="EO103" s="590">
        <f t="shared" ref="EO103" si="387">EO101/EJ101-1</f>
        <v>0.14247252017483913</v>
      </c>
      <c r="EP103" s="590">
        <f t="shared" ref="EP103" si="388">EP101/EK101-1</f>
        <v>0.1433227170785174</v>
      </c>
      <c r="EQ103" s="590">
        <f t="shared" ref="EQ103" si="389">EQ101/EL101-1</f>
        <v>0.1403249538249256</v>
      </c>
      <c r="ER103" s="591">
        <f t="shared" ref="ER103" si="390">ER101/EM101-1</f>
        <v>0.14232126398363576</v>
      </c>
      <c r="ES103" s="490"/>
    </row>
    <row r="104" spans="1:149" ht="12" customHeight="1">
      <c r="A104" s="934"/>
      <c r="B104" s="619"/>
      <c r="C104" s="940" t="s">
        <v>313</v>
      </c>
      <c r="D104" s="650"/>
      <c r="E104" s="591"/>
      <c r="F104" s="591"/>
      <c r="G104" s="591"/>
      <c r="H104" s="591"/>
      <c r="I104" s="651"/>
      <c r="J104" s="651"/>
      <c r="K104" s="651"/>
      <c r="L104" s="651"/>
      <c r="M104" s="591"/>
      <c r="N104" s="590"/>
      <c r="O104" s="590"/>
      <c r="P104" s="590"/>
      <c r="Q104" s="590"/>
      <c r="R104" s="591"/>
      <c r="S104" s="590"/>
      <c r="T104" s="590"/>
      <c r="U104" s="590"/>
      <c r="V104" s="590"/>
      <c r="W104" s="591"/>
      <c r="X104" s="590"/>
      <c r="Y104" s="590"/>
      <c r="Z104" s="590"/>
      <c r="AA104" s="590"/>
      <c r="AB104" s="591"/>
      <c r="AC104" s="590"/>
      <c r="AD104" s="590"/>
      <c r="AE104" s="590"/>
      <c r="AF104" s="590"/>
      <c r="AG104" s="591"/>
      <c r="AH104" s="590"/>
      <c r="AI104" s="590"/>
      <c r="AJ104" s="590"/>
      <c r="AK104" s="590"/>
      <c r="AL104" s="591"/>
      <c r="AM104" s="590"/>
      <c r="AN104" s="590"/>
      <c r="AO104" s="590"/>
      <c r="AP104" s="590"/>
      <c r="AQ104" s="591"/>
      <c r="AR104" s="590"/>
      <c r="AS104" s="590"/>
      <c r="AT104" s="590"/>
      <c r="AU104" s="590"/>
      <c r="AV104" s="591"/>
      <c r="AW104" s="590"/>
      <c r="AX104" s="590"/>
      <c r="AY104" s="590"/>
      <c r="AZ104" s="590"/>
      <c r="BA104" s="591"/>
      <c r="BB104" s="590"/>
      <c r="BC104" s="590"/>
      <c r="BD104" s="590"/>
      <c r="BE104" s="590"/>
      <c r="BF104" s="591"/>
      <c r="BG104" s="652"/>
      <c r="BH104" s="652"/>
      <c r="BI104" s="652"/>
      <c r="BJ104" s="652"/>
      <c r="BK104" s="591"/>
      <c r="BL104" s="590"/>
      <c r="BM104" s="590"/>
      <c r="BN104" s="590"/>
      <c r="BO104" s="590"/>
      <c r="BP104" s="591"/>
      <c r="BQ104" s="590"/>
      <c r="BR104" s="590"/>
      <c r="BS104" s="590"/>
      <c r="BT104" s="590"/>
      <c r="BU104" s="591"/>
      <c r="BV104" s="590"/>
      <c r="BW104" s="590"/>
      <c r="BX104" s="590"/>
      <c r="BY104" s="590"/>
      <c r="BZ104" s="352"/>
      <c r="CA104" s="590"/>
      <c r="CB104" s="590">
        <f>CB101/CA101-1</f>
        <v>0.22600652383650566</v>
      </c>
      <c r="CC104" s="590">
        <f>CC101/CB101-1</f>
        <v>0.11197022121738276</v>
      </c>
      <c r="CD104" s="590">
        <f>CD101/CC101-1</f>
        <v>0.44792801698475615</v>
      </c>
      <c r="CE104" s="352"/>
      <c r="CF104" s="590"/>
      <c r="CG104" s="590">
        <f>CG101/CF101-1</f>
        <v>0.17609644127490309</v>
      </c>
      <c r="CH104" s="590">
        <f>CH101/CG101-1</f>
        <v>0.11401051831766518</v>
      </c>
      <c r="CI104" s="590">
        <f>CI101/CH101-1</f>
        <v>0.40626023925588606</v>
      </c>
      <c r="CJ104" s="352"/>
      <c r="CK104" s="590"/>
      <c r="CL104" s="590">
        <f>CL101/CK101-1</f>
        <v>0.16053346368125476</v>
      </c>
      <c r="CM104" s="590">
        <f>CM101/CL101-1</f>
        <v>7.6785748473187754E-2</v>
      </c>
      <c r="CN104" s="590">
        <f>CN101/CM101-1</f>
        <v>0.43124347149683295</v>
      </c>
      <c r="CO104" s="1067"/>
      <c r="CP104" s="590">
        <f>CP101/CN101-1</f>
        <v>-0.14819130991160767</v>
      </c>
      <c r="CQ104" s="590">
        <f>CQ101/CP101-1</f>
        <v>0.83400025496473029</v>
      </c>
      <c r="CR104" s="590">
        <f>CR101/CQ101-1</f>
        <v>8.155904438441608E-3</v>
      </c>
      <c r="CS104" s="590">
        <f>CS101/CR101-1</f>
        <v>0.33741149251816083</v>
      </c>
      <c r="CT104" s="352"/>
      <c r="CU104" s="590">
        <f>CU101/CS101-1</f>
        <v>-7.1745697708029077E-2</v>
      </c>
      <c r="CV104" s="590">
        <f>CV101/CU101-1</f>
        <v>0.17552090974690349</v>
      </c>
      <c r="CW104" s="590">
        <f>CW101/CV101-1</f>
        <v>2.9597253211888219E-3</v>
      </c>
      <c r="CX104" s="590">
        <f>CX101/CW101-1</f>
        <v>0.3063799312281914</v>
      </c>
      <c r="CY104" s="352"/>
      <c r="CZ104" s="590">
        <f>CZ101/CX101-1</f>
        <v>-0.18759101629872632</v>
      </c>
      <c r="DA104" s="590">
        <f>DA101/CZ101-1</f>
        <v>8.1221430218126001E-2</v>
      </c>
      <c r="DB104" s="590">
        <f>DB101/DA101-1</f>
        <v>6.5989317481854659E-2</v>
      </c>
      <c r="DC104" s="590">
        <f>DC101/DB101-1</f>
        <v>0.34834361889445264</v>
      </c>
      <c r="DD104" s="352"/>
      <c r="DE104" s="590">
        <f>DE101/DC101-1</f>
        <v>-0.15426555966788291</v>
      </c>
      <c r="DF104" s="590">
        <f>DF101/DE101-1</f>
        <v>0.11012433392539966</v>
      </c>
      <c r="DG104" s="590">
        <f>DG101/DF101-1</f>
        <v>-1.760000000000006E-2</v>
      </c>
      <c r="DH104" s="590">
        <f>DH101/DG101-1</f>
        <v>0.3184039087947883</v>
      </c>
      <c r="DI104" s="352"/>
      <c r="DJ104" s="590">
        <f>DJ101/DI101-1</f>
        <v>-0.74309484491671451</v>
      </c>
      <c r="DK104" s="590">
        <f>DK101/DJ101-1</f>
        <v>9.7984866587017105E-2</v>
      </c>
      <c r="DL104" s="590">
        <f>DL101/DK101-1</f>
        <v>4.7430984971932766E-2</v>
      </c>
      <c r="DM104" s="590">
        <f>DM101/DL101-1</f>
        <v>0.38299270399365448</v>
      </c>
      <c r="DN104" s="352"/>
      <c r="DO104" s="590">
        <f>DO101/DN101-1</f>
        <v>-0.73509636563892555</v>
      </c>
      <c r="DP104" s="590">
        <f>DP101/DO101-1</f>
        <v>0.16343904557364075</v>
      </c>
      <c r="DQ104" s="590">
        <f>DQ101/DP101-1</f>
        <v>5.9983604259319367E-2</v>
      </c>
      <c r="DR104" s="590">
        <f>DR101/DQ101-1</f>
        <v>0.34990627222470971</v>
      </c>
      <c r="DS104" s="352"/>
      <c r="DT104" s="590">
        <f>DT101/DS101-1</f>
        <v>-0.73260595445872578</v>
      </c>
      <c r="DU104" s="590">
        <f>DU101/DT101-1</f>
        <v>0.16134514335798844</v>
      </c>
      <c r="DV104" s="590">
        <f>DV101/DU101-1</f>
        <v>1.2577451549999008E-2</v>
      </c>
      <c r="DW104" s="590">
        <f>DW101/DV101-1</f>
        <v>0.33487040081689967</v>
      </c>
      <c r="DX104" s="352"/>
      <c r="DY104" s="590">
        <f>DY101/DW101-1</f>
        <v>-0.1911823615765591</v>
      </c>
      <c r="DZ104" s="590">
        <f>DZ101/DY101-1</f>
        <v>0.14875564092312943</v>
      </c>
      <c r="EA104" s="590">
        <f>EA101/DZ101-1</f>
        <v>-2.2930723469397618E-3</v>
      </c>
      <c r="EB104" s="590">
        <f>EB101/EA101-1</f>
        <v>0.32026319468844822</v>
      </c>
      <c r="EC104" s="352"/>
      <c r="ED104" s="590">
        <f>ED101/EB101-1</f>
        <v>-0.21625512585538142</v>
      </c>
      <c r="EE104" s="590">
        <f>EE101/ED101-1</f>
        <v>0.14728415550945484</v>
      </c>
      <c r="EF104" s="590">
        <f>EF101/EE101-1</f>
        <v>-1.5561455177266481E-3</v>
      </c>
      <c r="EG104" s="590">
        <f>EG101/EF101-1</f>
        <v>0.3170151067460163</v>
      </c>
      <c r="EH104" s="352"/>
      <c r="EI104" s="590">
        <f>EI101/EG101-1</f>
        <v>-0.23106812823740264</v>
      </c>
      <c r="EJ104" s="590">
        <f>EJ101/EI101-1</f>
        <v>0.14578417405503874</v>
      </c>
      <c r="EK104" s="590">
        <f>EK101/EJ101-1</f>
        <v>-8.1694911472063314E-4</v>
      </c>
      <c r="EL104" s="590">
        <f>EL101/EK101-1</f>
        <v>0.31367533494254962</v>
      </c>
      <c r="EM104" s="352"/>
      <c r="EN104" s="590">
        <f>EN101/EL101-1</f>
        <v>-0.23933830214246699</v>
      </c>
      <c r="EO104" s="590">
        <f>EO101/EN101-1</f>
        <v>0.14425049769108833</v>
      </c>
      <c r="EP104" s="590">
        <f>EP101/EO101-1</f>
        <v>-7.3384327761494283E-5</v>
      </c>
      <c r="EQ104" s="590">
        <f>EQ101/EP101-1</f>
        <v>0.31023091143253367</v>
      </c>
      <c r="ER104" s="352"/>
      <c r="ES104" s="632"/>
    </row>
    <row r="105" spans="1:149" ht="12" customHeight="1">
      <c r="A105" s="934"/>
      <c r="B105" s="619"/>
      <c r="C105" s="940" t="s">
        <v>310</v>
      </c>
      <c r="D105" s="650"/>
      <c r="E105" s="591"/>
      <c r="F105" s="591"/>
      <c r="G105" s="591"/>
      <c r="H105" s="591"/>
      <c r="I105" s="651"/>
      <c r="J105" s="651"/>
      <c r="K105" s="651"/>
      <c r="L105" s="651"/>
      <c r="M105" s="591"/>
      <c r="N105" s="590"/>
      <c r="O105" s="590"/>
      <c r="P105" s="590"/>
      <c r="Q105" s="590"/>
      <c r="R105" s="591"/>
      <c r="S105" s="590"/>
      <c r="T105" s="590"/>
      <c r="U105" s="590"/>
      <c r="V105" s="590"/>
      <c r="W105" s="591"/>
      <c r="X105" s="590"/>
      <c r="Y105" s="590"/>
      <c r="Z105" s="590"/>
      <c r="AA105" s="590"/>
      <c r="AB105" s="591"/>
      <c r="AC105" s="590"/>
      <c r="AD105" s="590"/>
      <c r="AE105" s="590"/>
      <c r="AF105" s="590"/>
      <c r="AG105" s="591"/>
      <c r="AH105" s="590"/>
      <c r="AI105" s="590"/>
      <c r="AJ105" s="590"/>
      <c r="AK105" s="590"/>
      <c r="AL105" s="591"/>
      <c r="AM105" s="590"/>
      <c r="AN105" s="590"/>
      <c r="AO105" s="590"/>
      <c r="AP105" s="590"/>
      <c r="AQ105" s="591"/>
      <c r="AR105" s="590"/>
      <c r="AS105" s="590"/>
      <c r="AT105" s="590"/>
      <c r="AU105" s="590"/>
      <c r="AV105" s="591"/>
      <c r="AW105" s="590"/>
      <c r="AX105" s="590"/>
      <c r="AY105" s="590"/>
      <c r="AZ105" s="590"/>
      <c r="BA105" s="591"/>
      <c r="BB105" s="590"/>
      <c r="BC105" s="590"/>
      <c r="BD105" s="590"/>
      <c r="BE105" s="590"/>
      <c r="BF105" s="591"/>
      <c r="BG105" s="652"/>
      <c r="BH105" s="652"/>
      <c r="BI105" s="652"/>
      <c r="BJ105" s="652"/>
      <c r="BK105" s="591"/>
      <c r="BL105" s="590"/>
      <c r="BM105" s="590"/>
      <c r="BN105" s="590"/>
      <c r="BO105" s="590"/>
      <c r="BP105" s="591"/>
      <c r="BQ105" s="590"/>
      <c r="BR105" s="590"/>
      <c r="BS105" s="590"/>
      <c r="BT105" s="590"/>
      <c r="BU105" s="591"/>
      <c r="BV105" s="590"/>
      <c r="BW105" s="590"/>
      <c r="BX105" s="590"/>
      <c r="BY105" s="590"/>
      <c r="BZ105" s="352"/>
      <c r="CA105" s="590">
        <f t="shared" ref="CA105:DF105" si="391">CA101/CA6</f>
        <v>0.47162467910723122</v>
      </c>
      <c r="CB105" s="590">
        <f t="shared" si="391"/>
        <v>0.4856578418120075</v>
      </c>
      <c r="CC105" s="590">
        <f t="shared" si="391"/>
        <v>0.47766960619634191</v>
      </c>
      <c r="CD105" s="590">
        <f t="shared" si="391"/>
        <v>0.53221215902052832</v>
      </c>
      <c r="CE105" s="591">
        <f t="shared" si="391"/>
        <v>0.49637483217090639</v>
      </c>
      <c r="CF105" s="590">
        <f t="shared" si="391"/>
        <v>0.47661234487263227</v>
      </c>
      <c r="CG105" s="590">
        <f t="shared" si="391"/>
        <v>0.49046831562317567</v>
      </c>
      <c r="CH105" s="590">
        <f t="shared" si="391"/>
        <v>0.49560313481248891</v>
      </c>
      <c r="CI105" s="590">
        <f t="shared" si="391"/>
        <v>0.54737159092891918</v>
      </c>
      <c r="CJ105" s="591">
        <f t="shared" si="391"/>
        <v>0.50722495851304805</v>
      </c>
      <c r="CK105" s="590">
        <f t="shared" si="391"/>
        <v>0.48872314201733641</v>
      </c>
      <c r="CL105" s="590">
        <f t="shared" si="391"/>
        <v>0.50215852300824071</v>
      </c>
      <c r="CM105" s="590">
        <f t="shared" si="391"/>
        <v>0.50115797640263016</v>
      </c>
      <c r="CN105" s="590">
        <f t="shared" si="391"/>
        <v>0.55454663868873222</v>
      </c>
      <c r="CO105" s="591">
        <f t="shared" si="391"/>
        <v>0.51595157184922058</v>
      </c>
      <c r="CP105" s="590">
        <f t="shared" si="391"/>
        <v>0.50770368573683877</v>
      </c>
      <c r="CQ105" s="590">
        <f t="shared" si="391"/>
        <v>0.61263656293002922</v>
      </c>
      <c r="CR105" s="590">
        <f t="shared" si="391"/>
        <v>0.57492548914849395</v>
      </c>
      <c r="CS105" s="590">
        <f t="shared" si="391"/>
        <v>0.60349833903353012</v>
      </c>
      <c r="CT105" s="591">
        <f t="shared" si="391"/>
        <v>0.5828726662754723</v>
      </c>
      <c r="CU105" s="590">
        <f t="shared" si="391"/>
        <v>0.55402193098244368</v>
      </c>
      <c r="CV105" s="590">
        <f t="shared" si="391"/>
        <v>0.57516944557347627</v>
      </c>
      <c r="CW105" s="590">
        <f t="shared" si="391"/>
        <v>0.57466695143004609</v>
      </c>
      <c r="CX105" s="590">
        <f t="shared" si="391"/>
        <v>0.61131481771331508</v>
      </c>
      <c r="CY105" s="591">
        <f t="shared" si="391"/>
        <v>0.58132952112988778</v>
      </c>
      <c r="CZ105" s="590">
        <f t="shared" si="391"/>
        <v>0.56942404390743606</v>
      </c>
      <c r="DA105" s="590">
        <f t="shared" si="391"/>
        <v>0.57220286580652835</v>
      </c>
      <c r="DB105" s="590">
        <f t="shared" si="391"/>
        <v>0.57820187527448397</v>
      </c>
      <c r="DC105" s="590">
        <f t="shared" si="391"/>
        <v>0.61390389503498011</v>
      </c>
      <c r="DD105" s="591">
        <f t="shared" si="391"/>
        <v>0.58598919366613178</v>
      </c>
      <c r="DE105" s="590">
        <f t="shared" si="391"/>
        <v>0.59734748010610073</v>
      </c>
      <c r="DF105" s="590">
        <f t="shared" si="391"/>
        <v>0.59031877213695394</v>
      </c>
      <c r="DG105" s="590">
        <f t="shared" ref="DG105:EL105" si="392">DG101/DG6</f>
        <v>0.57316219369894972</v>
      </c>
      <c r="DH105" s="590">
        <f t="shared" si="392"/>
        <v>0.60410447761194019</v>
      </c>
      <c r="DI105" s="591">
        <f t="shared" si="392"/>
        <v>0.59184135977337105</v>
      </c>
      <c r="DJ105" s="590">
        <f t="shared" si="392"/>
        <v>0.57681488447071461</v>
      </c>
      <c r="DK105" s="590">
        <f t="shared" si="392"/>
        <v>0.57634943765281166</v>
      </c>
      <c r="DL105" s="590">
        <f t="shared" si="392"/>
        <v>0.57101683626271971</v>
      </c>
      <c r="DM105" s="590">
        <f t="shared" si="392"/>
        <v>0.60716842105263147</v>
      </c>
      <c r="DN105" s="591">
        <f t="shared" si="392"/>
        <v>0.58490800675675658</v>
      </c>
      <c r="DO105" s="590">
        <f t="shared" si="392"/>
        <v>0.58301059322033888</v>
      </c>
      <c r="DP105" s="590">
        <f t="shared" si="392"/>
        <v>0.59730656716417907</v>
      </c>
      <c r="DQ105" s="590">
        <f t="shared" si="392"/>
        <v>0.59662526371308011</v>
      </c>
      <c r="DR105" s="590">
        <f t="shared" si="392"/>
        <v>0.62378104575163384</v>
      </c>
      <c r="DS105" s="591">
        <f t="shared" si="392"/>
        <v>0.60263178002769113</v>
      </c>
      <c r="DT105" s="590">
        <f t="shared" ref="DT105:DU105" si="393">DT101/DT6</f>
        <v>0.5874244697674823</v>
      </c>
      <c r="DU105" s="590">
        <f t="shared" si="393"/>
        <v>0.60356742939478636</v>
      </c>
      <c r="DV105" s="590">
        <f t="shared" si="392"/>
        <v>0.59040900293973309</v>
      </c>
      <c r="DW105" s="590">
        <f t="shared" si="392"/>
        <v>0.61541505379913064</v>
      </c>
      <c r="DX105" s="591">
        <f t="shared" si="392"/>
        <v>0.60069441545354285</v>
      </c>
      <c r="DY105" s="590">
        <f t="shared" si="392"/>
        <v>0.58591410038200253</v>
      </c>
      <c r="DZ105" s="590">
        <f t="shared" si="392"/>
        <v>0.59799212947370428</v>
      </c>
      <c r="EA105" s="590">
        <f t="shared" si="392"/>
        <v>0.58377622582817701</v>
      </c>
      <c r="EB105" s="590">
        <f t="shared" si="392"/>
        <v>0.60474582342346994</v>
      </c>
      <c r="EC105" s="591">
        <f t="shared" si="392"/>
        <v>0.59408454280046641</v>
      </c>
      <c r="ED105" s="590">
        <f t="shared" si="392"/>
        <v>0.57490255129909429</v>
      </c>
      <c r="EE105" s="590">
        <f t="shared" si="392"/>
        <v>0.58647159295663465</v>
      </c>
      <c r="EF105" s="590">
        <f t="shared" si="392"/>
        <v>0.57367187669300679</v>
      </c>
      <c r="EG105" s="590">
        <f t="shared" si="392"/>
        <v>0.5927334235289955</v>
      </c>
      <c r="EH105" s="591">
        <f t="shared" si="392"/>
        <v>0.58286086938793991</v>
      </c>
      <c r="EI105" s="590">
        <f t="shared" si="392"/>
        <v>0.56274647212615647</v>
      </c>
      <c r="EJ105" s="590">
        <f t="shared" si="392"/>
        <v>0.57322943481306554</v>
      </c>
      <c r="EK105" s="590">
        <f t="shared" si="392"/>
        <v>0.56116679822393634</v>
      </c>
      <c r="EL105" s="590">
        <f t="shared" si="392"/>
        <v>0.57804574462799563</v>
      </c>
      <c r="EM105" s="591">
        <f t="shared" ref="EM105:ER105" si="394">EM101/EM6</f>
        <v>0.56958161760405668</v>
      </c>
      <c r="EN105" s="590">
        <f t="shared" si="394"/>
        <v>0.54878103428984681</v>
      </c>
      <c r="EO105" s="590">
        <f t="shared" si="394"/>
        <v>0.55824468181107201</v>
      </c>
      <c r="EP105" s="590">
        <f t="shared" si="394"/>
        <v>0.54686929105223958</v>
      </c>
      <c r="EQ105" s="590">
        <f t="shared" si="394"/>
        <v>0.56179244810147611</v>
      </c>
      <c r="ER105" s="591">
        <f t="shared" si="394"/>
        <v>0.55458675630429866</v>
      </c>
      <c r="ES105" s="632"/>
    </row>
    <row r="106" spans="1:149" ht="12" customHeight="1">
      <c r="A106" s="931"/>
      <c r="B106" s="484"/>
      <c r="C106" s="957" t="s">
        <v>586</v>
      </c>
      <c r="D106" s="650"/>
      <c r="E106" s="591"/>
      <c r="F106" s="591"/>
      <c r="G106" s="591"/>
      <c r="H106" s="591"/>
      <c r="I106" s="981"/>
      <c r="J106" s="981"/>
      <c r="K106" s="981"/>
      <c r="L106" s="981"/>
      <c r="M106" s="591"/>
      <c r="N106" s="982"/>
      <c r="O106" s="982"/>
      <c r="P106" s="982"/>
      <c r="Q106" s="982"/>
      <c r="R106" s="591"/>
      <c r="S106" s="982"/>
      <c r="T106" s="982"/>
      <c r="U106" s="982"/>
      <c r="V106" s="982"/>
      <c r="W106" s="591"/>
      <c r="X106" s="982"/>
      <c r="Y106" s="982"/>
      <c r="Z106" s="982"/>
      <c r="AA106" s="982"/>
      <c r="AB106" s="591"/>
      <c r="AC106" s="982"/>
      <c r="AD106" s="982"/>
      <c r="AE106" s="982"/>
      <c r="AF106" s="982"/>
      <c r="AG106" s="591"/>
      <c r="AH106" s="982"/>
      <c r="AI106" s="982"/>
      <c r="AJ106" s="982"/>
      <c r="AK106" s="982"/>
      <c r="AL106" s="591"/>
      <c r="AM106" s="982"/>
      <c r="AN106" s="982"/>
      <c r="AO106" s="982"/>
      <c r="AP106" s="982"/>
      <c r="AQ106" s="591"/>
      <c r="AR106" s="982"/>
      <c r="AS106" s="982"/>
      <c r="AT106" s="982"/>
      <c r="AU106" s="982"/>
      <c r="AV106" s="591"/>
      <c r="AW106" s="982"/>
      <c r="AX106" s="982"/>
      <c r="AY106" s="982"/>
      <c r="AZ106" s="982"/>
      <c r="BA106" s="591"/>
      <c r="BB106" s="982"/>
      <c r="BC106" s="982"/>
      <c r="BD106" s="982"/>
      <c r="BE106" s="982"/>
      <c r="BF106" s="591"/>
      <c r="BG106" s="983"/>
      <c r="BH106" s="983"/>
      <c r="BI106" s="983"/>
      <c r="BJ106" s="983"/>
      <c r="BK106" s="591"/>
      <c r="BL106" s="982"/>
      <c r="BM106" s="982"/>
      <c r="BN106" s="982"/>
      <c r="BO106" s="982"/>
      <c r="BP106" s="591"/>
      <c r="BQ106" s="982"/>
      <c r="BR106" s="982"/>
      <c r="BS106" s="982"/>
      <c r="BT106" s="982"/>
      <c r="BU106" s="591"/>
      <c r="BV106" s="982"/>
      <c r="BW106" s="982"/>
      <c r="BX106" s="982"/>
      <c r="BY106" s="982"/>
      <c r="BZ106" s="352"/>
      <c r="CA106" s="1048">
        <f>+CA73-CA101</f>
        <v>5.2239199999999997</v>
      </c>
      <c r="CB106" s="1048">
        <f>+CB73-CB101</f>
        <v>6.4045600000000036</v>
      </c>
      <c r="CC106" s="1048">
        <f>+CC73-CC101</f>
        <v>7.1216799999999978</v>
      </c>
      <c r="CD106" s="1048">
        <f>+CD73-CD101</f>
        <v>10.311679999999996</v>
      </c>
      <c r="CE106" s="1047">
        <f>SUM(CA106:CD106)</f>
        <v>29.061839999999997</v>
      </c>
      <c r="CF106" s="1048">
        <f>+CF73-CF101</f>
        <v>11.984910000000013</v>
      </c>
      <c r="CG106" s="1048">
        <f>+CG73-CG101</f>
        <v>14.095410000000015</v>
      </c>
      <c r="CH106" s="1048">
        <f>+CH73-CH101</f>
        <v>15.702435000000008</v>
      </c>
      <c r="CI106" s="1048">
        <f>+CI73-CI101</f>
        <v>22.081710000000015</v>
      </c>
      <c r="CJ106" s="1047">
        <f>SUM(CF106:CI106)</f>
        <v>63.864465000000052</v>
      </c>
      <c r="CK106" s="1048">
        <f>+CK73-CK101</f>
        <v>23.404030000000006</v>
      </c>
      <c r="CL106" s="1048">
        <f>+CL73-CL101</f>
        <v>27.161160000000024</v>
      </c>
      <c r="CM106" s="1048">
        <f>+CM73-CM101</f>
        <v>29.246749999999992</v>
      </c>
      <c r="CN106" s="1048">
        <f>+CN73-CN101</f>
        <v>41.85922000000005</v>
      </c>
      <c r="CO106" s="1047">
        <f>SUM(CK106:CN106)</f>
        <v>121.67116000000007</v>
      </c>
      <c r="CP106" s="1048">
        <f>+CP73-CP101</f>
        <v>43.770760000000053</v>
      </c>
      <c r="CQ106" s="1048">
        <f>+CQ73-CQ101</f>
        <v>80.275585000000035</v>
      </c>
      <c r="CR106" s="1048">
        <f>+CR73-CR101</f>
        <v>80.930304999999976</v>
      </c>
      <c r="CS106" s="1048">
        <f>+CS73-CS101</f>
        <v>108.23712000000012</v>
      </c>
      <c r="CT106" s="1047">
        <f>SUM(CP106:CS106)</f>
        <v>313.21377000000018</v>
      </c>
      <c r="CU106" s="1048">
        <f>+CU73-CU101</f>
        <v>120.23388</v>
      </c>
      <c r="CV106" s="1048">
        <f>+CV73-CV101</f>
        <v>141.3374399999999</v>
      </c>
      <c r="CW106" s="1048">
        <f>+CW73-CW101</f>
        <v>141.75576000000001</v>
      </c>
      <c r="CX106" s="1048">
        <f>+CX73-CX101</f>
        <v>185.18687999999997</v>
      </c>
      <c r="CY106" s="1047">
        <f>SUM(CU106:CX106)</f>
        <v>588.51395999999988</v>
      </c>
      <c r="CZ106" s="1048">
        <f>+CZ73-CZ101</f>
        <v>173.49012400000004</v>
      </c>
      <c r="DA106" s="1048">
        <f>+DA73-DA101</f>
        <v>187.58123999999998</v>
      </c>
      <c r="DB106" s="1048">
        <f>+DB73-DB101</f>
        <v>199.95959800000003</v>
      </c>
      <c r="DC106" s="1048">
        <f>+DC73-DC101</f>
        <v>269.61424800000009</v>
      </c>
      <c r="DD106" s="1047">
        <f>SUM(CZ106:DC106)</f>
        <v>830.64521000000013</v>
      </c>
      <c r="DE106" s="1048">
        <f>+DE73-DE101</f>
        <v>225.20000000000005</v>
      </c>
      <c r="DF106" s="1048">
        <f>+DF73-DF101</f>
        <v>250.00000000000011</v>
      </c>
      <c r="DG106" s="1048">
        <f>+DG73-DG101</f>
        <v>245.60000000000014</v>
      </c>
      <c r="DH106" s="1048">
        <f>+DH73-DH101</f>
        <v>323.80000000000018</v>
      </c>
      <c r="DI106" s="1047">
        <f>SUM(DE106:DH106)</f>
        <v>1044.6000000000004</v>
      </c>
      <c r="DJ106" s="1048">
        <f>+DJ73-DJ101</f>
        <v>276.54750000000013</v>
      </c>
      <c r="DK106" s="1048">
        <f>+DK73-DK101</f>
        <v>303.36540000000014</v>
      </c>
      <c r="DL106" s="1048">
        <f>+DL73-DL101</f>
        <v>317.46160000000009</v>
      </c>
      <c r="DM106" s="1048">
        <f>+DM73-DM101</f>
        <v>438.64240000000041</v>
      </c>
      <c r="DN106" s="1047">
        <f>SUM(DJ106:DM106)</f>
        <v>1336.0169000000008</v>
      </c>
      <c r="DO106" s="1048">
        <f>+DO73-DO101</f>
        <v>364.09500000000025</v>
      </c>
      <c r="DP106" s="1048">
        <f>+DP73-DP101</f>
        <v>423.2184000000002</v>
      </c>
      <c r="DQ106" s="1048">
        <f>+DQ73-DQ101</f>
        <v>448.19775000000027</v>
      </c>
      <c r="DR106" s="1048">
        <f>+DR73-DR101</f>
        <v>604.47600000000057</v>
      </c>
      <c r="DS106" s="1047">
        <f>SUM(DO106:DR106)</f>
        <v>1839.9871500000013</v>
      </c>
      <c r="DT106" s="1048">
        <f>+DT73-DT101</f>
        <v>557.86443083708104</v>
      </c>
      <c r="DU106" s="1048">
        <f>+DU73-DU101</f>
        <v>618.41790047848053</v>
      </c>
      <c r="DV106" s="1048">
        <f>+DV73-DV101</f>
        <v>658.52657889885404</v>
      </c>
      <c r="DW106" s="1048">
        <f>+DW73-DW101</f>
        <v>891.35244102163233</v>
      </c>
      <c r="DX106" s="1047">
        <f>SUM(DT106:DW106)</f>
        <v>2726.1613512360482</v>
      </c>
      <c r="DY106" s="1048">
        <f>+DY73-DY101</f>
        <v>772.05069034762664</v>
      </c>
      <c r="DZ106" s="1048">
        <f>+DZ73-DZ101</f>
        <v>859.97316891107539</v>
      </c>
      <c r="EA106" s="1048">
        <f>+EA73-EA101</f>
        <v>895.54186097874253</v>
      </c>
      <c r="EB106" s="1048">
        <f>+EB73-EB101</f>
        <v>1211.8016207143814</v>
      </c>
      <c r="EC106" s="1047">
        <f>SUM(DY106:EB106)</f>
        <v>3739.367340951826</v>
      </c>
      <c r="ED106" s="1048">
        <f>+ED73-ED101</f>
        <v>1006.1039574936426</v>
      </c>
      <c r="EE106" s="1048">
        <f>+EE73-EE101</f>
        <v>1127.0934046800139</v>
      </c>
      <c r="EF106" s="1048">
        <f>+EF73-EF101</f>
        <v>1168.298672778631</v>
      </c>
      <c r="EG106" s="1048">
        <f>+EG73-EG101</f>
        <v>1588.4827813193679</v>
      </c>
      <c r="EH106" s="1047">
        <f>SUM(ED106:EG106)</f>
        <v>4889.9788162716559</v>
      </c>
      <c r="EI106" s="1048">
        <f>+EI73-EI101</f>
        <v>1278.6619621823083</v>
      </c>
      <c r="EJ106" s="1048">
        <f>+EJ73-EJ101</f>
        <v>1439.418466063817</v>
      </c>
      <c r="EK106" s="1048">
        <f>+EK73-EK101</f>
        <v>1486.1610536297567</v>
      </c>
      <c r="EL106" s="1048">
        <f>+EL73-EL101</f>
        <v>2028.7632980880526</v>
      </c>
      <c r="EM106" s="1047">
        <f>SUM(EI106:EL106)</f>
        <v>6233.0047799639351</v>
      </c>
      <c r="EN106" s="1048">
        <f>+EN73-EN101</f>
        <v>1598.5506553355031</v>
      </c>
      <c r="EO106" s="1048">
        <f>+EO73-EO101</f>
        <v>1807.0634452364602</v>
      </c>
      <c r="EP106" s="1048">
        <f>+EP73-EP101</f>
        <v>1859.4154614565614</v>
      </c>
      <c r="EQ106" s="1048">
        <f>+EQ73-EQ101</f>
        <v>2546.8129153719701</v>
      </c>
      <c r="ER106" s="1047">
        <f>SUM(EN106:EQ106)</f>
        <v>7811.8424774004952</v>
      </c>
      <c r="ES106" s="1638" t="s">
        <v>614</v>
      </c>
    </row>
    <row r="107" spans="1:149" ht="12" customHeight="1">
      <c r="A107" s="931"/>
      <c r="B107" s="484"/>
      <c r="C107" s="980" t="s">
        <v>314</v>
      </c>
      <c r="D107" s="650"/>
      <c r="E107" s="591"/>
      <c r="F107" s="591"/>
      <c r="G107" s="591"/>
      <c r="H107" s="591"/>
      <c r="I107" s="981"/>
      <c r="J107" s="981"/>
      <c r="K107" s="981"/>
      <c r="L107" s="981"/>
      <c r="M107" s="591"/>
      <c r="N107" s="982"/>
      <c r="O107" s="982"/>
      <c r="P107" s="982"/>
      <c r="Q107" s="982"/>
      <c r="R107" s="591"/>
      <c r="S107" s="982"/>
      <c r="T107" s="982"/>
      <c r="U107" s="982"/>
      <c r="V107" s="982"/>
      <c r="W107" s="591"/>
      <c r="X107" s="982"/>
      <c r="Y107" s="982"/>
      <c r="Z107" s="982"/>
      <c r="AA107" s="982"/>
      <c r="AB107" s="591"/>
      <c r="AC107" s="982"/>
      <c r="AD107" s="982"/>
      <c r="AE107" s="982"/>
      <c r="AF107" s="982"/>
      <c r="AG107" s="591"/>
      <c r="AH107" s="982"/>
      <c r="AI107" s="982"/>
      <c r="AJ107" s="982"/>
      <c r="AK107" s="982"/>
      <c r="AL107" s="591"/>
      <c r="AM107" s="982"/>
      <c r="AN107" s="982"/>
      <c r="AO107" s="982"/>
      <c r="AP107" s="982"/>
      <c r="AQ107" s="591"/>
      <c r="AR107" s="982"/>
      <c r="AS107" s="982"/>
      <c r="AT107" s="982"/>
      <c r="AU107" s="982"/>
      <c r="AV107" s="591"/>
      <c r="AW107" s="982"/>
      <c r="AX107" s="982"/>
      <c r="AY107" s="982"/>
      <c r="AZ107" s="982"/>
      <c r="BA107" s="591"/>
      <c r="BB107" s="982"/>
      <c r="BC107" s="982"/>
      <c r="BD107" s="982"/>
      <c r="BE107" s="982"/>
      <c r="BF107" s="591"/>
      <c r="BG107" s="983"/>
      <c r="BH107" s="983"/>
      <c r="BI107" s="983"/>
      <c r="BJ107" s="983"/>
      <c r="BK107" s="591"/>
      <c r="BL107" s="982"/>
      <c r="BM107" s="982"/>
      <c r="BN107" s="982"/>
      <c r="BO107" s="982"/>
      <c r="BP107" s="591"/>
      <c r="BQ107" s="982"/>
      <c r="BR107" s="982"/>
      <c r="BS107" s="982"/>
      <c r="BT107" s="982"/>
      <c r="BU107" s="591"/>
      <c r="BV107" s="982"/>
      <c r="BW107" s="982"/>
      <c r="BX107" s="982"/>
      <c r="BY107" s="982"/>
      <c r="BZ107" s="352"/>
      <c r="CA107" s="354">
        <f t="shared" ref="CA107:DF107" si="395">CA106/CA73</f>
        <v>7.9999999999999988E-2</v>
      </c>
      <c r="CB107" s="354">
        <f t="shared" si="395"/>
        <v>8.0000000000000043E-2</v>
      </c>
      <c r="CC107" s="354">
        <f t="shared" si="395"/>
        <v>7.9999999999999974E-2</v>
      </c>
      <c r="CD107" s="354">
        <f t="shared" si="395"/>
        <v>7.9999999999999974E-2</v>
      </c>
      <c r="CE107" s="352">
        <f t="shared" si="395"/>
        <v>7.9999999999999988E-2</v>
      </c>
      <c r="CF107" s="354">
        <f t="shared" si="395"/>
        <v>0.10500000000000012</v>
      </c>
      <c r="CG107" s="354">
        <f t="shared" si="395"/>
        <v>0.10500000000000012</v>
      </c>
      <c r="CH107" s="354">
        <f t="shared" si="395"/>
        <v>0.10500000000000005</v>
      </c>
      <c r="CI107" s="354">
        <f t="shared" si="395"/>
        <v>0.10500000000000008</v>
      </c>
      <c r="CJ107" s="352">
        <f t="shared" si="395"/>
        <v>0.10500000000000009</v>
      </c>
      <c r="CK107" s="354">
        <f t="shared" si="395"/>
        <v>0.13000000000000003</v>
      </c>
      <c r="CL107" s="354">
        <f t="shared" si="395"/>
        <v>0.13000000000000012</v>
      </c>
      <c r="CM107" s="354">
        <f t="shared" si="395"/>
        <v>0.12999999999999998</v>
      </c>
      <c r="CN107" s="354">
        <f t="shared" si="395"/>
        <v>0.13000000000000014</v>
      </c>
      <c r="CO107" s="352">
        <f t="shared" si="395"/>
        <v>0.13000000000000009</v>
      </c>
      <c r="CP107" s="354">
        <f t="shared" si="395"/>
        <v>0.15500000000000019</v>
      </c>
      <c r="CQ107" s="354">
        <f t="shared" si="395"/>
        <v>0.15500000000000005</v>
      </c>
      <c r="CR107" s="354">
        <f t="shared" si="395"/>
        <v>0.15499999999999997</v>
      </c>
      <c r="CS107" s="354">
        <f t="shared" si="395"/>
        <v>0.15500000000000017</v>
      </c>
      <c r="CT107" s="352">
        <f t="shared" si="395"/>
        <v>0.15500000000000008</v>
      </c>
      <c r="CU107" s="354">
        <f t="shared" si="395"/>
        <v>0.18</v>
      </c>
      <c r="CV107" s="354">
        <f t="shared" si="395"/>
        <v>0.17999999999999988</v>
      </c>
      <c r="CW107" s="354">
        <f t="shared" si="395"/>
        <v>0.18</v>
      </c>
      <c r="CX107" s="354">
        <f t="shared" si="395"/>
        <v>0.17999999999999997</v>
      </c>
      <c r="CY107" s="352">
        <f t="shared" si="395"/>
        <v>0.17999999999999997</v>
      </c>
      <c r="CZ107" s="354">
        <f t="shared" si="395"/>
        <v>0.20200000000000004</v>
      </c>
      <c r="DA107" s="354">
        <f t="shared" si="395"/>
        <v>0.20199999999999999</v>
      </c>
      <c r="DB107" s="354">
        <f t="shared" si="395"/>
        <v>0.20200000000000004</v>
      </c>
      <c r="DC107" s="354">
        <f t="shared" si="395"/>
        <v>0.20200000000000007</v>
      </c>
      <c r="DD107" s="352">
        <f t="shared" si="395"/>
        <v>0.20200000000000004</v>
      </c>
      <c r="DE107" s="354">
        <f t="shared" si="395"/>
        <v>0.20000000000000004</v>
      </c>
      <c r="DF107" s="354">
        <f t="shared" si="395"/>
        <v>0.20000000000000009</v>
      </c>
      <c r="DG107" s="354">
        <f t="shared" ref="DG107:EC107" si="396">DG106/DG73</f>
        <v>0.20000000000000012</v>
      </c>
      <c r="DH107" s="354">
        <f t="shared" si="396"/>
        <v>0.20000000000000012</v>
      </c>
      <c r="DI107" s="352">
        <f t="shared" si="396"/>
        <v>0.20000000000000007</v>
      </c>
      <c r="DJ107" s="354">
        <f t="shared" si="396"/>
        <v>0.20485000000000009</v>
      </c>
      <c r="DK107" s="354">
        <f t="shared" si="396"/>
        <v>0.2047000000000001</v>
      </c>
      <c r="DL107" s="354">
        <f t="shared" si="396"/>
        <v>0.20455000000000007</v>
      </c>
      <c r="DM107" s="354">
        <f t="shared" si="396"/>
        <v>0.20440000000000019</v>
      </c>
      <c r="DN107" s="352">
        <f t="shared" si="396"/>
        <v>0.20459676875957133</v>
      </c>
      <c r="DO107" s="354">
        <f>DO106/DO73</f>
        <v>0.20925000000000016</v>
      </c>
      <c r="DP107" s="354">
        <f t="shared" ref="DP107:DQ107" si="397">DP106/DP73</f>
        <v>0.20910000000000009</v>
      </c>
      <c r="DQ107" s="354">
        <f t="shared" si="397"/>
        <v>0.20895000000000014</v>
      </c>
      <c r="DR107" s="354">
        <f>DR106/DR73</f>
        <v>0.20880000000000021</v>
      </c>
      <c r="DS107" s="352">
        <f>DS106/DS73</f>
        <v>0.20899445138573391</v>
      </c>
      <c r="DT107" s="354">
        <f>DT106/DT73</f>
        <v>0.23052249208143843</v>
      </c>
      <c r="DU107" s="354">
        <f t="shared" ref="DU107" si="398">DU106/DU73</f>
        <v>0.22237249208143853</v>
      </c>
      <c r="DV107" s="354">
        <f t="shared" si="396"/>
        <v>0.23119918030607042</v>
      </c>
      <c r="DW107" s="354">
        <f t="shared" si="396"/>
        <v>0.23367922286476531</v>
      </c>
      <c r="DX107" s="352">
        <f t="shared" si="396"/>
        <v>0.2297894504196604</v>
      </c>
      <c r="DY107" s="354">
        <f t="shared" si="396"/>
        <v>0.24616723720690195</v>
      </c>
      <c r="DZ107" s="354">
        <f t="shared" si="396"/>
        <v>0.24049132300301646</v>
      </c>
      <c r="EA107" s="354">
        <f t="shared" si="396"/>
        <v>0.24839993704132377</v>
      </c>
      <c r="EB107" s="354">
        <f t="shared" si="396"/>
        <v>0.25302170484884762</v>
      </c>
      <c r="EC107" s="352">
        <f t="shared" si="396"/>
        <v>0.24752961830259443</v>
      </c>
      <c r="ED107" s="354">
        <f t="shared" ref="ED107:ER107" si="399">ED106/ED73</f>
        <v>0.26407172344849877</v>
      </c>
      <c r="EE107" s="354">
        <f t="shared" si="399"/>
        <v>0.25946467775884158</v>
      </c>
      <c r="EF107" s="354">
        <f t="shared" si="399"/>
        <v>0.26672767798774233</v>
      </c>
      <c r="EG107" s="354">
        <f t="shared" si="399"/>
        <v>0.27300567923972691</v>
      </c>
      <c r="EH107" s="352">
        <f t="shared" si="399"/>
        <v>0.26644758308418864</v>
      </c>
      <c r="EI107" s="354">
        <f t="shared" si="399"/>
        <v>0.28218716424795431</v>
      </c>
      <c r="EJ107" s="354">
        <f t="shared" si="399"/>
        <v>0.27862293853963321</v>
      </c>
      <c r="EK107" s="354">
        <f t="shared" si="399"/>
        <v>0.28525788619534231</v>
      </c>
      <c r="EL107" s="354">
        <f t="shared" si="399"/>
        <v>0.29315148339003394</v>
      </c>
      <c r="EM107" s="352">
        <f t="shared" si="399"/>
        <v>0.28555275053150997</v>
      </c>
      <c r="EN107" s="354">
        <f t="shared" si="399"/>
        <v>0.30050603194233283</v>
      </c>
      <c r="EO107" s="354">
        <f t="shared" si="399"/>
        <v>0.29795951827814626</v>
      </c>
      <c r="EP107" s="354">
        <f t="shared" si="399"/>
        <v>0.30398327631734062</v>
      </c>
      <c r="EQ107" s="354">
        <f t="shared" si="399"/>
        <v>0.31345330925893317</v>
      </c>
      <c r="ER107" s="352">
        <f t="shared" si="399"/>
        <v>0.304838417606481</v>
      </c>
      <c r="ES107" s="490"/>
    </row>
    <row r="108" spans="1:149" ht="12" customHeight="1">
      <c r="A108" s="931"/>
      <c r="B108" s="484"/>
      <c r="C108" s="980" t="s">
        <v>129</v>
      </c>
      <c r="D108" s="650"/>
      <c r="E108" s="591"/>
      <c r="F108" s="591"/>
      <c r="G108" s="591"/>
      <c r="H108" s="591"/>
      <c r="I108" s="981"/>
      <c r="J108" s="981"/>
      <c r="K108" s="981"/>
      <c r="L108" s="981"/>
      <c r="M108" s="591"/>
      <c r="N108" s="982"/>
      <c r="O108" s="982"/>
      <c r="P108" s="982"/>
      <c r="Q108" s="982"/>
      <c r="R108" s="591"/>
      <c r="S108" s="982"/>
      <c r="T108" s="982"/>
      <c r="U108" s="982"/>
      <c r="V108" s="982"/>
      <c r="W108" s="591"/>
      <c r="X108" s="982"/>
      <c r="Y108" s="982"/>
      <c r="Z108" s="982"/>
      <c r="AA108" s="982"/>
      <c r="AB108" s="591"/>
      <c r="AC108" s="982"/>
      <c r="AD108" s="982"/>
      <c r="AE108" s="982"/>
      <c r="AF108" s="982"/>
      <c r="AG108" s="591"/>
      <c r="AH108" s="982"/>
      <c r="AI108" s="982"/>
      <c r="AJ108" s="982"/>
      <c r="AK108" s="982"/>
      <c r="AL108" s="591"/>
      <c r="AM108" s="982"/>
      <c r="AN108" s="982"/>
      <c r="AO108" s="982"/>
      <c r="AP108" s="982"/>
      <c r="AQ108" s="591"/>
      <c r="AR108" s="982"/>
      <c r="AS108" s="982"/>
      <c r="AT108" s="982"/>
      <c r="AU108" s="982"/>
      <c r="AV108" s="591"/>
      <c r="AW108" s="982"/>
      <c r="AX108" s="982"/>
      <c r="AY108" s="982"/>
      <c r="AZ108" s="982"/>
      <c r="BA108" s="591"/>
      <c r="BB108" s="982"/>
      <c r="BC108" s="982"/>
      <c r="BD108" s="982"/>
      <c r="BE108" s="982"/>
      <c r="BF108" s="591"/>
      <c r="BG108" s="983"/>
      <c r="BH108" s="983"/>
      <c r="BI108" s="983"/>
      <c r="BJ108" s="983"/>
      <c r="BK108" s="591"/>
      <c r="BL108" s="982"/>
      <c r="BM108" s="982"/>
      <c r="BN108" s="982"/>
      <c r="BO108" s="982"/>
      <c r="BP108" s="591"/>
      <c r="BQ108" s="984"/>
      <c r="BR108" s="984"/>
      <c r="BS108" s="984"/>
      <c r="BT108" s="984"/>
      <c r="BU108" s="588"/>
      <c r="BV108" s="984"/>
      <c r="BW108" s="984"/>
      <c r="BX108" s="984"/>
      <c r="BY108" s="984"/>
      <c r="BZ108" s="589"/>
      <c r="CA108" s="982"/>
      <c r="CB108" s="982"/>
      <c r="CC108" s="982"/>
      <c r="CD108" s="982"/>
      <c r="CE108" s="352"/>
      <c r="CF108" s="982"/>
      <c r="CG108" s="982"/>
      <c r="CH108" s="982"/>
      <c r="CI108" s="982"/>
      <c r="CJ108" s="352"/>
      <c r="CK108" s="982"/>
      <c r="CL108" s="982"/>
      <c r="CM108" s="982"/>
      <c r="CN108" s="982"/>
      <c r="CO108" s="352"/>
      <c r="CP108" s="982">
        <f t="shared" ref="CP108:EC108" si="400">CP106/CK106-1</f>
        <v>0.87022320514885854</v>
      </c>
      <c r="CQ108" s="982">
        <f t="shared" si="400"/>
        <v>1.9555285930350532</v>
      </c>
      <c r="CR108" s="982">
        <f t="shared" si="400"/>
        <v>1.7671554959098019</v>
      </c>
      <c r="CS108" s="982">
        <f t="shared" si="400"/>
        <v>1.5857414447760849</v>
      </c>
      <c r="CT108" s="591">
        <f t="shared" si="400"/>
        <v>1.5742646819509241</v>
      </c>
      <c r="CU108" s="982">
        <f t="shared" si="400"/>
        <v>1.746899528360939</v>
      </c>
      <c r="CV108" s="982">
        <f t="shared" si="400"/>
        <v>0.76065288094754879</v>
      </c>
      <c r="CW108" s="982">
        <f t="shared" si="400"/>
        <v>0.7515782252396066</v>
      </c>
      <c r="CX108" s="982">
        <f t="shared" si="400"/>
        <v>0.71093687636921388</v>
      </c>
      <c r="CY108" s="591">
        <f t="shared" si="400"/>
        <v>0.87895302304237632</v>
      </c>
      <c r="CZ108" s="982">
        <f t="shared" si="400"/>
        <v>0.44293874571792946</v>
      </c>
      <c r="DA108" s="982">
        <f t="shared" si="400"/>
        <v>0.32718719116463491</v>
      </c>
      <c r="DB108" s="982">
        <f t="shared" si="400"/>
        <v>0.41059240203008329</v>
      </c>
      <c r="DC108" s="982">
        <f t="shared" si="400"/>
        <v>0.45590361477011832</v>
      </c>
      <c r="DD108" s="591">
        <f t="shared" si="400"/>
        <v>0.41142821828729481</v>
      </c>
      <c r="DE108" s="982">
        <f t="shared" si="400"/>
        <v>0.29805659715823363</v>
      </c>
      <c r="DF108" s="982">
        <f t="shared" si="400"/>
        <v>0.33275587686700514</v>
      </c>
      <c r="DG108" s="982">
        <f t="shared" si="400"/>
        <v>0.228248118402399</v>
      </c>
      <c r="DH108" s="982">
        <f t="shared" si="400"/>
        <v>0.20097510573699373</v>
      </c>
      <c r="DI108" s="591">
        <f t="shared" si="400"/>
        <v>0.25757662528385628</v>
      </c>
      <c r="DJ108" s="982">
        <f t="shared" si="400"/>
        <v>0.22800843694493822</v>
      </c>
      <c r="DK108" s="982">
        <f t="shared" si="400"/>
        <v>0.21346160000000003</v>
      </c>
      <c r="DL108" s="982">
        <f t="shared" si="400"/>
        <v>0.29259609120521146</v>
      </c>
      <c r="DM108" s="982">
        <f t="shared" si="400"/>
        <v>0.35467078443483691</v>
      </c>
      <c r="DN108" s="591">
        <f t="shared" si="400"/>
        <v>0.27897463143787116</v>
      </c>
      <c r="DO108" s="982">
        <f>DO106/DJ106-1</f>
        <v>0.31657310226995383</v>
      </c>
      <c r="DP108" s="982">
        <f t="shared" si="400"/>
        <v>0.39507801482964111</v>
      </c>
      <c r="DQ108" s="982">
        <f t="shared" si="400"/>
        <v>0.41181720875847705</v>
      </c>
      <c r="DR108" s="982">
        <f>DR106/DM106-1</f>
        <v>0.37806103559528226</v>
      </c>
      <c r="DS108" s="591">
        <f>DS106/DN106-1</f>
        <v>0.3772184693172671</v>
      </c>
      <c r="DT108" s="982">
        <f>DT106/DO106-1</f>
        <v>0.53219470423126003</v>
      </c>
      <c r="DU108" s="982">
        <f t="shared" si="400"/>
        <v>0.46122640338529752</v>
      </c>
      <c r="DV108" s="982">
        <f t="shared" si="400"/>
        <v>0.4692768513426353</v>
      </c>
      <c r="DW108" s="982">
        <f t="shared" si="400"/>
        <v>0.47458698281094946</v>
      </c>
      <c r="DX108" s="591">
        <f t="shared" si="400"/>
        <v>0.48161977720118654</v>
      </c>
      <c r="DY108" s="982">
        <f t="shared" si="400"/>
        <v>0.38393962344786359</v>
      </c>
      <c r="DZ108" s="982">
        <f t="shared" si="400"/>
        <v>0.39060199946621754</v>
      </c>
      <c r="EA108" s="982">
        <f t="shared" si="400"/>
        <v>0.35991756395954466</v>
      </c>
      <c r="EB108" s="982">
        <f t="shared" si="400"/>
        <v>0.35950894948519263</v>
      </c>
      <c r="EC108" s="591">
        <f t="shared" si="400"/>
        <v>0.3716603161644807</v>
      </c>
      <c r="ED108" s="982">
        <f t="shared" ref="ED108" si="401">ED106/DY106-1</f>
        <v>0.30315790151114319</v>
      </c>
      <c r="EE108" s="982">
        <f t="shared" ref="EE108" si="402">EE106/DZ106-1</f>
        <v>0.31061461615968144</v>
      </c>
      <c r="EF108" s="982">
        <f t="shared" ref="EF108" si="403">EF106/EA106-1</f>
        <v>0.30457181700226843</v>
      </c>
      <c r="EG108" s="982">
        <f t="shared" ref="EG108" si="404">EG106/EB106-1</f>
        <v>0.31084391551063062</v>
      </c>
      <c r="EH108" s="591">
        <f t="shared" ref="EH108" si="405">EH106/EC106-1</f>
        <v>0.30770217804462896</v>
      </c>
      <c r="EI108" s="982">
        <f t="shared" ref="EI108" si="406">EI106/ED106-1</f>
        <v>0.2709044156506939</v>
      </c>
      <c r="EJ108" s="982">
        <f t="shared" ref="EJ108" si="407">EJ106/EE106-1</f>
        <v>0.27710663560530135</v>
      </c>
      <c r="EK108" s="982">
        <f t="shared" ref="EK108" si="408">EK106/EF106-1</f>
        <v>0.27207287678854875</v>
      </c>
      <c r="EL108" s="982">
        <f t="shared" ref="EL108" si="409">EL106/EG106-1</f>
        <v>0.27717046854168292</v>
      </c>
      <c r="EM108" s="591">
        <f t="shared" ref="EM108" si="410">EM106/EH106-1</f>
        <v>0.2746486261296861</v>
      </c>
      <c r="EN108" s="982">
        <f t="shared" ref="EN108" si="411">EN106/EI106-1</f>
        <v>0.25017455951159806</v>
      </c>
      <c r="EO108" s="982">
        <f t="shared" ref="EO108" si="412">EO106/EJ106-1</f>
        <v>0.25541215973002784</v>
      </c>
      <c r="EP108" s="982">
        <f t="shared" ref="EP108" si="413">EP106/EK106-1</f>
        <v>0.25115340421226828</v>
      </c>
      <c r="EQ108" s="982">
        <f t="shared" ref="EQ108" si="414">EQ106/EL106-1</f>
        <v>0.2553524197584498</v>
      </c>
      <c r="ER108" s="591">
        <f t="shared" ref="ER108" si="415">ER106/EM106-1</f>
        <v>0.2533028215399018</v>
      </c>
      <c r="ES108" s="490"/>
    </row>
    <row r="109" spans="1:149" ht="12" customHeight="1">
      <c r="A109" s="934"/>
      <c r="B109" s="619"/>
      <c r="C109" s="980" t="s">
        <v>313</v>
      </c>
      <c r="D109" s="650"/>
      <c r="E109" s="591"/>
      <c r="F109" s="591"/>
      <c r="G109" s="591"/>
      <c r="H109" s="591"/>
      <c r="I109" s="981"/>
      <c r="J109" s="981"/>
      <c r="K109" s="981"/>
      <c r="L109" s="981"/>
      <c r="M109" s="591"/>
      <c r="N109" s="982"/>
      <c r="O109" s="982"/>
      <c r="P109" s="982"/>
      <c r="Q109" s="982"/>
      <c r="R109" s="591"/>
      <c r="S109" s="982"/>
      <c r="T109" s="982"/>
      <c r="U109" s="982"/>
      <c r="V109" s="982"/>
      <c r="W109" s="591"/>
      <c r="X109" s="982"/>
      <c r="Y109" s="982"/>
      <c r="Z109" s="982"/>
      <c r="AA109" s="982"/>
      <c r="AB109" s="591"/>
      <c r="AC109" s="982"/>
      <c r="AD109" s="982"/>
      <c r="AE109" s="982"/>
      <c r="AF109" s="982"/>
      <c r="AG109" s="591"/>
      <c r="AH109" s="982"/>
      <c r="AI109" s="982"/>
      <c r="AJ109" s="982"/>
      <c r="AK109" s="982"/>
      <c r="AL109" s="591"/>
      <c r="AM109" s="982"/>
      <c r="AN109" s="982"/>
      <c r="AO109" s="982"/>
      <c r="AP109" s="982"/>
      <c r="AQ109" s="591"/>
      <c r="AR109" s="982"/>
      <c r="AS109" s="982"/>
      <c r="AT109" s="982"/>
      <c r="AU109" s="982"/>
      <c r="AV109" s="591"/>
      <c r="AW109" s="982"/>
      <c r="AX109" s="982"/>
      <c r="AY109" s="982"/>
      <c r="AZ109" s="982"/>
      <c r="BA109" s="591"/>
      <c r="BB109" s="982"/>
      <c r="BC109" s="982"/>
      <c r="BD109" s="982"/>
      <c r="BE109" s="982"/>
      <c r="BF109" s="591"/>
      <c r="BG109" s="983"/>
      <c r="BH109" s="983"/>
      <c r="BI109" s="983"/>
      <c r="BJ109" s="983"/>
      <c r="BK109" s="591"/>
      <c r="BL109" s="982"/>
      <c r="BM109" s="982"/>
      <c r="BN109" s="982"/>
      <c r="BO109" s="982"/>
      <c r="BP109" s="591"/>
      <c r="BQ109" s="982"/>
      <c r="BR109" s="982"/>
      <c r="BS109" s="982"/>
      <c r="BT109" s="982"/>
      <c r="BU109" s="591"/>
      <c r="BV109" s="982"/>
      <c r="BW109" s="982"/>
      <c r="BX109" s="982"/>
      <c r="BY109" s="982"/>
      <c r="BZ109" s="352"/>
      <c r="CA109" s="982"/>
      <c r="CB109" s="982">
        <f>CB106/CA106-1</f>
        <v>0.22600652383650677</v>
      </c>
      <c r="CC109" s="982">
        <f>CC106/CB106-1</f>
        <v>0.11197022121738165</v>
      </c>
      <c r="CD109" s="982">
        <f>CD106/CC106-1</f>
        <v>0.44792801698475615</v>
      </c>
      <c r="CE109" s="352"/>
      <c r="CF109" s="982"/>
      <c r="CG109" s="982">
        <f>CG106/CF106-1</f>
        <v>0.17609644127490309</v>
      </c>
      <c r="CH109" s="982">
        <f>CH106/CG106-1</f>
        <v>0.11401051831766451</v>
      </c>
      <c r="CI109" s="982">
        <f>CI106/CH106-1</f>
        <v>0.40626023925588628</v>
      </c>
      <c r="CJ109" s="352"/>
      <c r="CK109" s="982"/>
      <c r="CL109" s="982">
        <f>CL106/CK106-1</f>
        <v>0.16053346368125565</v>
      </c>
      <c r="CM109" s="982">
        <f>CM106/CL106-1</f>
        <v>7.6785748473186199E-2</v>
      </c>
      <c r="CN109" s="982">
        <f>CN106/CM106-1</f>
        <v>0.43124347149683517</v>
      </c>
      <c r="CO109" s="352"/>
      <c r="CP109" s="982">
        <f>CP106/CN106-1</f>
        <v>4.566592497423505E-2</v>
      </c>
      <c r="CQ109" s="982">
        <f>CQ106/CP106-1</f>
        <v>0.83400025496472852</v>
      </c>
      <c r="CR109" s="982">
        <f>CR106/CQ106-1</f>
        <v>8.1559044384409418E-3</v>
      </c>
      <c r="CS109" s="982">
        <f>CS106/CR106-1</f>
        <v>0.33741149251816305</v>
      </c>
      <c r="CT109" s="352"/>
      <c r="CU109" s="982">
        <f>CU106/CS106-1</f>
        <v>0.11083776064994955</v>
      </c>
      <c r="CV109" s="982">
        <f>CV106/CU106-1</f>
        <v>0.17552090974690238</v>
      </c>
      <c r="CW109" s="982">
        <f>CW106/CV106-1</f>
        <v>2.9597253211894881E-3</v>
      </c>
      <c r="CX109" s="982">
        <f>CX106/CW106-1</f>
        <v>0.30637993122819118</v>
      </c>
      <c r="CY109" s="352"/>
      <c r="CZ109" s="982">
        <f>CZ106/CX106-1</f>
        <v>-6.3161904342251107E-2</v>
      </c>
      <c r="DA109" s="982">
        <f>DA106/CZ106-1</f>
        <v>8.1221430218125557E-2</v>
      </c>
      <c r="DB109" s="982">
        <f>DB106/DA106-1</f>
        <v>6.5989317481855103E-2</v>
      </c>
      <c r="DC109" s="982">
        <f>DC106/DB106-1</f>
        <v>0.34834361889445309</v>
      </c>
      <c r="DD109" s="352"/>
      <c r="DE109" s="982">
        <f>DE106/DC106-1</f>
        <v>-0.16473257006803299</v>
      </c>
      <c r="DF109" s="982">
        <f>DF106/DE106-1</f>
        <v>0.11012433392539989</v>
      </c>
      <c r="DG109" s="982">
        <f>DG106/DF106-1</f>
        <v>-1.7599999999999949E-2</v>
      </c>
      <c r="DH109" s="982">
        <f>DH106/DG106-1</f>
        <v>0.3184039087947883</v>
      </c>
      <c r="DI109" s="352"/>
      <c r="DJ109" s="982">
        <f>DJ106/DI106-1</f>
        <v>-0.73525990809879382</v>
      </c>
      <c r="DK109" s="982">
        <f>DK106/DJ106-1</f>
        <v>9.697393756949535E-2</v>
      </c>
      <c r="DL109" s="982">
        <f>DL106/DK106-1</f>
        <v>4.6466076882861307E-2</v>
      </c>
      <c r="DM109" s="982">
        <f>DM106/DL106-1</f>
        <v>0.38171797785937045</v>
      </c>
      <c r="DN109" s="352"/>
      <c r="DO109" s="982">
        <f>DO106/DN106-1</f>
        <v>-0.72747724972640682</v>
      </c>
      <c r="DP109" s="982">
        <f>DP106/DO106-1</f>
        <v>0.16238454249577705</v>
      </c>
      <c r="DQ109" s="982">
        <f>DQ106/DP106-1</f>
        <v>5.9022362921839155E-2</v>
      </c>
      <c r="DR109" s="982">
        <f>DR106/DQ106-1</f>
        <v>0.34868146928448485</v>
      </c>
      <c r="DS109" s="352"/>
      <c r="DT109" s="982">
        <f>DT106/DS106-1</f>
        <v>-0.69681069194582113</v>
      </c>
      <c r="DU109" s="982">
        <f>DU106/DT106-1</f>
        <v>0.10854513443443303</v>
      </c>
      <c r="DV109" s="982">
        <f>DV106/DU106-1</f>
        <v>6.4856916963982991E-2</v>
      </c>
      <c r="DW109" s="982">
        <f>DW106/DV106-1</f>
        <v>0.35355575550510765</v>
      </c>
      <c r="DX109" s="352"/>
      <c r="DY109" s="982">
        <f>DY106/DW106-1</f>
        <v>-0.13384352270047839</v>
      </c>
      <c r="DZ109" s="982">
        <f>DZ106/DY106-1</f>
        <v>0.11388174333975454</v>
      </c>
      <c r="EA109" s="982">
        <f>EA106/DZ106-1</f>
        <v>4.1360234660233974E-2</v>
      </c>
      <c r="EB109" s="982">
        <f>EB106/EA106-1</f>
        <v>0.35314905256354723</v>
      </c>
      <c r="EC109" s="352"/>
      <c r="ED109" s="982">
        <f>ED106/EB106-1</f>
        <v>-0.16974532770427875</v>
      </c>
      <c r="EE109" s="982">
        <f>EE106/ED106-1</f>
        <v>0.12025541325547939</v>
      </c>
      <c r="EF109" s="982">
        <f>EF106/EE106-1</f>
        <v>3.6558876067876112E-2</v>
      </c>
      <c r="EG109" s="982">
        <f>EG106/EF106-1</f>
        <v>0.35965469989055898</v>
      </c>
      <c r="EH109" s="352"/>
      <c r="EI109" s="982">
        <f>EI106/EG106-1</f>
        <v>-0.19504197513537247</v>
      </c>
      <c r="EJ109" s="982">
        <f>EJ106/EI106-1</f>
        <v>0.12572244161165447</v>
      </c>
      <c r="EK109" s="982">
        <f>EK106/EJ106-1</f>
        <v>3.247324434690646E-2</v>
      </c>
      <c r="EL109" s="982">
        <f>EL106/EK106-1</f>
        <v>0.36510325925515263</v>
      </c>
      <c r="EM109" s="352"/>
      <c r="EN109" s="982">
        <f>EN106/EL106-1</f>
        <v>-0.2120565978091139</v>
      </c>
      <c r="EO109" s="982">
        <f>EO106/EN106-1</f>
        <v>0.13043865028924873</v>
      </c>
      <c r="EP109" s="982">
        <f>EP106/EO106-1</f>
        <v>2.8970768214090503E-2</v>
      </c>
      <c r="EQ109" s="982">
        <f>EQ106/EP106-1</f>
        <v>0.36968470369550444</v>
      </c>
      <c r="ER109" s="352"/>
      <c r="ES109" s="632"/>
    </row>
    <row r="110" spans="1:149" ht="12" customHeight="1">
      <c r="A110" s="934"/>
      <c r="B110" s="619"/>
      <c r="C110" s="980" t="s">
        <v>310</v>
      </c>
      <c r="D110" s="650"/>
      <c r="E110" s="591"/>
      <c r="F110" s="591"/>
      <c r="G110" s="591"/>
      <c r="H110" s="591"/>
      <c r="I110" s="981"/>
      <c r="J110" s="981"/>
      <c r="K110" s="981"/>
      <c r="L110" s="981"/>
      <c r="M110" s="591"/>
      <c r="N110" s="982"/>
      <c r="O110" s="982"/>
      <c r="P110" s="982"/>
      <c r="Q110" s="982"/>
      <c r="R110" s="591"/>
      <c r="S110" s="982"/>
      <c r="T110" s="982"/>
      <c r="U110" s="982"/>
      <c r="V110" s="982"/>
      <c r="W110" s="591"/>
      <c r="X110" s="982"/>
      <c r="Y110" s="982"/>
      <c r="Z110" s="982"/>
      <c r="AA110" s="982"/>
      <c r="AB110" s="591"/>
      <c r="AC110" s="982"/>
      <c r="AD110" s="982"/>
      <c r="AE110" s="982"/>
      <c r="AF110" s="982"/>
      <c r="AG110" s="591"/>
      <c r="AH110" s="982"/>
      <c r="AI110" s="982"/>
      <c r="AJ110" s="982"/>
      <c r="AK110" s="982"/>
      <c r="AL110" s="591"/>
      <c r="AM110" s="982"/>
      <c r="AN110" s="982"/>
      <c r="AO110" s="982"/>
      <c r="AP110" s="982"/>
      <c r="AQ110" s="591"/>
      <c r="AR110" s="982"/>
      <c r="AS110" s="982"/>
      <c r="AT110" s="982"/>
      <c r="AU110" s="982"/>
      <c r="AV110" s="591"/>
      <c r="AW110" s="982"/>
      <c r="AX110" s="982"/>
      <c r="AY110" s="982"/>
      <c r="AZ110" s="982"/>
      <c r="BA110" s="591"/>
      <c r="BB110" s="982"/>
      <c r="BC110" s="982"/>
      <c r="BD110" s="982"/>
      <c r="BE110" s="982"/>
      <c r="BF110" s="591"/>
      <c r="BG110" s="983"/>
      <c r="BH110" s="983"/>
      <c r="BI110" s="983"/>
      <c r="BJ110" s="983"/>
      <c r="BK110" s="591"/>
      <c r="BL110" s="982"/>
      <c r="BM110" s="982"/>
      <c r="BN110" s="982"/>
      <c r="BO110" s="982"/>
      <c r="BP110" s="591"/>
      <c r="BQ110" s="982"/>
      <c r="BR110" s="982"/>
      <c r="BS110" s="982"/>
      <c r="BT110" s="982"/>
      <c r="BU110" s="591"/>
      <c r="BV110" s="982"/>
      <c r="BW110" s="982"/>
      <c r="BX110" s="982"/>
      <c r="BY110" s="982"/>
      <c r="BZ110" s="352"/>
      <c r="CA110" s="982">
        <f t="shared" ref="CA110:DF110" si="416">CA106/CA6</f>
        <v>4.1010841661498362E-2</v>
      </c>
      <c r="CB110" s="982">
        <f t="shared" si="416"/>
        <v>4.2231116679305028E-2</v>
      </c>
      <c r="CC110" s="982">
        <f t="shared" si="416"/>
        <v>4.1536487495334062E-2</v>
      </c>
      <c r="CD110" s="982">
        <f t="shared" si="416"/>
        <v>4.6279318175698095E-2</v>
      </c>
      <c r="CE110" s="591">
        <f t="shared" si="416"/>
        <v>4.3163028884426642E-2</v>
      </c>
      <c r="CF110" s="982">
        <f t="shared" si="416"/>
        <v>5.5915414761593799E-2</v>
      </c>
      <c r="CG110" s="982">
        <f t="shared" si="416"/>
        <v>5.7540975575903361E-2</v>
      </c>
      <c r="CH110" s="982">
        <f t="shared" si="416"/>
        <v>5.8143384531074156E-2</v>
      </c>
      <c r="CI110" s="982">
        <f t="shared" si="416"/>
        <v>6.4216778824063195E-2</v>
      </c>
      <c r="CJ110" s="591">
        <f t="shared" si="416"/>
        <v>5.9506838708234741E-2</v>
      </c>
      <c r="CK110" s="982">
        <f t="shared" si="416"/>
        <v>7.3027595933624997E-2</v>
      </c>
      <c r="CL110" s="982">
        <f t="shared" si="416"/>
        <v>7.5035181598932604E-2</v>
      </c>
      <c r="CM110" s="982">
        <f t="shared" si="416"/>
        <v>7.4885674634875735E-2</v>
      </c>
      <c r="CN110" s="982">
        <f t="shared" si="416"/>
        <v>8.2863290838546294E-2</v>
      </c>
      <c r="CO110" s="591">
        <f t="shared" si="416"/>
        <v>7.709621188551577E-2</v>
      </c>
      <c r="CP110" s="982">
        <f t="shared" si="416"/>
        <v>9.3129078448769373E-2</v>
      </c>
      <c r="CQ110" s="982">
        <f t="shared" si="416"/>
        <v>0.1123771210108338</v>
      </c>
      <c r="CR110" s="982">
        <f t="shared" si="416"/>
        <v>0.10545970511007874</v>
      </c>
      <c r="CS110" s="982">
        <f t="shared" si="416"/>
        <v>0.11070087875762993</v>
      </c>
      <c r="CT110" s="591">
        <f t="shared" si="416"/>
        <v>0.10691747132863702</v>
      </c>
      <c r="CU110" s="982">
        <f t="shared" si="416"/>
        <v>0.12161457021565837</v>
      </c>
      <c r="CV110" s="982">
        <f t="shared" si="416"/>
        <v>0.12625670756490931</v>
      </c>
      <c r="CW110" s="982">
        <f t="shared" si="416"/>
        <v>0.12614640397244914</v>
      </c>
      <c r="CX110" s="982">
        <f t="shared" si="416"/>
        <v>0.13419105754682525</v>
      </c>
      <c r="CY110" s="591">
        <f t="shared" si="416"/>
        <v>0.12760891927241438</v>
      </c>
      <c r="CZ110" s="982">
        <f t="shared" si="416"/>
        <v>0.14413992088884978</v>
      </c>
      <c r="DA110" s="982">
        <f t="shared" si="416"/>
        <v>0.1448433319460134</v>
      </c>
      <c r="DB110" s="982">
        <f t="shared" si="416"/>
        <v>0.146361878202313</v>
      </c>
      <c r="DC110" s="982">
        <f t="shared" si="416"/>
        <v>0.15539923157527075</v>
      </c>
      <c r="DD110" s="591">
        <f t="shared" si="416"/>
        <v>0.14833310416110107</v>
      </c>
      <c r="DE110" s="982">
        <f t="shared" si="416"/>
        <v>0.14933687002652524</v>
      </c>
      <c r="DF110" s="982">
        <f t="shared" si="416"/>
        <v>0.14757969303423857</v>
      </c>
      <c r="DG110" s="982">
        <f t="shared" ref="DG110:EL110" si="417">DG106/DG6</f>
        <v>0.14329054842473754</v>
      </c>
      <c r="DH110" s="982">
        <f t="shared" si="417"/>
        <v>0.15102611940298516</v>
      </c>
      <c r="DI110" s="591">
        <f t="shared" si="417"/>
        <v>0.14796033994334282</v>
      </c>
      <c r="DJ110" s="982">
        <f t="shared" si="417"/>
        <v>0.14860155830198823</v>
      </c>
      <c r="DK110" s="982">
        <f t="shared" si="417"/>
        <v>0.1483449388753057</v>
      </c>
      <c r="DL110" s="982">
        <f t="shared" si="417"/>
        <v>0.14683700277520817</v>
      </c>
      <c r="DM110" s="982">
        <f t="shared" si="417"/>
        <v>0.15598947368421068</v>
      </c>
      <c r="DN110" s="591">
        <f t="shared" si="417"/>
        <v>0.15045235360360368</v>
      </c>
      <c r="DO110" s="982">
        <f t="shared" si="417"/>
        <v>0.15427754237288147</v>
      </c>
      <c r="DP110" s="982">
        <f t="shared" si="417"/>
        <v>0.15791731343283591</v>
      </c>
      <c r="DQ110" s="982">
        <f t="shared" si="417"/>
        <v>0.15759414556962034</v>
      </c>
      <c r="DR110" s="982">
        <f t="shared" si="417"/>
        <v>0.16461764705882367</v>
      </c>
      <c r="DS110" s="591">
        <f t="shared" si="417"/>
        <v>0.15922353322949129</v>
      </c>
      <c r="DT110" s="982">
        <f t="shared" ref="DT110:DU110" si="418">DT106/DT6</f>
        <v>0.17598247029560915</v>
      </c>
      <c r="DU110" s="982">
        <f t="shared" si="418"/>
        <v>0.17259779527727617</v>
      </c>
      <c r="DV110" s="982">
        <f t="shared" si="417"/>
        <v>0.17755194066954039</v>
      </c>
      <c r="DW110" s="982">
        <f t="shared" si="417"/>
        <v>0.18766255046439917</v>
      </c>
      <c r="DX110" s="352">
        <f t="shared" si="417"/>
        <v>0.17921494281328423</v>
      </c>
      <c r="DY110" s="982">
        <f t="shared" si="417"/>
        <v>0.1913326966543534</v>
      </c>
      <c r="DZ110" s="982">
        <f t="shared" si="417"/>
        <v>0.18934861801861075</v>
      </c>
      <c r="EA110" s="982">
        <f t="shared" si="417"/>
        <v>0.19293502607105764</v>
      </c>
      <c r="EB110" s="982">
        <f t="shared" si="417"/>
        <v>0.20484372870816001</v>
      </c>
      <c r="EC110" s="352">
        <f t="shared" si="417"/>
        <v>0.19542765229795597</v>
      </c>
      <c r="ED110" s="982">
        <f t="shared" si="417"/>
        <v>0.20629117316688203</v>
      </c>
      <c r="EE110" s="982">
        <f t="shared" si="417"/>
        <v>0.20548467886809774</v>
      </c>
      <c r="EF110" s="982">
        <f t="shared" si="417"/>
        <v>0.20867304411175946</v>
      </c>
      <c r="EG110" s="982">
        <f t="shared" si="417"/>
        <v>0.22258714583821665</v>
      </c>
      <c r="EH110" s="352">
        <f t="shared" si="417"/>
        <v>0.21171202812707698</v>
      </c>
      <c r="EI110" s="982">
        <f t="shared" si="417"/>
        <v>0.22122734959656648</v>
      </c>
      <c r="EJ110" s="982">
        <f t="shared" si="417"/>
        <v>0.22140275608667151</v>
      </c>
      <c r="EK110" s="982">
        <f t="shared" si="417"/>
        <v>0.22396505197134381</v>
      </c>
      <c r="EL110" s="982">
        <f t="shared" si="417"/>
        <v>0.23973307366859439</v>
      </c>
      <c r="EM110" s="352">
        <f t="shared" ref="EM110:ER110" si="419">EM106/EM6</f>
        <v>0.22765235317236451</v>
      </c>
      <c r="EN110" s="982">
        <f t="shared" si="419"/>
        <v>0.23575901801923127</v>
      </c>
      <c r="EO110" s="982">
        <f t="shared" si="419"/>
        <v>0.23692980790196824</v>
      </c>
      <c r="EP110" s="982">
        <f t="shared" si="419"/>
        <v>0.23884356963697884</v>
      </c>
      <c r="EQ110" s="982">
        <f t="shared" si="419"/>
        <v>0.25649486677155975</v>
      </c>
      <c r="ER110" s="352">
        <f t="shared" si="419"/>
        <v>0.24319432129034418</v>
      </c>
      <c r="ES110" s="632"/>
    </row>
    <row r="111" spans="1:149" ht="12" customHeight="1">
      <c r="A111" s="934"/>
      <c r="B111" s="619"/>
      <c r="C111" s="1659" t="s">
        <v>819</v>
      </c>
      <c r="D111" s="502"/>
      <c r="E111" s="359"/>
      <c r="F111" s="359"/>
      <c r="G111" s="359"/>
      <c r="H111" s="359"/>
      <c r="I111" s="1636"/>
      <c r="J111" s="1636"/>
      <c r="K111" s="1636"/>
      <c r="L111" s="1636"/>
      <c r="M111" s="359"/>
      <c r="N111" s="627"/>
      <c r="O111" s="627"/>
      <c r="P111" s="627"/>
      <c r="Q111" s="627"/>
      <c r="R111" s="359"/>
      <c r="S111" s="627"/>
      <c r="T111" s="627"/>
      <c r="U111" s="627"/>
      <c r="V111" s="627"/>
      <c r="W111" s="359"/>
      <c r="X111" s="627"/>
      <c r="Y111" s="627"/>
      <c r="Z111" s="627"/>
      <c r="AA111" s="627"/>
      <c r="AB111" s="359"/>
      <c r="AC111" s="627"/>
      <c r="AD111" s="627"/>
      <c r="AE111" s="627"/>
      <c r="AF111" s="627"/>
      <c r="AG111" s="359"/>
      <c r="AH111" s="627"/>
      <c r="AI111" s="627"/>
      <c r="AJ111" s="627"/>
      <c r="AK111" s="627"/>
      <c r="AL111" s="359"/>
      <c r="AM111" s="627"/>
      <c r="AN111" s="627"/>
      <c r="AO111" s="627"/>
      <c r="AP111" s="627"/>
      <c r="AQ111" s="359"/>
      <c r="AR111" s="627"/>
      <c r="AS111" s="627"/>
      <c r="AT111" s="627"/>
      <c r="AU111" s="627"/>
      <c r="AV111" s="359"/>
      <c r="AW111" s="627"/>
      <c r="AX111" s="627"/>
      <c r="AY111" s="627"/>
      <c r="AZ111" s="627"/>
      <c r="BA111" s="359"/>
      <c r="BB111" s="627"/>
      <c r="BC111" s="627"/>
      <c r="BD111" s="627"/>
      <c r="BE111" s="627"/>
      <c r="BF111" s="359"/>
      <c r="BG111" s="1637"/>
      <c r="BH111" s="1637"/>
      <c r="BI111" s="1637"/>
      <c r="BJ111" s="1637"/>
      <c r="BK111" s="359"/>
      <c r="BL111" s="627"/>
      <c r="BM111" s="627"/>
      <c r="BN111" s="627"/>
      <c r="BO111" s="627"/>
      <c r="BP111" s="359"/>
      <c r="BQ111" s="627"/>
      <c r="BR111" s="627"/>
      <c r="BS111" s="627"/>
      <c r="BT111" s="627"/>
      <c r="BU111" s="501"/>
      <c r="BV111" s="627"/>
      <c r="BW111" s="627"/>
      <c r="BX111" s="627"/>
      <c r="BY111" s="627"/>
      <c r="BZ111" s="243"/>
      <c r="CA111" s="627"/>
      <c r="CB111" s="627"/>
      <c r="CC111" s="627"/>
      <c r="CD111" s="627"/>
      <c r="CE111" s="501"/>
      <c r="CF111" s="627"/>
      <c r="CG111" s="627"/>
      <c r="CH111" s="627"/>
      <c r="CI111" s="627"/>
      <c r="CJ111" s="501"/>
      <c r="CK111" s="627"/>
      <c r="CL111" s="627"/>
      <c r="CM111" s="627"/>
      <c r="CN111" s="627"/>
      <c r="CO111" s="501"/>
      <c r="CP111" s="627"/>
      <c r="CQ111" s="627"/>
      <c r="CR111" s="627"/>
      <c r="CS111" s="627"/>
      <c r="CT111" s="501"/>
      <c r="CU111" s="627"/>
      <c r="CV111" s="627"/>
      <c r="CW111" s="627"/>
      <c r="CX111" s="627"/>
      <c r="CY111" s="501"/>
      <c r="CZ111" s="627"/>
      <c r="DA111" s="627"/>
      <c r="DB111" s="627"/>
      <c r="DC111" s="627"/>
      <c r="DD111" s="501"/>
      <c r="DE111" s="627"/>
      <c r="DF111" s="627"/>
      <c r="DG111" s="627"/>
      <c r="DH111" s="627"/>
      <c r="DI111" s="501"/>
      <c r="DJ111" s="627"/>
      <c r="DK111" s="627"/>
      <c r="DL111" s="627"/>
      <c r="DM111" s="627"/>
      <c r="DN111" s="501"/>
      <c r="DO111" s="627"/>
      <c r="DP111" s="627"/>
      <c r="DQ111" s="627"/>
      <c r="DR111" s="627"/>
      <c r="DS111" s="501"/>
      <c r="DT111" s="627"/>
      <c r="DU111" s="627"/>
      <c r="DV111" s="627"/>
      <c r="DW111" s="627"/>
      <c r="DX111" s="243"/>
      <c r="DY111" s="627"/>
      <c r="DZ111" s="627"/>
      <c r="EA111" s="627"/>
      <c r="EB111" s="627"/>
      <c r="EC111" s="243"/>
      <c r="ED111" s="627"/>
      <c r="EE111" s="627"/>
      <c r="EF111" s="627"/>
      <c r="EG111" s="627"/>
      <c r="EH111" s="243"/>
      <c r="EI111" s="627"/>
      <c r="EJ111" s="627"/>
      <c r="EK111" s="627"/>
      <c r="EL111" s="627"/>
      <c r="EM111" s="243"/>
      <c r="EN111" s="627"/>
      <c r="EO111" s="627"/>
      <c r="EP111" s="627"/>
      <c r="EQ111" s="627"/>
      <c r="ER111" s="243"/>
      <c r="ES111" s="632"/>
    </row>
    <row r="112" spans="1:149" ht="12" customHeight="1">
      <c r="C112" s="203" t="s">
        <v>630</v>
      </c>
      <c r="BU112" s="1073"/>
      <c r="BZ112" s="1073"/>
      <c r="CE112" s="1073"/>
      <c r="CJ112" s="1073"/>
      <c r="CO112" s="1073"/>
      <c r="CT112" s="1073"/>
      <c r="CY112" s="1073"/>
      <c r="DD112" s="1073"/>
      <c r="DH112" s="1089">
        <v>441</v>
      </c>
      <c r="DI112" s="1073"/>
      <c r="DN112" s="1073"/>
      <c r="DR112" s="1544"/>
      <c r="DS112" s="1073"/>
      <c r="DU112" s="1544"/>
      <c r="DX112" s="1073"/>
      <c r="EC112" s="1073"/>
      <c r="EH112" s="1073"/>
      <c r="EM112" s="1073"/>
      <c r="ER112" s="1073"/>
    </row>
    <row r="113" spans="1:149" ht="12" customHeight="1">
      <c r="C113" s="203" t="s">
        <v>624</v>
      </c>
      <c r="BU113" s="1073"/>
      <c r="BZ113" s="1073"/>
      <c r="CE113" s="1073"/>
      <c r="CJ113" s="1073"/>
      <c r="CO113" s="1073"/>
      <c r="CT113" s="1073"/>
      <c r="CY113" s="1073"/>
      <c r="DD113" s="1073"/>
      <c r="DE113" s="203" t="s">
        <v>632</v>
      </c>
      <c r="DF113" s="203" t="s">
        <v>631</v>
      </c>
      <c r="DH113" s="1089"/>
      <c r="DI113" s="1073"/>
      <c r="DN113" s="1073"/>
      <c r="DR113" s="1544"/>
      <c r="DS113" s="1073"/>
      <c r="DU113" s="1544"/>
      <c r="DX113" s="1073"/>
      <c r="EC113" s="1073"/>
      <c r="EH113" s="1073"/>
      <c r="EM113" s="1073"/>
      <c r="ER113" s="1073"/>
    </row>
    <row r="114" spans="1:149" ht="12" customHeight="1">
      <c r="C114" s="1087" t="s">
        <v>625</v>
      </c>
      <c r="BU114" s="1073"/>
      <c r="BZ114" s="1073"/>
      <c r="CE114" s="1073"/>
      <c r="CJ114" s="1073"/>
      <c r="CO114" s="1073"/>
      <c r="CT114" s="1073"/>
      <c r="CY114" s="1073"/>
      <c r="CZ114" s="1085">
        <v>0.8</v>
      </c>
      <c r="DA114" s="1085">
        <v>0.47</v>
      </c>
      <c r="DB114" s="1085">
        <v>0.35</v>
      </c>
      <c r="DC114" s="1085">
        <v>0.25</v>
      </c>
      <c r="DD114" s="1165">
        <v>0.4</v>
      </c>
      <c r="DE114" s="1085">
        <v>0.31</v>
      </c>
      <c r="DF114" s="1085">
        <v>0.23</v>
      </c>
      <c r="DG114" s="1086">
        <v>0.26</v>
      </c>
      <c r="DH114" s="1085">
        <v>0.28000000000000003</v>
      </c>
      <c r="DI114" s="1073"/>
      <c r="DJ114" s="1085">
        <v>0.32</v>
      </c>
      <c r="DK114" s="1085">
        <v>0.27</v>
      </c>
      <c r="DL114" s="1085">
        <v>0.27</v>
      </c>
      <c r="DM114" s="1212">
        <v>0.33</v>
      </c>
      <c r="DN114" s="1073"/>
      <c r="DO114" s="1212">
        <v>0.23</v>
      </c>
      <c r="DP114" s="1540">
        <v>0.28999999999999998</v>
      </c>
      <c r="DQ114" s="1540">
        <v>0.31</v>
      </c>
      <c r="DR114" s="1212">
        <v>0.28999999999999998</v>
      </c>
      <c r="DS114" s="1073"/>
      <c r="DT114" s="1212">
        <v>0.33</v>
      </c>
      <c r="DU114" s="1540">
        <v>0.32</v>
      </c>
      <c r="DX114" s="1073"/>
      <c r="EC114" s="1073"/>
      <c r="EH114" s="1073"/>
      <c r="EM114" s="1073"/>
      <c r="ER114" s="1073"/>
    </row>
    <row r="115" spans="1:149">
      <c r="C115" s="203" t="s">
        <v>626</v>
      </c>
      <c r="BU115" s="1073"/>
      <c r="BZ115" s="1073"/>
      <c r="CE115" s="1073"/>
      <c r="CJ115" s="1073"/>
      <c r="CO115" s="1073"/>
      <c r="CT115" s="1073"/>
      <c r="CY115" s="1073"/>
      <c r="DD115" s="1073"/>
      <c r="DI115" s="1073"/>
      <c r="DN115" s="1073"/>
      <c r="DS115" s="1073"/>
      <c r="DU115" s="1544"/>
      <c r="DX115" s="1073"/>
      <c r="EC115" s="1073"/>
      <c r="EH115" s="1073"/>
      <c r="EM115" s="1073"/>
      <c r="ER115" s="1073"/>
    </row>
    <row r="116" spans="1:149" s="1638" customFormat="1">
      <c r="A116" s="792"/>
      <c r="C116" s="1449" t="s">
        <v>625</v>
      </c>
      <c r="BU116" s="1639"/>
      <c r="BZ116" s="1639"/>
      <c r="CE116" s="1639"/>
      <c r="CJ116" s="1639"/>
      <c r="CO116" s="1639"/>
      <c r="CT116" s="1639"/>
      <c r="CY116" s="1639"/>
      <c r="DD116" s="1639"/>
      <c r="DI116" s="1639"/>
      <c r="DJ116" s="1640"/>
      <c r="DL116" s="1641">
        <v>0.5</v>
      </c>
      <c r="DM116" s="1641"/>
      <c r="DN116" s="1639"/>
      <c r="DP116" s="1642"/>
      <c r="DQ116" s="1642"/>
      <c r="DR116" s="1643"/>
      <c r="DS116" s="1639"/>
      <c r="DU116" s="1642"/>
      <c r="DX116" s="1639"/>
      <c r="EC116" s="1639"/>
      <c r="EH116" s="1639"/>
      <c r="EM116" s="1639"/>
      <c r="ER116" s="1639"/>
    </row>
    <row r="117" spans="1:149">
      <c r="C117" s="203" t="s">
        <v>627</v>
      </c>
      <c r="BU117" s="1073"/>
      <c r="BZ117" s="1073"/>
      <c r="CE117" s="1073"/>
      <c r="CJ117" s="1073"/>
      <c r="CO117" s="1073"/>
      <c r="CT117" s="1073"/>
      <c r="CY117" s="1073"/>
      <c r="DD117" s="1073"/>
      <c r="DI117" s="1073"/>
      <c r="DN117" s="1073"/>
      <c r="DS117" s="1073"/>
      <c r="DU117" s="1544"/>
      <c r="DX117" s="1073"/>
      <c r="EC117" s="1073"/>
      <c r="EH117" s="1073"/>
      <c r="EM117" s="1073"/>
      <c r="ER117" s="1073"/>
    </row>
    <row r="118" spans="1:149" s="1638" customFormat="1">
      <c r="A118" s="792"/>
      <c r="C118" s="1449" t="s">
        <v>625</v>
      </c>
      <c r="BU118" s="1639"/>
      <c r="BZ118" s="1639"/>
      <c r="CE118" s="1639"/>
      <c r="CJ118" s="1639"/>
      <c r="CO118" s="1639"/>
      <c r="CT118" s="1639"/>
      <c r="CY118" s="1639"/>
      <c r="DD118" s="1639"/>
      <c r="DF118" s="1644">
        <v>0.61</v>
      </c>
      <c r="DG118" s="1644">
        <v>1</v>
      </c>
      <c r="DH118" s="1644">
        <v>1.5</v>
      </c>
      <c r="DI118" s="1645" t="s">
        <v>666</v>
      </c>
      <c r="DJ118" s="1646">
        <v>1.3</v>
      </c>
      <c r="DK118" s="1644">
        <v>1.4</v>
      </c>
      <c r="DL118" s="1644">
        <v>1.45</v>
      </c>
      <c r="DM118" s="1644">
        <v>1.4</v>
      </c>
      <c r="DN118" s="1639"/>
      <c r="DO118" s="1644">
        <v>1.0900000000000001</v>
      </c>
      <c r="DP118" s="1647">
        <v>1.01</v>
      </c>
      <c r="DQ118" s="1647">
        <v>0.98</v>
      </c>
      <c r="DR118" s="1644">
        <v>0.84</v>
      </c>
      <c r="DS118" s="1639"/>
      <c r="DT118" s="1644">
        <v>0.8</v>
      </c>
      <c r="DU118" s="1647">
        <v>0.76</v>
      </c>
      <c r="DX118" s="1639"/>
      <c r="EC118" s="1639"/>
      <c r="EH118" s="1639"/>
      <c r="EM118" s="1639"/>
      <c r="ER118" s="1639"/>
    </row>
    <row r="119" spans="1:149">
      <c r="C119" s="203" t="s">
        <v>628</v>
      </c>
      <c r="BU119" s="1073"/>
      <c r="BZ119" s="1073"/>
      <c r="CE119" s="1073"/>
      <c r="CJ119" s="1073"/>
      <c r="CO119" s="1073"/>
      <c r="CT119" s="1073"/>
      <c r="CY119" s="1073"/>
      <c r="DD119" s="1073"/>
      <c r="DI119" s="1073"/>
      <c r="DJ119" s="1088">
        <f>+DJ121*DJ63</f>
        <v>8519.7000000000007</v>
      </c>
      <c r="DK119" s="1088">
        <f>+DK121*DK63</f>
        <v>9414.3000000000011</v>
      </c>
      <c r="DL119" s="1088">
        <f>+DL121*DL63</f>
        <v>9760.1</v>
      </c>
      <c r="DM119" s="1088"/>
      <c r="DN119" s="1073"/>
      <c r="DO119" s="1088">
        <f>+DO121*DO63</f>
        <v>11212.5</v>
      </c>
      <c r="DP119" s="1541">
        <f>+DP121*DP63</f>
        <v>13175.55</v>
      </c>
      <c r="DQ119" s="1541">
        <f>+DQ121*DQ63</f>
        <v>13801.949999999999</v>
      </c>
      <c r="DR119" s="1541"/>
      <c r="DS119" s="1073"/>
      <c r="DT119" s="1088">
        <f>+DT121*DT63</f>
        <v>16118.880000000001</v>
      </c>
      <c r="DU119" s="1541"/>
      <c r="DX119" s="1073"/>
      <c r="EC119" s="1073"/>
      <c r="EH119" s="1073"/>
      <c r="EM119" s="1073"/>
      <c r="ER119" s="1073"/>
    </row>
    <row r="120" spans="1:149" s="1638" customFormat="1">
      <c r="A120" s="792"/>
      <c r="C120" s="1449" t="s">
        <v>625</v>
      </c>
      <c r="BU120" s="1639"/>
      <c r="BZ120" s="1639"/>
      <c r="CE120" s="1639"/>
      <c r="CJ120" s="1639"/>
      <c r="CO120" s="1639"/>
      <c r="CT120" s="1639"/>
      <c r="CY120" s="1639"/>
      <c r="DD120" s="1639"/>
      <c r="DI120" s="1639"/>
      <c r="DJ120" s="1644">
        <v>0.15</v>
      </c>
      <c r="DK120" s="1648"/>
      <c r="DL120" s="1648"/>
      <c r="DM120" s="1648"/>
      <c r="DN120" s="1639"/>
      <c r="DO120" s="1646">
        <f>+DO119/DJ119-1</f>
        <v>0.31606746716433665</v>
      </c>
      <c r="DP120" s="1549">
        <f>+DP119/DK119-1</f>
        <v>0.39952519040183532</v>
      </c>
      <c r="DQ120" s="1549">
        <f>+DQ119/DL119-1</f>
        <v>0.41411973237979094</v>
      </c>
      <c r="DR120" s="1549"/>
      <c r="DS120" s="1639"/>
      <c r="DT120" s="1646">
        <f>+DT119/DO119-1</f>
        <v>0.43758127090301002</v>
      </c>
      <c r="DU120" s="1549"/>
      <c r="DX120" s="1639"/>
      <c r="EC120" s="1639"/>
      <c r="EH120" s="1639"/>
      <c r="EM120" s="1639"/>
      <c r="ER120" s="1639"/>
    </row>
    <row r="121" spans="1:149" s="1638" customFormat="1">
      <c r="A121" s="792"/>
      <c r="C121" s="1449" t="s">
        <v>613</v>
      </c>
      <c r="BU121" s="1639"/>
      <c r="BZ121" s="1639"/>
      <c r="CE121" s="1639"/>
      <c r="CJ121" s="1639"/>
      <c r="CO121" s="1639"/>
      <c r="CT121" s="1639"/>
      <c r="CY121" s="1639"/>
      <c r="DD121" s="1639"/>
      <c r="DI121" s="1639"/>
      <c r="DJ121" s="1644">
        <v>0.14000000000000001</v>
      </c>
      <c r="DK121" s="1644">
        <v>0.14000000000000001</v>
      </c>
      <c r="DL121" s="1644">
        <v>0.14000000000000001</v>
      </c>
      <c r="DM121" s="1644"/>
      <c r="DN121" s="1639"/>
      <c r="DO121" s="1644">
        <v>0.15</v>
      </c>
      <c r="DP121" s="1647">
        <v>0.15</v>
      </c>
      <c r="DQ121" s="1647">
        <v>0.15</v>
      </c>
      <c r="DR121" s="1644"/>
      <c r="DS121" s="1639"/>
      <c r="DT121" s="1644">
        <v>0.16</v>
      </c>
      <c r="DU121" s="1647"/>
      <c r="DX121" s="1639"/>
      <c r="EC121" s="1639"/>
      <c r="EH121" s="1639"/>
      <c r="EM121" s="1639"/>
      <c r="ER121" s="1639"/>
    </row>
    <row r="122" spans="1:149">
      <c r="C122" s="203" t="s">
        <v>629</v>
      </c>
      <c r="BU122" s="1073"/>
      <c r="BZ122" s="1073"/>
      <c r="CE122" s="1073"/>
      <c r="CJ122" s="1073"/>
      <c r="CO122" s="1073"/>
      <c r="CT122" s="1073"/>
      <c r="CY122" s="1073"/>
      <c r="CZ122" s="1132"/>
      <c r="DA122" s="1132">
        <f>+DF122/(1+DF123)</f>
        <v>8029.1970802919705</v>
      </c>
      <c r="DB122" s="1132">
        <f>+DG122/(1+DG123)</f>
        <v>8000</v>
      </c>
      <c r="DC122" s="1132">
        <f>+DH122/(1+DH123)</f>
        <v>11392.405063291139</v>
      </c>
      <c r="DD122" s="1166">
        <f>+DI122/(1+DI123)</f>
        <v>33316.23931623932</v>
      </c>
      <c r="DE122" s="1132">
        <f>+DJ122/(1+DJ123)</f>
        <v>8974.3589743589746</v>
      </c>
      <c r="DF122" s="1089">
        <v>11000</v>
      </c>
      <c r="DG122" s="1089">
        <v>12000</v>
      </c>
      <c r="DH122" s="1089">
        <v>18000</v>
      </c>
      <c r="DI122" s="1158">
        <f>SUM(DE122:DH122)</f>
        <v>49974.358974358976</v>
      </c>
      <c r="DJ122" s="1089">
        <v>14000</v>
      </c>
      <c r="DK122" s="1089">
        <v>16200</v>
      </c>
      <c r="DL122" s="1089">
        <v>17200</v>
      </c>
      <c r="DM122" s="1088">
        <f>DH122*(1+DM123)</f>
        <v>27000</v>
      </c>
      <c r="DN122" s="1158">
        <f>+SUM(DJ122:DM122)</f>
        <v>74400</v>
      </c>
      <c r="DO122" s="1089">
        <v>22000</v>
      </c>
      <c r="DP122" s="1542">
        <v>26700</v>
      </c>
      <c r="DQ122" s="1541">
        <f>DL122*(1+DQ123)</f>
        <v>28724</v>
      </c>
      <c r="DR122" s="1089">
        <v>43000</v>
      </c>
      <c r="DS122" s="1158">
        <f>+SUM(DO122:DR122)</f>
        <v>120424</v>
      </c>
      <c r="DT122" s="1541">
        <f>DO122*(1+DT123)</f>
        <v>37400</v>
      </c>
      <c r="DU122" s="1541">
        <f>DP122*(1+DU123)</f>
        <v>45390</v>
      </c>
      <c r="DV122" s="1088"/>
      <c r="DW122" s="1088"/>
      <c r="DX122" s="1158"/>
      <c r="DY122" s="1088"/>
      <c r="DZ122" s="1088"/>
      <c r="EA122" s="1088"/>
      <c r="EB122" s="1088"/>
      <c r="EC122" s="1158"/>
      <c r="ED122" s="1088"/>
      <c r="EE122" s="1088"/>
      <c r="EF122" s="1088"/>
      <c r="EG122" s="1088"/>
      <c r="EH122" s="1158"/>
      <c r="EI122" s="1088"/>
      <c r="EJ122" s="1088"/>
      <c r="EK122" s="1088"/>
      <c r="EL122" s="1088"/>
      <c r="EM122" s="1158"/>
      <c r="EN122" s="1088"/>
      <c r="EO122" s="1088"/>
      <c r="EP122" s="1088"/>
      <c r="EQ122" s="1088"/>
      <c r="ER122" s="1158"/>
    </row>
    <row r="123" spans="1:149" s="1638" customFormat="1">
      <c r="A123" s="792"/>
      <c r="C123" s="1449" t="s">
        <v>625</v>
      </c>
      <c r="BU123" s="1639"/>
      <c r="BZ123" s="1639"/>
      <c r="CE123" s="1639"/>
      <c r="CJ123" s="1639"/>
      <c r="CO123" s="1639"/>
      <c r="CT123" s="1639"/>
      <c r="CY123" s="1639"/>
      <c r="DD123" s="1639"/>
      <c r="DF123" s="1644">
        <v>0.37</v>
      </c>
      <c r="DG123" s="1644">
        <v>0.5</v>
      </c>
      <c r="DH123" s="1644">
        <v>0.57999999999999996</v>
      </c>
      <c r="DI123" s="1649">
        <v>0.5</v>
      </c>
      <c r="DJ123" s="1644">
        <v>0.56000000000000005</v>
      </c>
      <c r="DK123" s="1644">
        <v>0.45</v>
      </c>
      <c r="DL123" s="1644">
        <v>0.42</v>
      </c>
      <c r="DM123" s="1644">
        <v>0.5</v>
      </c>
      <c r="DN123" s="1650">
        <f t="shared" ref="DN123" si="420">+DN122/DI122-1</f>
        <v>0.48876346844535656</v>
      </c>
      <c r="DO123" s="1646">
        <f>+DO122/DJ122-1</f>
        <v>0.5714285714285714</v>
      </c>
      <c r="DP123" s="1549">
        <f>+DP122/DK122-1</f>
        <v>0.64814814814814814</v>
      </c>
      <c r="DQ123" s="1647">
        <v>0.67</v>
      </c>
      <c r="DR123" s="1646">
        <f>+DR122/DM122-1</f>
        <v>0.59259259259259256</v>
      </c>
      <c r="DS123" s="1650">
        <f>+DS122/DN122-1</f>
        <v>0.61860215053763445</v>
      </c>
      <c r="DT123" s="1644">
        <v>0.7</v>
      </c>
      <c r="DU123" s="1647">
        <v>0.7</v>
      </c>
      <c r="DV123" s="1651"/>
      <c r="DW123" s="1651"/>
      <c r="DX123" s="1650"/>
      <c r="DY123" s="1651"/>
      <c r="DZ123" s="1651"/>
      <c r="EA123" s="1651"/>
      <c r="EB123" s="1651"/>
      <c r="EC123" s="1650"/>
      <c r="ED123" s="1651"/>
      <c r="EE123" s="1651"/>
      <c r="EF123" s="1651"/>
      <c r="EG123" s="1651"/>
      <c r="EH123" s="1650"/>
      <c r="EI123" s="1651"/>
      <c r="EJ123" s="1651"/>
      <c r="EK123" s="1651"/>
      <c r="EL123" s="1651"/>
      <c r="EM123" s="1650"/>
      <c r="EN123" s="1651"/>
      <c r="EO123" s="1651"/>
      <c r="EP123" s="1651"/>
      <c r="EQ123" s="1651"/>
      <c r="ER123" s="1650"/>
    </row>
    <row r="124" spans="1:149" s="1638" customFormat="1">
      <c r="A124" s="792"/>
      <c r="C124" s="1449" t="s">
        <v>678</v>
      </c>
      <c r="BU124" s="1639"/>
      <c r="BZ124" s="1639"/>
      <c r="CE124" s="1639"/>
      <c r="CJ124" s="1639"/>
      <c r="CO124" s="1639"/>
      <c r="CT124" s="1639"/>
      <c r="CY124" s="1639"/>
      <c r="DA124" s="1651">
        <f t="shared" ref="DA124:DS124" si="421">+DA122/DA79</f>
        <v>0.3224577140679506</v>
      </c>
      <c r="DB124" s="1651">
        <f t="shared" si="421"/>
        <v>0.32</v>
      </c>
      <c r="DC124" s="1651">
        <f t="shared" si="421"/>
        <v>0.33311125916055961</v>
      </c>
      <c r="DD124" s="1650">
        <f t="shared" si="421"/>
        <v>0.3140079106148852</v>
      </c>
      <c r="DE124" s="1651">
        <f t="shared" si="421"/>
        <v>0.32634032634032634</v>
      </c>
      <c r="DF124" s="1651">
        <f t="shared" si="421"/>
        <v>0.3470031545741325</v>
      </c>
      <c r="DG124" s="1651">
        <f t="shared" si="421"/>
        <v>0.36585365853658536</v>
      </c>
      <c r="DH124" s="1651">
        <f t="shared" si="421"/>
        <v>0.39934330212539382</v>
      </c>
      <c r="DI124" s="1650">
        <f t="shared" si="421"/>
        <v>0.36457941677020422</v>
      </c>
      <c r="DJ124" s="1651">
        <f t="shared" si="421"/>
        <v>0.38633478668800708</v>
      </c>
      <c r="DK124" s="1651">
        <f t="shared" si="421"/>
        <v>0.39130434782608697</v>
      </c>
      <c r="DL124" s="1651">
        <f t="shared" si="421"/>
        <v>0.40093240093240096</v>
      </c>
      <c r="DM124" s="1651">
        <f t="shared" si="421"/>
        <v>0.4451772464962902</v>
      </c>
      <c r="DN124" s="1650">
        <f t="shared" si="421"/>
        <v>0.41123551814638903</v>
      </c>
      <c r="DO124" s="1651">
        <f t="shared" si="421"/>
        <v>0.46278766460515797</v>
      </c>
      <c r="DP124" s="90">
        <f t="shared" si="421"/>
        <v>0.47200641334736554</v>
      </c>
      <c r="DQ124" s="90">
        <f t="shared" si="421"/>
        <v>0.47879337402243571</v>
      </c>
      <c r="DR124" s="1651">
        <f t="shared" si="421"/>
        <v>0.51093282169708776</v>
      </c>
      <c r="DS124" s="1650">
        <f t="shared" si="421"/>
        <v>0.48507738519797622</v>
      </c>
      <c r="DT124" s="1651">
        <f t="shared" ref="DT124:DU124" si="422">+DT122/DT79</f>
        <v>0.55820895522388059</v>
      </c>
      <c r="DU124" s="90">
        <f t="shared" si="422"/>
        <v>0.57758702743862855</v>
      </c>
      <c r="DV124" s="1651"/>
      <c r="DW124" s="1651"/>
      <c r="DX124" s="1650"/>
      <c r="DY124" s="1651"/>
      <c r="DZ124" s="1651"/>
      <c r="EA124" s="1651"/>
      <c r="EB124" s="1651"/>
      <c r="EC124" s="1650"/>
      <c r="ED124" s="1651"/>
      <c r="EE124" s="1651"/>
      <c r="EF124" s="1651"/>
      <c r="EG124" s="1651"/>
      <c r="EH124" s="1650"/>
      <c r="EI124" s="1651"/>
      <c r="EJ124" s="1651"/>
      <c r="EK124" s="1651"/>
      <c r="EL124" s="1651"/>
      <c r="EM124" s="1650"/>
      <c r="EN124" s="1651"/>
      <c r="EO124" s="1651"/>
      <c r="EP124" s="1651"/>
      <c r="EQ124" s="1651"/>
      <c r="ER124" s="1650"/>
    </row>
    <row r="125" spans="1:149">
      <c r="C125" s="1147" t="s">
        <v>680</v>
      </c>
      <c r="BU125" s="1073"/>
      <c r="BZ125" s="1073"/>
      <c r="CE125" s="1073"/>
      <c r="CJ125" s="1073"/>
      <c r="CO125" s="1073"/>
      <c r="CT125" s="1073"/>
      <c r="CY125" s="1073"/>
      <c r="DA125" s="1133"/>
      <c r="DB125" s="1133"/>
      <c r="DC125" s="1133"/>
      <c r="DD125" s="1160"/>
      <c r="DE125" s="1138"/>
      <c r="DF125" s="1148">
        <f t="shared" ref="DF125:DQ125" si="423">+(DF124-DA124)*10000</f>
        <v>245.45440506181905</v>
      </c>
      <c r="DG125" s="1148">
        <f t="shared" si="423"/>
        <v>458.53658536585351</v>
      </c>
      <c r="DH125" s="1148">
        <f t="shared" si="423"/>
        <v>662.32042964834204</v>
      </c>
      <c r="DI125" s="1159">
        <f t="shared" si="423"/>
        <v>505.71506155319025</v>
      </c>
      <c r="DJ125" s="1148">
        <f t="shared" si="423"/>
        <v>599.9446034768074</v>
      </c>
      <c r="DK125" s="1148">
        <f t="shared" si="423"/>
        <v>443.01193251954476</v>
      </c>
      <c r="DL125" s="1148">
        <f t="shared" si="423"/>
        <v>350.78742395815601</v>
      </c>
      <c r="DM125" s="1148">
        <f t="shared" si="423"/>
        <v>458.33944370896387</v>
      </c>
      <c r="DN125" s="1159">
        <f t="shared" si="423"/>
        <v>466.56101376184813</v>
      </c>
      <c r="DO125" s="1148">
        <f>+(DO124-DJ124)*10000</f>
        <v>764.52877917150886</v>
      </c>
      <c r="DP125" s="1543">
        <f t="shared" si="423"/>
        <v>807.02065521278564</v>
      </c>
      <c r="DQ125" s="1543">
        <f t="shared" si="423"/>
        <v>778.60973090034759</v>
      </c>
      <c r="DR125" s="1148">
        <f>+(DR124-DM124)*10000</f>
        <v>657.55575200797557</v>
      </c>
      <c r="DS125" s="1159">
        <f>+(DS124-DN124)*10000</f>
        <v>738.4186705158719</v>
      </c>
      <c r="DT125" s="1148">
        <f>+(DT124-DO124)*10000</f>
        <v>954.21290618722617</v>
      </c>
      <c r="DU125" s="1543">
        <f t="shared" ref="DU125" si="424">+(DU124-DP124)*10000</f>
        <v>1055.8061409126301</v>
      </c>
      <c r="DV125" s="1148"/>
      <c r="DW125" s="1148"/>
      <c r="DX125" s="1159"/>
      <c r="DY125" s="1148"/>
      <c r="DZ125" s="1148"/>
      <c r="EA125" s="1148"/>
      <c r="EB125" s="1148"/>
      <c r="EC125" s="1159"/>
      <c r="ED125" s="1148"/>
      <c r="EE125" s="1148"/>
      <c r="EF125" s="1148"/>
      <c r="EG125" s="1148"/>
      <c r="EH125" s="1159"/>
      <c r="EI125" s="1148"/>
      <c r="EJ125" s="1148"/>
      <c r="EK125" s="1148"/>
      <c r="EL125" s="1148"/>
      <c r="EM125" s="1159"/>
      <c r="EN125" s="1148"/>
      <c r="EO125" s="1148"/>
      <c r="EP125" s="1148"/>
      <c r="EQ125" s="1148"/>
      <c r="ER125" s="1159"/>
    </row>
    <row r="126" spans="1:149" s="1638" customFormat="1">
      <c r="A126" s="792"/>
      <c r="C126" s="1449" t="s">
        <v>679</v>
      </c>
      <c r="BU126" s="1639"/>
      <c r="BZ126" s="1639"/>
      <c r="CE126" s="1639"/>
      <c r="CJ126" s="1639"/>
      <c r="CO126" s="1639"/>
      <c r="CT126" s="1639"/>
      <c r="CY126" s="1639"/>
      <c r="DA126" s="1651">
        <f t="shared" ref="DA126:DS126" si="425">+DA122/DA63</f>
        <v>0.17138013976609098</v>
      </c>
      <c r="DB126" s="1651">
        <f t="shared" si="425"/>
        <v>0.17316017316017315</v>
      </c>
      <c r="DC126" s="1651">
        <f t="shared" si="425"/>
        <v>0.18676073874247767</v>
      </c>
      <c r="DD126" s="1650">
        <f t="shared" si="425"/>
        <v>0.1689034749492781</v>
      </c>
      <c r="DE126" s="1651">
        <f t="shared" si="425"/>
        <v>0.18093465674110837</v>
      </c>
      <c r="DF126" s="1651">
        <f t="shared" si="425"/>
        <v>0.2</v>
      </c>
      <c r="DG126" s="1651">
        <f t="shared" si="425"/>
        <v>0.21352313167259787</v>
      </c>
      <c r="DH126" s="1651">
        <f t="shared" si="425"/>
        <v>0.23960066555740434</v>
      </c>
      <c r="DI126" s="1650">
        <f t="shared" si="425"/>
        <v>0.21182307502112527</v>
      </c>
      <c r="DJ126" s="1651">
        <f t="shared" si="425"/>
        <v>0.23005504888669789</v>
      </c>
      <c r="DK126" s="1651">
        <f t="shared" si="425"/>
        <v>0.24091010484050859</v>
      </c>
      <c r="DL126" s="1651">
        <f t="shared" si="425"/>
        <v>0.2467187836190203</v>
      </c>
      <c r="DM126" s="1651">
        <f t="shared" si="425"/>
        <v>0.28583527419013338</v>
      </c>
      <c r="DN126" s="1650">
        <f t="shared" si="425"/>
        <v>0.25455478573261481</v>
      </c>
      <c r="DO126" s="1651">
        <f t="shared" si="425"/>
        <v>0.29431438127090304</v>
      </c>
      <c r="DP126" s="90">
        <f t="shared" si="425"/>
        <v>0.3039721301957034</v>
      </c>
      <c r="DQ126" s="90">
        <f t="shared" si="425"/>
        <v>0.31217327986262811</v>
      </c>
      <c r="DR126" s="1651">
        <f t="shared" si="425"/>
        <v>0.34721941844784843</v>
      </c>
      <c r="DS126" s="1650">
        <f t="shared" si="425"/>
        <v>0.31821076468987242</v>
      </c>
      <c r="DT126" s="1651">
        <f t="shared" ref="DT126:DU126" si="426">+DT122/DT63</f>
        <v>0.37124167435950883</v>
      </c>
      <c r="DU126" s="90">
        <f t="shared" si="426"/>
        <v>0.39275917865826748</v>
      </c>
      <c r="DV126" s="1651"/>
      <c r="DW126" s="1651"/>
      <c r="DX126" s="1650"/>
      <c r="DY126" s="1651"/>
      <c r="DZ126" s="1651"/>
      <c r="EA126" s="1651"/>
      <c r="EB126" s="1651"/>
      <c r="EC126" s="1650"/>
      <c r="ED126" s="1651"/>
      <c r="EE126" s="1651"/>
      <c r="EF126" s="1651"/>
      <c r="EG126" s="1651"/>
      <c r="EH126" s="1650"/>
      <c r="EI126" s="1651"/>
      <c r="EJ126" s="1651"/>
      <c r="EK126" s="1651"/>
      <c r="EL126" s="1651"/>
      <c r="EM126" s="1650"/>
      <c r="EN126" s="1651"/>
      <c r="EO126" s="1651"/>
      <c r="EP126" s="1651"/>
      <c r="EQ126" s="1651"/>
      <c r="ER126" s="1650"/>
    </row>
    <row r="127" spans="1:149">
      <c r="A127" s="929"/>
      <c r="B127" s="94"/>
      <c r="C127" s="1658" t="s">
        <v>612</v>
      </c>
      <c r="D127" s="17"/>
      <c r="E127" s="17"/>
      <c r="F127" s="17"/>
      <c r="G127" s="17"/>
      <c r="H127" s="17"/>
      <c r="I127" s="17"/>
      <c r="J127" s="17"/>
      <c r="K127" s="17"/>
      <c r="L127" s="17"/>
      <c r="M127" s="94"/>
      <c r="N127" s="17"/>
      <c r="O127" s="17"/>
      <c r="P127" s="17"/>
      <c r="Q127" s="17"/>
      <c r="R127" s="94"/>
      <c r="S127" s="17"/>
      <c r="T127" s="17"/>
      <c r="U127" s="17"/>
      <c r="V127" s="17"/>
      <c r="W127" s="94"/>
      <c r="X127" s="94"/>
      <c r="Y127" s="94"/>
      <c r="Z127" s="94"/>
      <c r="AA127" s="94"/>
      <c r="AB127" s="94"/>
      <c r="AC127" s="94"/>
      <c r="AD127" s="94"/>
      <c r="AE127" s="94"/>
      <c r="AF127" s="94"/>
      <c r="AG127" s="94"/>
      <c r="AH127" s="94"/>
      <c r="AI127" s="94"/>
      <c r="AJ127" s="94"/>
      <c r="AK127" s="94"/>
      <c r="AL127" s="94"/>
      <c r="AM127" s="94"/>
      <c r="AN127" s="94"/>
      <c r="AO127" s="94"/>
      <c r="AP127" s="94"/>
      <c r="AQ127" s="94"/>
      <c r="AR127" s="94"/>
      <c r="AS127" s="94"/>
      <c r="AT127" s="94"/>
      <c r="AU127" s="94"/>
      <c r="AV127" s="94"/>
      <c r="AW127" s="94"/>
      <c r="AX127" s="94"/>
      <c r="AY127" s="94"/>
      <c r="AZ127" s="94"/>
      <c r="BA127" s="94"/>
      <c r="BB127" s="94"/>
      <c r="BC127" s="94"/>
      <c r="BD127" s="94"/>
      <c r="BE127" s="94"/>
      <c r="BF127" s="91"/>
      <c r="BG127" s="94"/>
      <c r="BH127" s="94"/>
      <c r="BI127" s="94"/>
      <c r="BJ127" s="94"/>
      <c r="BK127" s="91"/>
      <c r="BL127" s="94"/>
      <c r="BM127" s="94"/>
      <c r="BN127" s="94"/>
      <c r="BO127" s="94"/>
      <c r="BP127" s="91"/>
      <c r="BQ127" s="94"/>
      <c r="BR127" s="94"/>
      <c r="BS127" s="94"/>
      <c r="BU127" s="729"/>
      <c r="BV127" s="94"/>
      <c r="BW127" s="94"/>
      <c r="BX127" s="94"/>
      <c r="BZ127" s="729"/>
      <c r="CA127" s="94"/>
      <c r="CB127" s="94"/>
      <c r="CC127" s="94"/>
      <c r="CE127" s="729"/>
      <c r="CF127" s="94"/>
      <c r="CG127" s="94"/>
      <c r="CH127" s="94"/>
      <c r="CJ127" s="729"/>
      <c r="CK127" s="94"/>
      <c r="CL127" s="94"/>
      <c r="CM127" s="94"/>
      <c r="CO127" s="729"/>
      <c r="CP127" s="94"/>
      <c r="CQ127" s="94"/>
      <c r="CR127" s="94"/>
      <c r="CT127" s="729"/>
      <c r="CU127" s="94"/>
      <c r="CV127" s="94"/>
      <c r="CW127" s="94"/>
      <c r="CY127" s="729">
        <f>+CY128/CT128-1</f>
        <v>0.43440263110954014</v>
      </c>
      <c r="CZ127" s="99"/>
      <c r="DA127" s="99"/>
      <c r="DB127" s="94"/>
      <c r="DD127" s="729">
        <f>+DD128/CY128-1</f>
        <v>9.9635764463079646E-2</v>
      </c>
      <c r="DE127" s="99"/>
      <c r="DF127" s="99"/>
      <c r="DG127" s="94"/>
      <c r="DI127" s="729">
        <f>+DI128/DD128-1</f>
        <v>0.16867902438766547</v>
      </c>
      <c r="DJ127" s="93"/>
      <c r="DK127" s="99"/>
      <c r="DL127" s="94"/>
      <c r="DM127" s="94"/>
      <c r="DN127" s="729">
        <f>+DN128/DI128-1</f>
        <v>0.19432602389530573</v>
      </c>
      <c r="DO127" s="94"/>
      <c r="DP127" s="129"/>
      <c r="DQ127" s="129"/>
      <c r="DR127" s="129"/>
      <c r="DS127" s="729">
        <f>+DS128/DN128-1</f>
        <v>0.2738257954317187</v>
      </c>
      <c r="DT127" s="99"/>
      <c r="DU127" s="129"/>
      <c r="DV127" s="94"/>
      <c r="DW127" s="94"/>
      <c r="DX127" s="729"/>
      <c r="DY127" s="99"/>
      <c r="DZ127" s="99"/>
      <c r="EA127" s="94"/>
      <c r="EB127" s="94"/>
      <c r="EC127" s="729"/>
      <c r="ED127" s="99"/>
      <c r="EE127" s="99"/>
      <c r="EF127" s="94"/>
      <c r="EG127" s="94"/>
      <c r="EH127" s="729"/>
      <c r="EI127" s="99"/>
      <c r="EJ127" s="99"/>
      <c r="EK127" s="94"/>
      <c r="EL127" s="94"/>
      <c r="EM127" s="729"/>
      <c r="EN127" s="99"/>
      <c r="EO127" s="99"/>
      <c r="EP127" s="94"/>
      <c r="EQ127" s="94"/>
      <c r="ER127" s="729"/>
      <c r="ES127" s="94"/>
    </row>
    <row r="128" spans="1:149">
      <c r="A128" s="929"/>
      <c r="B128" s="94"/>
      <c r="C128" s="592" t="s">
        <v>140</v>
      </c>
      <c r="D128" s="17"/>
      <c r="E128" s="17"/>
      <c r="F128" s="17"/>
      <c r="G128" s="17"/>
      <c r="H128" s="17"/>
      <c r="I128" s="17"/>
      <c r="J128" s="17"/>
      <c r="K128" s="17"/>
      <c r="L128" s="17"/>
      <c r="M128" s="94"/>
      <c r="N128" s="17"/>
      <c r="O128" s="17"/>
      <c r="P128" s="17"/>
      <c r="Q128" s="17"/>
      <c r="R128" s="94"/>
      <c r="S128" s="17"/>
      <c r="T128" s="17"/>
      <c r="U128" s="17"/>
      <c r="V128" s="17"/>
      <c r="W128" s="94"/>
      <c r="X128" s="94"/>
      <c r="Y128" s="94"/>
      <c r="Z128" s="94"/>
      <c r="AA128" s="94"/>
      <c r="AB128" s="94"/>
      <c r="AC128" s="94"/>
      <c r="AD128" s="94"/>
      <c r="AE128" s="94"/>
      <c r="AF128" s="94"/>
      <c r="AG128" s="94"/>
      <c r="AH128" s="94"/>
      <c r="AI128" s="94"/>
      <c r="AJ128" s="94"/>
      <c r="AK128" s="94"/>
      <c r="AL128" s="94"/>
      <c r="AM128" s="94"/>
      <c r="AN128" s="94"/>
      <c r="AO128" s="94"/>
      <c r="AP128" s="94"/>
      <c r="AQ128" s="94"/>
      <c r="AR128" s="94"/>
      <c r="AS128" s="94"/>
      <c r="AT128" s="94"/>
      <c r="AU128" s="94"/>
      <c r="AV128" s="94"/>
      <c r="AW128" s="94"/>
      <c r="AX128" s="94"/>
      <c r="AY128" s="94"/>
      <c r="AZ128" s="94"/>
      <c r="BA128" s="94"/>
      <c r="BB128" s="94"/>
      <c r="BC128" s="94"/>
      <c r="BD128" s="94"/>
      <c r="BE128" s="94"/>
      <c r="BF128" s="91"/>
      <c r="BG128" s="94"/>
      <c r="BH128" s="94"/>
      <c r="BI128" s="94"/>
      <c r="BJ128" s="94"/>
      <c r="BK128" s="91"/>
      <c r="BL128" s="94"/>
      <c r="BM128" s="94"/>
      <c r="BN128" s="94"/>
      <c r="BO128" s="94"/>
      <c r="BP128" s="91"/>
      <c r="BQ128" s="94"/>
      <c r="BR128" s="94"/>
      <c r="BS128" s="94"/>
      <c r="BU128" s="288">
        <f>+BU$138*BU129</f>
        <v>5779.99575</v>
      </c>
      <c r="BV128" s="94"/>
      <c r="BW128" s="94"/>
      <c r="BX128" s="94"/>
      <c r="BZ128" s="288">
        <f>+BZ$138*BZ129</f>
        <v>11326.148092199999</v>
      </c>
      <c r="CA128" s="94"/>
      <c r="CB128" s="94"/>
      <c r="CC128" s="94"/>
      <c r="CE128" s="288">
        <f>+CE$138*CE129</f>
        <v>19039.996510000001</v>
      </c>
      <c r="CF128" s="94"/>
      <c r="CG128" s="94"/>
      <c r="CH128" s="94"/>
      <c r="CJ128" s="288">
        <f>+CJ$138*CJ129</f>
        <v>29187.409303799999</v>
      </c>
      <c r="CK128" s="94"/>
      <c r="CL128" s="94"/>
      <c r="CM128" s="94"/>
      <c r="CO128" s="288">
        <f>+CO$138*CO129</f>
        <v>42796.919900000001</v>
      </c>
      <c r="CP128" s="94"/>
      <c r="CQ128" s="94"/>
      <c r="CR128" s="94"/>
      <c r="CT128" s="288">
        <f>+CT$138*CT129</f>
        <v>81910.345694999996</v>
      </c>
      <c r="CU128" s="94"/>
      <c r="CV128" s="94"/>
      <c r="CW128" s="94"/>
      <c r="CY128" s="288">
        <f>+CY$138*CY129</f>
        <v>117492.41537999999</v>
      </c>
      <c r="CZ128" s="99"/>
      <c r="DA128" s="99"/>
      <c r="DB128" s="94"/>
      <c r="DD128" s="288">
        <f>+DD$138*DD129</f>
        <v>129198.86200499999</v>
      </c>
      <c r="DE128" s="99"/>
      <c r="DF128" s="99"/>
      <c r="DG128" s="94"/>
      <c r="DI128" s="288">
        <f>+DI$138*DI129</f>
        <v>150992</v>
      </c>
      <c r="DJ128" s="93"/>
      <c r="DK128" s="99"/>
      <c r="DL128" s="94"/>
      <c r="DM128" s="94"/>
      <c r="DN128" s="288">
        <f>DN130+DN132</f>
        <v>180333.67499999999</v>
      </c>
      <c r="DO128" s="94"/>
      <c r="DP128" s="129"/>
      <c r="DQ128" s="129"/>
      <c r="DR128" s="129"/>
      <c r="DS128" s="288">
        <f>DS130+DS132</f>
        <v>229713.68700000003</v>
      </c>
      <c r="DT128" s="99"/>
      <c r="DU128" s="129"/>
      <c r="DV128" s="94"/>
      <c r="DW128" s="94"/>
      <c r="DX128" s="288">
        <f>DX130+DX132</f>
        <v>306223.98057612492</v>
      </c>
      <c r="DY128" s="99"/>
      <c r="DZ128" s="99"/>
      <c r="EA128" s="94"/>
      <c r="EB128" s="94"/>
      <c r="EC128" s="288">
        <f>EC130+EC132</f>
        <v>385075.48211877811</v>
      </c>
      <c r="ED128" s="99"/>
      <c r="EE128" s="99"/>
      <c r="EF128" s="94"/>
      <c r="EG128" s="94"/>
      <c r="EH128" s="288">
        <f>EH130+EH132</f>
        <v>456033.77014396637</v>
      </c>
      <c r="EI128" s="99"/>
      <c r="EJ128" s="99"/>
      <c r="EK128" s="94"/>
      <c r="EL128" s="94"/>
      <c r="EM128" s="288">
        <f>EM130+EM132</f>
        <v>525136.37629505969</v>
      </c>
      <c r="EN128" s="99"/>
      <c r="EO128" s="99"/>
      <c r="EP128" s="94"/>
      <c r="EQ128" s="94"/>
      <c r="ER128" s="288">
        <f>ER130+ER132</f>
        <v>593715.09040112537</v>
      </c>
      <c r="ES128" s="94"/>
    </row>
    <row r="129" spans="1:149" s="1638" customFormat="1">
      <c r="A129" s="1652"/>
      <c r="B129" s="99"/>
      <c r="C129" s="1653" t="s">
        <v>613</v>
      </c>
      <c r="D129" s="127"/>
      <c r="E129" s="127"/>
      <c r="F129" s="127"/>
      <c r="G129" s="127"/>
      <c r="H129" s="127"/>
      <c r="I129" s="127"/>
      <c r="J129" s="127"/>
      <c r="K129" s="127"/>
      <c r="L129" s="127"/>
      <c r="M129" s="99"/>
      <c r="N129" s="127"/>
      <c r="O129" s="127"/>
      <c r="P129" s="127"/>
      <c r="Q129" s="127"/>
      <c r="R129" s="99"/>
      <c r="S129" s="127"/>
      <c r="T129" s="127"/>
      <c r="U129" s="127"/>
      <c r="V129" s="127"/>
      <c r="W129" s="99"/>
      <c r="X129" s="99"/>
      <c r="Y129" s="99"/>
      <c r="Z129" s="99"/>
      <c r="AA129" s="99"/>
      <c r="AB129" s="99"/>
      <c r="AC129" s="99"/>
      <c r="AD129" s="99"/>
      <c r="AE129" s="99"/>
      <c r="AF129" s="99"/>
      <c r="AG129" s="99"/>
      <c r="AH129" s="99"/>
      <c r="AI129" s="99"/>
      <c r="AJ129" s="99"/>
      <c r="AK129" s="99"/>
      <c r="AL129" s="99"/>
      <c r="AM129" s="99"/>
      <c r="AN129" s="99"/>
      <c r="AO129" s="99"/>
      <c r="AP129" s="99"/>
      <c r="AQ129" s="99"/>
      <c r="AR129" s="99"/>
      <c r="AS129" s="99"/>
      <c r="AT129" s="99"/>
      <c r="AU129" s="99"/>
      <c r="AV129" s="99"/>
      <c r="AW129" s="99"/>
      <c r="AX129" s="99"/>
      <c r="AY129" s="99"/>
      <c r="AZ129" s="99"/>
      <c r="BA129" s="99"/>
      <c r="BB129" s="99"/>
      <c r="BC129" s="99"/>
      <c r="BD129" s="99"/>
      <c r="BE129" s="99"/>
      <c r="BF129" s="90"/>
      <c r="BG129" s="99"/>
      <c r="BH129" s="99"/>
      <c r="BI129" s="99"/>
      <c r="BJ129" s="99"/>
      <c r="BK129" s="90"/>
      <c r="BL129" s="99"/>
      <c r="BM129" s="99"/>
      <c r="BN129" s="99"/>
      <c r="BO129" s="99"/>
      <c r="BP129" s="90"/>
      <c r="BQ129" s="99"/>
      <c r="BR129" s="99"/>
      <c r="BS129" s="99"/>
      <c r="BU129" s="1654">
        <v>0.75</v>
      </c>
      <c r="BV129" s="99"/>
      <c r="BW129" s="99"/>
      <c r="BX129" s="99"/>
      <c r="BZ129" s="1655">
        <f>BU129-1.33%</f>
        <v>0.73670000000000002</v>
      </c>
      <c r="CA129" s="99"/>
      <c r="CB129" s="99"/>
      <c r="CC129" s="99"/>
      <c r="CE129" s="1655">
        <f>BZ129-1.33%</f>
        <v>0.72340000000000004</v>
      </c>
      <c r="CF129" s="99"/>
      <c r="CG129" s="99"/>
      <c r="CH129" s="99"/>
      <c r="CJ129" s="1655">
        <f>CE129-1.33%</f>
        <v>0.71010000000000006</v>
      </c>
      <c r="CK129" s="99"/>
      <c r="CL129" s="99"/>
      <c r="CM129" s="99"/>
      <c r="CO129" s="1654">
        <v>0.7</v>
      </c>
      <c r="CP129" s="99"/>
      <c r="CQ129" s="99"/>
      <c r="CR129" s="99"/>
      <c r="CT129" s="1655">
        <f>CO129-1.5%</f>
        <v>0.68499999999999994</v>
      </c>
      <c r="CU129" s="99"/>
      <c r="CV129" s="99"/>
      <c r="CW129" s="99"/>
      <c r="CY129" s="1655">
        <f>CT129-1.5%</f>
        <v>0.66999999999999993</v>
      </c>
      <c r="CZ129" s="99"/>
      <c r="DA129" s="99"/>
      <c r="DB129" s="99"/>
      <c r="DD129" s="1655">
        <f>CY129-1.5%</f>
        <v>0.65499999999999992</v>
      </c>
      <c r="DE129" s="99"/>
      <c r="DF129" s="99"/>
      <c r="DG129" s="99"/>
      <c r="DI129" s="1654">
        <v>0.64</v>
      </c>
      <c r="DJ129" s="129"/>
      <c r="DK129" s="99"/>
      <c r="DL129" s="99"/>
      <c r="DM129" s="99"/>
      <c r="DN129" s="1407">
        <f>DN128/DN138</f>
        <v>0.61699999999999999</v>
      </c>
      <c r="DO129" s="99"/>
      <c r="DP129" s="129"/>
      <c r="DQ129" s="129"/>
      <c r="DR129" s="129"/>
      <c r="DS129" s="1407">
        <f>DS128/DS138</f>
        <v>0.6070000000000001</v>
      </c>
      <c r="DT129" s="99"/>
      <c r="DU129" s="129"/>
      <c r="DV129" s="99"/>
      <c r="DW129" s="99"/>
      <c r="DX129" s="1407">
        <f>DX128/DX138</f>
        <v>0.61778339804680926</v>
      </c>
      <c r="DY129" s="99"/>
      <c r="DZ129" s="99"/>
      <c r="EA129" s="99"/>
      <c r="EB129" s="99"/>
      <c r="EC129" s="1407">
        <f>EC128/EC138</f>
        <v>0.61776321241351984</v>
      </c>
      <c r="ED129" s="99"/>
      <c r="EE129" s="99"/>
      <c r="EF129" s="99"/>
      <c r="EG129" s="99"/>
      <c r="EH129" s="1407">
        <f>EH128/EH138</f>
        <v>0.60966593974227512</v>
      </c>
      <c r="EI129" s="99"/>
      <c r="EJ129" s="99"/>
      <c r="EK129" s="99"/>
      <c r="EL129" s="99"/>
      <c r="EM129" s="1407">
        <f>EM128/EM138</f>
        <v>0.59748796952678307</v>
      </c>
      <c r="EN129" s="99"/>
      <c r="EO129" s="99"/>
      <c r="EP129" s="99"/>
      <c r="EQ129" s="99"/>
      <c r="ER129" s="1407">
        <f>ER128/ER138</f>
        <v>0.58234072179944374</v>
      </c>
      <c r="ES129" s="99"/>
    </row>
    <row r="130" spans="1:149">
      <c r="A130" s="929"/>
      <c r="B130" s="94"/>
      <c r="C130" s="1030" t="s">
        <v>169</v>
      </c>
      <c r="D130" s="17"/>
      <c r="E130" s="17"/>
      <c r="F130" s="17"/>
      <c r="G130" s="17"/>
      <c r="H130" s="17"/>
      <c r="I130" s="17"/>
      <c r="J130" s="17"/>
      <c r="K130" s="17"/>
      <c r="L130" s="17"/>
      <c r="M130" s="94"/>
      <c r="N130" s="17"/>
      <c r="O130" s="17"/>
      <c r="P130" s="17"/>
      <c r="Q130" s="17"/>
      <c r="R130" s="94"/>
      <c r="S130" s="17"/>
      <c r="T130" s="17"/>
      <c r="U130" s="17"/>
      <c r="V130" s="17"/>
      <c r="W130" s="94"/>
      <c r="X130" s="94"/>
      <c r="Y130" s="94"/>
      <c r="Z130" s="94"/>
      <c r="AA130" s="94"/>
      <c r="AB130" s="94"/>
      <c r="AC130" s="94"/>
      <c r="AD130" s="94"/>
      <c r="AE130" s="94"/>
      <c r="AF130" s="94"/>
      <c r="AG130" s="94"/>
      <c r="AH130" s="94"/>
      <c r="AI130" s="94"/>
      <c r="AJ130" s="94"/>
      <c r="AK130" s="94"/>
      <c r="AL130" s="94"/>
      <c r="AM130" s="94"/>
      <c r="AN130" s="94"/>
      <c r="AO130" s="94"/>
      <c r="AP130" s="94"/>
      <c r="AQ130" s="94"/>
      <c r="AR130" s="94"/>
      <c r="AS130" s="94"/>
      <c r="AT130" s="94"/>
      <c r="AU130" s="94"/>
      <c r="AV130" s="94"/>
      <c r="AW130" s="94"/>
      <c r="AX130" s="94"/>
      <c r="AY130" s="94"/>
      <c r="AZ130" s="94"/>
      <c r="BA130" s="94"/>
      <c r="BB130" s="94"/>
      <c r="BC130" s="94"/>
      <c r="BD130" s="94"/>
      <c r="BE130" s="94"/>
      <c r="BF130" s="91"/>
      <c r="BG130" s="94"/>
      <c r="BH130" s="94"/>
      <c r="BI130" s="94"/>
      <c r="BJ130" s="94"/>
      <c r="BK130" s="91"/>
      <c r="BL130" s="94"/>
      <c r="BM130" s="94"/>
      <c r="BN130" s="94"/>
      <c r="BO130" s="94"/>
      <c r="BP130" s="91"/>
      <c r="BQ130" s="94"/>
      <c r="BR130" s="94"/>
      <c r="BS130" s="94"/>
      <c r="BU130" s="288">
        <f>BU128-BU132</f>
        <v>532.57934108499194</v>
      </c>
      <c r="BV130" s="94"/>
      <c r="BW130" s="94"/>
      <c r="BX130" s="94"/>
      <c r="BZ130" s="288">
        <f>BZ128-BZ132</f>
        <v>979.4400447719363</v>
      </c>
      <c r="CA130" s="94"/>
      <c r="CB130" s="94"/>
      <c r="CC130" s="94"/>
      <c r="CE130" s="288">
        <f>CE128-CE132</f>
        <v>1740.0632457243373</v>
      </c>
      <c r="CF130" s="94"/>
      <c r="CG130" s="94"/>
      <c r="CH130" s="94"/>
      <c r="CJ130" s="288">
        <f>CJ128-CJ132</f>
        <v>2500.1690890010286</v>
      </c>
      <c r="CK130" s="94"/>
      <c r="CL130" s="94"/>
      <c r="CM130" s="94"/>
      <c r="CO130" s="288">
        <f>CO128-CO132</f>
        <v>3500.6687088268372</v>
      </c>
      <c r="CP130" s="94"/>
      <c r="CQ130" s="94"/>
      <c r="CR130" s="94"/>
      <c r="CT130" s="288">
        <f>CT128-CT132</f>
        <v>7353.1081385664729</v>
      </c>
      <c r="CU130" s="94"/>
      <c r="CV130" s="94"/>
      <c r="CW130" s="94"/>
      <c r="CY130" s="288">
        <f>CY128-CY132</f>
        <v>11317.257877684591</v>
      </c>
      <c r="CZ130" s="99"/>
      <c r="DA130" s="99"/>
      <c r="DB130" s="94"/>
      <c r="DD130" s="288">
        <f>DD128-DD132</f>
        <v>10994.295684636003</v>
      </c>
      <c r="DE130" s="99"/>
      <c r="DF130" s="99"/>
      <c r="DG130" s="94"/>
      <c r="DI130" s="288">
        <f>DI128-DI132</f>
        <v>11630.910462576925</v>
      </c>
      <c r="DJ130" s="93"/>
      <c r="DK130" s="99"/>
      <c r="DL130" s="94"/>
      <c r="DM130" s="94"/>
      <c r="DN130" s="288">
        <f>DN131*DN138</f>
        <v>13736.924999999999</v>
      </c>
      <c r="DO130" s="94"/>
      <c r="DP130" s="129"/>
      <c r="DQ130" s="129"/>
      <c r="DR130" s="129"/>
      <c r="DS130" s="288">
        <f>DS131*DS138</f>
        <v>17786.726999999999</v>
      </c>
      <c r="DT130" s="99"/>
      <c r="DU130" s="129"/>
      <c r="DV130" s="94"/>
      <c r="DW130" s="94"/>
      <c r="DX130" s="288">
        <f>+DX$138*DX150*0.9</f>
        <v>18124.986516155939</v>
      </c>
      <c r="DY130" s="99"/>
      <c r="DZ130" s="99"/>
      <c r="EA130" s="94"/>
      <c r="EB130" s="94"/>
      <c r="EC130" s="288">
        <f>+EC$138*EC150*0.9</f>
        <v>19751.053871558783</v>
      </c>
      <c r="ED130" s="99"/>
      <c r="EE130" s="99"/>
      <c r="EF130" s="94"/>
      <c r="EG130" s="94"/>
      <c r="EH130" s="288">
        <f>+EH$138*EH150*0.9</f>
        <v>21401.720510332747</v>
      </c>
      <c r="EI130" s="99"/>
      <c r="EJ130" s="99"/>
      <c r="EK130" s="94"/>
      <c r="EL130" s="94"/>
      <c r="EM130" s="288">
        <f>+EM$138*EM150*0.9</f>
        <v>23123.266355620333</v>
      </c>
      <c r="EN130" s="99"/>
      <c r="EO130" s="99"/>
      <c r="EP130" s="94"/>
      <c r="EQ130" s="94"/>
      <c r="ER130" s="288">
        <f>+ER$138*ER150*0.9</f>
        <v>24920.625426000355</v>
      </c>
      <c r="ES130" s="94"/>
    </row>
    <row r="131" spans="1:149" s="1638" customFormat="1">
      <c r="A131" s="1652"/>
      <c r="B131" s="99"/>
      <c r="C131" s="1653" t="s">
        <v>613</v>
      </c>
      <c r="D131" s="127"/>
      <c r="E131" s="127"/>
      <c r="F131" s="127"/>
      <c r="G131" s="127"/>
      <c r="H131" s="127"/>
      <c r="I131" s="127"/>
      <c r="J131" s="127"/>
      <c r="K131" s="127"/>
      <c r="L131" s="127"/>
      <c r="M131" s="99"/>
      <c r="N131" s="127"/>
      <c r="O131" s="127"/>
      <c r="P131" s="127"/>
      <c r="Q131" s="127"/>
      <c r="R131" s="99"/>
      <c r="S131" s="127"/>
      <c r="T131" s="127"/>
      <c r="U131" s="127"/>
      <c r="V131" s="127"/>
      <c r="W131" s="99"/>
      <c r="X131" s="99"/>
      <c r="Y131" s="99"/>
      <c r="Z131" s="99"/>
      <c r="AA131" s="99"/>
      <c r="AB131" s="99"/>
      <c r="AC131" s="99"/>
      <c r="AD131" s="99"/>
      <c r="AE131" s="99"/>
      <c r="AF131" s="99"/>
      <c r="AG131" s="99"/>
      <c r="AH131" s="99"/>
      <c r="AI131" s="99"/>
      <c r="AJ131" s="99"/>
      <c r="AK131" s="99"/>
      <c r="AL131" s="99"/>
      <c r="AM131" s="99"/>
      <c r="AN131" s="99"/>
      <c r="AO131" s="99"/>
      <c r="AP131" s="99"/>
      <c r="AQ131" s="99"/>
      <c r="AR131" s="99"/>
      <c r="AS131" s="99"/>
      <c r="AT131" s="99"/>
      <c r="AU131" s="99"/>
      <c r="AV131" s="99"/>
      <c r="AW131" s="99"/>
      <c r="AX131" s="99"/>
      <c r="AY131" s="99"/>
      <c r="AZ131" s="99"/>
      <c r="BA131" s="99"/>
      <c r="BB131" s="99"/>
      <c r="BC131" s="99"/>
      <c r="BD131" s="99"/>
      <c r="BE131" s="99"/>
      <c r="BF131" s="90"/>
      <c r="BG131" s="99"/>
      <c r="BH131" s="99"/>
      <c r="BI131" s="99"/>
      <c r="BJ131" s="99"/>
      <c r="BK131" s="90"/>
      <c r="BL131" s="99"/>
      <c r="BM131" s="99"/>
      <c r="BN131" s="99"/>
      <c r="BO131" s="99"/>
      <c r="BP131" s="90"/>
      <c r="BQ131" s="99"/>
      <c r="BR131" s="99"/>
      <c r="BS131" s="99"/>
      <c r="BU131" s="1656"/>
      <c r="BV131" s="99"/>
      <c r="BW131" s="99"/>
      <c r="BX131" s="99"/>
      <c r="BZ131" s="1656"/>
      <c r="CA131" s="99"/>
      <c r="CB131" s="99"/>
      <c r="CC131" s="99"/>
      <c r="CE131" s="1656"/>
      <c r="CF131" s="99"/>
      <c r="CG131" s="99"/>
      <c r="CH131" s="99"/>
      <c r="CJ131" s="1656"/>
      <c r="CK131" s="99"/>
      <c r="CL131" s="99"/>
      <c r="CM131" s="99"/>
      <c r="CO131" s="1656"/>
      <c r="CP131" s="99"/>
      <c r="CQ131" s="99"/>
      <c r="CR131" s="99"/>
      <c r="CT131" s="1656"/>
      <c r="CU131" s="99"/>
      <c r="CV131" s="99"/>
      <c r="CW131" s="99"/>
      <c r="CY131" s="1656"/>
      <c r="CZ131" s="99"/>
      <c r="DA131" s="99"/>
      <c r="DB131" s="99"/>
      <c r="DD131" s="1656"/>
      <c r="DE131" s="99"/>
      <c r="DF131" s="99"/>
      <c r="DG131" s="99"/>
      <c r="DI131" s="1407">
        <f>DI130/DI138</f>
        <v>4.9299186023426617E-2</v>
      </c>
      <c r="DJ131" s="129"/>
      <c r="DK131" s="99"/>
      <c r="DL131" s="99"/>
      <c r="DM131" s="99"/>
      <c r="DN131" s="1655">
        <v>4.7E-2</v>
      </c>
      <c r="DO131" s="99"/>
      <c r="DP131" s="129"/>
      <c r="DQ131" s="129"/>
      <c r="DR131" s="129"/>
      <c r="DS131" s="1655">
        <v>4.7E-2</v>
      </c>
      <c r="DT131" s="99"/>
      <c r="DU131" s="129"/>
      <c r="DV131" s="99"/>
      <c r="DW131" s="99"/>
      <c r="DX131" s="1407">
        <f>DX130/DX138</f>
        <v>3.6565770382962701E-2</v>
      </c>
      <c r="DY131" s="99"/>
      <c r="DZ131" s="99"/>
      <c r="EA131" s="99"/>
      <c r="EB131" s="99"/>
      <c r="EC131" s="1407">
        <f>EC130/EC138</f>
        <v>3.1685929265377243E-2</v>
      </c>
      <c r="ED131" s="99"/>
      <c r="EE131" s="99"/>
      <c r="EF131" s="99"/>
      <c r="EG131" s="99"/>
      <c r="EH131" s="1407">
        <f>EH130/EH138</f>
        <v>2.8611696986638544E-2</v>
      </c>
      <c r="EI131" s="99"/>
      <c r="EJ131" s="99"/>
      <c r="EK131" s="99"/>
      <c r="EL131" s="99"/>
      <c r="EM131" s="1407">
        <f>EM130/EM138</f>
        <v>2.6309115283767375E-2</v>
      </c>
      <c r="EN131" s="99"/>
      <c r="EO131" s="99"/>
      <c r="EP131" s="99"/>
      <c r="EQ131" s="99"/>
      <c r="ER131" s="1407">
        <f>ER130/ER138</f>
        <v>2.4443197137646998E-2</v>
      </c>
      <c r="ES131" s="99"/>
    </row>
    <row r="132" spans="1:149">
      <c r="A132" s="929"/>
      <c r="B132" s="94"/>
      <c r="C132" s="1030" t="s">
        <v>304</v>
      </c>
      <c r="D132" s="17"/>
      <c r="E132" s="17"/>
      <c r="F132" s="17"/>
      <c r="G132" s="17"/>
      <c r="H132" s="17"/>
      <c r="I132" s="17"/>
      <c r="J132" s="17"/>
      <c r="K132" s="17"/>
      <c r="L132" s="17"/>
      <c r="M132" s="94"/>
      <c r="N132" s="17"/>
      <c r="O132" s="17"/>
      <c r="P132" s="17"/>
      <c r="Q132" s="17"/>
      <c r="R132" s="94"/>
      <c r="S132" s="17"/>
      <c r="T132" s="17"/>
      <c r="U132" s="17"/>
      <c r="V132" s="17"/>
      <c r="W132" s="94"/>
      <c r="X132" s="94"/>
      <c r="Y132" s="94"/>
      <c r="Z132" s="94"/>
      <c r="AA132" s="94"/>
      <c r="AB132" s="94"/>
      <c r="AC132" s="94"/>
      <c r="AD132" s="94"/>
      <c r="AE132" s="94"/>
      <c r="AF132" s="94"/>
      <c r="AG132" s="94"/>
      <c r="AH132" s="94"/>
      <c r="AI132" s="94"/>
      <c r="AJ132" s="94"/>
      <c r="AK132" s="94"/>
      <c r="AL132" s="94"/>
      <c r="AM132" s="94"/>
      <c r="AN132" s="94"/>
      <c r="AO132" s="94"/>
      <c r="AP132" s="94"/>
      <c r="AQ132" s="94"/>
      <c r="AR132" s="94"/>
      <c r="AS132" s="94"/>
      <c r="AT132" s="94"/>
      <c r="AU132" s="94"/>
      <c r="AV132" s="94"/>
      <c r="AW132" s="94"/>
      <c r="AX132" s="94"/>
      <c r="AY132" s="94"/>
      <c r="AZ132" s="94"/>
      <c r="BA132" s="94"/>
      <c r="BB132" s="94"/>
      <c r="BC132" s="94"/>
      <c r="BD132" s="94"/>
      <c r="BE132" s="94"/>
      <c r="BF132" s="91"/>
      <c r="BG132" s="94"/>
      <c r="BH132" s="94"/>
      <c r="BI132" s="94"/>
      <c r="BJ132" s="94"/>
      <c r="BK132" s="91"/>
      <c r="BL132" s="94"/>
      <c r="BM132" s="94"/>
      <c r="BN132" s="94"/>
      <c r="BO132" s="94"/>
      <c r="BP132" s="91"/>
      <c r="BQ132" s="94"/>
      <c r="BR132" s="94"/>
      <c r="BS132" s="94"/>
      <c r="BU132" s="288">
        <f>BU163/BU161*BU128</f>
        <v>5247.4164089150081</v>
      </c>
      <c r="BV132" s="94"/>
      <c r="BW132" s="94"/>
      <c r="BX132" s="94"/>
      <c r="BZ132" s="288">
        <f>BZ163/BZ161*BZ128</f>
        <v>10346.708047428063</v>
      </c>
      <c r="CA132" s="94"/>
      <c r="CB132" s="94"/>
      <c r="CC132" s="94"/>
      <c r="CE132" s="288">
        <f>CE163/CE161*CE128</f>
        <v>17299.933264275664</v>
      </c>
      <c r="CF132" s="94"/>
      <c r="CG132" s="94"/>
      <c r="CH132" s="94"/>
      <c r="CJ132" s="288">
        <f>CJ163/CJ161*CJ128</f>
        <v>26687.240214798971</v>
      </c>
      <c r="CK132" s="94"/>
      <c r="CL132" s="94"/>
      <c r="CM132" s="94"/>
      <c r="CO132" s="288">
        <f>CO163/CO161*CO128</f>
        <v>39296.251191173164</v>
      </c>
      <c r="CP132" s="94"/>
      <c r="CQ132" s="94"/>
      <c r="CR132" s="94"/>
      <c r="CT132" s="288">
        <f>CT163/CT161*CT128</f>
        <v>74557.237556433523</v>
      </c>
      <c r="CU132" s="94"/>
      <c r="CV132" s="94"/>
      <c r="CW132" s="94"/>
      <c r="CY132" s="288">
        <f>CY163/CY161*CY128</f>
        <v>106175.1575023154</v>
      </c>
      <c r="CZ132" s="99"/>
      <c r="DA132" s="99"/>
      <c r="DB132" s="94"/>
      <c r="DD132" s="288">
        <f>DD163/DD161*DD128</f>
        <v>118204.56632036399</v>
      </c>
      <c r="DE132" s="99"/>
      <c r="DF132" s="99"/>
      <c r="DG132" s="94"/>
      <c r="DI132" s="288">
        <f>DI163/DI161*DI128</f>
        <v>139361.08953742307</v>
      </c>
      <c r="DJ132" s="93"/>
      <c r="DK132" s="99"/>
      <c r="DL132" s="94"/>
      <c r="DM132" s="94"/>
      <c r="DN132" s="288">
        <f>DN133*DN138</f>
        <v>166596.75</v>
      </c>
      <c r="DO132" s="94"/>
      <c r="DP132" s="129"/>
      <c r="DQ132" s="129"/>
      <c r="DR132" s="129"/>
      <c r="DS132" s="288">
        <f>DS133*DS138</f>
        <v>211926.96000000002</v>
      </c>
      <c r="DT132" s="99"/>
      <c r="DU132" s="129"/>
      <c r="DV132" s="94"/>
      <c r="DW132" s="94"/>
      <c r="DX132" s="288">
        <f>+DX$138*DX151*0.9</f>
        <v>288098.99405996897</v>
      </c>
      <c r="DY132" s="99"/>
      <c r="DZ132" s="99"/>
      <c r="EA132" s="94"/>
      <c r="EB132" s="94"/>
      <c r="EC132" s="288">
        <f>+EC$138*EC151*0.9</f>
        <v>365324.4282472193</v>
      </c>
      <c r="ED132" s="99"/>
      <c r="EE132" s="99"/>
      <c r="EF132" s="94"/>
      <c r="EG132" s="94"/>
      <c r="EH132" s="288">
        <f>+EH$138*EH151*0.9</f>
        <v>434632.04963363364</v>
      </c>
      <c r="EI132" s="99"/>
      <c r="EJ132" s="99"/>
      <c r="EK132" s="94"/>
      <c r="EL132" s="94"/>
      <c r="EM132" s="288">
        <f>+EM$138*EM151*0.9</f>
        <v>502013.10993943934</v>
      </c>
      <c r="EN132" s="99"/>
      <c r="EO132" s="99"/>
      <c r="EP132" s="94"/>
      <c r="EQ132" s="94"/>
      <c r="ER132" s="288">
        <f>+ER$138*ER151*0.9</f>
        <v>568794.46497512504</v>
      </c>
      <c r="ES132" s="94"/>
    </row>
    <row r="133" spans="1:149" s="1638" customFormat="1">
      <c r="A133" s="1652"/>
      <c r="B133" s="99"/>
      <c r="C133" s="1653" t="s">
        <v>613</v>
      </c>
      <c r="D133" s="127"/>
      <c r="E133" s="127"/>
      <c r="F133" s="127"/>
      <c r="G133" s="127"/>
      <c r="H133" s="127"/>
      <c r="I133" s="127"/>
      <c r="J133" s="127"/>
      <c r="K133" s="127"/>
      <c r="L133" s="127"/>
      <c r="M133" s="99"/>
      <c r="N133" s="127"/>
      <c r="O133" s="127"/>
      <c r="P133" s="127"/>
      <c r="Q133" s="127"/>
      <c r="R133" s="99"/>
      <c r="S133" s="127"/>
      <c r="T133" s="127"/>
      <c r="U133" s="127"/>
      <c r="V133" s="127"/>
      <c r="W133" s="99"/>
      <c r="X133" s="99"/>
      <c r="Y133" s="99"/>
      <c r="Z133" s="99"/>
      <c r="AA133" s="99"/>
      <c r="AB133" s="99"/>
      <c r="AC133" s="99"/>
      <c r="AD133" s="99"/>
      <c r="AE133" s="99"/>
      <c r="AF133" s="99"/>
      <c r="AG133" s="99"/>
      <c r="AH133" s="99"/>
      <c r="AI133" s="99"/>
      <c r="AJ133" s="99"/>
      <c r="AK133" s="99"/>
      <c r="AL133" s="99"/>
      <c r="AM133" s="99"/>
      <c r="AN133" s="99"/>
      <c r="AO133" s="99"/>
      <c r="AP133" s="99"/>
      <c r="AQ133" s="99"/>
      <c r="AR133" s="99"/>
      <c r="AS133" s="99"/>
      <c r="AT133" s="99"/>
      <c r="AU133" s="99"/>
      <c r="AV133" s="99"/>
      <c r="AW133" s="99"/>
      <c r="AX133" s="99"/>
      <c r="AY133" s="99"/>
      <c r="AZ133" s="99"/>
      <c r="BA133" s="99"/>
      <c r="BB133" s="99"/>
      <c r="BC133" s="99"/>
      <c r="BD133" s="99"/>
      <c r="BE133" s="99"/>
      <c r="BF133" s="90"/>
      <c r="BG133" s="99"/>
      <c r="BH133" s="99"/>
      <c r="BI133" s="99"/>
      <c r="BJ133" s="99"/>
      <c r="BK133" s="90"/>
      <c r="BL133" s="99"/>
      <c r="BM133" s="99"/>
      <c r="BN133" s="99"/>
      <c r="BO133" s="99"/>
      <c r="BP133" s="90"/>
      <c r="BQ133" s="99"/>
      <c r="BR133" s="99"/>
      <c r="BS133" s="99"/>
      <c r="BU133" s="1656"/>
      <c r="BV133" s="99"/>
      <c r="BW133" s="99"/>
      <c r="BX133" s="99"/>
      <c r="BZ133" s="1656"/>
      <c r="CA133" s="99"/>
      <c r="CB133" s="99"/>
      <c r="CC133" s="99"/>
      <c r="CE133" s="1656"/>
      <c r="CF133" s="99"/>
      <c r="CG133" s="99"/>
      <c r="CH133" s="99"/>
      <c r="CJ133" s="1656"/>
      <c r="CK133" s="99"/>
      <c r="CL133" s="99"/>
      <c r="CM133" s="99"/>
      <c r="CO133" s="1656"/>
      <c r="CP133" s="99"/>
      <c r="CQ133" s="99"/>
      <c r="CR133" s="99"/>
      <c r="CT133" s="1656"/>
      <c r="CU133" s="99"/>
      <c r="CV133" s="99"/>
      <c r="CW133" s="99"/>
      <c r="CY133" s="1656"/>
      <c r="CZ133" s="99"/>
      <c r="DA133" s="99"/>
      <c r="DB133" s="99"/>
      <c r="DD133" s="1656"/>
      <c r="DE133" s="99"/>
      <c r="DF133" s="99"/>
      <c r="DG133" s="99"/>
      <c r="DI133" s="1407">
        <f>DI132/DI138</f>
        <v>0.59070081397657337</v>
      </c>
      <c r="DJ133" s="129"/>
      <c r="DK133" s="99"/>
      <c r="DL133" s="99"/>
      <c r="DM133" s="99"/>
      <c r="DN133" s="1654">
        <v>0.56999999999999995</v>
      </c>
      <c r="DO133" s="632"/>
      <c r="DP133" s="129"/>
      <c r="DQ133" s="129"/>
      <c r="DR133" s="129"/>
      <c r="DS133" s="1655">
        <v>0.56000000000000005</v>
      </c>
      <c r="DT133" s="99"/>
      <c r="DU133" s="129"/>
      <c r="DV133" s="99"/>
      <c r="DW133" s="99"/>
      <c r="DX133" s="1407">
        <f>DX132/DX138</f>
        <v>0.58121762766384655</v>
      </c>
      <c r="DY133" s="99"/>
      <c r="DZ133" s="99"/>
      <c r="EA133" s="99"/>
      <c r="EB133" s="99"/>
      <c r="EC133" s="1407">
        <f>EC132/EC138</f>
        <v>0.58607728314814256</v>
      </c>
      <c r="ED133" s="99"/>
      <c r="EE133" s="99"/>
      <c r="EF133" s="99"/>
      <c r="EG133" s="99"/>
      <c r="EH133" s="1407">
        <f>EH132/EH138</f>
        <v>0.58105424275563655</v>
      </c>
      <c r="EI133" s="99"/>
      <c r="EJ133" s="99"/>
      <c r="EK133" s="99"/>
      <c r="EL133" s="99"/>
      <c r="EM133" s="1407">
        <f>EM132/EM138</f>
        <v>0.57117885424301562</v>
      </c>
      <c r="EN133" s="99"/>
      <c r="EO133" s="99"/>
      <c r="EP133" s="99"/>
      <c r="EQ133" s="99"/>
      <c r="ER133" s="1407">
        <f>ER132/ER138</f>
        <v>0.55789752466179676</v>
      </c>
      <c r="ES133" s="99"/>
    </row>
    <row r="134" spans="1:149">
      <c r="A134" s="929"/>
      <c r="B134" s="94"/>
      <c r="C134" s="1031" t="s">
        <v>305</v>
      </c>
      <c r="D134" s="17"/>
      <c r="E134" s="17"/>
      <c r="F134" s="17"/>
      <c r="G134" s="17"/>
      <c r="H134" s="17"/>
      <c r="I134" s="17"/>
      <c r="J134" s="17"/>
      <c r="K134" s="17"/>
      <c r="L134" s="17"/>
      <c r="M134" s="94"/>
      <c r="N134" s="17"/>
      <c r="O134" s="17"/>
      <c r="P134" s="17"/>
      <c r="Q134" s="17"/>
      <c r="R134" s="94"/>
      <c r="S134" s="17"/>
      <c r="T134" s="17"/>
      <c r="U134" s="17"/>
      <c r="V134" s="17"/>
      <c r="W134" s="94"/>
      <c r="X134" s="94"/>
      <c r="Y134" s="94"/>
      <c r="Z134" s="94"/>
      <c r="AA134" s="94"/>
      <c r="AB134" s="94"/>
      <c r="AC134" s="94"/>
      <c r="AD134" s="94"/>
      <c r="AE134" s="94"/>
      <c r="AF134" s="94"/>
      <c r="AG134" s="94"/>
      <c r="AH134" s="94"/>
      <c r="AI134" s="94"/>
      <c r="AJ134" s="94"/>
      <c r="AK134" s="94"/>
      <c r="AL134" s="94"/>
      <c r="AM134" s="94"/>
      <c r="AN134" s="94"/>
      <c r="AO134" s="94"/>
      <c r="AP134" s="94"/>
      <c r="AQ134" s="94"/>
      <c r="AR134" s="94"/>
      <c r="AS134" s="94"/>
      <c r="AT134" s="94"/>
      <c r="AU134" s="94"/>
      <c r="AV134" s="94"/>
      <c r="AW134" s="94"/>
      <c r="AX134" s="94"/>
      <c r="AY134" s="94"/>
      <c r="AZ134" s="94"/>
      <c r="BA134" s="94"/>
      <c r="BB134" s="94"/>
      <c r="BC134" s="94"/>
      <c r="BD134" s="94"/>
      <c r="BE134" s="94"/>
      <c r="BF134" s="91"/>
      <c r="BG134" s="94"/>
      <c r="BH134" s="94"/>
      <c r="BI134" s="94"/>
      <c r="BJ134" s="94"/>
      <c r="BK134" s="91"/>
      <c r="BL134" s="94"/>
      <c r="BM134" s="94"/>
      <c r="BN134" s="94"/>
      <c r="BO134" s="94"/>
      <c r="BP134" s="91"/>
      <c r="BQ134" s="94"/>
      <c r="BR134" s="94"/>
      <c r="BS134" s="94"/>
      <c r="BU134" s="288"/>
      <c r="BV134" s="94"/>
      <c r="BW134" s="94"/>
      <c r="BX134" s="94"/>
      <c r="BZ134" s="288"/>
      <c r="CA134" s="94"/>
      <c r="CB134" s="94"/>
      <c r="CC134" s="94"/>
      <c r="CE134" s="288"/>
      <c r="CF134" s="94"/>
      <c r="CG134" s="94"/>
      <c r="CH134" s="94"/>
      <c r="CJ134" s="288"/>
      <c r="CK134" s="94"/>
      <c r="CL134" s="94"/>
      <c r="CM134" s="94"/>
      <c r="CO134" s="288"/>
      <c r="CP134" s="94"/>
      <c r="CQ134" s="94"/>
      <c r="CR134" s="94"/>
      <c r="CT134" s="288">
        <f>CT138-CT128-CT135-CT136</f>
        <v>24262.200722096008</v>
      </c>
      <c r="CU134" s="94"/>
      <c r="CV134" s="94"/>
      <c r="CW134" s="94"/>
      <c r="CY134" s="288">
        <f>CY138-CY128-CY135-CY136</f>
        <v>38021.422273946249</v>
      </c>
      <c r="CZ134" s="99"/>
      <c r="DA134" s="99"/>
      <c r="DB134" s="94"/>
      <c r="DD134" s="288">
        <f>DD138-DD128-DD135-DD136</f>
        <v>46318.566940178585</v>
      </c>
      <c r="DE134" s="99"/>
      <c r="DF134" s="99"/>
      <c r="DG134" s="94"/>
      <c r="DI134" s="288">
        <f>DI138-DI128-DI135-DI136</f>
        <v>59268.637393767713</v>
      </c>
      <c r="DJ134" s="93"/>
      <c r="DK134" s="99"/>
      <c r="DL134" s="94"/>
      <c r="DM134" s="94"/>
      <c r="DN134" s="288">
        <f>DN138-DN128-DN135-DN136</f>
        <v>79619.922972972985</v>
      </c>
      <c r="DO134" s="94"/>
      <c r="DP134" s="129"/>
      <c r="DQ134" s="129"/>
      <c r="DR134" s="129"/>
      <c r="DS134" s="288">
        <f>DS138-DS128-DS135-DS136</f>
        <v>108381.23200311523</v>
      </c>
      <c r="DT134" s="99"/>
      <c r="DU134" s="129"/>
      <c r="DV134" s="94"/>
      <c r="DW134" s="94"/>
      <c r="DX134" s="288">
        <f>+DX$138*DX153</f>
        <v>101977.91603386869</v>
      </c>
      <c r="DY134" s="99"/>
      <c r="DZ134" s="99"/>
      <c r="EA134" s="94"/>
      <c r="EB134" s="94"/>
      <c r="EC134" s="288">
        <f>+EC$138*EC153</f>
        <v>127438.96309461271</v>
      </c>
      <c r="ED134" s="99"/>
      <c r="EE134" s="99"/>
      <c r="EF134" s="94"/>
      <c r="EG134" s="94"/>
      <c r="EH134" s="288">
        <f>+EH$138*EH153</f>
        <v>158359.51351093606</v>
      </c>
      <c r="EI134" s="99"/>
      <c r="EJ134" s="99"/>
      <c r="EK134" s="94"/>
      <c r="EL134" s="94"/>
      <c r="EM134" s="288">
        <f>+EM$138*EM153</f>
        <v>196213.17602530689</v>
      </c>
      <c r="EN134" s="99"/>
      <c r="EO134" s="99"/>
      <c r="EP134" s="94"/>
      <c r="EQ134" s="94"/>
      <c r="ER134" s="288">
        <f>+ER$138*ER153</f>
        <v>242505.41373653436</v>
      </c>
      <c r="ES134" s="94"/>
    </row>
    <row r="135" spans="1:149">
      <c r="A135" s="929"/>
      <c r="B135" s="94"/>
      <c r="C135" s="1031" t="s">
        <v>307</v>
      </c>
      <c r="D135" s="17"/>
      <c r="E135" s="17"/>
      <c r="F135" s="17"/>
      <c r="G135" s="17"/>
      <c r="H135" s="17"/>
      <c r="I135" s="17"/>
      <c r="J135" s="17"/>
      <c r="K135" s="17"/>
      <c r="L135" s="17"/>
      <c r="M135" s="94"/>
      <c r="N135" s="17"/>
      <c r="O135" s="17"/>
      <c r="P135" s="17"/>
      <c r="Q135" s="17"/>
      <c r="R135" s="94"/>
      <c r="S135" s="17"/>
      <c r="T135" s="17"/>
      <c r="U135" s="17"/>
      <c r="V135" s="17"/>
      <c r="W135" s="94"/>
      <c r="X135" s="94"/>
      <c r="Y135" s="94"/>
      <c r="Z135" s="94"/>
      <c r="AA135" s="94"/>
      <c r="AB135" s="94"/>
      <c r="AC135" s="94"/>
      <c r="AD135" s="94"/>
      <c r="AE135" s="94"/>
      <c r="AF135" s="94"/>
      <c r="AG135" s="94"/>
      <c r="AH135" s="94"/>
      <c r="AI135" s="94"/>
      <c r="AJ135" s="94"/>
      <c r="AK135" s="94"/>
      <c r="AL135" s="94"/>
      <c r="AM135" s="94"/>
      <c r="AN135" s="94"/>
      <c r="AO135" s="94"/>
      <c r="AP135" s="94"/>
      <c r="AQ135" s="94"/>
      <c r="AR135" s="94"/>
      <c r="AS135" s="94"/>
      <c r="AT135" s="94"/>
      <c r="AU135" s="94"/>
      <c r="AV135" s="94"/>
      <c r="AW135" s="94"/>
      <c r="AX135" s="94"/>
      <c r="AY135" s="94"/>
      <c r="AZ135" s="94"/>
      <c r="BA135" s="94"/>
      <c r="BB135" s="94"/>
      <c r="BC135" s="94"/>
      <c r="BD135" s="94"/>
      <c r="BE135" s="94"/>
      <c r="BF135" s="91"/>
      <c r="BG135" s="94"/>
      <c r="BH135" s="94"/>
      <c r="BI135" s="94"/>
      <c r="BJ135" s="94"/>
      <c r="BK135" s="91"/>
      <c r="BL135" s="94"/>
      <c r="BM135" s="94"/>
      <c r="BN135" s="94"/>
      <c r="BO135" s="94"/>
      <c r="BP135" s="91"/>
      <c r="BQ135" s="94"/>
      <c r="BR135" s="94"/>
      <c r="BS135" s="94"/>
      <c r="BU135" s="288"/>
      <c r="BV135" s="94"/>
      <c r="BW135" s="94"/>
      <c r="BX135" s="94"/>
      <c r="BZ135" s="288"/>
      <c r="CA135" s="94"/>
      <c r="CB135" s="94"/>
      <c r="CC135" s="94"/>
      <c r="CE135" s="288"/>
      <c r="CF135" s="94"/>
      <c r="CG135" s="94"/>
      <c r="CH135" s="94"/>
      <c r="CJ135" s="288"/>
      <c r="CK135" s="94"/>
      <c r="CL135" s="94"/>
      <c r="CM135" s="94"/>
      <c r="CO135" s="288"/>
      <c r="CP135" s="94"/>
      <c r="CQ135" s="94"/>
      <c r="CR135" s="94"/>
      <c r="CT135" s="288">
        <f>+CT$138*CT155</f>
        <v>11928.770369760481</v>
      </c>
      <c r="CU135" s="94"/>
      <c r="CV135" s="94"/>
      <c r="CW135" s="94"/>
      <c r="CY135" s="288">
        <f>+CY$138*CY155</f>
        <v>17756.71447051171</v>
      </c>
      <c r="CZ135" s="99"/>
      <c r="DA135" s="99"/>
      <c r="DB135" s="94"/>
      <c r="DD135" s="288">
        <f>+DD$138*DD155</f>
        <v>19478.45438625</v>
      </c>
      <c r="DE135" s="99"/>
      <c r="DF135" s="99"/>
      <c r="DG135" s="94"/>
      <c r="DI135" s="288">
        <f>+DI$138*DI155</f>
        <v>23358.580028328612</v>
      </c>
      <c r="DJ135" s="93"/>
      <c r="DK135" s="99"/>
      <c r="DL135" s="94"/>
      <c r="DM135" s="94"/>
      <c r="DN135" s="288">
        <f>+DN$138*DN155</f>
        <v>29128.758445945943</v>
      </c>
      <c r="DO135" s="94"/>
      <c r="DP135" s="129"/>
      <c r="DQ135" s="129"/>
      <c r="DR135" s="129"/>
      <c r="DS135" s="288">
        <f>+DS$138*DS155</f>
        <v>36940.242990654209</v>
      </c>
      <c r="DT135" s="99"/>
      <c r="DU135" s="129"/>
      <c r="DV135" s="94"/>
      <c r="DW135" s="94"/>
      <c r="DX135" s="288">
        <f>+DX$138*DX155</f>
        <v>48879.989432782975</v>
      </c>
      <c r="DY135" s="99"/>
      <c r="DZ135" s="99"/>
      <c r="EA135" s="94"/>
      <c r="EB135" s="94"/>
      <c r="EC135" s="288">
        <f>+EC$138*EC155</f>
        <v>62091.746157864589</v>
      </c>
      <c r="ED135" s="99"/>
      <c r="EE135" s="99"/>
      <c r="EF135" s="94"/>
      <c r="EG135" s="94"/>
      <c r="EH135" s="288">
        <f>+EH$138*EH155</f>
        <v>75258.101371757512</v>
      </c>
      <c r="EI135" s="99"/>
      <c r="EJ135" s="99"/>
      <c r="EK135" s="94"/>
      <c r="EL135" s="94"/>
      <c r="EM135" s="288">
        <f>+EM$138*EM155</f>
        <v>89307.176141041069</v>
      </c>
      <c r="EN135" s="99"/>
      <c r="EO135" s="99"/>
      <c r="EP135" s="94"/>
      <c r="EQ135" s="94"/>
      <c r="ER135" s="288">
        <f>+ER$138*ER155</f>
        <v>104615.85647750981</v>
      </c>
      <c r="ES135" s="94"/>
    </row>
    <row r="136" spans="1:149">
      <c r="A136" s="929"/>
      <c r="B136" s="94"/>
      <c r="C136" s="592" t="s">
        <v>170</v>
      </c>
      <c r="D136" s="17"/>
      <c r="E136" s="17"/>
      <c r="F136" s="17"/>
      <c r="G136" s="17"/>
      <c r="H136" s="17"/>
      <c r="I136" s="17"/>
      <c r="J136" s="17"/>
      <c r="K136" s="17"/>
      <c r="L136" s="17"/>
      <c r="M136" s="94"/>
      <c r="N136" s="17"/>
      <c r="O136" s="17"/>
      <c r="P136" s="17"/>
      <c r="Q136" s="17"/>
      <c r="R136" s="94"/>
      <c r="S136" s="17"/>
      <c r="T136" s="17"/>
      <c r="U136" s="17"/>
      <c r="V136" s="17"/>
      <c r="W136" s="94"/>
      <c r="X136" s="94"/>
      <c r="Y136" s="94"/>
      <c r="Z136" s="94"/>
      <c r="AA136" s="94"/>
      <c r="AB136" s="94"/>
      <c r="AC136" s="94"/>
      <c r="AD136" s="94"/>
      <c r="AE136" s="94"/>
      <c r="AF136" s="94"/>
      <c r="AG136" s="94"/>
      <c r="AH136" s="94"/>
      <c r="AI136" s="94"/>
      <c r="AJ136" s="94"/>
      <c r="AK136" s="94"/>
      <c r="AL136" s="94"/>
      <c r="AM136" s="94"/>
      <c r="AN136" s="94"/>
      <c r="AO136" s="94"/>
      <c r="AP136" s="94"/>
      <c r="AQ136" s="94"/>
      <c r="AR136" s="94"/>
      <c r="AS136" s="94"/>
      <c r="AT136" s="94"/>
      <c r="AU136" s="94"/>
      <c r="AV136" s="94"/>
      <c r="AW136" s="94"/>
      <c r="AX136" s="94"/>
      <c r="AY136" s="94"/>
      <c r="AZ136" s="94"/>
      <c r="BA136" s="94"/>
      <c r="BB136" s="94"/>
      <c r="BC136" s="94"/>
      <c r="BD136" s="94"/>
      <c r="BE136" s="94"/>
      <c r="BF136" s="91"/>
      <c r="BG136" s="94"/>
      <c r="BH136" s="94"/>
      <c r="BI136" s="94"/>
      <c r="BJ136" s="94"/>
      <c r="BK136" s="91"/>
      <c r="BL136" s="94"/>
      <c r="BM136" s="94"/>
      <c r="BN136" s="94"/>
      <c r="BO136" s="94"/>
      <c r="BP136" s="91"/>
      <c r="BQ136" s="94"/>
      <c r="BR136" s="94"/>
      <c r="BS136" s="94"/>
      <c r="BU136" s="288"/>
      <c r="BV136" s="94"/>
      <c r="BW136" s="94"/>
      <c r="BX136" s="94"/>
      <c r="BZ136" s="288"/>
      <c r="CA136" s="94"/>
      <c r="CB136" s="94"/>
      <c r="CC136" s="94"/>
      <c r="CE136" s="288"/>
      <c r="CF136" s="94"/>
      <c r="CG136" s="94"/>
      <c r="CH136" s="94"/>
      <c r="CJ136" s="288"/>
      <c r="CK136" s="94"/>
      <c r="CL136" s="94"/>
      <c r="CM136" s="94"/>
      <c r="CO136" s="288"/>
      <c r="CP136" s="94"/>
      <c r="CQ136" s="94"/>
      <c r="CR136" s="94"/>
      <c r="CT136" s="288">
        <f>+CT$138*CT157</f>
        <v>1475.8302131435119</v>
      </c>
      <c r="CU136" s="94"/>
      <c r="CV136" s="94"/>
      <c r="CW136" s="94"/>
      <c r="CY136" s="288">
        <f>+CY$138*CY157</f>
        <v>2091.2618755420644</v>
      </c>
      <c r="CZ136" s="99"/>
      <c r="DA136" s="99"/>
      <c r="DB136" s="94"/>
      <c r="DD136" s="288">
        <f>+DD$138*DD157</f>
        <v>2254.2876685714286</v>
      </c>
      <c r="DE136" s="99"/>
      <c r="DF136" s="99"/>
      <c r="DG136" s="94"/>
      <c r="DI136" s="288">
        <f>+DI$138*DI157</f>
        <v>2305.7825779036825</v>
      </c>
      <c r="DJ136" s="93"/>
      <c r="DK136" s="99"/>
      <c r="DL136" s="94"/>
      <c r="DM136" s="94"/>
      <c r="DN136" s="288">
        <f>+DN$138*DN157</f>
        <v>3192.6435810810808</v>
      </c>
      <c r="DO136" s="94"/>
      <c r="DP136" s="129"/>
      <c r="DQ136" s="129"/>
      <c r="DR136" s="129"/>
      <c r="DS136" s="288">
        <f>+DS$138*DS157</f>
        <v>3405.8380062305296</v>
      </c>
      <c r="DT136" s="99"/>
      <c r="DU136" s="129"/>
      <c r="DV136" s="94"/>
      <c r="DW136" s="94"/>
      <c r="DX136" s="288">
        <f>+DX$138*DX157</f>
        <v>4575.0172265429283</v>
      </c>
      <c r="DY136" s="99"/>
      <c r="DZ136" s="99"/>
      <c r="EA136" s="94"/>
      <c r="EB136" s="94"/>
      <c r="EC136" s="288">
        <f>+EC$138*EC157</f>
        <v>5945.9625488803367</v>
      </c>
      <c r="ED136" s="99"/>
      <c r="EE136" s="99"/>
      <c r="EF136" s="94"/>
      <c r="EG136" s="94"/>
      <c r="EH136" s="288">
        <f>+EH$138*EH157</f>
        <v>7684.1783884549623</v>
      </c>
      <c r="EI136" s="99"/>
      <c r="EJ136" s="99"/>
      <c r="EK136" s="94"/>
      <c r="EL136" s="94"/>
      <c r="EM136" s="288">
        <f>+EM$138*EM157</f>
        <v>9901.8145095857217</v>
      </c>
      <c r="EN136" s="99"/>
      <c r="EO136" s="99"/>
      <c r="EP136" s="94"/>
      <c r="EQ136" s="94"/>
      <c r="ER136" s="288">
        <f>+ER$138*ER157</f>
        <v>12727.449909087629</v>
      </c>
      <c r="ES136" s="94"/>
    </row>
    <row r="137" spans="1:149">
      <c r="A137" s="929"/>
      <c r="B137" s="94"/>
      <c r="C137" s="592" t="s">
        <v>599</v>
      </c>
      <c r="D137" s="17"/>
      <c r="E137" s="17"/>
      <c r="F137" s="17"/>
      <c r="G137" s="17"/>
      <c r="H137" s="17"/>
      <c r="I137" s="17"/>
      <c r="J137" s="17"/>
      <c r="K137" s="17"/>
      <c r="L137" s="17"/>
      <c r="M137" s="94"/>
      <c r="N137" s="17"/>
      <c r="O137" s="17"/>
      <c r="P137" s="17"/>
      <c r="Q137" s="17"/>
      <c r="R137" s="94"/>
      <c r="S137" s="17"/>
      <c r="T137" s="17"/>
      <c r="U137" s="17"/>
      <c r="V137" s="17"/>
      <c r="W137" s="94"/>
      <c r="X137" s="94"/>
      <c r="Y137" s="94"/>
      <c r="Z137" s="94"/>
      <c r="AA137" s="94"/>
      <c r="AB137" s="94"/>
      <c r="AC137" s="94"/>
      <c r="AD137" s="94"/>
      <c r="AE137" s="94"/>
      <c r="AF137" s="94"/>
      <c r="AG137" s="94"/>
      <c r="AH137" s="94"/>
      <c r="AI137" s="94"/>
      <c r="AJ137" s="94"/>
      <c r="AK137" s="94"/>
      <c r="AL137" s="94"/>
      <c r="AM137" s="94"/>
      <c r="AN137" s="94"/>
      <c r="AO137" s="94"/>
      <c r="AP137" s="94"/>
      <c r="AQ137" s="94"/>
      <c r="AR137" s="94"/>
      <c r="AS137" s="94"/>
      <c r="AT137" s="94"/>
      <c r="AU137" s="94"/>
      <c r="AV137" s="94"/>
      <c r="AW137" s="94"/>
      <c r="AX137" s="94"/>
      <c r="AY137" s="94"/>
      <c r="AZ137" s="94"/>
      <c r="BA137" s="94"/>
      <c r="BB137" s="94"/>
      <c r="BC137" s="94"/>
      <c r="BD137" s="94"/>
      <c r="BE137" s="94"/>
      <c r="BF137" s="91"/>
      <c r="BG137" s="94"/>
      <c r="BH137" s="94"/>
      <c r="BI137" s="94"/>
      <c r="BJ137" s="94"/>
      <c r="BK137" s="91"/>
      <c r="BL137" s="94"/>
      <c r="BM137" s="94"/>
      <c r="BN137" s="94"/>
      <c r="BO137" s="94"/>
      <c r="BP137" s="91"/>
      <c r="BQ137" s="94"/>
      <c r="BR137" s="94"/>
      <c r="BS137" s="94"/>
      <c r="BU137" s="288"/>
      <c r="BV137" s="94"/>
      <c r="BW137" s="94"/>
      <c r="BX137" s="94"/>
      <c r="BZ137" s="288"/>
      <c r="CA137" s="94"/>
      <c r="CB137" s="94"/>
      <c r="CC137" s="94"/>
      <c r="CE137" s="288"/>
      <c r="CF137" s="94"/>
      <c r="CG137" s="94"/>
      <c r="CH137" s="94"/>
      <c r="CJ137" s="288"/>
      <c r="CK137" s="94"/>
      <c r="CL137" s="94"/>
      <c r="CM137" s="94"/>
      <c r="CO137" s="288"/>
      <c r="CP137" s="94"/>
      <c r="CQ137" s="94"/>
      <c r="CR137" s="94"/>
      <c r="CT137" s="288"/>
      <c r="CU137" s="94"/>
      <c r="CV137" s="94"/>
      <c r="CW137" s="94"/>
      <c r="CY137" s="288"/>
      <c r="CZ137" s="99"/>
      <c r="DA137" s="99"/>
      <c r="DB137" s="94"/>
      <c r="DD137" s="288"/>
      <c r="DE137" s="99"/>
      <c r="DF137" s="99"/>
      <c r="DG137" s="94"/>
      <c r="DI137" s="288"/>
      <c r="DJ137" s="93"/>
      <c r="DK137" s="99"/>
      <c r="DL137" s="94"/>
      <c r="DM137" s="94"/>
      <c r="DN137" s="288"/>
      <c r="DO137" s="94"/>
      <c r="DP137" s="129"/>
      <c r="DQ137" s="129"/>
      <c r="DR137" s="129"/>
      <c r="DS137" s="288"/>
      <c r="DT137" s="99"/>
      <c r="DU137" s="129"/>
      <c r="DV137" s="94"/>
      <c r="DW137" s="94"/>
      <c r="DX137" s="288"/>
      <c r="DY137" s="99"/>
      <c r="DZ137" s="99"/>
      <c r="EA137" s="94"/>
      <c r="EB137" s="94"/>
      <c r="EC137" s="288"/>
      <c r="ED137" s="99"/>
      <c r="EE137" s="99"/>
      <c r="EF137" s="94"/>
      <c r="EG137" s="94"/>
      <c r="EH137" s="288"/>
      <c r="EI137" s="99"/>
      <c r="EJ137" s="99"/>
      <c r="EK137" s="94"/>
      <c r="EL137" s="94"/>
      <c r="EM137" s="288"/>
      <c r="EN137" s="99"/>
      <c r="EO137" s="99"/>
      <c r="EP137" s="94"/>
      <c r="EQ137" s="94"/>
      <c r="ER137" s="288"/>
      <c r="ES137" s="94"/>
    </row>
    <row r="138" spans="1:149">
      <c r="A138" s="929"/>
      <c r="B138" s="94"/>
      <c r="C138" s="1035" t="s">
        <v>600</v>
      </c>
      <c r="D138" s="1062"/>
      <c r="E138" s="1062"/>
      <c r="F138" s="1062"/>
      <c r="G138" s="1062"/>
      <c r="H138" s="1062"/>
      <c r="I138" s="1062"/>
      <c r="J138" s="1062"/>
      <c r="K138" s="1062"/>
      <c r="L138" s="1062"/>
      <c r="M138" s="1032"/>
      <c r="N138" s="1062"/>
      <c r="O138" s="1062"/>
      <c r="P138" s="1062"/>
      <c r="Q138" s="1062"/>
      <c r="R138" s="1032"/>
      <c r="S138" s="1062"/>
      <c r="T138" s="1062"/>
      <c r="U138" s="1062"/>
      <c r="V138" s="1062"/>
      <c r="W138" s="1032"/>
      <c r="X138" s="1032"/>
      <c r="Y138" s="1032"/>
      <c r="Z138" s="1032"/>
      <c r="AA138" s="1032"/>
      <c r="AB138" s="1032"/>
      <c r="AC138" s="1032"/>
      <c r="AD138" s="1032"/>
      <c r="AE138" s="1032"/>
      <c r="AF138" s="1032"/>
      <c r="AG138" s="1032"/>
      <c r="AH138" s="1032"/>
      <c r="AI138" s="1032"/>
      <c r="AJ138" s="1032"/>
      <c r="AK138" s="1032"/>
      <c r="AL138" s="1032"/>
      <c r="AM138" s="1032"/>
      <c r="AN138" s="1032"/>
      <c r="AO138" s="1032"/>
      <c r="AP138" s="1032"/>
      <c r="AQ138" s="1032"/>
      <c r="AR138" s="1032"/>
      <c r="AS138" s="1032"/>
      <c r="AT138" s="1032"/>
      <c r="AU138" s="1032"/>
      <c r="AV138" s="1032"/>
      <c r="AW138" s="1032"/>
      <c r="AX138" s="1032"/>
      <c r="AY138" s="1032"/>
      <c r="AZ138" s="1032"/>
      <c r="BA138" s="1032"/>
      <c r="BB138" s="1032"/>
      <c r="BC138" s="1032"/>
      <c r="BD138" s="1032"/>
      <c r="BE138" s="1032"/>
      <c r="BF138" s="1036"/>
      <c r="BG138" s="1032"/>
      <c r="BH138" s="1032"/>
      <c r="BI138" s="1032"/>
      <c r="BJ138" s="1032"/>
      <c r="BK138" s="1033"/>
      <c r="BL138" s="1032"/>
      <c r="BM138" s="1032"/>
      <c r="BN138" s="1032"/>
      <c r="BO138" s="1032"/>
      <c r="BP138" s="1033"/>
      <c r="BQ138" s="1032"/>
      <c r="BR138" s="1032"/>
      <c r="BS138" s="1032"/>
      <c r="BT138" s="1072"/>
      <c r="BU138" s="1064">
        <f>+BU63</f>
        <v>7706.6610000000001</v>
      </c>
      <c r="BV138" s="1032"/>
      <c r="BW138" s="1032"/>
      <c r="BX138" s="1032"/>
      <c r="BY138" s="1072"/>
      <c r="BZ138" s="1064">
        <f>+BZ63</f>
        <v>15374.165999999999</v>
      </c>
      <c r="CA138" s="1032"/>
      <c r="CB138" s="1032"/>
      <c r="CC138" s="1032"/>
      <c r="CD138" s="1072"/>
      <c r="CE138" s="1064">
        <f>+CE63</f>
        <v>26320.15</v>
      </c>
      <c r="CF138" s="1032"/>
      <c r="CG138" s="1032"/>
      <c r="CH138" s="1032"/>
      <c r="CI138" s="1072"/>
      <c r="CJ138" s="288">
        <f>+CJ63</f>
        <v>41103.237999999998</v>
      </c>
      <c r="CK138" s="1032"/>
      <c r="CL138" s="1032"/>
      <c r="CM138" s="1032"/>
      <c r="CN138" s="1072"/>
      <c r="CO138" s="288">
        <f>+CO63</f>
        <v>61138.457000000002</v>
      </c>
      <c r="CP138" s="1032"/>
      <c r="CQ138" s="1032"/>
      <c r="CR138" s="1032"/>
      <c r="CS138" s="1072"/>
      <c r="CT138" s="288">
        <f>+CT63</f>
        <v>119577.147</v>
      </c>
      <c r="CU138" s="1032"/>
      <c r="CV138" s="1032"/>
      <c r="CW138" s="1032"/>
      <c r="CX138" s="1072"/>
      <c r="CY138" s="288">
        <f>+CY63</f>
        <v>175361.81400000001</v>
      </c>
      <c r="CZ138" s="1063"/>
      <c r="DA138" s="1063"/>
      <c r="DB138" s="1032"/>
      <c r="DC138" s="1072"/>
      <c r="DD138" s="288">
        <f>+DD63</f>
        <v>197250.171</v>
      </c>
      <c r="DE138" s="1063"/>
      <c r="DF138" s="1063"/>
      <c r="DG138" s="1032"/>
      <c r="DH138" s="1072"/>
      <c r="DI138" s="288">
        <f>+DI63</f>
        <v>235925</v>
      </c>
      <c r="DJ138" s="1548"/>
      <c r="DK138" s="1063"/>
      <c r="DL138" s="1032"/>
      <c r="DM138" s="1032"/>
      <c r="DN138" s="288">
        <f>+DN63</f>
        <v>292275</v>
      </c>
      <c r="DO138" s="1291"/>
      <c r="DP138" s="1545"/>
      <c r="DQ138" s="1545"/>
      <c r="DR138" s="1663"/>
      <c r="DS138" s="288">
        <f>+DS63</f>
        <v>378441</v>
      </c>
      <c r="DT138" s="1063"/>
      <c r="DU138" s="1545"/>
      <c r="DV138" s="1032"/>
      <c r="DW138" s="1032"/>
      <c r="DX138" s="288">
        <f>+DX63</f>
        <v>495681.79000000004</v>
      </c>
      <c r="DY138" s="1063"/>
      <c r="DZ138" s="1063"/>
      <c r="EA138" s="1032"/>
      <c r="EB138" s="1032"/>
      <c r="EC138" s="288">
        <f>+EC63</f>
        <v>623338.3186</v>
      </c>
      <c r="ED138" s="1063"/>
      <c r="EE138" s="1063"/>
      <c r="EF138" s="1032"/>
      <c r="EG138" s="1032"/>
      <c r="EH138" s="288">
        <f>+EH63</f>
        <v>748005.98231999995</v>
      </c>
      <c r="EI138" s="1063"/>
      <c r="EJ138" s="1063"/>
      <c r="EK138" s="1032"/>
      <c r="EL138" s="1032"/>
      <c r="EM138" s="288">
        <f>+EM63</f>
        <v>878907.02922599996</v>
      </c>
      <c r="EN138" s="1063"/>
      <c r="EO138" s="1063"/>
      <c r="EP138" s="1032"/>
      <c r="EQ138" s="1032"/>
      <c r="ER138" s="288">
        <f>+ER63</f>
        <v>1019532.15390216</v>
      </c>
      <c r="ES138" s="94"/>
    </row>
    <row r="139" spans="1:149" ht="12" customHeight="1">
      <c r="A139" s="931"/>
      <c r="B139" s="484"/>
      <c r="C139" s="1657" t="s">
        <v>303</v>
      </c>
      <c r="D139" s="500"/>
      <c r="E139" s="501"/>
      <c r="F139" s="501"/>
      <c r="G139" s="501"/>
      <c r="H139" s="501"/>
      <c r="I139" s="502"/>
      <c r="J139" s="502"/>
      <c r="K139" s="502"/>
      <c r="L139" s="502"/>
      <c r="M139" s="501"/>
      <c r="N139" s="359"/>
      <c r="O139" s="359"/>
      <c r="P139" s="359"/>
      <c r="Q139" s="359"/>
      <c r="R139" s="501"/>
      <c r="S139" s="359"/>
      <c r="T139" s="359"/>
      <c r="U139" s="359"/>
      <c r="V139" s="359"/>
      <c r="W139" s="501"/>
      <c r="X139" s="359"/>
      <c r="Y139" s="359"/>
      <c r="Z139" s="359"/>
      <c r="AA139" s="359"/>
      <c r="AB139" s="501"/>
      <c r="AC139" s="359"/>
      <c r="AD139" s="359"/>
      <c r="AE139" s="359"/>
      <c r="AF139" s="359"/>
      <c r="AG139" s="501"/>
      <c r="AH139" s="359"/>
      <c r="AI139" s="359"/>
      <c r="AJ139" s="359"/>
      <c r="AK139" s="359"/>
      <c r="AL139" s="501"/>
      <c r="AM139" s="359"/>
      <c r="AN139" s="359"/>
      <c r="AO139" s="359"/>
      <c r="AP139" s="359"/>
      <c r="AQ139" s="501"/>
      <c r="AR139" s="359"/>
      <c r="AS139" s="359"/>
      <c r="AT139" s="359"/>
      <c r="AU139" s="359"/>
      <c r="AV139" s="501"/>
      <c r="AW139" s="359"/>
      <c r="AX139" s="359"/>
      <c r="AY139" s="359"/>
      <c r="AZ139" s="359"/>
      <c r="BA139" s="501"/>
      <c r="BB139" s="359"/>
      <c r="BC139" s="359"/>
      <c r="BD139" s="359"/>
      <c r="BE139" s="359"/>
      <c r="BF139" s="501"/>
      <c r="BG139" s="539"/>
      <c r="BH139" s="539"/>
      <c r="BI139" s="539"/>
      <c r="BJ139" s="539"/>
      <c r="BK139" s="501"/>
      <c r="BL139" s="359"/>
      <c r="BM139" s="359"/>
      <c r="BN139" s="359"/>
      <c r="BO139" s="359"/>
      <c r="BP139" s="501"/>
      <c r="BQ139" s="359"/>
      <c r="BR139" s="359"/>
      <c r="BS139" s="359"/>
      <c r="BT139" s="359"/>
      <c r="BU139" s="243"/>
      <c r="BV139" s="359"/>
      <c r="BW139" s="359"/>
      <c r="BX139" s="359"/>
      <c r="BY139" s="359"/>
      <c r="BZ139" s="243"/>
      <c r="CA139" s="359"/>
      <c r="CB139" s="359"/>
      <c r="CC139" s="359"/>
      <c r="CD139" s="359"/>
      <c r="CE139" s="243"/>
      <c r="CF139" s="359"/>
      <c r="CG139" s="359"/>
      <c r="CH139" s="359"/>
      <c r="CI139" s="359"/>
      <c r="CJ139" s="243"/>
      <c r="CK139" s="359"/>
      <c r="CL139" s="359"/>
      <c r="CM139" s="359"/>
      <c r="CN139" s="359"/>
      <c r="CO139" s="243"/>
      <c r="CP139" s="359"/>
      <c r="CQ139" s="359"/>
      <c r="CR139" s="359"/>
      <c r="CS139" s="359"/>
      <c r="CT139" s="243"/>
      <c r="CU139" s="359"/>
      <c r="CV139" s="359"/>
      <c r="CW139" s="359"/>
      <c r="CX139" s="627"/>
      <c r="CY139" s="243"/>
      <c r="CZ139" s="359"/>
      <c r="DA139" s="359"/>
      <c r="DB139" s="359"/>
      <c r="DC139" s="359"/>
      <c r="DD139" s="243"/>
      <c r="DE139" s="359"/>
      <c r="DF139" s="359"/>
      <c r="DG139" s="359"/>
      <c r="DH139" s="359"/>
      <c r="DI139" s="243"/>
      <c r="DJ139" s="359"/>
      <c r="DK139" s="359"/>
      <c r="DL139" s="359"/>
      <c r="DM139" s="359"/>
      <c r="DN139" s="243"/>
      <c r="DO139" s="359"/>
      <c r="DP139" s="359"/>
      <c r="DQ139" s="359"/>
      <c r="DR139" s="359"/>
      <c r="DS139" s="243"/>
      <c r="DT139" s="359"/>
      <c r="DU139" s="359"/>
      <c r="DV139" s="359"/>
      <c r="DW139" s="359"/>
      <c r="DX139" s="243"/>
      <c r="DY139" s="359"/>
      <c r="DZ139" s="359"/>
      <c r="EA139" s="359"/>
      <c r="EB139" s="359"/>
      <c r="EC139" s="243"/>
      <c r="ED139" s="359"/>
      <c r="EE139" s="359"/>
      <c r="EF139" s="359"/>
      <c r="EG139" s="359"/>
      <c r="EH139" s="243"/>
      <c r="EI139" s="359"/>
      <c r="EJ139" s="359"/>
      <c r="EK139" s="359"/>
      <c r="EL139" s="359"/>
      <c r="EM139" s="243"/>
      <c r="EN139" s="359"/>
      <c r="EO139" s="359"/>
      <c r="EP139" s="359"/>
      <c r="EQ139" s="359"/>
      <c r="ER139" s="243"/>
      <c r="ES139" s="490"/>
    </row>
    <row r="140" spans="1:149" ht="12" customHeight="1">
      <c r="A140" s="931"/>
      <c r="B140" s="484"/>
      <c r="C140" s="379" t="s">
        <v>140</v>
      </c>
      <c r="D140" s="500"/>
      <c r="E140" s="501"/>
      <c r="F140" s="501"/>
      <c r="G140" s="501"/>
      <c r="H140" s="501"/>
      <c r="I140" s="502"/>
      <c r="J140" s="502"/>
      <c r="K140" s="502"/>
      <c r="L140" s="502"/>
      <c r="M140" s="501"/>
      <c r="N140" s="359"/>
      <c r="O140" s="359"/>
      <c r="P140" s="359"/>
      <c r="Q140" s="359"/>
      <c r="R140" s="501"/>
      <c r="S140" s="359"/>
      <c r="T140" s="359"/>
      <c r="U140" s="359"/>
      <c r="V140" s="359"/>
      <c r="W140" s="501"/>
      <c r="X140" s="359"/>
      <c r="Y140" s="359"/>
      <c r="Z140" s="359"/>
      <c r="AA140" s="359"/>
      <c r="AB140" s="501"/>
      <c r="AC140" s="359"/>
      <c r="AD140" s="359"/>
      <c r="AE140" s="359"/>
      <c r="AF140" s="359"/>
      <c r="AG140" s="501"/>
      <c r="AH140" s="359"/>
      <c r="AI140" s="359"/>
      <c r="AJ140" s="359"/>
      <c r="AK140" s="359"/>
      <c r="AL140" s="501"/>
      <c r="AM140" s="359"/>
      <c r="AN140" s="359"/>
      <c r="AO140" s="359"/>
      <c r="AP140" s="359"/>
      <c r="AQ140" s="501"/>
      <c r="AR140" s="359"/>
      <c r="AS140" s="359"/>
      <c r="AT140" s="359"/>
      <c r="AU140" s="359"/>
      <c r="AV140" s="501"/>
      <c r="AW140" s="359"/>
      <c r="AX140" s="359"/>
      <c r="AY140" s="359"/>
      <c r="AZ140" s="359"/>
      <c r="BA140" s="501"/>
      <c r="BB140" s="359"/>
      <c r="BC140" s="359"/>
      <c r="BD140" s="359"/>
      <c r="BE140" s="359"/>
      <c r="BF140" s="501"/>
      <c r="BG140" s="539"/>
      <c r="BH140" s="539"/>
      <c r="BI140" s="539"/>
      <c r="BJ140" s="539"/>
      <c r="BK140" s="501"/>
      <c r="BL140" s="359"/>
      <c r="BM140" s="359"/>
      <c r="BN140" s="359"/>
      <c r="BO140" s="359"/>
      <c r="BP140" s="501"/>
      <c r="BQ140" s="359"/>
      <c r="BR140" s="359"/>
      <c r="BS140" s="359"/>
      <c r="BT140" s="359"/>
      <c r="BU140" s="243"/>
      <c r="BV140" s="359"/>
      <c r="BW140" s="359"/>
      <c r="BX140" s="359"/>
      <c r="BY140" s="359"/>
      <c r="BZ140" s="501">
        <f>SUM(BZ141:BZ142)</f>
        <v>0.64999999999999991</v>
      </c>
      <c r="CA140" s="359"/>
      <c r="CB140" s="359"/>
      <c r="CC140" s="359"/>
      <c r="CD140" s="359"/>
      <c r="CE140" s="501">
        <f>SUM(CE141:CE142)</f>
        <v>0.63000000000000012</v>
      </c>
      <c r="CF140" s="359"/>
      <c r="CG140" s="359"/>
      <c r="CH140" s="359"/>
      <c r="CI140" s="359"/>
      <c r="CJ140" s="501">
        <f>SUM(CJ141:CJ142)</f>
        <v>0.62000000000000011</v>
      </c>
      <c r="CK140" s="359"/>
      <c r="CL140" s="359"/>
      <c r="CM140" s="359"/>
      <c r="CN140" s="359"/>
      <c r="CO140" s="501">
        <f>SUM(CO141:CO142)</f>
        <v>0.58000000000000007</v>
      </c>
      <c r="CP140" s="359"/>
      <c r="CQ140" s="359"/>
      <c r="CR140" s="359"/>
      <c r="CS140" s="580"/>
      <c r="CT140" s="1422">
        <v>0.56000000000000005</v>
      </c>
      <c r="CU140" s="359"/>
      <c r="CV140" s="359"/>
      <c r="CW140" s="359"/>
      <c r="CX140" s="580"/>
      <c r="CY140" s="1422">
        <v>0.55000000000000004</v>
      </c>
      <c r="CZ140" s="359"/>
      <c r="DA140" s="359"/>
      <c r="DB140" s="359"/>
      <c r="DC140" s="580"/>
      <c r="DD140" s="1422">
        <v>0.55000000000000004</v>
      </c>
      <c r="DE140" s="359"/>
      <c r="DF140" s="359"/>
      <c r="DG140" s="359"/>
      <c r="DH140" s="580"/>
      <c r="DI140" s="1422">
        <v>0.54</v>
      </c>
      <c r="DJ140" s="359"/>
      <c r="DK140" s="359"/>
      <c r="DL140" s="359"/>
      <c r="DM140" s="359"/>
      <c r="DN140" s="501">
        <f>+SUM(DN141:DN142)</f>
        <v>0.5</v>
      </c>
      <c r="DO140" s="359"/>
      <c r="DP140" s="359"/>
      <c r="DQ140" s="359"/>
      <c r="DR140" s="359"/>
      <c r="DS140" s="501">
        <f>+SUM(DS141:DS142)</f>
        <v>0.49</v>
      </c>
      <c r="DT140" s="359"/>
      <c r="DU140" s="359"/>
      <c r="DV140" s="359"/>
      <c r="DW140" s="360"/>
      <c r="DX140" s="1423">
        <f>DS140-0.5%</f>
        <v>0.48499999999999999</v>
      </c>
      <c r="DY140" s="359"/>
      <c r="DZ140" s="359"/>
      <c r="EA140" s="359"/>
      <c r="EB140" s="360"/>
      <c r="EC140" s="1423">
        <f>DX140-0.5%</f>
        <v>0.48</v>
      </c>
      <c r="ED140" s="359"/>
      <c r="EE140" s="359"/>
      <c r="EF140" s="359"/>
      <c r="EG140" s="360"/>
      <c r="EH140" s="1423">
        <f>EC140-0.5%</f>
        <v>0.47499999999999998</v>
      </c>
      <c r="EI140" s="359"/>
      <c r="EJ140" s="359"/>
      <c r="EK140" s="359"/>
      <c r="EL140" s="360"/>
      <c r="EM140" s="1423">
        <f>EH140-0.5%</f>
        <v>0.47</v>
      </c>
      <c r="EN140" s="359"/>
      <c r="EO140" s="359"/>
      <c r="EP140" s="359"/>
      <c r="EQ140" s="360"/>
      <c r="ER140" s="1423">
        <f>EM140-0.5%</f>
        <v>0.46499999999999997</v>
      </c>
      <c r="ES140" s="490"/>
    </row>
    <row r="141" spans="1:149" ht="12" customHeight="1">
      <c r="A141" s="931"/>
      <c r="B141" s="484"/>
      <c r="C141" s="593" t="s">
        <v>304</v>
      </c>
      <c r="D141" s="500"/>
      <c r="E141" s="501"/>
      <c r="F141" s="501"/>
      <c r="G141" s="501"/>
      <c r="H141" s="501"/>
      <c r="I141" s="502"/>
      <c r="J141" s="502"/>
      <c r="K141" s="502"/>
      <c r="L141" s="502"/>
      <c r="M141" s="501"/>
      <c r="N141" s="359"/>
      <c r="O141" s="359"/>
      <c r="P141" s="359"/>
      <c r="Q141" s="359"/>
      <c r="R141" s="501"/>
      <c r="S141" s="359"/>
      <c r="T141" s="359"/>
      <c r="U141" s="359"/>
      <c r="V141" s="359"/>
      <c r="W141" s="501"/>
      <c r="X141" s="359"/>
      <c r="Y141" s="359"/>
      <c r="Z141" s="359"/>
      <c r="AA141" s="359"/>
      <c r="AB141" s="501"/>
      <c r="AC141" s="359"/>
      <c r="AD141" s="359"/>
      <c r="AE141" s="359"/>
      <c r="AF141" s="359"/>
      <c r="AG141" s="501"/>
      <c r="AH141" s="359"/>
      <c r="AI141" s="359"/>
      <c r="AJ141" s="359"/>
      <c r="AK141" s="359"/>
      <c r="AL141" s="501"/>
      <c r="AM141" s="359"/>
      <c r="AN141" s="359"/>
      <c r="AO141" s="359"/>
      <c r="AP141" s="359"/>
      <c r="AQ141" s="501"/>
      <c r="AR141" s="359"/>
      <c r="AS141" s="359"/>
      <c r="AT141" s="359"/>
      <c r="AU141" s="359"/>
      <c r="AV141" s="501"/>
      <c r="AW141" s="359"/>
      <c r="AX141" s="359"/>
      <c r="AY141" s="359"/>
      <c r="AZ141" s="359"/>
      <c r="BA141" s="501"/>
      <c r="BB141" s="359"/>
      <c r="BC141" s="359"/>
      <c r="BD141" s="359"/>
      <c r="BE141" s="359"/>
      <c r="BF141" s="501"/>
      <c r="BG141" s="539"/>
      <c r="BH141" s="539"/>
      <c r="BI141" s="539"/>
      <c r="BJ141" s="539"/>
      <c r="BK141" s="501"/>
      <c r="BL141" s="359"/>
      <c r="BM141" s="359"/>
      <c r="BN141" s="359"/>
      <c r="BO141" s="359"/>
      <c r="BP141" s="501"/>
      <c r="BQ141" s="359"/>
      <c r="BR141" s="359"/>
      <c r="BS141" s="359"/>
      <c r="BT141" s="359"/>
      <c r="BU141" s="243"/>
      <c r="BV141" s="359"/>
      <c r="BW141" s="359"/>
      <c r="BX141" s="359"/>
      <c r="BY141" s="580"/>
      <c r="BZ141" s="1422">
        <v>0.57999999999999996</v>
      </c>
      <c r="CA141" s="359"/>
      <c r="CB141" s="359"/>
      <c r="CC141" s="359"/>
      <c r="CD141" s="580"/>
      <c r="CE141" s="1422">
        <v>0.56000000000000005</v>
      </c>
      <c r="CF141" s="359"/>
      <c r="CG141" s="359"/>
      <c r="CH141" s="359"/>
      <c r="CI141" s="580"/>
      <c r="CJ141" s="1422">
        <v>0.55000000000000004</v>
      </c>
      <c r="CK141" s="359"/>
      <c r="CL141" s="359"/>
      <c r="CM141" s="359"/>
      <c r="CN141" s="580"/>
      <c r="CO141" s="1422">
        <v>0.52</v>
      </c>
      <c r="CP141" s="359"/>
      <c r="CQ141" s="359"/>
      <c r="CR141" s="359"/>
      <c r="CS141" s="580"/>
      <c r="CT141" s="1422">
        <v>0.5</v>
      </c>
      <c r="CU141" s="359"/>
      <c r="CV141" s="359"/>
      <c r="CW141" s="359"/>
      <c r="CX141" s="580"/>
      <c r="CY141" s="1422"/>
      <c r="CZ141" s="359"/>
      <c r="DA141" s="359"/>
      <c r="DB141" s="359"/>
      <c r="DC141" s="580"/>
      <c r="DD141" s="1422"/>
      <c r="DE141" s="359"/>
      <c r="DF141" s="359"/>
      <c r="DG141" s="359"/>
      <c r="DH141" s="580"/>
      <c r="DI141" s="1422"/>
      <c r="DJ141" s="359"/>
      <c r="DK141" s="359"/>
      <c r="DL141" s="359"/>
      <c r="DM141" s="359"/>
      <c r="DN141" s="1422">
        <v>0.45</v>
      </c>
      <c r="DO141" s="359"/>
      <c r="DP141" s="359"/>
      <c r="DQ141" s="359"/>
      <c r="DR141" s="359"/>
      <c r="DS141" s="1422">
        <v>0.44</v>
      </c>
      <c r="DT141" s="359"/>
      <c r="DU141" s="359"/>
      <c r="DV141" s="359"/>
      <c r="DW141" s="360"/>
      <c r="DX141" s="1423"/>
      <c r="DY141" s="359"/>
      <c r="DZ141" s="359"/>
      <c r="EA141" s="359"/>
      <c r="EB141" s="360"/>
      <c r="EC141" s="1423"/>
      <c r="ED141" s="359"/>
      <c r="EE141" s="359"/>
      <c r="EF141" s="359"/>
      <c r="EG141" s="360"/>
      <c r="EH141" s="1423"/>
      <c r="EI141" s="359"/>
      <c r="EJ141" s="359"/>
      <c r="EK141" s="359"/>
      <c r="EL141" s="360"/>
      <c r="EM141" s="1423"/>
      <c r="EN141" s="359"/>
      <c r="EO141" s="359"/>
      <c r="EP141" s="359"/>
      <c r="EQ141" s="360"/>
      <c r="ER141" s="1423"/>
      <c r="ES141" s="490"/>
    </row>
    <row r="142" spans="1:149" ht="12" customHeight="1">
      <c r="A142" s="931"/>
      <c r="B142" s="484"/>
      <c r="C142" s="593" t="s">
        <v>169</v>
      </c>
      <c r="D142" s="500"/>
      <c r="E142" s="501"/>
      <c r="F142" s="501"/>
      <c r="G142" s="501"/>
      <c r="H142" s="501"/>
      <c r="I142" s="502"/>
      <c r="J142" s="502"/>
      <c r="K142" s="502"/>
      <c r="L142" s="502"/>
      <c r="M142" s="501"/>
      <c r="N142" s="359"/>
      <c r="O142" s="359"/>
      <c r="P142" s="359"/>
      <c r="Q142" s="359"/>
      <c r="R142" s="501"/>
      <c r="S142" s="359"/>
      <c r="T142" s="359"/>
      <c r="U142" s="359"/>
      <c r="V142" s="359"/>
      <c r="W142" s="501"/>
      <c r="X142" s="359"/>
      <c r="Y142" s="359"/>
      <c r="Z142" s="359"/>
      <c r="AA142" s="359"/>
      <c r="AB142" s="501"/>
      <c r="AC142" s="359"/>
      <c r="AD142" s="359"/>
      <c r="AE142" s="359"/>
      <c r="AF142" s="359"/>
      <c r="AG142" s="501"/>
      <c r="AH142" s="359"/>
      <c r="AI142" s="359"/>
      <c r="AJ142" s="359"/>
      <c r="AK142" s="359"/>
      <c r="AL142" s="501"/>
      <c r="AM142" s="359"/>
      <c r="AN142" s="359"/>
      <c r="AO142" s="359"/>
      <c r="AP142" s="359"/>
      <c r="AQ142" s="501"/>
      <c r="AR142" s="359"/>
      <c r="AS142" s="359"/>
      <c r="AT142" s="359"/>
      <c r="AU142" s="359"/>
      <c r="AV142" s="501"/>
      <c r="AW142" s="359"/>
      <c r="AX142" s="359"/>
      <c r="AY142" s="359"/>
      <c r="AZ142" s="359"/>
      <c r="BA142" s="501"/>
      <c r="BB142" s="359"/>
      <c r="BC142" s="359"/>
      <c r="BD142" s="359"/>
      <c r="BE142" s="359"/>
      <c r="BF142" s="501"/>
      <c r="BG142" s="539"/>
      <c r="BH142" s="539"/>
      <c r="BI142" s="539"/>
      <c r="BJ142" s="539"/>
      <c r="BK142" s="501"/>
      <c r="BL142" s="359"/>
      <c r="BM142" s="359"/>
      <c r="BN142" s="359"/>
      <c r="BO142" s="359"/>
      <c r="BP142" s="501"/>
      <c r="BQ142" s="359"/>
      <c r="BR142" s="359"/>
      <c r="BS142" s="359"/>
      <c r="BT142" s="359"/>
      <c r="BU142" s="243"/>
      <c r="BV142" s="359"/>
      <c r="BW142" s="359"/>
      <c r="BX142" s="359"/>
      <c r="BY142" s="580"/>
      <c r="BZ142" s="1422">
        <v>7.0000000000000007E-2</v>
      </c>
      <c r="CA142" s="359"/>
      <c r="CB142" s="359"/>
      <c r="CC142" s="359"/>
      <c r="CD142" s="580"/>
      <c r="CE142" s="1422">
        <v>7.0000000000000007E-2</v>
      </c>
      <c r="CF142" s="359"/>
      <c r="CG142" s="359"/>
      <c r="CH142" s="359"/>
      <c r="CI142" s="580"/>
      <c r="CJ142" s="1422">
        <v>7.0000000000000007E-2</v>
      </c>
      <c r="CK142" s="359"/>
      <c r="CL142" s="359"/>
      <c r="CM142" s="359"/>
      <c r="CN142" s="580"/>
      <c r="CO142" s="1422">
        <v>0.06</v>
      </c>
      <c r="CP142" s="359"/>
      <c r="CQ142" s="359"/>
      <c r="CR142" s="359"/>
      <c r="CS142" s="580"/>
      <c r="CT142" s="1422">
        <v>0.06</v>
      </c>
      <c r="CU142" s="359"/>
      <c r="CV142" s="359"/>
      <c r="CW142" s="359"/>
      <c r="CX142" s="580"/>
      <c r="CY142" s="1422"/>
      <c r="CZ142" s="359"/>
      <c r="DA142" s="359"/>
      <c r="DB142" s="359"/>
      <c r="DC142" s="580"/>
      <c r="DD142" s="1422"/>
      <c r="DE142" s="359"/>
      <c r="DF142" s="359"/>
      <c r="DG142" s="359"/>
      <c r="DH142" s="580"/>
      <c r="DI142" s="1422"/>
      <c r="DJ142" s="359"/>
      <c r="DK142" s="359"/>
      <c r="DL142" s="359"/>
      <c r="DM142" s="359"/>
      <c r="DN142" s="1422">
        <v>0.05</v>
      </c>
      <c r="DO142" s="359"/>
      <c r="DP142" s="359"/>
      <c r="DQ142" s="359"/>
      <c r="DR142" s="359"/>
      <c r="DS142" s="1422">
        <v>0.05</v>
      </c>
      <c r="DT142" s="359"/>
      <c r="DU142" s="359"/>
      <c r="DV142" s="359"/>
      <c r="DW142" s="360"/>
      <c r="DX142" s="1423"/>
      <c r="DY142" s="359"/>
      <c r="DZ142" s="359"/>
      <c r="EA142" s="359"/>
      <c r="EB142" s="360"/>
      <c r="EC142" s="1423"/>
      <c r="ED142" s="359"/>
      <c r="EE142" s="359"/>
      <c r="EF142" s="359"/>
      <c r="EG142" s="360"/>
      <c r="EH142" s="1423"/>
      <c r="EI142" s="359"/>
      <c r="EJ142" s="359"/>
      <c r="EK142" s="359"/>
      <c r="EL142" s="360"/>
      <c r="EM142" s="1423"/>
      <c r="EN142" s="359"/>
      <c r="EO142" s="359"/>
      <c r="EP142" s="359"/>
      <c r="EQ142" s="360"/>
      <c r="ER142" s="1423"/>
      <c r="ES142" s="490"/>
    </row>
    <row r="143" spans="1:149" ht="12" customHeight="1">
      <c r="A143" s="931"/>
      <c r="B143" s="484"/>
      <c r="C143" s="379" t="s">
        <v>305</v>
      </c>
      <c r="D143" s="500"/>
      <c r="E143" s="501"/>
      <c r="F143" s="501"/>
      <c r="G143" s="501"/>
      <c r="H143" s="501"/>
      <c r="I143" s="502"/>
      <c r="J143" s="502"/>
      <c r="K143" s="502"/>
      <c r="L143" s="502"/>
      <c r="M143" s="501"/>
      <c r="N143" s="359"/>
      <c r="O143" s="359"/>
      <c r="P143" s="359"/>
      <c r="Q143" s="359"/>
      <c r="R143" s="501"/>
      <c r="S143" s="359"/>
      <c r="T143" s="359"/>
      <c r="U143" s="359"/>
      <c r="V143" s="359"/>
      <c r="W143" s="501"/>
      <c r="X143" s="359"/>
      <c r="Y143" s="359"/>
      <c r="Z143" s="359"/>
      <c r="AA143" s="359"/>
      <c r="AB143" s="501"/>
      <c r="AC143" s="359"/>
      <c r="AD143" s="359"/>
      <c r="AE143" s="359"/>
      <c r="AF143" s="359"/>
      <c r="AG143" s="501"/>
      <c r="AH143" s="359"/>
      <c r="AI143" s="359"/>
      <c r="AJ143" s="359"/>
      <c r="AK143" s="359"/>
      <c r="AL143" s="501"/>
      <c r="AM143" s="359"/>
      <c r="AN143" s="359"/>
      <c r="AO143" s="359"/>
      <c r="AP143" s="359"/>
      <c r="AQ143" s="501"/>
      <c r="AR143" s="359"/>
      <c r="AS143" s="359"/>
      <c r="AT143" s="359"/>
      <c r="AU143" s="359"/>
      <c r="AV143" s="501"/>
      <c r="AW143" s="359"/>
      <c r="AX143" s="359"/>
      <c r="AY143" s="359"/>
      <c r="AZ143" s="359"/>
      <c r="BA143" s="501"/>
      <c r="BB143" s="359"/>
      <c r="BC143" s="359"/>
      <c r="BD143" s="359"/>
      <c r="BE143" s="359"/>
      <c r="BF143" s="501"/>
      <c r="BG143" s="539"/>
      <c r="BH143" s="539"/>
      <c r="BI143" s="539"/>
      <c r="BJ143" s="539"/>
      <c r="BK143" s="501"/>
      <c r="BL143" s="359"/>
      <c r="BM143" s="359"/>
      <c r="BN143" s="359"/>
      <c r="BO143" s="359"/>
      <c r="BP143" s="501"/>
      <c r="BQ143" s="359"/>
      <c r="BR143" s="359"/>
      <c r="BS143" s="359"/>
      <c r="BT143" s="359"/>
      <c r="BU143" s="243"/>
      <c r="BV143" s="359"/>
      <c r="BW143" s="359"/>
      <c r="BX143" s="359"/>
      <c r="BY143" s="580"/>
      <c r="BZ143" s="1422"/>
      <c r="CA143" s="359"/>
      <c r="CB143" s="359"/>
      <c r="CC143" s="359"/>
      <c r="CD143" s="580"/>
      <c r="CE143" s="1422"/>
      <c r="CF143" s="359"/>
      <c r="CG143" s="359"/>
      <c r="CH143" s="359"/>
      <c r="CI143" s="580"/>
      <c r="CJ143" s="1422"/>
      <c r="CK143" s="359"/>
      <c r="CL143" s="359"/>
      <c r="CM143" s="359"/>
      <c r="CN143" s="580"/>
      <c r="CO143" s="1422"/>
      <c r="CP143" s="359"/>
      <c r="CQ143" s="359"/>
      <c r="CR143" s="359"/>
      <c r="CS143" s="580"/>
      <c r="CT143" s="1422">
        <v>0.25</v>
      </c>
      <c r="CU143" s="359"/>
      <c r="CV143" s="359"/>
      <c r="CW143" s="359"/>
      <c r="CX143" s="580"/>
      <c r="CY143" s="1422">
        <v>0.25</v>
      </c>
      <c r="CZ143" s="359"/>
      <c r="DA143" s="359"/>
      <c r="DB143" s="359"/>
      <c r="DC143" s="580"/>
      <c r="DD143" s="1422">
        <v>0.25</v>
      </c>
      <c r="DE143" s="359"/>
      <c r="DF143" s="359"/>
      <c r="DG143" s="359"/>
      <c r="DH143" s="580"/>
      <c r="DI143" s="1422">
        <v>0.27</v>
      </c>
      <c r="DJ143" s="359"/>
      <c r="DK143" s="359"/>
      <c r="DL143" s="359"/>
      <c r="DM143" s="359"/>
      <c r="DN143" s="1422">
        <v>0.3</v>
      </c>
      <c r="DO143" s="359"/>
      <c r="DP143" s="359"/>
      <c r="DQ143" s="359"/>
      <c r="DR143" s="359"/>
      <c r="DS143" s="1422">
        <v>0.31</v>
      </c>
      <c r="DT143" s="359"/>
      <c r="DU143" s="359"/>
      <c r="DV143" s="359"/>
      <c r="DW143" s="360"/>
      <c r="DX143" s="1423">
        <f>DS143+1%</f>
        <v>0.32</v>
      </c>
      <c r="DY143" s="359"/>
      <c r="DZ143" s="359"/>
      <c r="EA143" s="359"/>
      <c r="EB143" s="360"/>
      <c r="EC143" s="1423">
        <f>DX143+1%</f>
        <v>0.33</v>
      </c>
      <c r="ED143" s="359"/>
      <c r="EE143" s="359"/>
      <c r="EF143" s="359"/>
      <c r="EG143" s="360"/>
      <c r="EH143" s="1423">
        <f>EC143+1%</f>
        <v>0.34</v>
      </c>
      <c r="EI143" s="359"/>
      <c r="EJ143" s="359"/>
      <c r="EK143" s="359"/>
      <c r="EL143" s="360"/>
      <c r="EM143" s="1423">
        <f>EH143+1%</f>
        <v>0.35000000000000003</v>
      </c>
      <c r="EN143" s="359"/>
      <c r="EO143" s="359"/>
      <c r="EP143" s="359"/>
      <c r="EQ143" s="360"/>
      <c r="ER143" s="1423">
        <f>EM143+1%</f>
        <v>0.36000000000000004</v>
      </c>
      <c r="ES143" s="490"/>
    </row>
    <row r="144" spans="1:149" ht="12" customHeight="1">
      <c r="A144" s="931"/>
      <c r="B144" s="484"/>
      <c r="C144" s="593" t="s">
        <v>306</v>
      </c>
      <c r="D144" s="500"/>
      <c r="E144" s="501"/>
      <c r="F144" s="501"/>
      <c r="G144" s="501"/>
      <c r="H144" s="501"/>
      <c r="I144" s="502"/>
      <c r="J144" s="502"/>
      <c r="K144" s="502"/>
      <c r="L144" s="502"/>
      <c r="M144" s="501"/>
      <c r="N144" s="359"/>
      <c r="O144" s="359"/>
      <c r="P144" s="359"/>
      <c r="Q144" s="359"/>
      <c r="R144" s="501"/>
      <c r="S144" s="359"/>
      <c r="T144" s="359"/>
      <c r="U144" s="359"/>
      <c r="V144" s="359"/>
      <c r="W144" s="501"/>
      <c r="X144" s="359"/>
      <c r="Y144" s="359"/>
      <c r="Z144" s="359"/>
      <c r="AA144" s="359"/>
      <c r="AB144" s="501"/>
      <c r="AC144" s="359"/>
      <c r="AD144" s="359"/>
      <c r="AE144" s="359"/>
      <c r="AF144" s="359"/>
      <c r="AG144" s="501"/>
      <c r="AH144" s="359"/>
      <c r="AI144" s="359"/>
      <c r="AJ144" s="359"/>
      <c r="AK144" s="359"/>
      <c r="AL144" s="501"/>
      <c r="AM144" s="359"/>
      <c r="AN144" s="359"/>
      <c r="AO144" s="359"/>
      <c r="AP144" s="359"/>
      <c r="AQ144" s="501"/>
      <c r="AR144" s="359"/>
      <c r="AS144" s="359"/>
      <c r="AT144" s="359"/>
      <c r="AU144" s="359"/>
      <c r="AV144" s="501"/>
      <c r="AW144" s="359"/>
      <c r="AX144" s="359"/>
      <c r="AY144" s="359"/>
      <c r="AZ144" s="359"/>
      <c r="BA144" s="501"/>
      <c r="BB144" s="359"/>
      <c r="BC144" s="359"/>
      <c r="BD144" s="359"/>
      <c r="BE144" s="359"/>
      <c r="BF144" s="501"/>
      <c r="BG144" s="539"/>
      <c r="BH144" s="539"/>
      <c r="BI144" s="539"/>
      <c r="BJ144" s="539"/>
      <c r="BK144" s="501"/>
      <c r="BL144" s="359"/>
      <c r="BM144" s="359"/>
      <c r="BN144" s="359"/>
      <c r="BO144" s="359"/>
      <c r="BP144" s="501"/>
      <c r="BQ144" s="359"/>
      <c r="BR144" s="359"/>
      <c r="BS144" s="359"/>
      <c r="BT144" s="359"/>
      <c r="BU144" s="243"/>
      <c r="BV144" s="359"/>
      <c r="BW144" s="359"/>
      <c r="BX144" s="359"/>
      <c r="BY144" s="580"/>
      <c r="BZ144" s="1422">
        <v>0.1</v>
      </c>
      <c r="CA144" s="359"/>
      <c r="CB144" s="359"/>
      <c r="CC144" s="359"/>
      <c r="CD144" s="580"/>
      <c r="CE144" s="1422">
        <v>0.08</v>
      </c>
      <c r="CF144" s="359"/>
      <c r="CG144" s="359"/>
      <c r="CH144" s="359"/>
      <c r="CI144" s="580"/>
      <c r="CJ144" s="1422">
        <v>0.08</v>
      </c>
      <c r="CK144" s="359"/>
      <c r="CL144" s="359"/>
      <c r="CM144" s="359"/>
      <c r="CN144" s="580"/>
      <c r="CO144" s="1422">
        <v>7.0000000000000007E-2</v>
      </c>
      <c r="CP144" s="359"/>
      <c r="CQ144" s="359"/>
      <c r="CR144" s="359"/>
      <c r="CS144" s="580"/>
      <c r="CT144" s="1422">
        <v>0.08</v>
      </c>
      <c r="CU144" s="359"/>
      <c r="CV144" s="359"/>
      <c r="CW144" s="359"/>
      <c r="CX144" s="580"/>
      <c r="CY144" s="1422"/>
      <c r="CZ144" s="359"/>
      <c r="DA144" s="359"/>
      <c r="DB144" s="359"/>
      <c r="DC144" s="580"/>
      <c r="DD144" s="1422"/>
      <c r="DE144" s="359"/>
      <c r="DF144" s="359"/>
      <c r="DG144" s="359"/>
      <c r="DH144" s="580"/>
      <c r="DI144" s="1422"/>
      <c r="DJ144" s="359"/>
      <c r="DK144" s="359"/>
      <c r="DL144" s="359"/>
      <c r="DM144" s="359"/>
      <c r="DN144" s="1422"/>
      <c r="DO144" s="359"/>
      <c r="DP144" s="359"/>
      <c r="DQ144" s="359"/>
      <c r="DR144" s="359"/>
      <c r="DS144" s="1422"/>
      <c r="DT144" s="359"/>
      <c r="DU144" s="359"/>
      <c r="DV144" s="359"/>
      <c r="DW144" s="360"/>
      <c r="DX144" s="1423"/>
      <c r="DY144" s="359"/>
      <c r="DZ144" s="359"/>
      <c r="EA144" s="359"/>
      <c r="EB144" s="360"/>
      <c r="EC144" s="1423"/>
      <c r="ED144" s="359"/>
      <c r="EE144" s="359"/>
      <c r="EF144" s="359"/>
      <c r="EG144" s="360"/>
      <c r="EH144" s="1423"/>
      <c r="EI144" s="359"/>
      <c r="EJ144" s="359"/>
      <c r="EK144" s="359"/>
      <c r="EL144" s="360"/>
      <c r="EM144" s="1423"/>
      <c r="EN144" s="359"/>
      <c r="EO144" s="359"/>
      <c r="EP144" s="359"/>
      <c r="EQ144" s="360"/>
      <c r="ER144" s="1423"/>
      <c r="ES144" s="490"/>
    </row>
    <row r="145" spans="1:149" ht="12" customHeight="1">
      <c r="A145" s="931"/>
      <c r="B145" s="484"/>
      <c r="C145" s="379" t="s">
        <v>307</v>
      </c>
      <c r="D145" s="500"/>
      <c r="E145" s="501"/>
      <c r="F145" s="501"/>
      <c r="G145" s="501"/>
      <c r="H145" s="501"/>
      <c r="I145" s="502"/>
      <c r="J145" s="502"/>
      <c r="K145" s="502"/>
      <c r="L145" s="502"/>
      <c r="M145" s="501"/>
      <c r="N145" s="359"/>
      <c r="O145" s="359"/>
      <c r="P145" s="359"/>
      <c r="Q145" s="359"/>
      <c r="R145" s="501"/>
      <c r="S145" s="359"/>
      <c r="T145" s="359"/>
      <c r="U145" s="359"/>
      <c r="V145" s="359"/>
      <c r="W145" s="501"/>
      <c r="X145" s="359"/>
      <c r="Y145" s="359"/>
      <c r="Z145" s="359"/>
      <c r="AA145" s="359"/>
      <c r="AB145" s="501"/>
      <c r="AC145" s="359"/>
      <c r="AD145" s="359"/>
      <c r="AE145" s="359"/>
      <c r="AF145" s="359"/>
      <c r="AG145" s="501"/>
      <c r="AH145" s="359"/>
      <c r="AI145" s="359"/>
      <c r="AJ145" s="359"/>
      <c r="AK145" s="359"/>
      <c r="AL145" s="501"/>
      <c r="AM145" s="359"/>
      <c r="AN145" s="359"/>
      <c r="AO145" s="359"/>
      <c r="AP145" s="359"/>
      <c r="AQ145" s="501"/>
      <c r="AR145" s="359"/>
      <c r="AS145" s="359"/>
      <c r="AT145" s="359"/>
      <c r="AU145" s="359"/>
      <c r="AV145" s="501"/>
      <c r="AW145" s="359"/>
      <c r="AX145" s="359"/>
      <c r="AY145" s="359"/>
      <c r="AZ145" s="359"/>
      <c r="BA145" s="501"/>
      <c r="BB145" s="359"/>
      <c r="BC145" s="359"/>
      <c r="BD145" s="359"/>
      <c r="BE145" s="359"/>
      <c r="BF145" s="501"/>
      <c r="BG145" s="539"/>
      <c r="BH145" s="539"/>
      <c r="BI145" s="539"/>
      <c r="BJ145" s="539"/>
      <c r="BK145" s="501"/>
      <c r="BL145" s="359"/>
      <c r="BM145" s="359"/>
      <c r="BN145" s="359"/>
      <c r="BO145" s="359"/>
      <c r="BP145" s="501"/>
      <c r="BQ145" s="359"/>
      <c r="BR145" s="359"/>
      <c r="BS145" s="359"/>
      <c r="BT145" s="359"/>
      <c r="BU145" s="243"/>
      <c r="BV145" s="359"/>
      <c r="BW145" s="359"/>
      <c r="BX145" s="359"/>
      <c r="BY145" s="580"/>
      <c r="BZ145" s="1422"/>
      <c r="CA145" s="359"/>
      <c r="CB145" s="359"/>
      <c r="CC145" s="359"/>
      <c r="CD145" s="580"/>
      <c r="CE145" s="1422"/>
      <c r="CF145" s="359"/>
      <c r="CG145" s="359"/>
      <c r="CH145" s="359"/>
      <c r="CI145" s="580"/>
      <c r="CJ145" s="1422"/>
      <c r="CK145" s="359"/>
      <c r="CL145" s="359"/>
      <c r="CM145" s="359"/>
      <c r="CN145" s="580"/>
      <c r="CO145" s="1422"/>
      <c r="CP145" s="359"/>
      <c r="CQ145" s="359"/>
      <c r="CR145" s="359"/>
      <c r="CS145" s="580"/>
      <c r="CT145" s="1422">
        <v>0.15</v>
      </c>
      <c r="CU145" s="359"/>
      <c r="CV145" s="359"/>
      <c r="CW145" s="359"/>
      <c r="CX145" s="580"/>
      <c r="CY145" s="1422">
        <v>0.15</v>
      </c>
      <c r="CZ145" s="359"/>
      <c r="DA145" s="359"/>
      <c r="DB145" s="359"/>
      <c r="DC145" s="580"/>
      <c r="DD145" s="1422">
        <v>0.15</v>
      </c>
      <c r="DE145" s="359"/>
      <c r="DF145" s="359"/>
      <c r="DG145" s="359"/>
      <c r="DH145" s="580"/>
      <c r="DI145" s="1422">
        <v>0.14000000000000001</v>
      </c>
      <c r="DJ145" s="359"/>
      <c r="DK145" s="359"/>
      <c r="DL145" s="359"/>
      <c r="DM145" s="359"/>
      <c r="DN145" s="1422">
        <v>0.15</v>
      </c>
      <c r="DO145" s="359"/>
      <c r="DP145" s="359"/>
      <c r="DQ145" s="359"/>
      <c r="DR145" s="359"/>
      <c r="DS145" s="1422">
        <v>0.16</v>
      </c>
      <c r="DT145" s="359"/>
      <c r="DU145" s="359"/>
      <c r="DV145" s="359"/>
      <c r="DW145" s="360"/>
      <c r="DX145" s="1423">
        <f>DS145-0.5%</f>
        <v>0.155</v>
      </c>
      <c r="DY145" s="359"/>
      <c r="DZ145" s="359"/>
      <c r="EA145" s="359"/>
      <c r="EB145" s="360"/>
      <c r="EC145" s="1423">
        <f>DX145-0.5%</f>
        <v>0.15</v>
      </c>
      <c r="ED145" s="359"/>
      <c r="EE145" s="359"/>
      <c r="EF145" s="359"/>
      <c r="EG145" s="360"/>
      <c r="EH145" s="1423">
        <f>EC145-0.5%</f>
        <v>0.14499999999999999</v>
      </c>
      <c r="EI145" s="359"/>
      <c r="EJ145" s="359"/>
      <c r="EK145" s="359"/>
      <c r="EL145" s="360"/>
      <c r="EM145" s="1423">
        <f>EH145-0.5%</f>
        <v>0.13999999999999999</v>
      </c>
      <c r="EN145" s="359"/>
      <c r="EO145" s="359"/>
      <c r="EP145" s="359"/>
      <c r="EQ145" s="360"/>
      <c r="ER145" s="1423">
        <f>EM145-0.5%</f>
        <v>0.13499999999999998</v>
      </c>
      <c r="ES145" s="490"/>
    </row>
    <row r="146" spans="1:149" ht="12" customHeight="1">
      <c r="A146" s="931"/>
      <c r="B146" s="484"/>
      <c r="C146" s="593" t="s">
        <v>308</v>
      </c>
      <c r="D146" s="500"/>
      <c r="E146" s="501"/>
      <c r="F146" s="501"/>
      <c r="G146" s="501"/>
      <c r="H146" s="501"/>
      <c r="I146" s="502"/>
      <c r="J146" s="502"/>
      <c r="K146" s="502"/>
      <c r="L146" s="502"/>
      <c r="M146" s="501"/>
      <c r="N146" s="359"/>
      <c r="O146" s="359"/>
      <c r="P146" s="359"/>
      <c r="Q146" s="359"/>
      <c r="R146" s="501"/>
      <c r="S146" s="359"/>
      <c r="T146" s="359"/>
      <c r="U146" s="359"/>
      <c r="V146" s="359"/>
      <c r="W146" s="501"/>
      <c r="X146" s="359"/>
      <c r="Y146" s="359"/>
      <c r="Z146" s="359"/>
      <c r="AA146" s="359"/>
      <c r="AB146" s="501"/>
      <c r="AC146" s="359"/>
      <c r="AD146" s="359"/>
      <c r="AE146" s="359"/>
      <c r="AF146" s="359"/>
      <c r="AG146" s="501"/>
      <c r="AH146" s="359"/>
      <c r="AI146" s="359"/>
      <c r="AJ146" s="359"/>
      <c r="AK146" s="359"/>
      <c r="AL146" s="501"/>
      <c r="AM146" s="359"/>
      <c r="AN146" s="359"/>
      <c r="AO146" s="359"/>
      <c r="AP146" s="359"/>
      <c r="AQ146" s="501"/>
      <c r="AR146" s="359"/>
      <c r="AS146" s="359"/>
      <c r="AT146" s="359"/>
      <c r="AU146" s="359"/>
      <c r="AV146" s="501"/>
      <c r="AW146" s="359"/>
      <c r="AX146" s="359"/>
      <c r="AY146" s="359"/>
      <c r="AZ146" s="359"/>
      <c r="BA146" s="501"/>
      <c r="BB146" s="359"/>
      <c r="BC146" s="359"/>
      <c r="BD146" s="359"/>
      <c r="BE146" s="359"/>
      <c r="BF146" s="501"/>
      <c r="BG146" s="539"/>
      <c r="BH146" s="539"/>
      <c r="BI146" s="539"/>
      <c r="BJ146" s="539"/>
      <c r="BK146" s="501"/>
      <c r="BL146" s="359"/>
      <c r="BM146" s="359"/>
      <c r="BN146" s="359"/>
      <c r="BO146" s="359"/>
      <c r="BP146" s="501"/>
      <c r="BQ146" s="359"/>
      <c r="BR146" s="359"/>
      <c r="BS146" s="359"/>
      <c r="BT146" s="359"/>
      <c r="BU146" s="243"/>
      <c r="BV146" s="359"/>
      <c r="BW146" s="359"/>
      <c r="BX146" s="359"/>
      <c r="BY146" s="580"/>
      <c r="BZ146" s="1422">
        <v>7.0000000000000007E-2</v>
      </c>
      <c r="CA146" s="359"/>
      <c r="CB146" s="359"/>
      <c r="CC146" s="359"/>
      <c r="CD146" s="580"/>
      <c r="CE146" s="1422">
        <v>7.0000000000000007E-2</v>
      </c>
      <c r="CF146" s="359"/>
      <c r="CG146" s="359"/>
      <c r="CH146" s="359"/>
      <c r="CI146" s="580"/>
      <c r="CJ146" s="1422">
        <v>7.0000000000000007E-2</v>
      </c>
      <c r="CK146" s="359"/>
      <c r="CL146" s="359"/>
      <c r="CM146" s="359"/>
      <c r="CN146" s="580"/>
      <c r="CO146" s="1422">
        <v>0.06</v>
      </c>
      <c r="CP146" s="359"/>
      <c r="CQ146" s="359"/>
      <c r="CR146" s="359"/>
      <c r="CS146" s="580"/>
      <c r="CT146" s="1422">
        <v>0.06</v>
      </c>
      <c r="CU146" s="359"/>
      <c r="CV146" s="359"/>
      <c r="CW146" s="359"/>
      <c r="CX146" s="580"/>
      <c r="CY146" s="1422"/>
      <c r="CZ146" s="359"/>
      <c r="DA146" s="359"/>
      <c r="DB146" s="359"/>
      <c r="DC146" s="580"/>
      <c r="DD146" s="1422"/>
      <c r="DE146" s="359"/>
      <c r="DF146" s="359"/>
      <c r="DG146" s="359"/>
      <c r="DH146" s="580"/>
      <c r="DI146" s="1422"/>
      <c r="DJ146" s="359"/>
      <c r="DK146" s="359"/>
      <c r="DL146" s="359"/>
      <c r="DM146" s="359"/>
      <c r="DN146" s="1422"/>
      <c r="DO146" s="359"/>
      <c r="DP146" s="359"/>
      <c r="DQ146" s="359"/>
      <c r="DR146" s="359"/>
      <c r="DS146" s="1422"/>
      <c r="DT146" s="359"/>
      <c r="DU146" s="359"/>
      <c r="DV146" s="359"/>
      <c r="DW146" s="360"/>
      <c r="DX146" s="1423"/>
      <c r="DY146" s="359"/>
      <c r="DZ146" s="359"/>
      <c r="EA146" s="359"/>
      <c r="EB146" s="360"/>
      <c r="EC146" s="1423"/>
      <c r="ED146" s="359"/>
      <c r="EE146" s="359"/>
      <c r="EF146" s="359"/>
      <c r="EG146" s="360"/>
      <c r="EH146" s="1423"/>
      <c r="EI146" s="359"/>
      <c r="EJ146" s="359"/>
      <c r="EK146" s="359"/>
      <c r="EL146" s="360"/>
      <c r="EM146" s="1423"/>
      <c r="EN146" s="359"/>
      <c r="EO146" s="359"/>
      <c r="EP146" s="359"/>
      <c r="EQ146" s="360"/>
      <c r="ER146" s="1423"/>
      <c r="ES146" s="490"/>
    </row>
    <row r="147" spans="1:149" ht="12" customHeight="1">
      <c r="A147" s="931"/>
      <c r="B147" s="484"/>
      <c r="C147" s="379" t="s">
        <v>170</v>
      </c>
      <c r="D147" s="500"/>
      <c r="E147" s="501"/>
      <c r="F147" s="501"/>
      <c r="G147" s="501"/>
      <c r="H147" s="501"/>
      <c r="I147" s="502"/>
      <c r="J147" s="502"/>
      <c r="K147" s="502"/>
      <c r="L147" s="502"/>
      <c r="M147" s="501"/>
      <c r="N147" s="359"/>
      <c r="O147" s="359"/>
      <c r="P147" s="359"/>
      <c r="Q147" s="359"/>
      <c r="R147" s="501"/>
      <c r="S147" s="359"/>
      <c r="T147" s="359"/>
      <c r="U147" s="359"/>
      <c r="V147" s="359"/>
      <c r="W147" s="501"/>
      <c r="X147" s="359"/>
      <c r="Y147" s="359"/>
      <c r="Z147" s="359"/>
      <c r="AA147" s="359"/>
      <c r="AB147" s="501"/>
      <c r="AC147" s="359"/>
      <c r="AD147" s="359"/>
      <c r="AE147" s="359"/>
      <c r="AF147" s="359"/>
      <c r="AG147" s="501"/>
      <c r="AH147" s="359"/>
      <c r="AI147" s="359"/>
      <c r="AJ147" s="359"/>
      <c r="AK147" s="359"/>
      <c r="AL147" s="501"/>
      <c r="AM147" s="359"/>
      <c r="AN147" s="359"/>
      <c r="AO147" s="359"/>
      <c r="AP147" s="359"/>
      <c r="AQ147" s="501"/>
      <c r="AR147" s="359"/>
      <c r="AS147" s="359"/>
      <c r="AT147" s="359"/>
      <c r="AU147" s="359"/>
      <c r="AV147" s="501"/>
      <c r="AW147" s="359"/>
      <c r="AX147" s="359"/>
      <c r="AY147" s="359"/>
      <c r="AZ147" s="359"/>
      <c r="BA147" s="501"/>
      <c r="BB147" s="359"/>
      <c r="BC147" s="359"/>
      <c r="BD147" s="359"/>
      <c r="BE147" s="359"/>
      <c r="BF147" s="501"/>
      <c r="BG147" s="539"/>
      <c r="BH147" s="539"/>
      <c r="BI147" s="539"/>
      <c r="BJ147" s="539"/>
      <c r="BK147" s="501"/>
      <c r="BL147" s="359"/>
      <c r="BM147" s="359"/>
      <c r="BN147" s="359"/>
      <c r="BO147" s="359"/>
      <c r="BP147" s="501"/>
      <c r="BQ147" s="359"/>
      <c r="BR147" s="359"/>
      <c r="BS147" s="359"/>
      <c r="BT147" s="359"/>
      <c r="BU147" s="243"/>
      <c r="BV147" s="359"/>
      <c r="BW147" s="359"/>
      <c r="BX147" s="359"/>
      <c r="BY147" s="359"/>
      <c r="BZ147" s="243"/>
      <c r="CA147" s="359"/>
      <c r="CB147" s="359"/>
      <c r="CC147" s="359"/>
      <c r="CD147" s="359"/>
      <c r="CE147" s="243"/>
      <c r="CF147" s="359"/>
      <c r="CG147" s="359"/>
      <c r="CH147" s="359"/>
      <c r="CI147" s="359"/>
      <c r="CJ147" s="243"/>
      <c r="CK147" s="359"/>
      <c r="CL147" s="359"/>
      <c r="CM147" s="359"/>
      <c r="CN147" s="359"/>
      <c r="CO147" s="243"/>
      <c r="CP147" s="359"/>
      <c r="CQ147" s="359"/>
      <c r="CR147" s="359"/>
      <c r="CS147" s="580"/>
      <c r="CT147" s="1422">
        <v>0.04</v>
      </c>
      <c r="CU147" s="359"/>
      <c r="CV147" s="359"/>
      <c r="CW147" s="359"/>
      <c r="CX147" s="580"/>
      <c r="CY147" s="1422">
        <v>0.05</v>
      </c>
      <c r="CZ147" s="359"/>
      <c r="DA147" s="359"/>
      <c r="DB147" s="359"/>
      <c r="DC147" s="580"/>
      <c r="DD147" s="1422">
        <v>0.05</v>
      </c>
      <c r="DE147" s="359"/>
      <c r="DF147" s="359"/>
      <c r="DG147" s="359"/>
      <c r="DH147" s="580"/>
      <c r="DI147" s="1422">
        <v>0.05</v>
      </c>
      <c r="DJ147" s="359"/>
      <c r="DK147" s="359"/>
      <c r="DL147" s="359"/>
      <c r="DM147" s="359"/>
      <c r="DN147" s="1422">
        <v>0.05</v>
      </c>
      <c r="DO147" s="359"/>
      <c r="DP147" s="359"/>
      <c r="DQ147" s="359"/>
      <c r="DR147" s="359"/>
      <c r="DS147" s="1422">
        <v>0.05</v>
      </c>
      <c r="DT147" s="359"/>
      <c r="DU147" s="359"/>
      <c r="DV147" s="359"/>
      <c r="DW147" s="360"/>
      <c r="DX147" s="1423">
        <f>DS147</f>
        <v>0.05</v>
      </c>
      <c r="DY147" s="359"/>
      <c r="DZ147" s="359"/>
      <c r="EA147" s="359"/>
      <c r="EB147" s="360"/>
      <c r="EC147" s="1423">
        <f>DX147</f>
        <v>0.05</v>
      </c>
      <c r="ED147" s="359"/>
      <c r="EE147" s="359"/>
      <c r="EF147" s="359"/>
      <c r="EG147" s="360"/>
      <c r="EH147" s="1423">
        <f>EC147</f>
        <v>0.05</v>
      </c>
      <c r="EI147" s="359"/>
      <c r="EJ147" s="359"/>
      <c r="EK147" s="359"/>
      <c r="EL147" s="360"/>
      <c r="EM147" s="1423">
        <f>EH147</f>
        <v>0.05</v>
      </c>
      <c r="EN147" s="359"/>
      <c r="EO147" s="359"/>
      <c r="EP147" s="359"/>
      <c r="EQ147" s="360"/>
      <c r="ER147" s="1423">
        <f>EM147</f>
        <v>0.05</v>
      </c>
      <c r="ES147" s="490"/>
    </row>
    <row r="148" spans="1:149">
      <c r="A148" s="929"/>
      <c r="B148" s="94"/>
      <c r="C148" s="1417" t="s">
        <v>761</v>
      </c>
      <c r="D148" s="17"/>
      <c r="E148" s="17"/>
      <c r="F148" s="17"/>
      <c r="G148" s="17"/>
      <c r="H148" s="17"/>
      <c r="I148" s="17"/>
      <c r="J148" s="17"/>
      <c r="K148" s="17"/>
      <c r="L148" s="17"/>
      <c r="M148" s="94"/>
      <c r="N148" s="17"/>
      <c r="O148" s="17"/>
      <c r="P148" s="17"/>
      <c r="Q148" s="17"/>
      <c r="R148" s="94"/>
      <c r="S148" s="17"/>
      <c r="T148" s="17"/>
      <c r="U148" s="17"/>
      <c r="V148" s="17"/>
      <c r="W148" s="94"/>
      <c r="X148" s="94"/>
      <c r="Y148" s="94"/>
      <c r="Z148" s="94"/>
      <c r="AA148" s="94"/>
      <c r="AB148" s="94"/>
      <c r="AC148" s="94"/>
      <c r="AD148" s="94"/>
      <c r="AE148" s="94"/>
      <c r="AF148" s="94"/>
      <c r="AG148" s="94"/>
      <c r="AH148" s="94"/>
      <c r="AI148" s="94"/>
      <c r="AJ148" s="94"/>
      <c r="AK148" s="94"/>
      <c r="AL148" s="94"/>
      <c r="AM148" s="94"/>
      <c r="AN148" s="94"/>
      <c r="AO148" s="94"/>
      <c r="AP148" s="94"/>
      <c r="AQ148" s="94"/>
      <c r="AR148" s="94"/>
      <c r="AS148" s="94"/>
      <c r="AT148" s="94"/>
      <c r="AU148" s="94"/>
      <c r="AV148" s="94"/>
      <c r="AW148" s="94"/>
      <c r="AX148" s="94"/>
      <c r="AY148" s="94"/>
      <c r="AZ148" s="94"/>
      <c r="BA148" s="94"/>
      <c r="BB148" s="94"/>
      <c r="BC148" s="94"/>
      <c r="BD148" s="94"/>
      <c r="BE148" s="94"/>
      <c r="BF148" s="93"/>
      <c r="BG148" s="94"/>
      <c r="BH148" s="94"/>
      <c r="BI148" s="94"/>
      <c r="BJ148" s="94"/>
      <c r="BK148" s="93"/>
      <c r="BL148" s="94"/>
      <c r="BM148" s="94"/>
      <c r="BN148" s="94"/>
      <c r="BO148" s="94"/>
      <c r="BP148" s="93"/>
      <c r="BQ148" s="94"/>
      <c r="BR148" s="94"/>
      <c r="BS148" s="94"/>
      <c r="BU148" s="277"/>
      <c r="BV148" s="94"/>
      <c r="BW148" s="94"/>
      <c r="BX148" s="94"/>
      <c r="BZ148" s="277"/>
      <c r="CA148" s="94"/>
      <c r="CB148" s="94"/>
      <c r="CC148" s="94"/>
      <c r="CE148" s="277"/>
      <c r="CF148" s="94"/>
      <c r="CG148" s="94"/>
      <c r="CH148" s="94"/>
      <c r="CJ148" s="277"/>
      <c r="CK148" s="94"/>
      <c r="CL148" s="94"/>
      <c r="CM148" s="94"/>
      <c r="CO148" s="277"/>
      <c r="CP148" s="94"/>
      <c r="CQ148" s="94"/>
      <c r="CR148" s="94"/>
      <c r="CT148" s="277"/>
      <c r="CU148" s="94"/>
      <c r="CV148" s="94"/>
      <c r="CW148" s="94"/>
      <c r="CY148" s="277"/>
      <c r="CZ148" s="99"/>
      <c r="DA148" s="99"/>
      <c r="DB148" s="94"/>
      <c r="DD148" s="277"/>
      <c r="DE148" s="99"/>
      <c r="DF148" s="99"/>
      <c r="DG148" s="94"/>
      <c r="DI148" s="277"/>
      <c r="DJ148" s="93"/>
      <c r="DK148" s="99"/>
      <c r="DL148" s="94"/>
      <c r="DM148" s="94"/>
      <c r="DN148" s="277"/>
      <c r="DO148" s="94"/>
      <c r="DP148" s="129"/>
      <c r="DQ148" s="129"/>
      <c r="DR148" s="129"/>
      <c r="DS148" s="277"/>
      <c r="DT148" s="99"/>
      <c r="DU148" s="129"/>
      <c r="DV148" s="94"/>
      <c r="DW148" s="94"/>
      <c r="DX148" s="277"/>
      <c r="DY148" s="99"/>
      <c r="DZ148" s="99"/>
      <c r="EA148" s="94"/>
      <c r="EB148" s="94"/>
      <c r="EC148" s="277"/>
      <c r="ED148" s="99"/>
      <c r="EE148" s="99"/>
      <c r="EF148" s="94"/>
      <c r="EG148" s="94"/>
      <c r="EH148" s="277"/>
      <c r="EI148" s="99"/>
      <c r="EJ148" s="99"/>
      <c r="EK148" s="94"/>
      <c r="EL148" s="94"/>
      <c r="EM148" s="277"/>
      <c r="EN148" s="99"/>
      <c r="EO148" s="99"/>
      <c r="EP148" s="94"/>
      <c r="EQ148" s="94"/>
      <c r="ER148" s="277"/>
      <c r="ES148" s="94"/>
    </row>
    <row r="149" spans="1:149">
      <c r="A149" s="929"/>
      <c r="B149" s="94"/>
      <c r="C149" s="592" t="s">
        <v>140</v>
      </c>
      <c r="D149" s="17"/>
      <c r="E149" s="17"/>
      <c r="F149" s="17"/>
      <c r="G149" s="17"/>
      <c r="H149" s="17"/>
      <c r="I149" s="17"/>
      <c r="J149" s="17"/>
      <c r="K149" s="17"/>
      <c r="L149" s="17"/>
      <c r="M149" s="94"/>
      <c r="N149" s="17"/>
      <c r="O149" s="17"/>
      <c r="P149" s="17"/>
      <c r="Q149" s="17"/>
      <c r="R149" s="94"/>
      <c r="S149" s="17"/>
      <c r="T149" s="17"/>
      <c r="U149" s="17"/>
      <c r="V149" s="17"/>
      <c r="W149" s="94"/>
      <c r="X149" s="94"/>
      <c r="Y149" s="94"/>
      <c r="Z149" s="94"/>
      <c r="AA149" s="94"/>
      <c r="AB149" s="94"/>
      <c r="AC149" s="94"/>
      <c r="AD149" s="94"/>
      <c r="AE149" s="94"/>
      <c r="AF149" s="94"/>
      <c r="AG149" s="94"/>
      <c r="AH149" s="94"/>
      <c r="AI149" s="94"/>
      <c r="AJ149" s="94"/>
      <c r="AK149" s="94"/>
      <c r="AL149" s="94"/>
      <c r="AM149" s="94"/>
      <c r="AN149" s="94"/>
      <c r="AO149" s="94"/>
      <c r="AP149" s="94"/>
      <c r="AQ149" s="94"/>
      <c r="AR149" s="94"/>
      <c r="AS149" s="94"/>
      <c r="AT149" s="94"/>
      <c r="AU149" s="94"/>
      <c r="AV149" s="94"/>
      <c r="AW149" s="94"/>
      <c r="AX149" s="94"/>
      <c r="AY149" s="94"/>
      <c r="AZ149" s="94"/>
      <c r="BA149" s="94"/>
      <c r="BB149" s="94"/>
      <c r="BC149" s="94"/>
      <c r="BD149" s="94"/>
      <c r="BE149" s="94"/>
      <c r="BF149" s="91">
        <f>BF161/BF$171</f>
        <v>0.71547252561885888</v>
      </c>
      <c r="BG149" s="94"/>
      <c r="BH149" s="94"/>
      <c r="BI149" s="94"/>
      <c r="BJ149" s="94"/>
      <c r="BK149" s="91">
        <f>BK161/BK$171</f>
        <v>0.7132850433813579</v>
      </c>
      <c r="BL149" s="94"/>
      <c r="BM149" s="94"/>
      <c r="BN149" s="94"/>
      <c r="BO149" s="94"/>
      <c r="BP149" s="91">
        <f>BP161/BP$171</f>
        <v>0.76061246643432556</v>
      </c>
      <c r="BQ149" s="94"/>
      <c r="BR149" s="94"/>
      <c r="BS149" s="94"/>
      <c r="BU149" s="729">
        <f>BU161/BU$171</f>
        <v>0.7768682424366451</v>
      </c>
      <c r="BV149" s="94"/>
      <c r="BW149" s="94"/>
      <c r="BX149" s="94"/>
      <c r="BZ149" s="729">
        <f>BZ161/BZ$171</f>
        <v>0.79877738679269517</v>
      </c>
      <c r="CA149" s="94"/>
      <c r="CB149" s="94"/>
      <c r="CC149" s="94"/>
      <c r="CE149" s="729">
        <f>CE161/CE$171</f>
        <v>0.78180584104654061</v>
      </c>
      <c r="CF149" s="94"/>
      <c r="CG149" s="94"/>
      <c r="CH149" s="94"/>
      <c r="CJ149" s="729">
        <f>CJ161/CJ$171</f>
        <v>0.76985247323730532</v>
      </c>
      <c r="CK149" s="94"/>
      <c r="CL149" s="94"/>
      <c r="CM149" s="94"/>
      <c r="CO149" s="729">
        <f>CO161/CO$171</f>
        <v>0.74496775702030138</v>
      </c>
      <c r="CP149" s="94"/>
      <c r="CQ149" s="94"/>
      <c r="CR149" s="91"/>
      <c r="CT149" s="729">
        <f>CT161/CT$171</f>
        <v>0.73283242720322406</v>
      </c>
      <c r="CU149" s="94"/>
      <c r="CV149" s="94"/>
      <c r="CW149" s="94"/>
      <c r="CY149" s="729">
        <f>CY161/CY$171</f>
        <v>0.71357328707718992</v>
      </c>
      <c r="CZ149" s="99"/>
      <c r="DA149" s="99"/>
      <c r="DB149" s="94"/>
      <c r="DD149" s="729">
        <f>DD161/DD$171</f>
        <v>0.72607142857142859</v>
      </c>
      <c r="DE149" s="99"/>
      <c r="DF149" s="99"/>
      <c r="DG149" s="94"/>
      <c r="DI149" s="729">
        <f>DI161/DI$171</f>
        <v>0.71345609065155813</v>
      </c>
      <c r="DJ149" s="93"/>
      <c r="DK149" s="99"/>
      <c r="DL149" s="94"/>
      <c r="DM149" s="94"/>
      <c r="DN149" s="729">
        <f>DN161/DN$171</f>
        <v>0.69718468468468464</v>
      </c>
      <c r="DO149" s="91">
        <f>+DO150+DO151</f>
        <v>0.68559322033898296</v>
      </c>
      <c r="DP149" s="91">
        <f>+DP150+DP151</f>
        <v>0.68</v>
      </c>
      <c r="DQ149" s="91">
        <f>+DQ150+DQ151</f>
        <v>0.68</v>
      </c>
      <c r="DR149" s="94"/>
      <c r="DS149" s="729">
        <f>DS161/DS$171</f>
        <v>0.68345448251990304</v>
      </c>
      <c r="DT149" s="91">
        <f>+DT150+DT151</f>
        <v>0.67760252365930596</v>
      </c>
      <c r="DU149" s="91">
        <f>+DU150+DU151</f>
        <v>0.68490092101590849</v>
      </c>
      <c r="DV149" s="94"/>
      <c r="DW149" s="94"/>
      <c r="DX149" s="729">
        <f>DX161/DX$171</f>
        <v>0.68642599782978808</v>
      </c>
      <c r="DY149" s="99"/>
      <c r="DZ149" s="99"/>
      <c r="EA149" s="94"/>
      <c r="EB149" s="94"/>
      <c r="EC149" s="729">
        <f>EC161/EC$171</f>
        <v>0.68640356934835545</v>
      </c>
      <c r="ED149" s="99"/>
      <c r="EE149" s="99"/>
      <c r="EF149" s="94"/>
      <c r="EG149" s="94"/>
      <c r="EH149" s="729">
        <f>EH161/EH$171</f>
        <v>0.67740659971363892</v>
      </c>
      <c r="EI149" s="99"/>
      <c r="EJ149" s="99"/>
      <c r="EK149" s="94"/>
      <c r="EL149" s="94"/>
      <c r="EM149" s="729">
        <f>EM161/EM$171</f>
        <v>0.66387552169642572</v>
      </c>
      <c r="EN149" s="99"/>
      <c r="EO149" s="99"/>
      <c r="EP149" s="94"/>
      <c r="EQ149" s="94"/>
      <c r="ER149" s="729">
        <f>ER161/ER$171</f>
        <v>0.64704524644382633</v>
      </c>
      <c r="ES149" s="94"/>
    </row>
    <row r="150" spans="1:149">
      <c r="A150" s="929"/>
      <c r="B150" s="94"/>
      <c r="C150" s="1030" t="s">
        <v>169</v>
      </c>
      <c r="D150" s="17"/>
      <c r="E150" s="17"/>
      <c r="F150" s="17"/>
      <c r="G150" s="17"/>
      <c r="H150" s="17"/>
      <c r="I150" s="17"/>
      <c r="J150" s="17"/>
      <c r="K150" s="17"/>
      <c r="L150" s="17"/>
      <c r="M150" s="94"/>
      <c r="N150" s="17"/>
      <c r="O150" s="17"/>
      <c r="P150" s="17"/>
      <c r="Q150" s="17"/>
      <c r="R150" s="94"/>
      <c r="S150" s="17"/>
      <c r="T150" s="17"/>
      <c r="U150" s="17"/>
      <c r="V150" s="17"/>
      <c r="W150" s="94"/>
      <c r="X150" s="94"/>
      <c r="Y150" s="94"/>
      <c r="Z150" s="94"/>
      <c r="AA150" s="94"/>
      <c r="AB150" s="94"/>
      <c r="AC150" s="94"/>
      <c r="AD150" s="94"/>
      <c r="AE150" s="94"/>
      <c r="AF150" s="94"/>
      <c r="AG150" s="94"/>
      <c r="AH150" s="94"/>
      <c r="AI150" s="94"/>
      <c r="AJ150" s="94"/>
      <c r="AK150" s="94"/>
      <c r="AL150" s="94"/>
      <c r="AM150" s="94"/>
      <c r="AN150" s="94"/>
      <c r="AO150" s="94"/>
      <c r="AP150" s="94"/>
      <c r="AQ150" s="94"/>
      <c r="AR150" s="94"/>
      <c r="AS150" s="94"/>
      <c r="AT150" s="94"/>
      <c r="AU150" s="94"/>
      <c r="AV150" s="94"/>
      <c r="AW150" s="94"/>
      <c r="AX150" s="94"/>
      <c r="AY150" s="94"/>
      <c r="AZ150" s="94"/>
      <c r="BA150" s="94"/>
      <c r="BB150" s="94"/>
      <c r="BC150" s="94"/>
      <c r="BD150" s="94"/>
      <c r="BE150" s="94"/>
      <c r="BF150" s="91">
        <f>BF162/BF$171</f>
        <v>7.8142790874204018E-2</v>
      </c>
      <c r="BG150" s="94"/>
      <c r="BH150" s="94"/>
      <c r="BI150" s="94"/>
      <c r="BJ150" s="94"/>
      <c r="BK150" s="91">
        <f>BK162/BK$171</f>
        <v>8.1608692191355553E-2</v>
      </c>
      <c r="BL150" s="94"/>
      <c r="BM150" s="94"/>
      <c r="BN150" s="94"/>
      <c r="BO150" s="94"/>
      <c r="BP150" s="91">
        <f>BP162/BP$171</f>
        <v>7.3596907196861489E-2</v>
      </c>
      <c r="BQ150" s="94"/>
      <c r="BR150" s="94"/>
      <c r="BS150" s="94"/>
      <c r="BU150" s="729">
        <f>BU162/BU$171</f>
        <v>7.1582055517387555E-2</v>
      </c>
      <c r="BV150" s="94"/>
      <c r="BW150" s="94"/>
      <c r="BX150" s="94"/>
      <c r="BZ150" s="729">
        <f>BZ162/BZ$171</f>
        <v>6.9075077697583018E-2</v>
      </c>
      <c r="CA150" s="94"/>
      <c r="CB150" s="94"/>
      <c r="CC150" s="94"/>
      <c r="CE150" s="729">
        <f>CE162/CE$171</f>
        <v>7.1449152240295605E-2</v>
      </c>
      <c r="CF150" s="94"/>
      <c r="CG150" s="94"/>
      <c r="CH150" s="94"/>
      <c r="CJ150" s="729">
        <f>CJ162/CJ$171</f>
        <v>6.5944919490621298E-2</v>
      </c>
      <c r="CK150" s="94"/>
      <c r="CL150" s="94"/>
      <c r="CM150" s="94"/>
      <c r="CO150" s="729">
        <f>CO162/CO$171</f>
        <v>6.0936285185464463E-2</v>
      </c>
      <c r="CP150" s="94"/>
      <c r="CQ150" s="94"/>
      <c r="CR150" s="94"/>
      <c r="CT150" s="729">
        <f>CT162/CT$171</f>
        <v>6.5786513766384669E-2</v>
      </c>
      <c r="CU150" s="94"/>
      <c r="CV150" s="94"/>
      <c r="CW150" s="94"/>
      <c r="CY150" s="729">
        <f>CY162/CY$171</f>
        <v>6.8733738074588033E-2</v>
      </c>
      <c r="CZ150" s="99"/>
      <c r="DA150" s="99"/>
      <c r="DB150" s="94"/>
      <c r="DD150" s="729">
        <f>DD162/DD$171</f>
        <v>6.1785714285714284E-2</v>
      </c>
      <c r="DE150" s="99"/>
      <c r="DF150" s="99"/>
      <c r="DG150" s="94"/>
      <c r="DI150" s="729">
        <f>DI162/DI$171</f>
        <v>5.4957507082152975E-2</v>
      </c>
      <c r="DJ150" s="93"/>
      <c r="DK150" s="99"/>
      <c r="DL150" s="94"/>
      <c r="DM150" s="94"/>
      <c r="DN150" s="729">
        <f>DN162/DN$171</f>
        <v>5.4391891891891891E-2</v>
      </c>
      <c r="DO150" s="91">
        <f>+DO162/DO$171</f>
        <v>5.0423728813559325E-2</v>
      </c>
      <c r="DP150" s="1546">
        <v>0.05</v>
      </c>
      <c r="DQ150" s="1546">
        <v>0.05</v>
      </c>
      <c r="DR150" s="94"/>
      <c r="DS150" s="729">
        <f>DS162/DS$171</f>
        <v>4.9065420560747662E-2</v>
      </c>
      <c r="DT150" s="91">
        <f t="shared" ref="DT150:DU152" si="427">+DT162/DT$171</f>
        <v>4.6372239747634068E-2</v>
      </c>
      <c r="DU150" s="91">
        <f t="shared" si="427"/>
        <v>4.7725369801842034E-2</v>
      </c>
      <c r="DV150" s="94"/>
      <c r="DW150" s="94"/>
      <c r="DX150" s="729">
        <f>DX162/DX$171</f>
        <v>4.0628633758847447E-2</v>
      </c>
      <c r="DY150" s="99"/>
      <c r="DZ150" s="99"/>
      <c r="EA150" s="94"/>
      <c r="EB150" s="94"/>
      <c r="EC150" s="729">
        <f>EC162/EC$171</f>
        <v>3.5206588072641376E-2</v>
      </c>
      <c r="ED150" s="99"/>
      <c r="EE150" s="99"/>
      <c r="EF150" s="94"/>
      <c r="EG150" s="94"/>
      <c r="EH150" s="729">
        <f>EH162/EH$171</f>
        <v>3.1790774429598379E-2</v>
      </c>
      <c r="EI150" s="99"/>
      <c r="EJ150" s="99"/>
      <c r="EK150" s="94"/>
      <c r="EL150" s="94"/>
      <c r="EM150" s="729">
        <f>EM162/EM$171</f>
        <v>2.9232350315297081E-2</v>
      </c>
      <c r="EN150" s="99"/>
      <c r="EO150" s="99"/>
      <c r="EP150" s="94"/>
      <c r="EQ150" s="94"/>
      <c r="ER150" s="729">
        <f>ER162/ER$171</f>
        <v>2.7159107930718886E-2</v>
      </c>
      <c r="ES150" s="94"/>
    </row>
    <row r="151" spans="1:149">
      <c r="A151" s="929"/>
      <c r="B151" s="94"/>
      <c r="C151" s="1030" t="s">
        <v>304</v>
      </c>
      <c r="D151" s="17"/>
      <c r="E151" s="17"/>
      <c r="F151" s="17"/>
      <c r="G151" s="17"/>
      <c r="H151" s="17"/>
      <c r="I151" s="17"/>
      <c r="J151" s="17"/>
      <c r="K151" s="17"/>
      <c r="L151" s="17"/>
      <c r="M151" s="94"/>
      <c r="N151" s="17"/>
      <c r="O151" s="17"/>
      <c r="P151" s="17"/>
      <c r="Q151" s="17"/>
      <c r="R151" s="94"/>
      <c r="S151" s="17"/>
      <c r="T151" s="17"/>
      <c r="U151" s="17"/>
      <c r="V151" s="17"/>
      <c r="W151" s="94"/>
      <c r="X151" s="94"/>
      <c r="Y151" s="94"/>
      <c r="Z151" s="94"/>
      <c r="AA151" s="94"/>
      <c r="AB151" s="94"/>
      <c r="AC151" s="94"/>
      <c r="AD151" s="94"/>
      <c r="AE151" s="94"/>
      <c r="AF151" s="94"/>
      <c r="AG151" s="94"/>
      <c r="AH151" s="94"/>
      <c r="AI151" s="94"/>
      <c r="AJ151" s="94"/>
      <c r="AK151" s="94"/>
      <c r="AL151" s="94"/>
      <c r="AM151" s="94"/>
      <c r="AN151" s="94"/>
      <c r="AO151" s="94"/>
      <c r="AP151" s="94"/>
      <c r="AQ151" s="94"/>
      <c r="AR151" s="94"/>
      <c r="AS151" s="94"/>
      <c r="AT151" s="94"/>
      <c r="AU151" s="94"/>
      <c r="AV151" s="94"/>
      <c r="AW151" s="94"/>
      <c r="AX151" s="94"/>
      <c r="AY151" s="94"/>
      <c r="AZ151" s="94"/>
      <c r="BA151" s="94"/>
      <c r="BB151" s="94"/>
      <c r="BC151" s="94"/>
      <c r="BD151" s="94"/>
      <c r="BE151" s="94"/>
      <c r="BF151" s="91">
        <f>BF163/BF$171</f>
        <v>0.63732973474465482</v>
      </c>
      <c r="BG151" s="94"/>
      <c r="BH151" s="94"/>
      <c r="BI151" s="94"/>
      <c r="BJ151" s="94"/>
      <c r="BK151" s="91">
        <f>BK163/BK$171</f>
        <v>0.63167635119000221</v>
      </c>
      <c r="BL151" s="94"/>
      <c r="BM151" s="94"/>
      <c r="BN151" s="94"/>
      <c r="BO151" s="94"/>
      <c r="BP151" s="91">
        <f>BP163/BP$171</f>
        <v>0.68701555923746405</v>
      </c>
      <c r="BQ151" s="94"/>
      <c r="BR151" s="94"/>
      <c r="BS151" s="94"/>
      <c r="BU151" s="729">
        <f>BU163/BU$171</f>
        <v>0.7052861869192576</v>
      </c>
      <c r="BV151" s="94"/>
      <c r="BW151" s="94"/>
      <c r="BX151" s="94"/>
      <c r="BZ151" s="729">
        <f>BZ163/BZ$171</f>
        <v>0.72970230909511213</v>
      </c>
      <c r="CA151" s="94"/>
      <c r="CB151" s="94"/>
      <c r="CC151" s="94"/>
      <c r="CE151" s="729">
        <f>CE163/CE$171</f>
        <v>0.71035668880624492</v>
      </c>
      <c r="CF151" s="94"/>
      <c r="CG151" s="94"/>
      <c r="CH151" s="94"/>
      <c r="CJ151" s="729">
        <f>CJ163/CJ$171</f>
        <v>0.70390755374668401</v>
      </c>
      <c r="CK151" s="94"/>
      <c r="CL151" s="94"/>
      <c r="CM151" s="94"/>
      <c r="CO151" s="729">
        <f>CO163/CO$171</f>
        <v>0.68403147183483681</v>
      </c>
      <c r="CP151" s="94"/>
      <c r="CQ151" s="94"/>
      <c r="CR151" s="94"/>
      <c r="CT151" s="729">
        <f>CT163/CT$171</f>
        <v>0.66704591343683939</v>
      </c>
      <c r="CU151" s="94"/>
      <c r="CV151" s="94"/>
      <c r="CW151" s="94"/>
      <c r="CY151" s="729">
        <f>CY163/CY$171</f>
        <v>0.64483954900260188</v>
      </c>
      <c r="CZ151" s="99"/>
      <c r="DA151" s="99"/>
      <c r="DB151" s="94"/>
      <c r="DD151" s="729">
        <f>DD163/DD$171</f>
        <v>0.66428571428571426</v>
      </c>
      <c r="DE151" s="99"/>
      <c r="DF151" s="99"/>
      <c r="DG151" s="94"/>
      <c r="DI151" s="729">
        <f>DI163/DI$171</f>
        <v>0.65849858356940505</v>
      </c>
      <c r="DJ151" s="93"/>
      <c r="DK151" s="99"/>
      <c r="DL151" s="94"/>
      <c r="DM151" s="94"/>
      <c r="DN151" s="729">
        <f>DN163/DN$171</f>
        <v>0.64279279279279278</v>
      </c>
      <c r="DO151" s="91">
        <f>+DO163/DO$171</f>
        <v>0.63516949152542368</v>
      </c>
      <c r="DP151" s="1546">
        <v>0.63</v>
      </c>
      <c r="DQ151" s="1546">
        <v>0.63</v>
      </c>
      <c r="DR151" s="94"/>
      <c r="DS151" s="729">
        <f>DS163/DS$171</f>
        <v>0.63438906195915545</v>
      </c>
      <c r="DT151" s="91">
        <f t="shared" si="427"/>
        <v>0.63123028391167191</v>
      </c>
      <c r="DU151" s="91">
        <f t="shared" si="427"/>
        <v>0.63717555121406644</v>
      </c>
      <c r="DV151" s="94"/>
      <c r="DW151" s="94"/>
      <c r="DX151" s="729">
        <f>DX163/DX$171</f>
        <v>0.64579736407094057</v>
      </c>
      <c r="DY151" s="99"/>
      <c r="DZ151" s="99"/>
      <c r="EA151" s="94"/>
      <c r="EB151" s="94"/>
      <c r="EC151" s="729">
        <f>EC163/EC$171</f>
        <v>0.65119698127571402</v>
      </c>
      <c r="ED151" s="99"/>
      <c r="EE151" s="99"/>
      <c r="EF151" s="94"/>
      <c r="EG151" s="94"/>
      <c r="EH151" s="729">
        <f>EH163/EH$171</f>
        <v>0.6456158252840406</v>
      </c>
      <c r="EI151" s="99"/>
      <c r="EJ151" s="99"/>
      <c r="EK151" s="94"/>
      <c r="EL151" s="94"/>
      <c r="EM151" s="729">
        <f>EM163/EM$171</f>
        <v>0.63464317138112858</v>
      </c>
      <c r="EN151" s="99"/>
      <c r="EO151" s="99"/>
      <c r="EP151" s="94"/>
      <c r="EQ151" s="94"/>
      <c r="ER151" s="729">
        <f>ER163/ER$171</f>
        <v>0.61988613851310748</v>
      </c>
      <c r="ES151" s="94"/>
    </row>
    <row r="152" spans="1:149">
      <c r="A152" s="929"/>
      <c r="B152" s="94"/>
      <c r="C152" s="1031" t="s">
        <v>827</v>
      </c>
      <c r="D152" s="17"/>
      <c r="E152" s="17"/>
      <c r="F152" s="17"/>
      <c r="G152" s="17"/>
      <c r="H152" s="17"/>
      <c r="I152" s="17"/>
      <c r="J152" s="17"/>
      <c r="K152" s="17"/>
      <c r="L152" s="17"/>
      <c r="M152" s="94"/>
      <c r="N152" s="17"/>
      <c r="O152" s="17"/>
      <c r="P152" s="17"/>
      <c r="Q152" s="17"/>
      <c r="R152" s="94"/>
      <c r="S152" s="17"/>
      <c r="T152" s="17"/>
      <c r="U152" s="17"/>
      <c r="V152" s="17"/>
      <c r="W152" s="94"/>
      <c r="X152" s="94"/>
      <c r="Y152" s="94"/>
      <c r="Z152" s="94"/>
      <c r="AA152" s="94"/>
      <c r="AB152" s="94"/>
      <c r="AC152" s="94"/>
      <c r="AD152" s="94"/>
      <c r="AE152" s="94"/>
      <c r="AF152" s="94"/>
      <c r="AG152" s="94"/>
      <c r="AH152" s="94"/>
      <c r="AI152" s="94"/>
      <c r="AJ152" s="94"/>
      <c r="AK152" s="94"/>
      <c r="AL152" s="94"/>
      <c r="AM152" s="94"/>
      <c r="AN152" s="94"/>
      <c r="AO152" s="94"/>
      <c r="AP152" s="94"/>
      <c r="AQ152" s="94"/>
      <c r="AR152" s="94"/>
      <c r="AS152" s="94"/>
      <c r="AT152" s="94"/>
      <c r="AU152" s="94"/>
      <c r="AV152" s="94"/>
      <c r="AW152" s="94"/>
      <c r="AX152" s="94"/>
      <c r="AY152" s="94"/>
      <c r="AZ152" s="94"/>
      <c r="BA152" s="94"/>
      <c r="BB152" s="94"/>
      <c r="BC152" s="94"/>
      <c r="BD152" s="94"/>
      <c r="BE152" s="94"/>
      <c r="BF152" s="91"/>
      <c r="BG152" s="94"/>
      <c r="BH152" s="94"/>
      <c r="BI152" s="94"/>
      <c r="BJ152" s="94"/>
      <c r="BK152" s="91"/>
      <c r="BL152" s="94"/>
      <c r="BM152" s="94"/>
      <c r="BN152" s="94"/>
      <c r="BO152" s="94"/>
      <c r="BP152" s="91"/>
      <c r="BQ152" s="94"/>
      <c r="BR152" s="94"/>
      <c r="BS152" s="94"/>
      <c r="BU152" s="729"/>
      <c r="BV152" s="94"/>
      <c r="BW152" s="94"/>
      <c r="BX152" s="94"/>
      <c r="BZ152" s="729"/>
      <c r="CA152" s="94"/>
      <c r="CB152" s="94"/>
      <c r="CC152" s="94"/>
      <c r="CE152" s="729"/>
      <c r="CF152" s="94"/>
      <c r="CG152" s="94"/>
      <c r="CH152" s="94"/>
      <c r="CJ152" s="729"/>
      <c r="CK152" s="94"/>
      <c r="CL152" s="94"/>
      <c r="CM152" s="94"/>
      <c r="CO152" s="729"/>
      <c r="CP152" s="94"/>
      <c r="CQ152" s="94"/>
      <c r="CR152" s="94"/>
      <c r="CT152" s="729"/>
      <c r="CU152" s="94"/>
      <c r="CV152" s="94"/>
      <c r="CW152" s="94"/>
      <c r="CY152" s="729"/>
      <c r="CZ152" s="99"/>
      <c r="DA152" s="99"/>
      <c r="DB152" s="94"/>
      <c r="DD152" s="729"/>
      <c r="DE152" s="99"/>
      <c r="DF152" s="99"/>
      <c r="DG152" s="94"/>
      <c r="DI152" s="729"/>
      <c r="DJ152" s="93"/>
      <c r="DK152" s="99"/>
      <c r="DL152" s="94"/>
      <c r="DM152" s="94"/>
      <c r="DN152" s="729"/>
      <c r="DO152" s="91">
        <f>+DO164/DO$171</f>
        <v>0.19533898305084746</v>
      </c>
      <c r="DP152" s="1546"/>
      <c r="DQ152" s="1546"/>
      <c r="DR152" s="94"/>
      <c r="DS152" s="729"/>
      <c r="DT152" s="91">
        <f t="shared" si="427"/>
        <v>0.20599369085173502</v>
      </c>
      <c r="DU152" s="91">
        <f t="shared" si="427"/>
        <v>0.20122802121127548</v>
      </c>
      <c r="DV152" s="94"/>
      <c r="DW152" s="94"/>
      <c r="DX152" s="729"/>
      <c r="DY152" s="99"/>
      <c r="DZ152" s="99"/>
      <c r="EA152" s="94"/>
      <c r="EB152" s="94"/>
      <c r="EC152" s="729"/>
      <c r="ED152" s="99"/>
      <c r="EE152" s="99"/>
      <c r="EF152" s="94"/>
      <c r="EG152" s="94"/>
      <c r="EH152" s="729"/>
      <c r="EI152" s="99"/>
      <c r="EJ152" s="99"/>
      <c r="EK152" s="94"/>
      <c r="EL152" s="94"/>
      <c r="EM152" s="729"/>
      <c r="EN152" s="99"/>
      <c r="EO152" s="99"/>
      <c r="EP152" s="94"/>
      <c r="EQ152" s="94"/>
      <c r="ER152" s="729"/>
      <c r="ES152" s="1392"/>
    </row>
    <row r="153" spans="1:149">
      <c r="A153" s="929"/>
      <c r="B153" s="94"/>
      <c r="C153" s="1031" t="s">
        <v>305</v>
      </c>
      <c r="D153" s="17"/>
      <c r="E153" s="17"/>
      <c r="F153" s="17"/>
      <c r="G153" s="17"/>
      <c r="H153" s="17"/>
      <c r="I153" s="17"/>
      <c r="J153" s="17"/>
      <c r="K153" s="17"/>
      <c r="L153" s="17"/>
      <c r="M153" s="94"/>
      <c r="N153" s="17"/>
      <c r="O153" s="17"/>
      <c r="P153" s="17"/>
      <c r="Q153" s="17"/>
      <c r="R153" s="94"/>
      <c r="S153" s="17"/>
      <c r="T153" s="17"/>
      <c r="U153" s="17"/>
      <c r="V153" s="17"/>
      <c r="W153" s="94"/>
      <c r="X153" s="94"/>
      <c r="Y153" s="94"/>
      <c r="Z153" s="94"/>
      <c r="AA153" s="94"/>
      <c r="AB153" s="94"/>
      <c r="AC153" s="94"/>
      <c r="AD153" s="94"/>
      <c r="AE153" s="94"/>
      <c r="AF153" s="94"/>
      <c r="AG153" s="94"/>
      <c r="AH153" s="94"/>
      <c r="AI153" s="94"/>
      <c r="AJ153" s="94"/>
      <c r="AK153" s="94"/>
      <c r="AL153" s="94"/>
      <c r="AM153" s="94"/>
      <c r="AN153" s="94"/>
      <c r="AO153" s="94"/>
      <c r="AP153" s="94"/>
      <c r="AQ153" s="94"/>
      <c r="AR153" s="94"/>
      <c r="AS153" s="94"/>
      <c r="AT153" s="94"/>
      <c r="AU153" s="94"/>
      <c r="AV153" s="94"/>
      <c r="AW153" s="94"/>
      <c r="AX153" s="94"/>
      <c r="AY153" s="94"/>
      <c r="AZ153" s="94"/>
      <c r="BA153" s="94"/>
      <c r="BB153" s="94"/>
      <c r="BC153" s="94"/>
      <c r="BD153" s="94"/>
      <c r="BE153" s="94"/>
      <c r="BF153" s="91"/>
      <c r="BG153" s="94"/>
      <c r="BH153" s="94"/>
      <c r="BI153" s="94"/>
      <c r="BJ153" s="94"/>
      <c r="BK153" s="91"/>
      <c r="BL153" s="94"/>
      <c r="BM153" s="94"/>
      <c r="BN153" s="94"/>
      <c r="BO153" s="94"/>
      <c r="BP153" s="91"/>
      <c r="BQ153" s="94"/>
      <c r="BR153" s="94"/>
      <c r="BS153" s="94"/>
      <c r="BU153" s="729"/>
      <c r="BV153" s="94"/>
      <c r="BW153" s="94"/>
      <c r="BX153" s="94"/>
      <c r="BZ153" s="729"/>
      <c r="CA153" s="94"/>
      <c r="CB153" s="94"/>
      <c r="CC153" s="94"/>
      <c r="CE153" s="729"/>
      <c r="CF153" s="94"/>
      <c r="CG153" s="94"/>
      <c r="CH153" s="94"/>
      <c r="CJ153" s="729"/>
      <c r="CK153" s="94"/>
      <c r="CL153" s="94"/>
      <c r="CM153" s="94"/>
      <c r="CO153" s="729"/>
      <c r="CP153" s="94"/>
      <c r="CQ153" s="94"/>
      <c r="CR153" s="94"/>
      <c r="CT153" s="729">
        <f t="shared" ref="CT153:CT158" si="428">CT165/CT$171</f>
        <v>0.15506755269089409</v>
      </c>
      <c r="CU153" s="94"/>
      <c r="CV153" s="94"/>
      <c r="CW153" s="94"/>
      <c r="CY153" s="729">
        <f>CY165/CY$171</f>
        <v>0.17324371205550737</v>
      </c>
      <c r="CZ153" s="99"/>
      <c r="DA153" s="99"/>
      <c r="DB153" s="94"/>
      <c r="DD153" s="729">
        <f>DD165/DD$171</f>
        <v>0.16375000000000001</v>
      </c>
      <c r="DE153" s="99"/>
      <c r="DF153" s="99"/>
      <c r="DG153" s="94"/>
      <c r="DI153" s="729">
        <f>DI165/DI$171</f>
        <v>0.17776203966005666</v>
      </c>
      <c r="DJ153" s="93"/>
      <c r="DK153" s="99"/>
      <c r="DL153" s="94"/>
      <c r="DM153" s="94"/>
      <c r="DN153" s="729">
        <f>DN165/DN$171</f>
        <v>0.19222972972972974</v>
      </c>
      <c r="DO153" s="91"/>
      <c r="DP153" s="1546">
        <v>0.21</v>
      </c>
      <c r="DQ153" s="1546">
        <v>0.21</v>
      </c>
      <c r="DR153" s="94"/>
      <c r="DS153" s="729">
        <f>DS165/DS$171</f>
        <v>0.20993423329871927</v>
      </c>
      <c r="DT153" s="91"/>
      <c r="DU153" s="91"/>
      <c r="DV153" s="94"/>
      <c r="DW153" s="94"/>
      <c r="DX153" s="729">
        <f>1-SUM(DX150:DX151,DX155:DX157)</f>
        <v>0.20573262542864179</v>
      </c>
      <c r="DY153" s="99"/>
      <c r="DZ153" s="99"/>
      <c r="EA153" s="94"/>
      <c r="EB153" s="94"/>
      <c r="EC153" s="729">
        <f>1-SUM(EC150:EC151,EC155:EC157)</f>
        <v>0.2044458992683732</v>
      </c>
      <c r="ED153" s="99"/>
      <c r="EE153" s="99"/>
      <c r="EF153" s="94"/>
      <c r="EG153" s="94"/>
      <c r="EH153" s="729">
        <f>1-SUM(EH150:EH151,EH155:EH157)</f>
        <v>0.21170888636447993</v>
      </c>
      <c r="EI153" s="99"/>
      <c r="EJ153" s="99"/>
      <c r="EK153" s="94"/>
      <c r="EL153" s="94"/>
      <c r="EM153" s="729">
        <f>1-SUM(EM150:EM151,EM155:EM157)</f>
        <v>0.22324679346130605</v>
      </c>
      <c r="EN153" s="99"/>
      <c r="EO153" s="99"/>
      <c r="EP153" s="94"/>
      <c r="EQ153" s="94"/>
      <c r="ER153" s="729">
        <f>1-SUM(ER150:ER151,ER155:ER157)</f>
        <v>0.23785950527246102</v>
      </c>
      <c r="ES153" s="1392" t="s">
        <v>701</v>
      </c>
    </row>
    <row r="154" spans="1:149">
      <c r="A154" s="929"/>
      <c r="B154" s="94"/>
      <c r="C154" s="1030" t="s">
        <v>598</v>
      </c>
      <c r="D154" s="17"/>
      <c r="E154" s="17"/>
      <c r="F154" s="17"/>
      <c r="G154" s="17"/>
      <c r="H154" s="17"/>
      <c r="I154" s="17"/>
      <c r="J154" s="17"/>
      <c r="K154" s="17"/>
      <c r="L154" s="17"/>
      <c r="M154" s="94"/>
      <c r="N154" s="17"/>
      <c r="O154" s="17"/>
      <c r="P154" s="17"/>
      <c r="Q154" s="17"/>
      <c r="R154" s="94"/>
      <c r="S154" s="17"/>
      <c r="T154" s="17"/>
      <c r="U154" s="17"/>
      <c r="V154" s="17"/>
      <c r="W154" s="94"/>
      <c r="X154" s="94"/>
      <c r="Y154" s="94"/>
      <c r="Z154" s="94"/>
      <c r="AA154" s="94"/>
      <c r="AB154" s="94"/>
      <c r="AC154" s="94"/>
      <c r="AD154" s="94"/>
      <c r="AE154" s="94"/>
      <c r="AF154" s="94"/>
      <c r="AG154" s="94"/>
      <c r="AH154" s="94"/>
      <c r="AI154" s="94"/>
      <c r="AJ154" s="94"/>
      <c r="AK154" s="94"/>
      <c r="AL154" s="94"/>
      <c r="AM154" s="94"/>
      <c r="AN154" s="94"/>
      <c r="AO154" s="94"/>
      <c r="AP154" s="94"/>
      <c r="AQ154" s="94"/>
      <c r="AR154" s="94"/>
      <c r="AS154" s="94"/>
      <c r="AT154" s="94"/>
      <c r="AU154" s="94"/>
      <c r="AV154" s="94"/>
      <c r="AW154" s="94"/>
      <c r="AX154" s="94"/>
      <c r="AY154" s="94"/>
      <c r="AZ154" s="94"/>
      <c r="BA154" s="94"/>
      <c r="BB154" s="94"/>
      <c r="BC154" s="94"/>
      <c r="BD154" s="94"/>
      <c r="BE154" s="94"/>
      <c r="BF154" s="91">
        <f>BF166/BF$171</f>
        <v>9.0836250158141091E-2</v>
      </c>
      <c r="BG154" s="94"/>
      <c r="BH154" s="94"/>
      <c r="BI154" s="94"/>
      <c r="BJ154" s="94"/>
      <c r="BK154" s="91">
        <f>BK166/BK$171</f>
        <v>8.9886969672848829E-2</v>
      </c>
      <c r="BL154" s="94"/>
      <c r="BM154" s="94"/>
      <c r="BN154" s="94"/>
      <c r="BO154" s="94"/>
      <c r="BP154" s="91">
        <f>BP166/BP$171</f>
        <v>7.5339465615418308E-2</v>
      </c>
      <c r="BQ154" s="94"/>
      <c r="BR154" s="94"/>
      <c r="BS154" s="94"/>
      <c r="BU154" s="729">
        <f>BU166/BU$171</f>
        <v>7.521207603065784E-2</v>
      </c>
      <c r="BV154" s="94"/>
      <c r="BW154" s="94"/>
      <c r="BX154" s="94"/>
      <c r="BZ154" s="729">
        <f>BZ166/BZ$171</f>
        <v>6.6673516040377051E-2</v>
      </c>
      <c r="CA154" s="94"/>
      <c r="CB154" s="94"/>
      <c r="CC154" s="94"/>
      <c r="CE154" s="729">
        <f>CE166/CE$171</f>
        <v>6.6225657355369935E-2</v>
      </c>
      <c r="CF154" s="94"/>
      <c r="CG154" s="94"/>
      <c r="CH154" s="94"/>
      <c r="CJ154" s="729">
        <f>CJ166/CJ$171</f>
        <v>6.4847297268336948E-2</v>
      </c>
      <c r="CK154" s="94"/>
      <c r="CL154" s="94"/>
      <c r="CM154" s="94"/>
      <c r="CO154" s="729">
        <f>CO166/CO$171</f>
        <v>6.5580896390953339E-2</v>
      </c>
      <c r="CP154" s="94"/>
      <c r="CQ154" s="94"/>
      <c r="CR154" s="94"/>
      <c r="CT154" s="729">
        <f t="shared" si="428"/>
        <v>6.8211508415625788E-2</v>
      </c>
      <c r="CU154" s="94"/>
      <c r="CV154" s="94"/>
      <c r="CW154" s="94"/>
      <c r="CY154" s="372"/>
      <c r="CZ154" s="99"/>
      <c r="DA154" s="99"/>
      <c r="DB154" s="94"/>
      <c r="DD154" s="372"/>
      <c r="DE154" s="99"/>
      <c r="DF154" s="99"/>
      <c r="DG154" s="94"/>
      <c r="DI154" s="372"/>
      <c r="DJ154" s="93"/>
      <c r="DK154" s="99"/>
      <c r="DL154" s="94"/>
      <c r="DM154" s="94"/>
      <c r="DN154" s="372"/>
      <c r="DO154" s="93"/>
      <c r="DP154" s="93"/>
      <c r="DQ154" s="93"/>
      <c r="DR154" s="94"/>
      <c r="DS154" s="372"/>
      <c r="DT154" s="93"/>
      <c r="DU154" s="93"/>
      <c r="DV154" s="94"/>
      <c r="DW154" s="94"/>
      <c r="DX154" s="372"/>
      <c r="DY154" s="99"/>
      <c r="DZ154" s="99"/>
      <c r="EA154" s="94"/>
      <c r="EB154" s="94"/>
      <c r="EC154" s="372"/>
      <c r="ED154" s="99"/>
      <c r="EE154" s="99"/>
      <c r="EF154" s="94"/>
      <c r="EG154" s="94"/>
      <c r="EH154" s="372"/>
      <c r="EI154" s="99"/>
      <c r="EJ154" s="99"/>
      <c r="EK154" s="94"/>
      <c r="EL154" s="94"/>
      <c r="EM154" s="372"/>
      <c r="EN154" s="99"/>
      <c r="EO154" s="99"/>
      <c r="EP154" s="94"/>
      <c r="EQ154" s="94"/>
      <c r="ER154" s="372"/>
      <c r="ES154" s="94"/>
    </row>
    <row r="155" spans="1:149">
      <c r="A155" s="929"/>
      <c r="B155" s="94"/>
      <c r="C155" s="1031" t="s">
        <v>307</v>
      </c>
      <c r="D155" s="17"/>
      <c r="E155" s="17"/>
      <c r="F155" s="17"/>
      <c r="G155" s="17"/>
      <c r="H155" s="17"/>
      <c r="I155" s="17"/>
      <c r="J155" s="17"/>
      <c r="K155" s="17"/>
      <c r="L155" s="17"/>
      <c r="M155" s="94"/>
      <c r="N155" s="17"/>
      <c r="O155" s="17"/>
      <c r="P155" s="17"/>
      <c r="Q155" s="17"/>
      <c r="R155" s="94"/>
      <c r="S155" s="17"/>
      <c r="T155" s="17"/>
      <c r="U155" s="17"/>
      <c r="V155" s="17"/>
      <c r="W155" s="94"/>
      <c r="X155" s="94"/>
      <c r="Y155" s="94"/>
      <c r="Z155" s="94"/>
      <c r="AA155" s="94"/>
      <c r="AB155" s="94"/>
      <c r="AC155" s="94"/>
      <c r="AD155" s="94"/>
      <c r="AE155" s="94"/>
      <c r="AF155" s="94"/>
      <c r="AG155" s="94"/>
      <c r="AH155" s="94"/>
      <c r="AI155" s="94"/>
      <c r="AJ155" s="94"/>
      <c r="AK155" s="94"/>
      <c r="AL155" s="94"/>
      <c r="AM155" s="94"/>
      <c r="AN155" s="94"/>
      <c r="AO155" s="94"/>
      <c r="AP155" s="94"/>
      <c r="AQ155" s="94"/>
      <c r="AR155" s="94"/>
      <c r="AS155" s="94"/>
      <c r="AT155" s="94"/>
      <c r="AU155" s="94"/>
      <c r="AV155" s="94"/>
      <c r="AW155" s="94"/>
      <c r="AX155" s="94"/>
      <c r="AY155" s="94"/>
      <c r="AZ155" s="94"/>
      <c r="BA155" s="94"/>
      <c r="BB155" s="94"/>
      <c r="BC155" s="94"/>
      <c r="BD155" s="94"/>
      <c r="BE155" s="94"/>
      <c r="BF155" s="91"/>
      <c r="BG155" s="94"/>
      <c r="BH155" s="94"/>
      <c r="BI155" s="94"/>
      <c r="BJ155" s="94"/>
      <c r="BK155" s="91"/>
      <c r="BL155" s="94"/>
      <c r="BM155" s="94"/>
      <c r="BN155" s="94"/>
      <c r="BO155" s="94"/>
      <c r="BP155" s="91"/>
      <c r="BQ155" s="94"/>
      <c r="BR155" s="94"/>
      <c r="BS155" s="94"/>
      <c r="BU155" s="729"/>
      <c r="BV155" s="94"/>
      <c r="BW155" s="94"/>
      <c r="BX155" s="94"/>
      <c r="BZ155" s="729"/>
      <c r="CA155" s="94"/>
      <c r="CB155" s="94"/>
      <c r="CC155" s="94"/>
      <c r="CE155" s="729"/>
      <c r="CF155" s="94"/>
      <c r="CG155" s="94"/>
      <c r="CH155" s="94"/>
      <c r="CJ155" s="729"/>
      <c r="CK155" s="94"/>
      <c r="CL155" s="94"/>
      <c r="CM155" s="94"/>
      <c r="CO155" s="729"/>
      <c r="CP155" s="94"/>
      <c r="CQ155" s="94"/>
      <c r="CR155" s="94"/>
      <c r="CT155" s="729">
        <f t="shared" si="428"/>
        <v>9.9757944298173307E-2</v>
      </c>
      <c r="CU155" s="94"/>
      <c r="CV155" s="94"/>
      <c r="CW155" s="94"/>
      <c r="CY155" s="729">
        <f>CY167/CY$171</f>
        <v>0.10125758889852558</v>
      </c>
      <c r="CZ155" s="99"/>
      <c r="DA155" s="99"/>
      <c r="DB155" s="94"/>
      <c r="DD155" s="729">
        <f>DD167/DD$171</f>
        <v>9.8750000000000004E-2</v>
      </c>
      <c r="DE155" s="99"/>
      <c r="DF155" s="99"/>
      <c r="DG155" s="94"/>
      <c r="DI155" s="729">
        <f>DI167/DI$171</f>
        <v>9.9008498583569401E-2</v>
      </c>
      <c r="DJ155" s="93"/>
      <c r="DK155" s="99"/>
      <c r="DL155" s="94"/>
      <c r="DM155" s="94"/>
      <c r="DN155" s="729">
        <f>DN167/DN$171</f>
        <v>9.9662162162162157E-2</v>
      </c>
      <c r="DO155" s="91">
        <f>+DO167/DO$171</f>
        <v>0.10169491525423729</v>
      </c>
      <c r="DP155" s="1546">
        <v>0.1</v>
      </c>
      <c r="DQ155" s="1546">
        <v>0.1</v>
      </c>
      <c r="DR155" s="94"/>
      <c r="DS155" s="729">
        <f>DS167/DS$171</f>
        <v>9.7611630321910697E-2</v>
      </c>
      <c r="DT155" s="91">
        <f>+DT167/DT$171</f>
        <v>9.8422712933753945E-2</v>
      </c>
      <c r="DU155" s="91">
        <f>+DU167/DU$171</f>
        <v>9.6567122523025392E-2</v>
      </c>
      <c r="DV155" s="94"/>
      <c r="DW155" s="94"/>
      <c r="DX155" s="732">
        <f>DS155+0.1%</f>
        <v>9.8611630321910698E-2</v>
      </c>
      <c r="DY155" s="99"/>
      <c r="DZ155" s="99"/>
      <c r="EA155" s="94"/>
      <c r="EB155" s="94"/>
      <c r="EC155" s="732">
        <f>DX155+0.1%</f>
        <v>9.9611630321910699E-2</v>
      </c>
      <c r="ED155" s="99"/>
      <c r="EE155" s="99"/>
      <c r="EF155" s="94"/>
      <c r="EG155" s="94"/>
      <c r="EH155" s="732">
        <f>EC155+0.1%</f>
        <v>0.1006116303219107</v>
      </c>
      <c r="EI155" s="99"/>
      <c r="EJ155" s="99"/>
      <c r="EK155" s="94"/>
      <c r="EL155" s="94"/>
      <c r="EM155" s="732">
        <f>EH155+0.1%</f>
        <v>0.1016116303219107</v>
      </c>
      <c r="EN155" s="99"/>
      <c r="EO155" s="99"/>
      <c r="EP155" s="94"/>
      <c r="EQ155" s="94"/>
      <c r="ER155" s="732">
        <f>EM155+0.1%</f>
        <v>0.1026116303219107</v>
      </c>
      <c r="ES155" s="94"/>
    </row>
    <row r="156" spans="1:149">
      <c r="A156" s="929"/>
      <c r="B156" s="94"/>
      <c r="C156" s="1030" t="s">
        <v>308</v>
      </c>
      <c r="D156" s="17"/>
      <c r="E156" s="17"/>
      <c r="F156" s="17"/>
      <c r="G156" s="17"/>
      <c r="H156" s="17"/>
      <c r="I156" s="17"/>
      <c r="J156" s="17"/>
      <c r="K156" s="17"/>
      <c r="L156" s="17"/>
      <c r="M156" s="94"/>
      <c r="N156" s="17"/>
      <c r="O156" s="17"/>
      <c r="P156" s="17"/>
      <c r="Q156" s="17"/>
      <c r="R156" s="94"/>
      <c r="S156" s="17"/>
      <c r="T156" s="17"/>
      <c r="U156" s="17"/>
      <c r="V156" s="17"/>
      <c r="W156" s="94"/>
      <c r="X156" s="94"/>
      <c r="Y156" s="94"/>
      <c r="Z156" s="94"/>
      <c r="AA156" s="94"/>
      <c r="AB156" s="94"/>
      <c r="AC156" s="94"/>
      <c r="AD156" s="94"/>
      <c r="AE156" s="94"/>
      <c r="AF156" s="94"/>
      <c r="AG156" s="94"/>
      <c r="AH156" s="94"/>
      <c r="AI156" s="94"/>
      <c r="AJ156" s="94"/>
      <c r="AK156" s="94"/>
      <c r="AL156" s="94"/>
      <c r="AM156" s="94"/>
      <c r="AN156" s="94"/>
      <c r="AO156" s="94"/>
      <c r="AP156" s="94"/>
      <c r="AQ156" s="94"/>
      <c r="AR156" s="94"/>
      <c r="AS156" s="94"/>
      <c r="AT156" s="94"/>
      <c r="AU156" s="94"/>
      <c r="AV156" s="94"/>
      <c r="AW156" s="94"/>
      <c r="AX156" s="94"/>
      <c r="AY156" s="94"/>
      <c r="AZ156" s="94"/>
      <c r="BA156" s="94"/>
      <c r="BB156" s="94"/>
      <c r="BC156" s="94"/>
      <c r="BD156" s="94"/>
      <c r="BE156" s="94"/>
      <c r="BF156" s="91">
        <f>BF168/BF$171</f>
        <v>7.63294395479273E-2</v>
      </c>
      <c r="BG156" s="94"/>
      <c r="BH156" s="94"/>
      <c r="BI156" s="94"/>
      <c r="BJ156" s="94"/>
      <c r="BK156" s="91">
        <f>BK168/BK$171</f>
        <v>7.575817877895405E-2</v>
      </c>
      <c r="BL156" s="94"/>
      <c r="BM156" s="94"/>
      <c r="BN156" s="94"/>
      <c r="BO156" s="94"/>
      <c r="BP156" s="91">
        <f>BP168/BP$171</f>
        <v>6.1132377306747414E-2</v>
      </c>
      <c r="BQ156" s="94"/>
      <c r="BR156" s="94"/>
      <c r="BS156" s="94"/>
      <c r="BU156" s="729">
        <f>BU168/BU$171</f>
        <v>5.131241077214678E-2</v>
      </c>
      <c r="BV156" s="94"/>
      <c r="BW156" s="94"/>
      <c r="BX156" s="94"/>
      <c r="BZ156" s="729">
        <f>BZ168/BZ$171</f>
        <v>4.665194051318932E-2</v>
      </c>
      <c r="CA156" s="94"/>
      <c r="CB156" s="94"/>
      <c r="CC156" s="94"/>
      <c r="CE156" s="729">
        <f>CE168/CE$171</f>
        <v>4.6969867994249251E-2</v>
      </c>
      <c r="CF156" s="94"/>
      <c r="CG156" s="94"/>
      <c r="CH156" s="94"/>
      <c r="CJ156" s="729">
        <f>CJ168/CJ$171</f>
        <v>4.4666143013280479E-2</v>
      </c>
      <c r="CK156" s="94"/>
      <c r="CL156" s="94"/>
      <c r="CM156" s="94"/>
      <c r="CO156" s="729">
        <f>CO168/CO$171</f>
        <v>4.3449609136640914E-2</v>
      </c>
      <c r="CP156" s="94"/>
      <c r="CQ156" s="94"/>
      <c r="CR156" s="94"/>
      <c r="CT156" s="729">
        <f t="shared" si="428"/>
        <v>4.1647849404555265E-2</v>
      </c>
      <c r="CU156" s="94"/>
      <c r="CV156" s="94"/>
      <c r="CW156" s="94"/>
      <c r="CY156" s="372"/>
      <c r="CZ156" s="99"/>
      <c r="DA156" s="99"/>
      <c r="DB156" s="94"/>
      <c r="DD156" s="372"/>
      <c r="DE156" s="99"/>
      <c r="DF156" s="99"/>
      <c r="DG156" s="94"/>
      <c r="DI156" s="372"/>
      <c r="DJ156" s="93"/>
      <c r="DK156" s="99"/>
      <c r="DL156" s="94"/>
      <c r="DM156" s="94"/>
      <c r="DN156" s="372"/>
      <c r="DO156" s="93"/>
      <c r="DP156" s="93"/>
      <c r="DQ156" s="93"/>
      <c r="DR156" s="94"/>
      <c r="DS156" s="372"/>
      <c r="DT156" s="93"/>
      <c r="DU156" s="93"/>
      <c r="DV156" s="94"/>
      <c r="DW156" s="94"/>
      <c r="DX156" s="372"/>
      <c r="DY156" s="99"/>
      <c r="DZ156" s="99"/>
      <c r="EA156" s="94"/>
      <c r="EB156" s="94"/>
      <c r="EC156" s="372"/>
      <c r="ED156" s="99"/>
      <c r="EE156" s="99"/>
      <c r="EF156" s="94"/>
      <c r="EG156" s="94"/>
      <c r="EH156" s="372"/>
      <c r="EI156" s="99"/>
      <c r="EJ156" s="99"/>
      <c r="EK156" s="94"/>
      <c r="EL156" s="94"/>
      <c r="EM156" s="372"/>
      <c r="EN156" s="99"/>
      <c r="EO156" s="99"/>
      <c r="EP156" s="94"/>
      <c r="EQ156" s="94"/>
      <c r="ER156" s="372"/>
      <c r="ES156" s="94"/>
    </row>
    <row r="157" spans="1:149">
      <c r="A157" s="929"/>
      <c r="B157" s="94"/>
      <c r="C157" s="592" t="s">
        <v>170</v>
      </c>
      <c r="D157" s="17"/>
      <c r="E157" s="17"/>
      <c r="F157" s="17"/>
      <c r="G157" s="17"/>
      <c r="H157" s="17"/>
      <c r="I157" s="17"/>
      <c r="J157" s="17"/>
      <c r="K157" s="17"/>
      <c r="L157" s="17"/>
      <c r="M157" s="94"/>
      <c r="N157" s="17"/>
      <c r="O157" s="17"/>
      <c r="P157" s="17"/>
      <c r="Q157" s="17"/>
      <c r="R157" s="94"/>
      <c r="S157" s="17"/>
      <c r="T157" s="17"/>
      <c r="U157" s="17"/>
      <c r="V157" s="17"/>
      <c r="W157" s="94"/>
      <c r="X157" s="94"/>
      <c r="Y157" s="94"/>
      <c r="Z157" s="94"/>
      <c r="AA157" s="94"/>
      <c r="AB157" s="94"/>
      <c r="AC157" s="94"/>
      <c r="AD157" s="94"/>
      <c r="AE157" s="94"/>
      <c r="AF157" s="94"/>
      <c r="AG157" s="94"/>
      <c r="AH157" s="94"/>
      <c r="AI157" s="94"/>
      <c r="AJ157" s="94"/>
      <c r="AK157" s="94"/>
      <c r="AL157" s="94"/>
      <c r="AM157" s="94"/>
      <c r="AN157" s="94"/>
      <c r="AO157" s="94"/>
      <c r="AP157" s="94"/>
      <c r="AQ157" s="94"/>
      <c r="AR157" s="94"/>
      <c r="AS157" s="94"/>
      <c r="AT157" s="94"/>
      <c r="AU157" s="94"/>
      <c r="AV157" s="94"/>
      <c r="AW157" s="94"/>
      <c r="AX157" s="94"/>
      <c r="AY157" s="94"/>
      <c r="AZ157" s="94"/>
      <c r="BA157" s="94"/>
      <c r="BB157" s="94"/>
      <c r="BC157" s="94"/>
      <c r="BD157" s="94"/>
      <c r="BE157" s="94"/>
      <c r="BF157" s="91"/>
      <c r="BG157" s="94"/>
      <c r="BH157" s="94"/>
      <c r="BI157" s="94"/>
      <c r="BJ157" s="94"/>
      <c r="BK157" s="91"/>
      <c r="BL157" s="94"/>
      <c r="BM157" s="94"/>
      <c r="BN157" s="94"/>
      <c r="BO157" s="94"/>
      <c r="BP157" s="91"/>
      <c r="BQ157" s="94"/>
      <c r="BR157" s="94"/>
      <c r="BS157" s="94"/>
      <c r="BU157" s="729"/>
      <c r="BV157" s="94"/>
      <c r="BW157" s="94"/>
      <c r="BX157" s="94"/>
      <c r="BZ157" s="729"/>
      <c r="CA157" s="94"/>
      <c r="CB157" s="94"/>
      <c r="CC157" s="94"/>
      <c r="CE157" s="729"/>
      <c r="CF157" s="94"/>
      <c r="CG157" s="94"/>
      <c r="CH157" s="94"/>
      <c r="CJ157" s="729"/>
      <c r="CK157" s="94"/>
      <c r="CL157" s="94"/>
      <c r="CM157" s="94"/>
      <c r="CO157" s="729"/>
      <c r="CP157" s="94"/>
      <c r="CQ157" s="94"/>
      <c r="CR157" s="94"/>
      <c r="CT157" s="729">
        <f t="shared" si="428"/>
        <v>1.2342075807708575E-2</v>
      </c>
      <c r="CU157" s="94"/>
      <c r="CV157" s="94"/>
      <c r="CW157" s="94"/>
      <c r="CY157" s="729">
        <f>CY169/CY$171</f>
        <v>1.1925411968777104E-2</v>
      </c>
      <c r="CZ157" s="99"/>
      <c r="DA157" s="99"/>
      <c r="DB157" s="94"/>
      <c r="DD157" s="729">
        <f>DD169/DD$171</f>
        <v>1.1428571428571429E-2</v>
      </c>
      <c r="DE157" s="99"/>
      <c r="DF157" s="99"/>
      <c r="DG157" s="94"/>
      <c r="DI157" s="729">
        <f>DI169/DI$171</f>
        <v>9.7733711048158638E-3</v>
      </c>
      <c r="DJ157" s="93"/>
      <c r="DK157" s="99"/>
      <c r="DL157" s="94"/>
      <c r="DM157" s="94"/>
      <c r="DN157" s="729">
        <f>DN169/DN$171</f>
        <v>1.0923423423423423E-2</v>
      </c>
      <c r="DO157" s="91"/>
      <c r="DP157" s="1546">
        <v>0.01</v>
      </c>
      <c r="DQ157" s="1546">
        <v>0.01</v>
      </c>
      <c r="DR157" s="94"/>
      <c r="DS157" s="729">
        <f>DS169/DS$171</f>
        <v>8.9996538594669436E-3</v>
      </c>
      <c r="DT157" s="91"/>
      <c r="DU157" s="91"/>
      <c r="DV157" s="94"/>
      <c r="DW157" s="94"/>
      <c r="DX157" s="729">
        <f>DX169/DX$171</f>
        <v>9.2297464196595316E-3</v>
      </c>
      <c r="DY157" s="99"/>
      <c r="DZ157" s="99"/>
      <c r="EA157" s="94"/>
      <c r="EB157" s="94"/>
      <c r="EC157" s="729">
        <f>EC169/EC$171</f>
        <v>9.5389010613607036E-3</v>
      </c>
      <c r="ED157" s="99"/>
      <c r="EE157" s="99"/>
      <c r="EF157" s="94"/>
      <c r="EG157" s="94"/>
      <c r="EH157" s="729">
        <f>EH169/EH$171</f>
        <v>1.0272883599970514E-2</v>
      </c>
      <c r="EI157" s="99"/>
      <c r="EJ157" s="99"/>
      <c r="EK157" s="94"/>
      <c r="EL157" s="94"/>
      <c r="EM157" s="729">
        <f>EM169/EM$171</f>
        <v>1.1266054520357685E-2</v>
      </c>
      <c r="EN157" s="99"/>
      <c r="EO157" s="99"/>
      <c r="EP157" s="94"/>
      <c r="EQ157" s="94"/>
      <c r="ER157" s="729">
        <f>ER169/ER$171</f>
        <v>1.2483617961801944E-2</v>
      </c>
      <c r="ES157" s="94"/>
    </row>
    <row r="158" spans="1:149">
      <c r="A158" s="929"/>
      <c r="B158" s="94"/>
      <c r="C158" s="1667" t="s">
        <v>599</v>
      </c>
      <c r="D158" s="1668"/>
      <c r="E158" s="1668"/>
      <c r="F158" s="1668"/>
      <c r="G158" s="1668"/>
      <c r="H158" s="1668"/>
      <c r="I158" s="1668"/>
      <c r="J158" s="1668"/>
      <c r="K158" s="1668"/>
      <c r="L158" s="1668"/>
      <c r="M158" s="371"/>
      <c r="N158" s="1668"/>
      <c r="O158" s="1668"/>
      <c r="P158" s="1668"/>
      <c r="Q158" s="1668"/>
      <c r="R158" s="371"/>
      <c r="S158" s="1668"/>
      <c r="T158" s="1668"/>
      <c r="U158" s="1668"/>
      <c r="V158" s="1668"/>
      <c r="W158" s="371"/>
      <c r="X158" s="371"/>
      <c r="Y158" s="371"/>
      <c r="Z158" s="371"/>
      <c r="AA158" s="371"/>
      <c r="AB158" s="371"/>
      <c r="AC158" s="371"/>
      <c r="AD158" s="371"/>
      <c r="AE158" s="371"/>
      <c r="AF158" s="371"/>
      <c r="AG158" s="371"/>
      <c r="AH158" s="371"/>
      <c r="AI158" s="371"/>
      <c r="AJ158" s="371"/>
      <c r="AK158" s="371"/>
      <c r="AL158" s="371"/>
      <c r="AM158" s="371"/>
      <c r="AN158" s="371"/>
      <c r="AO158" s="371"/>
      <c r="AP158" s="371"/>
      <c r="AQ158" s="371"/>
      <c r="AR158" s="371"/>
      <c r="AS158" s="371"/>
      <c r="AT158" s="371"/>
      <c r="AU158" s="371"/>
      <c r="AV158" s="371"/>
      <c r="AW158" s="371"/>
      <c r="AX158" s="371"/>
      <c r="AY158" s="371"/>
      <c r="AZ158" s="371"/>
      <c r="BA158" s="371"/>
      <c r="BB158" s="371"/>
      <c r="BC158" s="371"/>
      <c r="BD158" s="371"/>
      <c r="BE158" s="371"/>
      <c r="BF158" s="1670">
        <f>BF170/BF$171</f>
        <v>0.11736178467507273</v>
      </c>
      <c r="BG158" s="371"/>
      <c r="BH158" s="371"/>
      <c r="BI158" s="371"/>
      <c r="BJ158" s="371"/>
      <c r="BK158" s="1670">
        <f>BK170/BK$171</f>
        <v>0.1210698081668391</v>
      </c>
      <c r="BL158" s="371"/>
      <c r="BM158" s="371"/>
      <c r="BN158" s="371"/>
      <c r="BO158" s="371"/>
      <c r="BP158" s="1670">
        <f>BP170/BP$171</f>
        <v>0.10291569064350872</v>
      </c>
      <c r="BQ158" s="371"/>
      <c r="BR158" s="371"/>
      <c r="BS158" s="371"/>
      <c r="BT158" s="1671"/>
      <c r="BU158" s="744">
        <f>BU170/BU$171</f>
        <v>9.6607270760550215E-2</v>
      </c>
      <c r="BV158" s="371"/>
      <c r="BW158" s="371"/>
      <c r="BX158" s="371"/>
      <c r="BY158" s="1671"/>
      <c r="BZ158" s="744">
        <f>BZ170/BZ$171</f>
        <v>8.7897156653738456E-2</v>
      </c>
      <c r="CA158" s="371"/>
      <c r="CB158" s="371"/>
      <c r="CC158" s="371"/>
      <c r="CD158" s="1671"/>
      <c r="CE158" s="744">
        <f>CE170/CE$171</f>
        <v>0.10499863360384015</v>
      </c>
      <c r="CF158" s="371"/>
      <c r="CG158" s="371"/>
      <c r="CH158" s="371"/>
      <c r="CI158" s="1671"/>
      <c r="CJ158" s="744">
        <f>CJ170/CJ$171</f>
        <v>0.12063408648107718</v>
      </c>
      <c r="CK158" s="371"/>
      <c r="CL158" s="371"/>
      <c r="CM158" s="371"/>
      <c r="CN158" s="1671"/>
      <c r="CO158" s="744">
        <f>CO170/CO$171</f>
        <v>0.14600173745210443</v>
      </c>
      <c r="CP158" s="371"/>
      <c r="CQ158" s="371"/>
      <c r="CR158" s="371"/>
      <c r="CS158" s="1671"/>
      <c r="CT158" s="744">
        <f t="shared" si="428"/>
        <v>0</v>
      </c>
      <c r="CU158" s="371"/>
      <c r="CV158" s="371"/>
      <c r="CW158" s="371"/>
      <c r="CX158" s="1671"/>
      <c r="CY158" s="1665"/>
      <c r="CZ158" s="1672"/>
      <c r="DA158" s="1672"/>
      <c r="DB158" s="371"/>
      <c r="DC158" s="1671"/>
      <c r="DD158" s="1665"/>
      <c r="DE158" s="1672"/>
      <c r="DF158" s="1672"/>
      <c r="DG158" s="371"/>
      <c r="DH158" s="1671"/>
      <c r="DI158" s="1665"/>
      <c r="DJ158" s="1673"/>
      <c r="DK158" s="1672"/>
      <c r="DL158" s="371"/>
      <c r="DM158" s="371"/>
      <c r="DN158" s="1665"/>
      <c r="DO158" s="91">
        <f>+DO170/DO$171</f>
        <v>1.7372881355932204E-2</v>
      </c>
      <c r="DP158" s="1674"/>
      <c r="DQ158" s="1674"/>
      <c r="DR158" s="371"/>
      <c r="DS158" s="1665"/>
      <c r="DT158" s="91">
        <f>+DT170/DT$171</f>
        <v>1.7981072555205046E-2</v>
      </c>
      <c r="DU158" s="91">
        <f>+DU170/DU$171</f>
        <v>1.7303935249790677E-2</v>
      </c>
      <c r="DV158" s="371"/>
      <c r="DW158" s="371"/>
      <c r="DX158" s="1665"/>
      <c r="DY158" s="1672"/>
      <c r="DZ158" s="1672"/>
      <c r="EA158" s="371"/>
      <c r="EB158" s="371"/>
      <c r="EC158" s="1665"/>
      <c r="ED158" s="1672"/>
      <c r="EE158" s="1672"/>
      <c r="EF158" s="371"/>
      <c r="EG158" s="371"/>
      <c r="EH158" s="1665"/>
      <c r="EI158" s="1672"/>
      <c r="EJ158" s="1672"/>
      <c r="EK158" s="371"/>
      <c r="EL158" s="371"/>
      <c r="EM158" s="1665"/>
      <c r="EN158" s="1672"/>
      <c r="EO158" s="1672"/>
      <c r="EP158" s="371"/>
      <c r="EQ158" s="371"/>
      <c r="ER158" s="1665"/>
      <c r="ES158" s="94"/>
    </row>
    <row r="159" spans="1:149">
      <c r="A159" s="929"/>
      <c r="B159" s="94"/>
      <c r="C159" s="592" t="s">
        <v>600</v>
      </c>
      <c r="D159" s="17"/>
      <c r="E159" s="17"/>
      <c r="F159" s="17"/>
      <c r="G159" s="17"/>
      <c r="H159" s="17"/>
      <c r="I159" s="17"/>
      <c r="J159" s="17"/>
      <c r="K159" s="17"/>
      <c r="L159" s="17"/>
      <c r="M159" s="94"/>
      <c r="N159" s="17"/>
      <c r="O159" s="17"/>
      <c r="P159" s="17"/>
      <c r="Q159" s="17"/>
      <c r="R159" s="94"/>
      <c r="S159" s="17"/>
      <c r="T159" s="17"/>
      <c r="U159" s="17"/>
      <c r="V159" s="17"/>
      <c r="W159" s="94"/>
      <c r="X159" s="94"/>
      <c r="Y159" s="94"/>
      <c r="Z159" s="94"/>
      <c r="AA159" s="94"/>
      <c r="AB159" s="94"/>
      <c r="AC159" s="94"/>
      <c r="AD159" s="94"/>
      <c r="AE159" s="94"/>
      <c r="AF159" s="94"/>
      <c r="AG159" s="94"/>
      <c r="AH159" s="94"/>
      <c r="AI159" s="94"/>
      <c r="AJ159" s="94"/>
      <c r="AK159" s="94"/>
      <c r="AL159" s="94"/>
      <c r="AM159" s="94"/>
      <c r="AN159" s="94"/>
      <c r="AO159" s="94"/>
      <c r="AP159" s="94"/>
      <c r="AQ159" s="94"/>
      <c r="AR159" s="94"/>
      <c r="AS159" s="94"/>
      <c r="AT159" s="94"/>
      <c r="AU159" s="94"/>
      <c r="AV159" s="94"/>
      <c r="AW159" s="94"/>
      <c r="AX159" s="94"/>
      <c r="AY159" s="94"/>
      <c r="AZ159" s="94"/>
      <c r="BA159" s="94"/>
      <c r="BB159" s="94"/>
      <c r="BC159" s="94"/>
      <c r="BD159" s="94"/>
      <c r="BE159" s="94"/>
      <c r="BF159" s="91">
        <f>SUM(BF150:BF158)</f>
        <v>1</v>
      </c>
      <c r="BG159" s="94"/>
      <c r="BH159" s="94"/>
      <c r="BI159" s="94"/>
      <c r="BJ159" s="94"/>
      <c r="BK159" s="91">
        <f>SUM(BK150:BK158)</f>
        <v>0.99999999999999978</v>
      </c>
      <c r="BL159" s="94"/>
      <c r="BM159" s="94"/>
      <c r="BN159" s="94"/>
      <c r="BO159" s="94"/>
      <c r="BP159" s="91">
        <f>SUM(BP150:BP158)</f>
        <v>0.99999999999999989</v>
      </c>
      <c r="BQ159" s="94"/>
      <c r="BR159" s="94"/>
      <c r="BS159" s="94"/>
      <c r="BU159" s="729">
        <f>SUM(BU150:BU158)</f>
        <v>0.99999999999999989</v>
      </c>
      <c r="BV159" s="94"/>
      <c r="BW159" s="94"/>
      <c r="BX159" s="94"/>
      <c r="BZ159" s="729">
        <f>SUM(BZ150:BZ158)</f>
        <v>1</v>
      </c>
      <c r="CA159" s="94"/>
      <c r="CB159" s="94"/>
      <c r="CC159" s="94"/>
      <c r="CE159" s="729">
        <f>SUM(CE150:CE158)</f>
        <v>0.99999999999999978</v>
      </c>
      <c r="CF159" s="94"/>
      <c r="CG159" s="94"/>
      <c r="CH159" s="94"/>
      <c r="CJ159" s="729">
        <f>SUM(CJ150:CJ158)</f>
        <v>0.99999999999999989</v>
      </c>
      <c r="CK159" s="94"/>
      <c r="CL159" s="94"/>
      <c r="CM159" s="94"/>
      <c r="CO159" s="729">
        <f>SUM(CO150:CO158)</f>
        <v>0.99999999999999989</v>
      </c>
      <c r="CP159" s="94"/>
      <c r="CQ159" s="94"/>
      <c r="CR159" s="94"/>
      <c r="CT159" s="729">
        <f>SUM(CT150:CT158)</f>
        <v>1.1098593578201812</v>
      </c>
      <c r="CU159" s="94"/>
      <c r="CV159" s="94"/>
      <c r="CW159" s="94"/>
      <c r="CY159" s="729">
        <f>SUM(CY150:CY158)</f>
        <v>0.99999999999999989</v>
      </c>
      <c r="CZ159" s="99"/>
      <c r="DA159" s="99"/>
      <c r="DB159" s="94"/>
      <c r="DD159" s="729">
        <f>SUM(DD150:DD158)</f>
        <v>1</v>
      </c>
      <c r="DE159" s="99"/>
      <c r="DF159" s="99"/>
      <c r="DG159" s="94"/>
      <c r="DI159" s="729">
        <f>SUM(DI150:DI158)</f>
        <v>1</v>
      </c>
      <c r="DJ159" s="93"/>
      <c r="DK159" s="99"/>
      <c r="DL159" s="94"/>
      <c r="DM159" s="94"/>
      <c r="DN159" s="729">
        <f>SUM(DN150:DN158)</f>
        <v>1</v>
      </c>
      <c r="DO159" s="1702">
        <f>+DO158+DO155+DO152+DO149</f>
        <v>0.99999999999999989</v>
      </c>
      <c r="DP159" s="129"/>
      <c r="DQ159" s="129"/>
      <c r="DR159" s="94"/>
      <c r="DS159" s="729">
        <f>SUM(DS150:DS158)</f>
        <v>1</v>
      </c>
      <c r="DT159" s="1702">
        <f>+DT158+DT155+DT152+DT149</f>
        <v>1</v>
      </c>
      <c r="DU159" s="1713">
        <f>+DU158+DU155+DU152+DU149</f>
        <v>1</v>
      </c>
      <c r="DV159" s="94"/>
      <c r="DW159" s="94"/>
      <c r="DX159" s="729">
        <f>SUM(DX150:DX158)</f>
        <v>1</v>
      </c>
      <c r="DY159" s="99"/>
      <c r="DZ159" s="99"/>
      <c r="EA159" s="94"/>
      <c r="EB159" s="94"/>
      <c r="EC159" s="729">
        <f>SUM(EC150:EC158)</f>
        <v>1</v>
      </c>
      <c r="ED159" s="99"/>
      <c r="EE159" s="99"/>
      <c r="EF159" s="94"/>
      <c r="EG159" s="94"/>
      <c r="EH159" s="729">
        <f>SUM(EH150:EH158)</f>
        <v>1</v>
      </c>
      <c r="EI159" s="99"/>
      <c r="EJ159" s="99"/>
      <c r="EK159" s="94"/>
      <c r="EL159" s="94"/>
      <c r="EM159" s="729">
        <f>SUM(EM150:EM158)</f>
        <v>1</v>
      </c>
      <c r="EN159" s="99"/>
      <c r="EO159" s="99"/>
      <c r="EP159" s="94"/>
      <c r="EQ159" s="94"/>
      <c r="ER159" s="729">
        <f>SUM(ER150:ER158)</f>
        <v>1</v>
      </c>
      <c r="ES159" s="94"/>
    </row>
    <row r="160" spans="1:149">
      <c r="A160" s="929"/>
      <c r="B160" s="94"/>
      <c r="C160" s="1417" t="s">
        <v>780</v>
      </c>
      <c r="D160" s="17"/>
      <c r="E160" s="17"/>
      <c r="F160" s="17"/>
      <c r="G160" s="17"/>
      <c r="H160" s="17"/>
      <c r="I160" s="17"/>
      <c r="J160" s="17"/>
      <c r="K160" s="17"/>
      <c r="L160" s="17"/>
      <c r="M160" s="94"/>
      <c r="N160" s="17"/>
      <c r="O160" s="17"/>
      <c r="P160" s="17"/>
      <c r="Q160" s="17"/>
      <c r="R160" s="94"/>
      <c r="S160" s="17"/>
      <c r="T160" s="17"/>
      <c r="U160" s="17"/>
      <c r="V160" s="17"/>
      <c r="W160" s="94"/>
      <c r="X160" s="94"/>
      <c r="Y160" s="94"/>
      <c r="Z160" s="94"/>
      <c r="AA160" s="94"/>
      <c r="AB160" s="94"/>
      <c r="AC160" s="94"/>
      <c r="AD160" s="94"/>
      <c r="AE160" s="94"/>
      <c r="AF160" s="94"/>
      <c r="AG160" s="94"/>
      <c r="AH160" s="94"/>
      <c r="AI160" s="94"/>
      <c r="AJ160" s="94"/>
      <c r="AK160" s="94"/>
      <c r="AL160" s="94"/>
      <c r="AM160" s="94"/>
      <c r="AN160" s="94"/>
      <c r="AO160" s="94"/>
      <c r="AP160" s="94"/>
      <c r="AQ160" s="94"/>
      <c r="AR160" s="94"/>
      <c r="AS160" s="94"/>
      <c r="AT160" s="94"/>
      <c r="AU160" s="94"/>
      <c r="AV160" s="94"/>
      <c r="AW160" s="94"/>
      <c r="AX160" s="94"/>
      <c r="AY160" s="94"/>
      <c r="AZ160" s="94"/>
      <c r="BA160" s="94"/>
      <c r="BB160" s="94"/>
      <c r="BC160" s="94"/>
      <c r="BD160" s="94"/>
      <c r="BE160" s="94"/>
      <c r="BF160" s="94"/>
      <c r="BG160" s="94"/>
      <c r="BH160" s="94"/>
      <c r="BI160" s="94"/>
      <c r="BJ160" s="94"/>
      <c r="BK160" s="94"/>
      <c r="BL160" s="94"/>
      <c r="BM160" s="94"/>
      <c r="BN160" s="94"/>
      <c r="BO160" s="94"/>
      <c r="BP160" s="94"/>
      <c r="BQ160" s="94"/>
      <c r="BR160" s="94"/>
      <c r="BS160" s="94"/>
      <c r="BT160" s="94"/>
      <c r="BU160" s="277"/>
      <c r="BV160" s="94"/>
      <c r="BW160" s="94"/>
      <c r="BX160" s="94"/>
      <c r="BY160" s="94"/>
      <c r="BZ160" s="277"/>
      <c r="CA160" s="94"/>
      <c r="CB160" s="94"/>
      <c r="CC160" s="94"/>
      <c r="CD160" s="94"/>
      <c r="CE160" s="277"/>
      <c r="CF160" s="94"/>
      <c r="CG160" s="94"/>
      <c r="CH160" s="94"/>
      <c r="CI160" s="94"/>
      <c r="CJ160" s="277"/>
      <c r="CK160" s="94"/>
      <c r="CL160" s="94"/>
      <c r="CM160" s="94"/>
      <c r="CN160" s="94"/>
      <c r="CO160" s="277"/>
      <c r="CP160" s="94"/>
      <c r="CQ160" s="94"/>
      <c r="CR160" s="94"/>
      <c r="CS160" s="94"/>
      <c r="CT160" s="277"/>
      <c r="CU160" s="94"/>
      <c r="CV160" s="94"/>
      <c r="CW160" s="94"/>
      <c r="CX160" s="94"/>
      <c r="CY160" s="277"/>
      <c r="CZ160" s="99"/>
      <c r="DA160" s="99"/>
      <c r="DB160" s="94"/>
      <c r="DC160" s="94"/>
      <c r="DD160" s="277"/>
      <c r="DE160" s="99"/>
      <c r="DF160" s="99"/>
      <c r="DG160" s="94"/>
      <c r="DH160" s="94"/>
      <c r="DI160" s="277"/>
      <c r="DJ160" s="93"/>
      <c r="DK160" s="99"/>
      <c r="DL160" s="94"/>
      <c r="DM160" s="94"/>
      <c r="DN160" s="277"/>
      <c r="DO160" s="94"/>
      <c r="DP160" s="129"/>
      <c r="DQ160" s="129"/>
      <c r="DR160" s="94"/>
      <c r="DS160" s="277"/>
      <c r="DT160" s="129"/>
      <c r="DU160" s="129"/>
      <c r="DV160" s="94"/>
      <c r="DW160" s="94"/>
      <c r="DX160" s="277"/>
      <c r="DY160" s="99"/>
      <c r="DZ160" s="99"/>
      <c r="EA160" s="94"/>
      <c r="EB160" s="94"/>
      <c r="EC160" s="277"/>
      <c r="ED160" s="99"/>
      <c r="EE160" s="99"/>
      <c r="EF160" s="94"/>
      <c r="EG160" s="94"/>
      <c r="EH160" s="277"/>
      <c r="EI160" s="99"/>
      <c r="EJ160" s="99"/>
      <c r="EK160" s="94"/>
      <c r="EL160" s="94"/>
      <c r="EM160" s="277"/>
      <c r="EN160" s="99"/>
      <c r="EO160" s="99"/>
      <c r="EP160" s="94"/>
      <c r="EQ160" s="94"/>
      <c r="ER160" s="277"/>
      <c r="ES160" s="94"/>
    </row>
    <row r="161" spans="1:149">
      <c r="A161" s="929"/>
      <c r="B161" s="94"/>
      <c r="C161" s="592" t="s">
        <v>140</v>
      </c>
      <c r="D161" s="17"/>
      <c r="E161" s="17"/>
      <c r="F161" s="17"/>
      <c r="G161" s="17"/>
      <c r="H161" s="17"/>
      <c r="I161" s="17"/>
      <c r="J161" s="17"/>
      <c r="K161" s="17"/>
      <c r="L161" s="17"/>
      <c r="M161" s="94"/>
      <c r="N161" s="17"/>
      <c r="O161" s="17"/>
      <c r="P161" s="17"/>
      <c r="Q161" s="17"/>
      <c r="R161" s="94"/>
      <c r="S161" s="17"/>
      <c r="T161" s="17"/>
      <c r="U161" s="17"/>
      <c r="V161" s="17"/>
      <c r="W161" s="94"/>
      <c r="X161" s="94"/>
      <c r="Y161" s="94"/>
      <c r="Z161" s="94"/>
      <c r="AA161" s="94"/>
      <c r="AB161" s="94"/>
      <c r="AC161" s="94"/>
      <c r="AD161" s="94"/>
      <c r="AE161" s="94"/>
      <c r="AF161" s="94"/>
      <c r="AG161" s="94"/>
      <c r="AH161" s="94"/>
      <c r="AI161" s="94"/>
      <c r="AJ161" s="94"/>
      <c r="AK161" s="94"/>
      <c r="AL161" s="94"/>
      <c r="AM161" s="94"/>
      <c r="AN161" s="94"/>
      <c r="AO161" s="94"/>
      <c r="AP161" s="94"/>
      <c r="AQ161" s="94"/>
      <c r="AR161" s="94"/>
      <c r="AS161" s="94"/>
      <c r="AT161" s="94"/>
      <c r="AU161" s="94"/>
      <c r="AV161" s="94"/>
      <c r="AW161" s="94"/>
      <c r="AX161" s="94"/>
      <c r="AY161" s="94"/>
      <c r="AZ161" s="94"/>
      <c r="BA161" s="94"/>
      <c r="BB161" s="94"/>
      <c r="BC161" s="94"/>
      <c r="BD161" s="94"/>
      <c r="BE161" s="94"/>
      <c r="BF161" s="160">
        <f>SUM(BF162:BF163)</f>
        <v>16.966000000000001</v>
      </c>
      <c r="BG161" s="94"/>
      <c r="BH161" s="94"/>
      <c r="BI161" s="94"/>
      <c r="BJ161" s="94"/>
      <c r="BK161" s="160">
        <f>SUM(BK162:BK163)</f>
        <v>35.844000000000001</v>
      </c>
      <c r="BL161" s="94"/>
      <c r="BM161" s="94"/>
      <c r="BN161" s="94"/>
      <c r="BO161" s="94"/>
      <c r="BP161" s="160">
        <f>SUM(BP162:BP163)</f>
        <v>79.878</v>
      </c>
      <c r="BQ161" s="94"/>
      <c r="BR161" s="94"/>
      <c r="BS161" s="94"/>
      <c r="BT161" s="94"/>
      <c r="BU161" s="372">
        <f>SUM(BU162:BU163)</f>
        <v>159.43899999999999</v>
      </c>
      <c r="BV161" s="94"/>
      <c r="BW161" s="94"/>
      <c r="BX161" s="94"/>
      <c r="BZ161" s="372">
        <f>SUM(BZ162:BZ163)</f>
        <v>310.98800000000006</v>
      </c>
      <c r="CA161" s="94"/>
      <c r="CB161" s="94"/>
      <c r="CC161" s="94"/>
      <c r="CE161" s="372">
        <f>SUM(CE162:CE163)</f>
        <v>526.39300000000003</v>
      </c>
      <c r="CF161" s="94"/>
      <c r="CG161" s="94"/>
      <c r="CH161" s="94"/>
      <c r="CJ161" s="372">
        <f>SUM(CJ162:CJ163)</f>
        <v>826.22799999999995</v>
      </c>
      <c r="CK161" s="94"/>
      <c r="CL161" s="94"/>
      <c r="CM161" s="94"/>
      <c r="CO161" s="372">
        <f>SUM(CO162:CO163)</f>
        <v>1175.6880000000001</v>
      </c>
      <c r="CP161" s="94"/>
      <c r="CQ161" s="94"/>
      <c r="CR161" s="94"/>
      <c r="CT161" s="372">
        <f>SUM(CT162:CT163)</f>
        <v>2146.826</v>
      </c>
      <c r="CU161" s="94"/>
      <c r="CV161" s="94"/>
      <c r="CW161" s="94"/>
      <c r="CY161" s="372">
        <f>SUM(CY162:CY163)</f>
        <v>3291</v>
      </c>
      <c r="CZ161" s="99"/>
      <c r="DA161" s="99"/>
      <c r="DB161" s="94"/>
      <c r="DD161" s="372">
        <f>SUM(DD162:DD163)</f>
        <v>4066</v>
      </c>
      <c r="DE161" s="99"/>
      <c r="DF161" s="99"/>
      <c r="DG161" s="94"/>
      <c r="DI161" s="372">
        <f>SUM(DI162:DI163)</f>
        <v>5037</v>
      </c>
      <c r="DJ161" s="93"/>
      <c r="DK161" s="1550"/>
      <c r="DL161" s="94"/>
      <c r="DM161" s="94"/>
      <c r="DN161" s="372">
        <f>SUM(DN162:DN163)</f>
        <v>6191</v>
      </c>
      <c r="DO161" s="93">
        <f>+DO162+DO163</f>
        <v>1618</v>
      </c>
      <c r="DP161" s="93">
        <f>+DP149*DP$6</f>
        <v>1822.4</v>
      </c>
      <c r="DQ161" s="129">
        <f>+DQ149*DQ$6</f>
        <v>1933.92</v>
      </c>
      <c r="DR161" s="94"/>
      <c r="DS161" s="372">
        <f>+DS163+DS162</f>
        <v>7898</v>
      </c>
      <c r="DT161" s="129">
        <f>+DT162+DT163</f>
        <v>2148</v>
      </c>
      <c r="DU161" s="129">
        <f>+DU162+DU163</f>
        <v>2454</v>
      </c>
      <c r="DV161" s="94"/>
      <c r="DW161" s="94"/>
      <c r="DX161" s="372">
        <f>+DX171-DX169-DX167-DX165</f>
        <v>10441.69641432655</v>
      </c>
      <c r="DY161" s="99"/>
      <c r="DZ161" s="99"/>
      <c r="EA161" s="94"/>
      <c r="EB161" s="94"/>
      <c r="EC161" s="372">
        <f>+EC171-EC169-EC167-EC165</f>
        <v>13133.837815442294</v>
      </c>
      <c r="ED161" s="99"/>
      <c r="EE161" s="99"/>
      <c r="EF161" s="94"/>
      <c r="EG161" s="94"/>
      <c r="EH161" s="372">
        <f>+EH171-EH169-EH167-EH165</f>
        <v>15646.271739525477</v>
      </c>
      <c r="EI161" s="99"/>
      <c r="EJ161" s="99"/>
      <c r="EK161" s="94"/>
      <c r="EL161" s="94"/>
      <c r="EM161" s="372">
        <f>+EM171-EM169-EM167-EM165</f>
        <v>18176.57161181144</v>
      </c>
      <c r="EN161" s="99"/>
      <c r="EO161" s="99"/>
      <c r="EP161" s="94"/>
      <c r="EQ161" s="94"/>
      <c r="ER161" s="372">
        <f>+ER171-ER169-ER167-ER165</f>
        <v>20784.266319012291</v>
      </c>
      <c r="ES161" s="94"/>
    </row>
    <row r="162" spans="1:149">
      <c r="A162" s="929"/>
      <c r="B162" s="94"/>
      <c r="C162" s="1030" t="s">
        <v>169</v>
      </c>
      <c r="D162" s="17"/>
      <c r="E162" s="17"/>
      <c r="F162" s="17"/>
      <c r="G162" s="17"/>
      <c r="H162" s="17"/>
      <c r="I162" s="17"/>
      <c r="J162" s="17"/>
      <c r="K162" s="17"/>
      <c r="L162" s="17"/>
      <c r="M162" s="94"/>
      <c r="N162" s="17"/>
      <c r="O162" s="17"/>
      <c r="P162" s="17"/>
      <c r="Q162" s="17"/>
      <c r="R162" s="94"/>
      <c r="S162" s="17"/>
      <c r="T162" s="17"/>
      <c r="U162" s="17"/>
      <c r="V162" s="17"/>
      <c r="W162" s="94"/>
      <c r="X162" s="94"/>
      <c r="Y162" s="94"/>
      <c r="Z162" s="94"/>
      <c r="AA162" s="94"/>
      <c r="AB162" s="94"/>
      <c r="AC162" s="94"/>
      <c r="AD162" s="94"/>
      <c r="AE162" s="94"/>
      <c r="AF162" s="94"/>
      <c r="AG162" s="94"/>
      <c r="AH162" s="94"/>
      <c r="AI162" s="94"/>
      <c r="AJ162" s="94"/>
      <c r="AK162" s="94"/>
      <c r="AL162" s="94"/>
      <c r="AM162" s="94"/>
      <c r="AN162" s="94"/>
      <c r="AO162" s="94"/>
      <c r="AP162" s="94"/>
      <c r="AQ162" s="94"/>
      <c r="AR162" s="94"/>
      <c r="AS162" s="94"/>
      <c r="AT162" s="94"/>
      <c r="AU162" s="94"/>
      <c r="AV162" s="94"/>
      <c r="AW162" s="94"/>
      <c r="AX162" s="94"/>
      <c r="AY162" s="94"/>
      <c r="AZ162" s="94"/>
      <c r="BA162" s="94"/>
      <c r="BB162" s="94"/>
      <c r="BC162" s="94"/>
      <c r="BD162" s="1004"/>
      <c r="BE162" s="94"/>
      <c r="BF162" s="239">
        <v>1.853</v>
      </c>
      <c r="BG162" s="94"/>
      <c r="BH162" s="94"/>
      <c r="BI162" s="94"/>
      <c r="BJ162" s="94"/>
      <c r="BK162" s="239">
        <v>4.101</v>
      </c>
      <c r="BL162" s="94"/>
      <c r="BM162" s="94"/>
      <c r="BN162" s="94"/>
      <c r="BO162" s="94"/>
      <c r="BP162" s="239">
        <v>7.7290000000000001</v>
      </c>
      <c r="BQ162" s="94"/>
      <c r="BR162" s="94"/>
      <c r="BS162" s="94"/>
      <c r="BU162" s="1065">
        <v>14.691000000000001</v>
      </c>
      <c r="BV162" s="94"/>
      <c r="BW162" s="94"/>
      <c r="BX162" s="94"/>
      <c r="BZ162" s="1065">
        <v>26.893000000000001</v>
      </c>
      <c r="CA162" s="94"/>
      <c r="CB162" s="94"/>
      <c r="CC162" s="94"/>
      <c r="CE162" s="1065">
        <v>48.106999999999999</v>
      </c>
      <c r="CF162" s="94"/>
      <c r="CG162" s="94"/>
      <c r="CH162" s="94"/>
      <c r="CJ162" s="1065">
        <v>70.774000000000001</v>
      </c>
      <c r="CK162" s="94"/>
      <c r="CL162" s="94"/>
      <c r="CM162" s="94"/>
      <c r="CO162" s="1065">
        <v>96.168000000000006</v>
      </c>
      <c r="CP162" s="94"/>
      <c r="CQ162" s="94"/>
      <c r="CR162" s="94"/>
      <c r="CT162" s="1065">
        <v>192.721</v>
      </c>
      <c r="CU162" s="94"/>
      <c r="CV162" s="94"/>
      <c r="CW162" s="94"/>
      <c r="CY162" s="1065">
        <v>317</v>
      </c>
      <c r="CZ162" s="99"/>
      <c r="DA162" s="99"/>
      <c r="DB162" s="94"/>
      <c r="DD162" s="1065">
        <v>346</v>
      </c>
      <c r="DE162" s="99"/>
      <c r="DF162" s="99"/>
      <c r="DG162" s="94"/>
      <c r="DI162" s="1065">
        <v>388</v>
      </c>
      <c r="DJ162" s="90">
        <f>DI162/DI171</f>
        <v>5.4957507082152975E-2</v>
      </c>
      <c r="DK162" s="99"/>
      <c r="DL162" s="94"/>
      <c r="DM162" s="94"/>
      <c r="DN162" s="1065">
        <v>483</v>
      </c>
      <c r="DO162" s="1700">
        <v>119</v>
      </c>
      <c r="DP162" s="1700" t="s">
        <v>826</v>
      </c>
      <c r="DQ162" s="129">
        <f>+DQ150*DQ$6</f>
        <v>142.20000000000002</v>
      </c>
      <c r="DR162" s="94"/>
      <c r="DS162" s="1065">
        <v>567</v>
      </c>
      <c r="DT162" s="1700">
        <v>147</v>
      </c>
      <c r="DU162" s="1700">
        <v>171</v>
      </c>
      <c r="DV162" s="94"/>
      <c r="DW162" s="94"/>
      <c r="DX162" s="372">
        <f>+DS162*(1+DX174)</f>
        <v>618.03000000000009</v>
      </c>
      <c r="DY162" s="99"/>
      <c r="DZ162" s="99"/>
      <c r="EA162" s="94"/>
      <c r="EB162" s="94"/>
      <c r="EC162" s="372">
        <f>+DX162*(1+EC174)</f>
        <v>673.6527000000001</v>
      </c>
      <c r="ED162" s="99"/>
      <c r="EE162" s="99"/>
      <c r="EF162" s="94"/>
      <c r="EG162" s="94"/>
      <c r="EH162" s="372">
        <f>+EC162*(1+EH174)</f>
        <v>734.28144300000019</v>
      </c>
      <c r="EI162" s="99"/>
      <c r="EJ162" s="99"/>
      <c r="EK162" s="94"/>
      <c r="EL162" s="94"/>
      <c r="EM162" s="372">
        <f>+EH162*(1+EM174)</f>
        <v>800.36677287000032</v>
      </c>
      <c r="EN162" s="99"/>
      <c r="EO162" s="99"/>
      <c r="EP162" s="94"/>
      <c r="EQ162" s="94"/>
      <c r="ER162" s="372">
        <f>+EM162*(1+ER174)</f>
        <v>872.39978242830045</v>
      </c>
      <c r="ES162" s="94"/>
    </row>
    <row r="163" spans="1:149">
      <c r="A163" s="929"/>
      <c r="B163" s="94"/>
      <c r="C163" s="1030" t="s">
        <v>304</v>
      </c>
      <c r="D163" s="17"/>
      <c r="E163" s="17"/>
      <c r="F163" s="17"/>
      <c r="G163" s="17"/>
      <c r="H163" s="17"/>
      <c r="I163" s="17"/>
      <c r="J163" s="17"/>
      <c r="K163" s="17"/>
      <c r="L163" s="17"/>
      <c r="M163" s="94"/>
      <c r="N163" s="17"/>
      <c r="O163" s="17"/>
      <c r="P163" s="17"/>
      <c r="Q163" s="17"/>
      <c r="R163" s="94"/>
      <c r="S163" s="17"/>
      <c r="T163" s="17"/>
      <c r="U163" s="17"/>
      <c r="V163" s="17"/>
      <c r="W163" s="94"/>
      <c r="X163" s="94"/>
      <c r="Y163" s="94"/>
      <c r="Z163" s="94"/>
      <c r="AA163" s="94"/>
      <c r="AB163" s="94"/>
      <c r="AC163" s="94"/>
      <c r="AD163" s="94"/>
      <c r="AE163" s="94"/>
      <c r="AF163" s="94"/>
      <c r="AG163" s="94"/>
      <c r="AH163" s="94"/>
      <c r="AI163" s="94"/>
      <c r="AJ163" s="94"/>
      <c r="AK163" s="94"/>
      <c r="AL163" s="94"/>
      <c r="AM163" s="94"/>
      <c r="AN163" s="94"/>
      <c r="AO163" s="94"/>
      <c r="AP163" s="94"/>
      <c r="AQ163" s="94"/>
      <c r="AR163" s="94"/>
      <c r="AS163" s="94"/>
      <c r="AT163" s="94"/>
      <c r="AU163" s="94"/>
      <c r="AV163" s="94"/>
      <c r="AW163" s="94"/>
      <c r="AX163" s="94"/>
      <c r="AY163" s="94"/>
      <c r="AZ163" s="94"/>
      <c r="BA163" s="94"/>
      <c r="BB163" s="94"/>
      <c r="BC163" s="94"/>
      <c r="BD163" s="94"/>
      <c r="BE163" s="94"/>
      <c r="BF163" s="239">
        <v>15.113</v>
      </c>
      <c r="BG163" s="94"/>
      <c r="BH163" s="94"/>
      <c r="BI163" s="94"/>
      <c r="BJ163" s="94"/>
      <c r="BK163" s="239">
        <v>31.742999999999999</v>
      </c>
      <c r="BL163" s="94"/>
      <c r="BM163" s="94"/>
      <c r="BN163" s="94"/>
      <c r="BO163" s="94"/>
      <c r="BP163" s="239">
        <v>72.149000000000001</v>
      </c>
      <c r="BQ163" s="94"/>
      <c r="BR163" s="94"/>
      <c r="BS163" s="94"/>
      <c r="BU163" s="1065">
        <v>144.74799999999999</v>
      </c>
      <c r="BV163" s="94"/>
      <c r="BW163" s="94"/>
      <c r="BX163" s="94"/>
      <c r="BZ163" s="1065">
        <v>284.09500000000003</v>
      </c>
      <c r="CA163" s="94"/>
      <c r="CB163" s="94"/>
      <c r="CC163" s="94"/>
      <c r="CE163" s="1065">
        <v>478.286</v>
      </c>
      <c r="CF163" s="94"/>
      <c r="CG163" s="94"/>
      <c r="CH163" s="94"/>
      <c r="CJ163" s="1065">
        <v>755.45399999999995</v>
      </c>
      <c r="CK163" s="94"/>
      <c r="CL163" s="94"/>
      <c r="CM163" s="94"/>
      <c r="CO163" s="1065">
        <v>1079.52</v>
      </c>
      <c r="CP163" s="94"/>
      <c r="CQ163" s="94"/>
      <c r="CR163" s="94"/>
      <c r="CT163" s="1065">
        <v>1954.105</v>
      </c>
      <c r="CU163" s="94"/>
      <c r="CV163" s="94"/>
      <c r="CW163" s="94"/>
      <c r="CY163" s="1065">
        <v>2974</v>
      </c>
      <c r="CZ163" s="99"/>
      <c r="DA163" s="99"/>
      <c r="DB163" s="94"/>
      <c r="DD163" s="1065">
        <v>3720</v>
      </c>
      <c r="DE163" s="99"/>
      <c r="DF163" s="99"/>
      <c r="DG163" s="94"/>
      <c r="DI163" s="1065">
        <v>4649</v>
      </c>
      <c r="DJ163" s="1549">
        <f>DI163/DI171</f>
        <v>0.65849858356940505</v>
      </c>
      <c r="DK163" s="99"/>
      <c r="DL163" s="94"/>
      <c r="DM163" s="94"/>
      <c r="DN163" s="1065">
        <v>5708</v>
      </c>
      <c r="DO163" s="1700">
        <v>1499</v>
      </c>
      <c r="DP163" s="1700">
        <v>1703</v>
      </c>
      <c r="DQ163" s="129">
        <f t="shared" ref="DQ163" si="429">+DQ151*DQ$6</f>
        <v>1791.72</v>
      </c>
      <c r="DR163" s="94"/>
      <c r="DS163" s="1065">
        <v>7331</v>
      </c>
      <c r="DT163" s="1700">
        <v>2001</v>
      </c>
      <c r="DU163" s="1700">
        <v>2283</v>
      </c>
      <c r="DV163" s="94"/>
      <c r="DW163" s="94"/>
      <c r="DX163" s="372">
        <f>+DX161-DX162</f>
        <v>9823.6664143265498</v>
      </c>
      <c r="DY163" s="99"/>
      <c r="DZ163" s="99"/>
      <c r="EA163" s="94"/>
      <c r="EB163" s="94"/>
      <c r="EC163" s="372">
        <f>+EC161-EC162</f>
        <v>12460.185115442293</v>
      </c>
      <c r="ED163" s="99"/>
      <c r="EE163" s="99"/>
      <c r="EF163" s="94"/>
      <c r="EG163" s="94"/>
      <c r="EH163" s="372">
        <f>+EH161-EH162</f>
        <v>14911.990296525477</v>
      </c>
      <c r="EI163" s="99"/>
      <c r="EJ163" s="99"/>
      <c r="EK163" s="94"/>
      <c r="EL163" s="94"/>
      <c r="EM163" s="372">
        <f>+EM161-EM162</f>
        <v>17376.204838941438</v>
      </c>
      <c r="EN163" s="99"/>
      <c r="EO163" s="99"/>
      <c r="EP163" s="94"/>
      <c r="EQ163" s="94"/>
      <c r="ER163" s="372">
        <f>+ER161-ER162</f>
        <v>19911.866536583992</v>
      </c>
      <c r="ES163" s="94"/>
    </row>
    <row r="164" spans="1:149">
      <c r="A164" s="929"/>
      <c r="B164" s="94"/>
      <c r="C164" s="1031" t="s">
        <v>827</v>
      </c>
      <c r="D164" s="17"/>
      <c r="E164" s="17"/>
      <c r="F164" s="17"/>
      <c r="G164" s="17"/>
      <c r="H164" s="17"/>
      <c r="I164" s="17"/>
      <c r="J164" s="17"/>
      <c r="K164" s="17"/>
      <c r="L164" s="17"/>
      <c r="M164" s="94"/>
      <c r="N164" s="17"/>
      <c r="O164" s="17"/>
      <c r="P164" s="17"/>
      <c r="Q164" s="17"/>
      <c r="R164" s="94"/>
      <c r="S164" s="17"/>
      <c r="T164" s="17"/>
      <c r="U164" s="17"/>
      <c r="V164" s="17"/>
      <c r="W164" s="94"/>
      <c r="X164" s="94"/>
      <c r="Y164" s="94"/>
      <c r="Z164" s="94"/>
      <c r="AA164" s="94"/>
      <c r="AB164" s="94"/>
      <c r="AC164" s="94"/>
      <c r="AD164" s="94"/>
      <c r="AE164" s="94"/>
      <c r="AF164" s="94"/>
      <c r="AG164" s="94"/>
      <c r="AH164" s="94"/>
      <c r="AI164" s="94"/>
      <c r="AJ164" s="94"/>
      <c r="AK164" s="94"/>
      <c r="AL164" s="94"/>
      <c r="AM164" s="94"/>
      <c r="AN164" s="94"/>
      <c r="AO164" s="94"/>
      <c r="AP164" s="94"/>
      <c r="AQ164" s="94"/>
      <c r="AR164" s="94"/>
      <c r="AS164" s="94"/>
      <c r="AT164" s="94"/>
      <c r="AU164" s="94"/>
      <c r="AV164" s="94"/>
      <c r="AW164" s="94"/>
      <c r="AX164" s="94"/>
      <c r="AY164" s="94"/>
      <c r="AZ164" s="94"/>
      <c r="BA164" s="94"/>
      <c r="BB164" s="94"/>
      <c r="BC164" s="94"/>
      <c r="BD164" s="94"/>
      <c r="BE164" s="94"/>
      <c r="BF164" s="239"/>
      <c r="BG164" s="94"/>
      <c r="BH164" s="94"/>
      <c r="BI164" s="94"/>
      <c r="BJ164" s="94"/>
      <c r="BK164" s="239"/>
      <c r="BL164" s="94"/>
      <c r="BM164" s="94"/>
      <c r="BN164" s="94"/>
      <c r="BO164" s="94"/>
      <c r="BP164" s="239"/>
      <c r="BQ164" s="94"/>
      <c r="BR164" s="94"/>
      <c r="BS164" s="94"/>
      <c r="BU164" s="1065"/>
      <c r="BV164" s="94"/>
      <c r="BW164" s="94"/>
      <c r="BX164" s="94"/>
      <c r="BZ164" s="1065"/>
      <c r="CA164" s="94"/>
      <c r="CB164" s="94"/>
      <c r="CC164" s="94"/>
      <c r="CE164" s="1065"/>
      <c r="CF164" s="94"/>
      <c r="CG164" s="94"/>
      <c r="CH164" s="94"/>
      <c r="CJ164" s="1065"/>
      <c r="CK164" s="94"/>
      <c r="CL164" s="94"/>
      <c r="CM164" s="94"/>
      <c r="CO164" s="1065"/>
      <c r="CP164" s="94"/>
      <c r="CQ164" s="94"/>
      <c r="CR164" s="94"/>
      <c r="CT164" s="1065"/>
      <c r="CU164" s="94"/>
      <c r="CV164" s="94"/>
      <c r="CW164" s="94"/>
      <c r="CY164" s="1065"/>
      <c r="CZ164" s="99"/>
      <c r="DA164" s="99"/>
      <c r="DB164" s="94"/>
      <c r="DD164" s="1065"/>
      <c r="DE164" s="99"/>
      <c r="DF164" s="99"/>
      <c r="DG164" s="94"/>
      <c r="DI164" s="1065"/>
      <c r="DJ164" s="93"/>
      <c r="DK164" s="1550"/>
      <c r="DL164" s="94"/>
      <c r="DM164" s="94"/>
      <c r="DN164" s="1065"/>
      <c r="DO164" s="1004">
        <v>461</v>
      </c>
      <c r="DP164" s="1004">
        <v>533</v>
      </c>
      <c r="DQ164" s="129"/>
      <c r="DR164" s="94"/>
      <c r="DS164" s="1065"/>
      <c r="DT164" s="1700">
        <v>653</v>
      </c>
      <c r="DU164" s="1700">
        <v>721</v>
      </c>
      <c r="DV164" s="94"/>
      <c r="DW164" s="94"/>
      <c r="DX164" s="372"/>
      <c r="DY164" s="99"/>
      <c r="DZ164" s="99"/>
      <c r="EA164" s="94"/>
      <c r="EB164" s="94"/>
      <c r="EC164" s="372"/>
      <c r="ED164" s="99"/>
      <c r="EE164" s="99"/>
      <c r="EF164" s="94"/>
      <c r="EG164" s="94"/>
      <c r="EH164" s="372"/>
      <c r="EI164" s="99"/>
      <c r="EJ164" s="99"/>
      <c r="EK164" s="94"/>
      <c r="EL164" s="94"/>
      <c r="EM164" s="372"/>
      <c r="EN164" s="99"/>
      <c r="EO164" s="99"/>
      <c r="EP164" s="94"/>
      <c r="EQ164" s="94"/>
      <c r="ER164" s="372"/>
      <c r="ES164" s="94"/>
    </row>
    <row r="165" spans="1:149">
      <c r="A165" s="929"/>
      <c r="B165" s="94"/>
      <c r="C165" s="1031" t="s">
        <v>305</v>
      </c>
      <c r="D165" s="17"/>
      <c r="E165" s="17"/>
      <c r="F165" s="17"/>
      <c r="G165" s="17"/>
      <c r="H165" s="17"/>
      <c r="I165" s="17"/>
      <c r="J165" s="17"/>
      <c r="K165" s="17"/>
      <c r="L165" s="17"/>
      <c r="M165" s="94"/>
      <c r="N165" s="17"/>
      <c r="O165" s="17"/>
      <c r="P165" s="17"/>
      <c r="Q165" s="17"/>
      <c r="R165" s="94"/>
      <c r="S165" s="17"/>
      <c r="T165" s="17"/>
      <c r="U165" s="17"/>
      <c r="V165" s="17"/>
      <c r="W165" s="94"/>
      <c r="X165" s="94"/>
      <c r="Y165" s="94"/>
      <c r="Z165" s="94"/>
      <c r="AA165" s="94"/>
      <c r="AB165" s="94"/>
      <c r="AC165" s="94"/>
      <c r="AD165" s="94"/>
      <c r="AE165" s="94"/>
      <c r="AF165" s="94"/>
      <c r="AG165" s="94"/>
      <c r="AH165" s="94"/>
      <c r="AI165" s="94"/>
      <c r="AJ165" s="94"/>
      <c r="AK165" s="94"/>
      <c r="AL165" s="94"/>
      <c r="AM165" s="94"/>
      <c r="AN165" s="94"/>
      <c r="AO165" s="94"/>
      <c r="AP165" s="94"/>
      <c r="AQ165" s="94"/>
      <c r="AR165" s="94"/>
      <c r="AS165" s="94"/>
      <c r="AT165" s="94"/>
      <c r="AU165" s="94"/>
      <c r="AV165" s="94"/>
      <c r="AW165" s="94"/>
      <c r="AX165" s="94"/>
      <c r="AY165" s="94"/>
      <c r="AZ165" s="94"/>
      <c r="BA165" s="94"/>
      <c r="BB165" s="94"/>
      <c r="BC165" s="94"/>
      <c r="BD165" s="94"/>
      <c r="BE165" s="94"/>
      <c r="BF165" s="239"/>
      <c r="BG165" s="94"/>
      <c r="BH165" s="94"/>
      <c r="BI165" s="94"/>
      <c r="BJ165" s="94"/>
      <c r="BK165" s="239"/>
      <c r="BL165" s="94"/>
      <c r="BM165" s="94"/>
      <c r="BN165" s="94"/>
      <c r="BO165" s="94"/>
      <c r="BP165" s="239"/>
      <c r="BQ165" s="94"/>
      <c r="BR165" s="94"/>
      <c r="BS165" s="94"/>
      <c r="BU165" s="1065"/>
      <c r="BV165" s="94"/>
      <c r="BW165" s="94"/>
      <c r="BX165" s="94"/>
      <c r="BZ165" s="1065"/>
      <c r="CA165" s="94"/>
      <c r="CB165" s="94"/>
      <c r="CC165" s="94"/>
      <c r="CE165" s="1065"/>
      <c r="CF165" s="94"/>
      <c r="CG165" s="94"/>
      <c r="CH165" s="94"/>
      <c r="CJ165" s="1065"/>
      <c r="CK165" s="94"/>
      <c r="CL165" s="94"/>
      <c r="CM165" s="94"/>
      <c r="CO165" s="1065"/>
      <c r="CP165" s="94"/>
      <c r="CQ165" s="94"/>
      <c r="CR165" s="94"/>
      <c r="CT165" s="1065">
        <v>454.26900000000001</v>
      </c>
      <c r="CU165" s="94"/>
      <c r="CV165" s="94"/>
      <c r="CW165" s="94"/>
      <c r="CY165" s="1065">
        <v>799</v>
      </c>
      <c r="CZ165" s="99"/>
      <c r="DA165" s="99"/>
      <c r="DB165" s="94"/>
      <c r="DD165" s="1065">
        <v>917</v>
      </c>
      <c r="DE165" s="99"/>
      <c r="DF165" s="99"/>
      <c r="DG165" s="94"/>
      <c r="DI165" s="1065">
        <v>1255</v>
      </c>
      <c r="DJ165" s="93"/>
      <c r="DK165" s="1550"/>
      <c r="DL165" s="94"/>
      <c r="DM165" s="94"/>
      <c r="DN165" s="1065">
        <v>1707</v>
      </c>
      <c r="DO165" s="94"/>
      <c r="DP165" s="94">
        <f>+DP153*DP$6</f>
        <v>562.79999999999995</v>
      </c>
      <c r="DQ165" s="129">
        <f>+DQ153*DQ$6</f>
        <v>597.24</v>
      </c>
      <c r="DR165" s="94"/>
      <c r="DS165" s="1065">
        <v>2426</v>
      </c>
      <c r="DT165" s="129"/>
      <c r="DU165" s="129"/>
      <c r="DV165" s="94"/>
      <c r="DW165" s="94"/>
      <c r="DX165" s="372">
        <f>+DS165*(1+DX177)</f>
        <v>3129.54</v>
      </c>
      <c r="DY165" s="99"/>
      <c r="DZ165" s="99"/>
      <c r="EA165" s="94"/>
      <c r="EB165" s="94"/>
      <c r="EC165" s="372">
        <f>+DX165*(1+EC177)</f>
        <v>3911.9250000000002</v>
      </c>
      <c r="ED165" s="99"/>
      <c r="EE165" s="99"/>
      <c r="EF165" s="94"/>
      <c r="EG165" s="94"/>
      <c r="EH165" s="372">
        <f>+EC165*(1+EH177)</f>
        <v>4889.90625</v>
      </c>
      <c r="EI165" s="99"/>
      <c r="EJ165" s="99"/>
      <c r="EK165" s="94"/>
      <c r="EL165" s="94"/>
      <c r="EM165" s="372">
        <f>+EH165*(1+EM177)</f>
        <v>6112.3828125</v>
      </c>
      <c r="EN165" s="99"/>
      <c r="EO165" s="99"/>
      <c r="EP165" s="94"/>
      <c r="EQ165" s="94"/>
      <c r="ER165" s="372">
        <f>+EM165*(1+ER177)</f>
        <v>7640.478515625</v>
      </c>
      <c r="ES165" s="94"/>
    </row>
    <row r="166" spans="1:149">
      <c r="A166" s="929"/>
      <c r="B166" s="94"/>
      <c r="C166" s="1030" t="s">
        <v>598</v>
      </c>
      <c r="D166" s="17"/>
      <c r="E166" s="17"/>
      <c r="F166" s="17"/>
      <c r="G166" s="17"/>
      <c r="H166" s="17"/>
      <c r="I166" s="17"/>
      <c r="J166" s="17"/>
      <c r="K166" s="17"/>
      <c r="L166" s="17"/>
      <c r="M166" s="94"/>
      <c r="N166" s="17"/>
      <c r="O166" s="17"/>
      <c r="P166" s="17"/>
      <c r="Q166" s="17"/>
      <c r="R166" s="94"/>
      <c r="S166" s="17"/>
      <c r="T166" s="17"/>
      <c r="U166" s="17"/>
      <c r="V166" s="17"/>
      <c r="W166" s="94"/>
      <c r="X166" s="94"/>
      <c r="Y166" s="94"/>
      <c r="Z166" s="94"/>
      <c r="AA166" s="94"/>
      <c r="AB166" s="94"/>
      <c r="AC166" s="94"/>
      <c r="AD166" s="94"/>
      <c r="AE166" s="94"/>
      <c r="AF166" s="94"/>
      <c r="AG166" s="94"/>
      <c r="AH166" s="94"/>
      <c r="AI166" s="94"/>
      <c r="AJ166" s="94"/>
      <c r="AK166" s="94"/>
      <c r="AL166" s="94"/>
      <c r="AM166" s="94"/>
      <c r="AN166" s="94"/>
      <c r="AO166" s="94"/>
      <c r="AP166" s="94"/>
      <c r="AQ166" s="94"/>
      <c r="AR166" s="94"/>
      <c r="AS166" s="94"/>
      <c r="AT166" s="94"/>
      <c r="AU166" s="94"/>
      <c r="AV166" s="94"/>
      <c r="AW166" s="94"/>
      <c r="AX166" s="94"/>
      <c r="AY166" s="94"/>
      <c r="AZ166" s="94"/>
      <c r="BA166" s="94"/>
      <c r="BB166" s="94"/>
      <c r="BC166" s="94"/>
      <c r="BD166" s="94"/>
      <c r="BE166" s="94"/>
      <c r="BF166" s="239">
        <v>2.1539999999999999</v>
      </c>
      <c r="BG166" s="94"/>
      <c r="BH166" s="94"/>
      <c r="BI166" s="94"/>
      <c r="BJ166" s="94"/>
      <c r="BK166" s="239">
        <v>4.5170000000000003</v>
      </c>
      <c r="BL166" s="94"/>
      <c r="BM166" s="94"/>
      <c r="BN166" s="94"/>
      <c r="BO166" s="94"/>
      <c r="BP166" s="239">
        <v>7.9119999999999999</v>
      </c>
      <c r="BQ166" s="94"/>
      <c r="BR166" s="94"/>
      <c r="BS166" s="94"/>
      <c r="BU166" s="1065">
        <v>15.436</v>
      </c>
      <c r="BV166" s="94"/>
      <c r="BW166" s="94"/>
      <c r="BX166" s="94"/>
      <c r="BZ166" s="1065">
        <v>25.957999999999998</v>
      </c>
      <c r="CA166" s="94"/>
      <c r="CB166" s="94"/>
      <c r="CC166" s="94"/>
      <c r="CE166" s="1065">
        <v>44.59</v>
      </c>
      <c r="CF166" s="94"/>
      <c r="CG166" s="94"/>
      <c r="CH166" s="94"/>
      <c r="CJ166" s="1065">
        <v>69.596000000000004</v>
      </c>
      <c r="CK166" s="94"/>
      <c r="CL166" s="94"/>
      <c r="CM166" s="94"/>
      <c r="CO166" s="1065">
        <v>103.498</v>
      </c>
      <c r="CP166" s="94"/>
      <c r="CQ166" s="94"/>
      <c r="CR166" s="94"/>
      <c r="CT166" s="1065">
        <v>199.82499999999999</v>
      </c>
      <c r="CU166" s="94"/>
      <c r="CV166" s="94"/>
      <c r="CW166" s="94"/>
      <c r="CY166" s="372"/>
      <c r="CZ166" s="99"/>
      <c r="DA166" s="99"/>
      <c r="DB166" s="94"/>
      <c r="DD166" s="372"/>
      <c r="DE166" s="99"/>
      <c r="DF166" s="99"/>
      <c r="DG166" s="94"/>
      <c r="DI166" s="372"/>
      <c r="DJ166" s="93"/>
      <c r="DK166" s="99"/>
      <c r="DL166" s="94"/>
      <c r="DM166" s="94"/>
      <c r="DN166" s="372"/>
      <c r="DO166" s="94"/>
      <c r="DP166" s="94"/>
      <c r="DQ166" s="129"/>
      <c r="DR166" s="94"/>
      <c r="DS166" s="372"/>
      <c r="DT166" s="129"/>
      <c r="DU166" s="129"/>
      <c r="DV166" s="94"/>
      <c r="DW166" s="94"/>
      <c r="DX166" s="372"/>
      <c r="DY166" s="99"/>
      <c r="DZ166" s="99"/>
      <c r="EA166" s="94"/>
      <c r="EB166" s="94"/>
      <c r="EC166" s="372"/>
      <c r="ED166" s="99"/>
      <c r="EE166" s="99"/>
      <c r="EF166" s="94"/>
      <c r="EG166" s="94"/>
      <c r="EH166" s="372"/>
      <c r="EI166" s="99"/>
      <c r="EJ166" s="99"/>
      <c r="EK166" s="94"/>
      <c r="EL166" s="94"/>
      <c r="EM166" s="372"/>
      <c r="EN166" s="99"/>
      <c r="EO166" s="99"/>
      <c r="EP166" s="94"/>
      <c r="EQ166" s="94"/>
      <c r="ER166" s="372"/>
      <c r="ES166" s="94"/>
    </row>
    <row r="167" spans="1:149">
      <c r="A167" s="929"/>
      <c r="B167" s="94"/>
      <c r="C167" s="592" t="s">
        <v>307</v>
      </c>
      <c r="D167" s="17"/>
      <c r="E167" s="17"/>
      <c r="F167" s="17"/>
      <c r="G167" s="17"/>
      <c r="H167" s="17"/>
      <c r="I167" s="17"/>
      <c r="J167" s="17"/>
      <c r="K167" s="17"/>
      <c r="L167" s="17"/>
      <c r="M167" s="94"/>
      <c r="N167" s="17"/>
      <c r="O167" s="17"/>
      <c r="P167" s="17"/>
      <c r="Q167" s="17"/>
      <c r="R167" s="94"/>
      <c r="S167" s="17"/>
      <c r="T167" s="17"/>
      <c r="U167" s="17"/>
      <c r="V167" s="17"/>
      <c r="W167" s="94"/>
      <c r="X167" s="94"/>
      <c r="Y167" s="94"/>
      <c r="Z167" s="94"/>
      <c r="AA167" s="94"/>
      <c r="AB167" s="94"/>
      <c r="AC167" s="94"/>
      <c r="AD167" s="94"/>
      <c r="AE167" s="94"/>
      <c r="AF167" s="94"/>
      <c r="AG167" s="94"/>
      <c r="AH167" s="94"/>
      <c r="AI167" s="94"/>
      <c r="AJ167" s="94"/>
      <c r="AK167" s="94"/>
      <c r="AL167" s="94"/>
      <c r="AM167" s="94"/>
      <c r="AN167" s="94"/>
      <c r="AO167" s="94"/>
      <c r="AP167" s="94"/>
      <c r="AQ167" s="94"/>
      <c r="AR167" s="94"/>
      <c r="AS167" s="94"/>
      <c r="AT167" s="94"/>
      <c r="AU167" s="94"/>
      <c r="AV167" s="94"/>
      <c r="AW167" s="94"/>
      <c r="AX167" s="94"/>
      <c r="AY167" s="94"/>
      <c r="AZ167" s="94"/>
      <c r="BA167" s="94"/>
      <c r="BB167" s="94"/>
      <c r="BC167" s="94"/>
      <c r="BD167" s="94"/>
      <c r="BE167" s="94"/>
      <c r="BF167" s="239"/>
      <c r="BG167" s="94"/>
      <c r="BH167" s="94"/>
      <c r="BI167" s="94"/>
      <c r="BJ167" s="94"/>
      <c r="BK167" s="239"/>
      <c r="BL167" s="94"/>
      <c r="BM167" s="94"/>
      <c r="BN167" s="94"/>
      <c r="BO167" s="94"/>
      <c r="BP167" s="239"/>
      <c r="BQ167" s="94"/>
      <c r="BR167" s="94"/>
      <c r="BS167" s="94"/>
      <c r="BU167" s="1065"/>
      <c r="BV167" s="94"/>
      <c r="BW167" s="94"/>
      <c r="BX167" s="94"/>
      <c r="BZ167" s="1065"/>
      <c r="CA167" s="94"/>
      <c r="CB167" s="94"/>
      <c r="CC167" s="94"/>
      <c r="CE167" s="1065"/>
      <c r="CF167" s="94"/>
      <c r="CG167" s="94"/>
      <c r="CH167" s="94"/>
      <c r="CJ167" s="1065"/>
      <c r="CK167" s="94"/>
      <c r="CL167" s="94"/>
      <c r="CM167" s="94"/>
      <c r="CO167" s="1065"/>
      <c r="CP167" s="94"/>
      <c r="CQ167" s="94"/>
      <c r="CR167" s="94"/>
      <c r="CT167" s="1065">
        <f>170.233+122.007</f>
        <v>292.24</v>
      </c>
      <c r="CU167" s="94"/>
      <c r="CV167" s="94"/>
      <c r="CW167" s="94"/>
      <c r="CY167" s="1065">
        <v>467</v>
      </c>
      <c r="CZ167" s="99"/>
      <c r="DA167" s="99"/>
      <c r="DB167" s="94"/>
      <c r="DD167" s="1065">
        <v>553</v>
      </c>
      <c r="DE167" s="99"/>
      <c r="DF167" s="99"/>
      <c r="DG167" s="94"/>
      <c r="DI167" s="1065">
        <v>699</v>
      </c>
      <c r="DJ167" s="93"/>
      <c r="DK167" s="99"/>
      <c r="DL167" s="94"/>
      <c r="DM167" s="94"/>
      <c r="DN167" s="1065">
        <v>885</v>
      </c>
      <c r="DO167" s="1004">
        <v>240</v>
      </c>
      <c r="DP167" s="1004">
        <v>265</v>
      </c>
      <c r="DQ167" s="129">
        <f>+DQ155*DQ$6</f>
        <v>284.40000000000003</v>
      </c>
      <c r="DR167" s="94"/>
      <c r="DS167" s="1065">
        <v>1128</v>
      </c>
      <c r="DT167" s="1700">
        <v>312</v>
      </c>
      <c r="DU167" s="1700">
        <v>346</v>
      </c>
      <c r="DV167" s="94"/>
      <c r="DW167" s="94"/>
      <c r="DX167" s="372">
        <f>DX155*DX$171</f>
        <v>1500.049109443137</v>
      </c>
      <c r="DY167" s="99"/>
      <c r="DZ167" s="99"/>
      <c r="EA167" s="94"/>
      <c r="EB167" s="94"/>
      <c r="EC167" s="372">
        <f>EC155*EC$171</f>
        <v>1905.996786149876</v>
      </c>
      <c r="ED167" s="99"/>
      <c r="EE167" s="99"/>
      <c r="EF167" s="94"/>
      <c r="EG167" s="94"/>
      <c r="EH167" s="372">
        <f>EH155*EH$171</f>
        <v>2323.8582394071132</v>
      </c>
      <c r="EI167" s="99"/>
      <c r="EJ167" s="99"/>
      <c r="EK167" s="94"/>
      <c r="EL167" s="94"/>
      <c r="EM167" s="372">
        <f>EM155*EM$171</f>
        <v>2782.0743720442319</v>
      </c>
      <c r="EN167" s="99"/>
      <c r="EO167" s="99"/>
      <c r="EP167" s="94"/>
      <c r="EQ167" s="94"/>
      <c r="ER167" s="372">
        <f>ER155*ER$171</f>
        <v>3296.0715865853772</v>
      </c>
      <c r="ES167" s="94"/>
    </row>
    <row r="168" spans="1:149">
      <c r="A168" s="929"/>
      <c r="B168" s="94"/>
      <c r="C168" s="1030" t="s">
        <v>308</v>
      </c>
      <c r="D168" s="17"/>
      <c r="E168" s="17"/>
      <c r="F168" s="17"/>
      <c r="G168" s="17"/>
      <c r="H168" s="17"/>
      <c r="I168" s="17"/>
      <c r="J168" s="17"/>
      <c r="K168" s="17"/>
      <c r="L168" s="17"/>
      <c r="M168" s="94"/>
      <c r="N168" s="17"/>
      <c r="O168" s="17"/>
      <c r="P168" s="17"/>
      <c r="Q168" s="17"/>
      <c r="R168" s="94"/>
      <c r="S168" s="17"/>
      <c r="T168" s="17"/>
      <c r="U168" s="17"/>
      <c r="V168" s="17"/>
      <c r="W168" s="94"/>
      <c r="X168" s="94"/>
      <c r="Y168" s="94"/>
      <c r="Z168" s="94"/>
      <c r="AA168" s="94"/>
      <c r="AB168" s="94"/>
      <c r="AC168" s="94"/>
      <c r="AD168" s="94"/>
      <c r="AE168" s="94"/>
      <c r="AF168" s="94"/>
      <c r="AG168" s="94"/>
      <c r="AH168" s="94"/>
      <c r="AI168" s="94"/>
      <c r="AJ168" s="94"/>
      <c r="AK168" s="94"/>
      <c r="AL168" s="94"/>
      <c r="AM168" s="94"/>
      <c r="AN168" s="94"/>
      <c r="AO168" s="94"/>
      <c r="AP168" s="94"/>
      <c r="AQ168" s="94"/>
      <c r="AR168" s="94"/>
      <c r="AS168" s="94"/>
      <c r="AT168" s="94"/>
      <c r="AU168" s="94"/>
      <c r="AV168" s="94"/>
      <c r="AW168" s="94"/>
      <c r="AX168" s="94"/>
      <c r="AY168" s="94"/>
      <c r="AZ168" s="94"/>
      <c r="BA168" s="94"/>
      <c r="BB168" s="94"/>
      <c r="BC168" s="94"/>
      <c r="BD168" s="94"/>
      <c r="BE168" s="94"/>
      <c r="BF168" s="239">
        <v>1.81</v>
      </c>
      <c r="BG168" s="94"/>
      <c r="BH168" s="94"/>
      <c r="BI168" s="94"/>
      <c r="BJ168" s="94"/>
      <c r="BK168" s="239">
        <v>3.8069999999999999</v>
      </c>
      <c r="BL168" s="94"/>
      <c r="BM168" s="94"/>
      <c r="BN168" s="94"/>
      <c r="BO168" s="94"/>
      <c r="BP168" s="239">
        <v>6.42</v>
      </c>
      <c r="BQ168" s="94"/>
      <c r="BR168" s="94"/>
      <c r="BS168" s="94"/>
      <c r="BU168" s="1065">
        <v>10.531000000000001</v>
      </c>
      <c r="BV168" s="94"/>
      <c r="BW168" s="94"/>
      <c r="BX168" s="94"/>
      <c r="BZ168" s="1065">
        <v>18.163</v>
      </c>
      <c r="CA168" s="94"/>
      <c r="CB168" s="94"/>
      <c r="CC168" s="94"/>
      <c r="CE168" s="1065">
        <v>31.625</v>
      </c>
      <c r="CF168" s="94"/>
      <c r="CG168" s="94"/>
      <c r="CH168" s="94"/>
      <c r="CJ168" s="1065">
        <v>47.936999999999998</v>
      </c>
      <c r="CK168" s="94"/>
      <c r="CL168" s="94"/>
      <c r="CM168" s="94"/>
      <c r="CO168" s="1065">
        <v>68.570999999999998</v>
      </c>
      <c r="CP168" s="94"/>
      <c r="CQ168" s="94"/>
      <c r="CR168" s="94"/>
      <c r="CT168" s="1065">
        <v>122.00700000000001</v>
      </c>
      <c r="CU168" s="94"/>
      <c r="CV168" s="94"/>
      <c r="CW168" s="94"/>
      <c r="CY168" s="372"/>
      <c r="CZ168" s="99"/>
      <c r="DA168" s="99"/>
      <c r="DB168" s="94"/>
      <c r="DD168" s="372"/>
      <c r="DE168" s="99"/>
      <c r="DF168" s="99"/>
      <c r="DG168" s="94"/>
      <c r="DI168" s="372"/>
      <c r="DJ168" s="93"/>
      <c r="DK168" s="99"/>
      <c r="DL168" s="94"/>
      <c r="DM168" s="94"/>
      <c r="DN168" s="372"/>
      <c r="DO168" s="94"/>
      <c r="DP168" s="94"/>
      <c r="DQ168" s="129"/>
      <c r="DR168" s="94"/>
      <c r="DS168" s="372"/>
      <c r="DT168" s="129"/>
      <c r="DU168" s="129"/>
      <c r="DV168" s="94"/>
      <c r="DW168" s="94"/>
      <c r="DX168" s="372"/>
      <c r="DY168" s="99"/>
      <c r="DZ168" s="99"/>
      <c r="EA168" s="94"/>
      <c r="EB168" s="94"/>
      <c r="EC168" s="372"/>
      <c r="ED168" s="99"/>
      <c r="EE168" s="99"/>
      <c r="EF168" s="94"/>
      <c r="EG168" s="94"/>
      <c r="EH168" s="372"/>
      <c r="EI168" s="99"/>
      <c r="EJ168" s="99"/>
      <c r="EK168" s="94"/>
      <c r="EL168" s="94"/>
      <c r="EM168" s="372"/>
      <c r="EN168" s="99"/>
      <c r="EO168" s="99"/>
      <c r="EP168" s="94"/>
      <c r="EQ168" s="94"/>
      <c r="ER168" s="372"/>
      <c r="ES168" s="94"/>
    </row>
    <row r="169" spans="1:149">
      <c r="A169" s="929"/>
      <c r="B169" s="94"/>
      <c r="C169" s="1031" t="s">
        <v>170</v>
      </c>
      <c r="D169" s="17"/>
      <c r="E169" s="17"/>
      <c r="F169" s="17"/>
      <c r="G169" s="17"/>
      <c r="H169" s="17"/>
      <c r="I169" s="17"/>
      <c r="J169" s="17"/>
      <c r="K169" s="17"/>
      <c r="L169" s="17"/>
      <c r="M169" s="94"/>
      <c r="N169" s="17"/>
      <c r="O169" s="17"/>
      <c r="P169" s="17"/>
      <c r="Q169" s="17"/>
      <c r="R169" s="94"/>
      <c r="S169" s="17"/>
      <c r="T169" s="17"/>
      <c r="U169" s="17"/>
      <c r="V169" s="17"/>
      <c r="W169" s="94"/>
      <c r="X169" s="94"/>
      <c r="Y169" s="94"/>
      <c r="Z169" s="94"/>
      <c r="AA169" s="94"/>
      <c r="AB169" s="94"/>
      <c r="AC169" s="94"/>
      <c r="AD169" s="94"/>
      <c r="AE169" s="94"/>
      <c r="AF169" s="94"/>
      <c r="AG169" s="94"/>
      <c r="AH169" s="94"/>
      <c r="AI169" s="94"/>
      <c r="AJ169" s="94"/>
      <c r="AK169" s="94"/>
      <c r="AL169" s="94"/>
      <c r="AM169" s="94"/>
      <c r="AN169" s="94"/>
      <c r="AO169" s="94"/>
      <c r="AP169" s="94"/>
      <c r="AQ169" s="94"/>
      <c r="AR169" s="94"/>
      <c r="AS169" s="94"/>
      <c r="AT169" s="94"/>
      <c r="AU169" s="94"/>
      <c r="AV169" s="94"/>
      <c r="AW169" s="94"/>
      <c r="AX169" s="94"/>
      <c r="AY169" s="94"/>
      <c r="AZ169" s="94"/>
      <c r="BA169" s="94"/>
      <c r="BB169" s="94"/>
      <c r="BC169" s="94"/>
      <c r="BD169" s="94"/>
      <c r="BE169" s="94"/>
      <c r="BF169" s="239"/>
      <c r="BG169" s="94"/>
      <c r="BH169" s="94"/>
      <c r="BI169" s="94"/>
      <c r="BJ169" s="94"/>
      <c r="BK169" s="239">
        <v>0</v>
      </c>
      <c r="BL169" s="94"/>
      <c r="BM169" s="94"/>
      <c r="BN169" s="94"/>
      <c r="BO169" s="94"/>
      <c r="BP169" s="239"/>
      <c r="BQ169" s="94"/>
      <c r="BR169" s="94"/>
      <c r="BS169" s="94"/>
      <c r="BU169" s="1065"/>
      <c r="BV169" s="94"/>
      <c r="BW169" s="94"/>
      <c r="BX169" s="94"/>
      <c r="BZ169" s="1065"/>
      <c r="CA169" s="94"/>
      <c r="CB169" s="94"/>
      <c r="CC169" s="94"/>
      <c r="CE169" s="1065"/>
      <c r="CF169" s="94"/>
      <c r="CG169" s="94"/>
      <c r="CH169" s="94"/>
      <c r="CJ169" s="1065"/>
      <c r="CK169" s="94"/>
      <c r="CL169" s="94"/>
      <c r="CM169" s="94"/>
      <c r="CO169" s="1065"/>
      <c r="CP169" s="94"/>
      <c r="CQ169" s="94"/>
      <c r="CR169" s="94"/>
      <c r="CT169" s="1065">
        <v>36.155999999999999</v>
      </c>
      <c r="CU169" s="94"/>
      <c r="CV169" s="94"/>
      <c r="CW169" s="94"/>
      <c r="CY169" s="1065">
        <v>55</v>
      </c>
      <c r="CZ169" s="99"/>
      <c r="DA169" s="99"/>
      <c r="DB169" s="94"/>
      <c r="DD169" s="1065">
        <v>64</v>
      </c>
      <c r="DE169" s="99"/>
      <c r="DF169" s="99"/>
      <c r="DG169" s="94"/>
      <c r="DI169" s="1065">
        <v>69</v>
      </c>
      <c r="DJ169" s="93"/>
      <c r="DK169" s="99"/>
      <c r="DL169" s="94"/>
      <c r="DM169" s="94"/>
      <c r="DN169" s="1065">
        <v>97</v>
      </c>
      <c r="DO169" s="94"/>
      <c r="DP169" s="94">
        <f>+DP157*DP$6</f>
        <v>26.8</v>
      </c>
      <c r="DQ169" s="129">
        <f>+DQ157*DQ$6</f>
        <v>28.44</v>
      </c>
      <c r="DR169" s="94"/>
      <c r="DS169" s="1065">
        <v>104</v>
      </c>
      <c r="DT169" s="129"/>
      <c r="DU169" s="129"/>
      <c r="DV169" s="94"/>
      <c r="DW169" s="94"/>
      <c r="DX169" s="372">
        <f>+DS169*(1+DX181)</f>
        <v>140.4</v>
      </c>
      <c r="DY169" s="99"/>
      <c r="DZ169" s="99"/>
      <c r="EA169" s="94"/>
      <c r="EB169" s="94"/>
      <c r="EC169" s="372">
        <f>+DX169*(1+EC181)</f>
        <v>182.52</v>
      </c>
      <c r="ED169" s="99"/>
      <c r="EE169" s="99"/>
      <c r="EF169" s="94"/>
      <c r="EG169" s="94"/>
      <c r="EH169" s="372">
        <f>+EC169*(1+EH181)</f>
        <v>237.27600000000001</v>
      </c>
      <c r="EI169" s="99"/>
      <c r="EJ169" s="99"/>
      <c r="EK169" s="94"/>
      <c r="EL169" s="94"/>
      <c r="EM169" s="372">
        <f>+EH169*(1+EM181)</f>
        <v>308.4588</v>
      </c>
      <c r="EN169" s="99"/>
      <c r="EO169" s="99"/>
      <c r="EP169" s="94"/>
      <c r="EQ169" s="94"/>
      <c r="ER169" s="372">
        <f>+EM169*(1+ER181)</f>
        <v>400.99644000000001</v>
      </c>
      <c r="ES169" s="94"/>
    </row>
    <row r="170" spans="1:149">
      <c r="A170" s="929"/>
      <c r="B170" s="94"/>
      <c r="C170" s="1667" t="s">
        <v>599</v>
      </c>
      <c r="D170" s="1668"/>
      <c r="E170" s="1668"/>
      <c r="F170" s="1668"/>
      <c r="G170" s="1668"/>
      <c r="H170" s="1668"/>
      <c r="I170" s="1668"/>
      <c r="J170" s="1668"/>
      <c r="K170" s="1668"/>
      <c r="L170" s="1668"/>
      <c r="M170" s="371"/>
      <c r="N170" s="1668"/>
      <c r="O170" s="1668"/>
      <c r="P170" s="1668"/>
      <c r="Q170" s="1668"/>
      <c r="R170" s="371"/>
      <c r="S170" s="1668"/>
      <c r="T170" s="1668"/>
      <c r="U170" s="1668"/>
      <c r="V170" s="1668"/>
      <c r="W170" s="371"/>
      <c r="X170" s="371"/>
      <c r="Y170" s="371"/>
      <c r="Z170" s="371"/>
      <c r="AA170" s="371"/>
      <c r="AB170" s="371"/>
      <c r="AC170" s="371"/>
      <c r="AD170" s="371"/>
      <c r="AE170" s="371"/>
      <c r="AF170" s="371"/>
      <c r="AG170" s="371"/>
      <c r="AH170" s="371"/>
      <c r="AI170" s="371"/>
      <c r="AJ170" s="371"/>
      <c r="AK170" s="371"/>
      <c r="AL170" s="371"/>
      <c r="AM170" s="371"/>
      <c r="AN170" s="371"/>
      <c r="AO170" s="371"/>
      <c r="AP170" s="371"/>
      <c r="AQ170" s="371"/>
      <c r="AR170" s="371"/>
      <c r="AS170" s="371"/>
      <c r="AT170" s="371"/>
      <c r="AU170" s="371"/>
      <c r="AV170" s="371"/>
      <c r="AW170" s="371"/>
      <c r="AX170" s="371"/>
      <c r="AY170" s="371"/>
      <c r="AZ170" s="371"/>
      <c r="BA170" s="371"/>
      <c r="BB170" s="371"/>
      <c r="BC170" s="371"/>
      <c r="BD170" s="371"/>
      <c r="BE170" s="371"/>
      <c r="BF170" s="1669">
        <v>2.7829999999999999</v>
      </c>
      <c r="BG170" s="371"/>
      <c r="BH170" s="371"/>
      <c r="BI170" s="371"/>
      <c r="BJ170" s="371"/>
      <c r="BK170" s="1669">
        <v>6.0839999999999996</v>
      </c>
      <c r="BL170" s="371"/>
      <c r="BM170" s="371"/>
      <c r="BN170" s="371"/>
      <c r="BO170" s="371"/>
      <c r="BP170" s="1669">
        <v>10.808</v>
      </c>
      <c r="BQ170" s="371"/>
      <c r="BR170" s="371"/>
      <c r="BS170" s="371"/>
      <c r="BT170" s="1671"/>
      <c r="BU170" s="1675">
        <v>19.827000000000002</v>
      </c>
      <c r="BV170" s="371"/>
      <c r="BW170" s="371"/>
      <c r="BX170" s="371"/>
      <c r="BY170" s="1671"/>
      <c r="BZ170" s="1675">
        <v>34.220999999999997</v>
      </c>
      <c r="CA170" s="371"/>
      <c r="CB170" s="371"/>
      <c r="CC170" s="371"/>
      <c r="CD170" s="1671"/>
      <c r="CE170" s="1675">
        <v>70.695999999999998</v>
      </c>
      <c r="CF170" s="371"/>
      <c r="CG170" s="371"/>
      <c r="CH170" s="371"/>
      <c r="CI170" s="1671"/>
      <c r="CJ170" s="1675">
        <v>129.46799999999999</v>
      </c>
      <c r="CK170" s="371"/>
      <c r="CL170" s="371"/>
      <c r="CM170" s="371"/>
      <c r="CN170" s="1671"/>
      <c r="CO170" s="1675">
        <v>230.416</v>
      </c>
      <c r="CP170" s="371"/>
      <c r="CQ170" s="371"/>
      <c r="CR170" s="371"/>
      <c r="CS170" s="1671"/>
      <c r="CT170" s="1676"/>
      <c r="CU170" s="371"/>
      <c r="CV170" s="371"/>
      <c r="CW170" s="371"/>
      <c r="CX170" s="1671"/>
      <c r="CY170" s="1676"/>
      <c r="CZ170" s="1672"/>
      <c r="DA170" s="1672"/>
      <c r="DB170" s="371"/>
      <c r="DC170" s="1671"/>
      <c r="DD170" s="1676"/>
      <c r="DE170" s="1672"/>
      <c r="DF170" s="1672"/>
      <c r="DG170" s="371"/>
      <c r="DH170" s="1671"/>
      <c r="DI170" s="1676"/>
      <c r="DJ170" s="1673"/>
      <c r="DK170" s="1672"/>
      <c r="DL170" s="371"/>
      <c r="DM170" s="371"/>
      <c r="DN170" s="1676"/>
      <c r="DO170" s="1004">
        <v>41</v>
      </c>
      <c r="DP170" s="1004">
        <v>46</v>
      </c>
      <c r="DQ170" s="1674"/>
      <c r="DR170" s="371"/>
      <c r="DS170" s="1676"/>
      <c r="DT170" s="1004">
        <v>57</v>
      </c>
      <c r="DU170" s="1004">
        <v>62</v>
      </c>
      <c r="DV170" s="371"/>
      <c r="DW170" s="371"/>
      <c r="DX170" s="1676"/>
      <c r="DY170" s="1672"/>
      <c r="DZ170" s="1672"/>
      <c r="EA170" s="371"/>
      <c r="EB170" s="371"/>
      <c r="EC170" s="1676"/>
      <c r="ED170" s="1672"/>
      <c r="EE170" s="1672"/>
      <c r="EF170" s="371"/>
      <c r="EG170" s="371"/>
      <c r="EH170" s="1676"/>
      <c r="EI170" s="1672"/>
      <c r="EJ170" s="1672"/>
      <c r="EK170" s="371"/>
      <c r="EL170" s="371"/>
      <c r="EM170" s="1676"/>
      <c r="EN170" s="1672"/>
      <c r="EO170" s="1672"/>
      <c r="EP170" s="371"/>
      <c r="EQ170" s="371"/>
      <c r="ER170" s="1676"/>
      <c r="ES170" s="94"/>
    </row>
    <row r="171" spans="1:149">
      <c r="A171" s="929"/>
      <c r="B171" s="94"/>
      <c r="C171" s="592" t="s">
        <v>600</v>
      </c>
      <c r="D171" s="17"/>
      <c r="E171" s="17"/>
      <c r="F171" s="17"/>
      <c r="G171" s="17"/>
      <c r="H171" s="17"/>
      <c r="I171" s="17"/>
      <c r="J171" s="17"/>
      <c r="K171" s="17"/>
      <c r="L171" s="17"/>
      <c r="M171" s="94"/>
      <c r="N171" s="17"/>
      <c r="O171" s="17"/>
      <c r="P171" s="17"/>
      <c r="Q171" s="17"/>
      <c r="R171" s="94"/>
      <c r="S171" s="17"/>
      <c r="T171" s="17"/>
      <c r="U171" s="17"/>
      <c r="V171" s="17"/>
      <c r="W171" s="94"/>
      <c r="X171" s="94"/>
      <c r="Y171" s="94"/>
      <c r="Z171" s="94"/>
      <c r="AA171" s="94"/>
      <c r="AB171" s="94"/>
      <c r="AC171" s="94"/>
      <c r="AD171" s="94"/>
      <c r="AE171" s="94"/>
      <c r="AF171" s="94"/>
      <c r="AG171" s="94"/>
      <c r="AH171" s="94"/>
      <c r="AI171" s="94"/>
      <c r="AJ171" s="94"/>
      <c r="AK171" s="94"/>
      <c r="AL171" s="94"/>
      <c r="AM171" s="94"/>
      <c r="AN171" s="94"/>
      <c r="AO171" s="94"/>
      <c r="AP171" s="94"/>
      <c r="AQ171" s="94"/>
      <c r="AR171" s="94"/>
      <c r="AS171" s="94"/>
      <c r="AT171" s="94"/>
      <c r="AU171" s="94"/>
      <c r="AV171" s="94"/>
      <c r="AW171" s="94"/>
      <c r="AX171" s="94"/>
      <c r="AY171" s="94"/>
      <c r="AZ171" s="94"/>
      <c r="BA171" s="94"/>
      <c r="BB171" s="94"/>
      <c r="BC171" s="94"/>
      <c r="BD171" s="94"/>
      <c r="BE171" s="94"/>
      <c r="BF171" s="160">
        <f>SUM(BF162:BF170)</f>
        <v>23.713000000000001</v>
      </c>
      <c r="BG171" s="94"/>
      <c r="BH171" s="94"/>
      <c r="BI171" s="94"/>
      <c r="BJ171" s="94"/>
      <c r="BK171" s="160">
        <f>SUM(BK162:BK170)</f>
        <v>50.25200000000001</v>
      </c>
      <c r="BL171" s="94"/>
      <c r="BM171" s="94"/>
      <c r="BN171" s="94"/>
      <c r="BO171" s="94"/>
      <c r="BP171" s="160">
        <f>SUM(BP162:BP170)</f>
        <v>105.018</v>
      </c>
      <c r="BQ171" s="94"/>
      <c r="BR171" s="94"/>
      <c r="BS171" s="94"/>
      <c r="BU171" s="1065">
        <v>205.233</v>
      </c>
      <c r="BV171" s="94"/>
      <c r="BW171" s="94"/>
      <c r="BX171" s="94"/>
      <c r="BZ171" s="372">
        <f>SUM(BZ162:BZ170)</f>
        <v>389.33000000000004</v>
      </c>
      <c r="CA171" s="94"/>
      <c r="CB171" s="94"/>
      <c r="CC171" s="94"/>
      <c r="CE171" s="372">
        <f>SUM(CE162:CE170)</f>
        <v>673.30400000000009</v>
      </c>
      <c r="CF171" s="94"/>
      <c r="CG171" s="94"/>
      <c r="CH171" s="94"/>
      <c r="CJ171" s="372">
        <f>SUM(CJ162:CJ170)</f>
        <v>1073.229</v>
      </c>
      <c r="CK171" s="94"/>
      <c r="CL171" s="94"/>
      <c r="CM171" s="94"/>
      <c r="CO171" s="1065">
        <v>1578.173</v>
      </c>
      <c r="CP171" s="94"/>
      <c r="CQ171" s="94"/>
      <c r="CR171" s="94"/>
      <c r="CT171" s="1065">
        <v>2929.491</v>
      </c>
      <c r="CU171" s="94"/>
      <c r="CV171" s="94"/>
      <c r="CW171" s="94"/>
      <c r="CY171" s="372">
        <f>SUM(CY162:CY170)</f>
        <v>4612</v>
      </c>
      <c r="CZ171" s="99"/>
      <c r="DA171" s="99"/>
      <c r="DB171" s="94"/>
      <c r="DD171" s="372">
        <f>SUM(DD162:DD170)</f>
        <v>5600</v>
      </c>
      <c r="DE171" s="99"/>
      <c r="DF171" s="99"/>
      <c r="DG171" s="94"/>
      <c r="DI171" s="372">
        <f>SUM(DI162:DI170)</f>
        <v>7060</v>
      </c>
      <c r="DJ171" s="93"/>
      <c r="DK171" s="99"/>
      <c r="DL171" s="94"/>
      <c r="DM171" s="94"/>
      <c r="DN171" s="372">
        <f>SUM(DN162:DN170)</f>
        <v>8880</v>
      </c>
      <c r="DO171" s="1701">
        <f>+DO161+DO164+DO167+DO170</f>
        <v>2360</v>
      </c>
      <c r="DP171" s="1701">
        <f>DP$6</f>
        <v>2680</v>
      </c>
      <c r="DQ171" s="129">
        <f>DQ$6</f>
        <v>2844</v>
      </c>
      <c r="DR171" s="94"/>
      <c r="DS171" s="372">
        <f>SUM(DS162:DS170)</f>
        <v>11556</v>
      </c>
      <c r="DT171" s="1701">
        <f>+DT161+DT164+DT167+DT170</f>
        <v>3170</v>
      </c>
      <c r="DU171" s="1714">
        <f>+DU161+DU164+DU167+DU170</f>
        <v>3583</v>
      </c>
      <c r="DV171" s="94"/>
      <c r="DW171" s="94"/>
      <c r="DX171" s="372">
        <f>DX6</f>
        <v>15211.685523769687</v>
      </c>
      <c r="DY171" s="99"/>
      <c r="DZ171" s="99"/>
      <c r="EA171" s="94"/>
      <c r="EB171" s="94"/>
      <c r="EC171" s="372">
        <f>EC6</f>
        <v>19134.27960159217</v>
      </c>
      <c r="ED171" s="99"/>
      <c r="EE171" s="99"/>
      <c r="EF171" s="94"/>
      <c r="EG171" s="94"/>
      <c r="EH171" s="372">
        <f>EH6</f>
        <v>23097.312228932591</v>
      </c>
      <c r="EI171" s="99"/>
      <c r="EJ171" s="99"/>
      <c r="EK171" s="94"/>
      <c r="EL171" s="94"/>
      <c r="EM171" s="372">
        <f>EM6</f>
        <v>27379.487596355673</v>
      </c>
      <c r="EN171" s="99"/>
      <c r="EO171" s="99"/>
      <c r="EP171" s="94"/>
      <c r="EQ171" s="94"/>
      <c r="ER171" s="372">
        <f>ER6</f>
        <v>32121.812861222668</v>
      </c>
      <c r="ES171" s="94"/>
    </row>
    <row r="172" spans="1:149">
      <c r="A172" s="929"/>
      <c r="B172" s="94"/>
      <c r="C172" s="1417" t="s">
        <v>781</v>
      </c>
      <c r="D172" s="17"/>
      <c r="E172" s="17"/>
      <c r="F172" s="17"/>
      <c r="G172" s="17"/>
      <c r="H172" s="17"/>
      <c r="I172" s="17"/>
      <c r="J172" s="17"/>
      <c r="K172" s="17"/>
      <c r="L172" s="17"/>
      <c r="M172" s="94"/>
      <c r="N172" s="17"/>
      <c r="O172" s="17"/>
      <c r="P172" s="17"/>
      <c r="Q172" s="17"/>
      <c r="R172" s="94"/>
      <c r="S172" s="17"/>
      <c r="T172" s="17"/>
      <c r="U172" s="17"/>
      <c r="V172" s="17"/>
      <c r="W172" s="94"/>
      <c r="X172" s="94"/>
      <c r="Y172" s="94"/>
      <c r="Z172" s="94"/>
      <c r="AA172" s="94"/>
      <c r="AB172" s="94"/>
      <c r="AC172" s="94"/>
      <c r="AD172" s="94"/>
      <c r="AE172" s="94"/>
      <c r="AF172" s="94"/>
      <c r="AG172" s="94"/>
      <c r="AH172" s="94"/>
      <c r="AI172" s="94"/>
      <c r="AJ172" s="94"/>
      <c r="AK172" s="94"/>
      <c r="AL172" s="94"/>
      <c r="AM172" s="94"/>
      <c r="AN172" s="94"/>
      <c r="AO172" s="94"/>
      <c r="AP172" s="94"/>
      <c r="AQ172" s="94"/>
      <c r="AR172" s="94"/>
      <c r="AS172" s="94"/>
      <c r="AT172" s="94"/>
      <c r="AU172" s="94"/>
      <c r="AV172" s="94"/>
      <c r="AW172" s="94"/>
      <c r="AX172" s="94"/>
      <c r="AY172" s="94"/>
      <c r="AZ172" s="94"/>
      <c r="BA172" s="94"/>
      <c r="BB172" s="94"/>
      <c r="BC172" s="94"/>
      <c r="BD172" s="94"/>
      <c r="BE172" s="94"/>
      <c r="BF172" s="94"/>
      <c r="BG172" s="94"/>
      <c r="BH172" s="94"/>
      <c r="BI172" s="94"/>
      <c r="BJ172" s="94"/>
      <c r="BK172" s="94"/>
      <c r="BL172" s="94"/>
      <c r="BM172" s="94"/>
      <c r="BN172" s="94"/>
      <c r="BO172" s="94"/>
      <c r="BP172" s="94"/>
      <c r="BQ172" s="94"/>
      <c r="BR172" s="94"/>
      <c r="BS172" s="94"/>
      <c r="BT172" s="94"/>
      <c r="BU172" s="277"/>
      <c r="BV172" s="94"/>
      <c r="BW172" s="94"/>
      <c r="BX172" s="94"/>
      <c r="BY172" s="94"/>
      <c r="BZ172" s="277"/>
      <c r="CA172" s="94"/>
      <c r="CB172" s="94"/>
      <c r="CC172" s="94"/>
      <c r="CD172" s="94"/>
      <c r="CE172" s="277"/>
      <c r="CF172" s="94"/>
      <c r="CG172" s="94"/>
      <c r="CH172" s="94"/>
      <c r="CI172" s="94"/>
      <c r="CJ172" s="277"/>
      <c r="CK172" s="94"/>
      <c r="CL172" s="94"/>
      <c r="CM172" s="94"/>
      <c r="CN172" s="94"/>
      <c r="CO172" s="277"/>
      <c r="CP172" s="94"/>
      <c r="CQ172" s="94"/>
      <c r="CR172" s="94"/>
      <c r="CS172" s="94"/>
      <c r="CT172" s="277"/>
      <c r="CU172" s="94"/>
      <c r="CV172" s="94"/>
      <c r="CW172" s="94"/>
      <c r="CX172" s="94"/>
      <c r="CY172" s="277"/>
      <c r="CZ172" s="99"/>
      <c r="DA172" s="99"/>
      <c r="DB172" s="94"/>
      <c r="DC172" s="94"/>
      <c r="DD172" s="277"/>
      <c r="DE172" s="99"/>
      <c r="DF172" s="99"/>
      <c r="DG172" s="94"/>
      <c r="DH172" s="94"/>
      <c r="DI172" s="277"/>
      <c r="DJ172" s="93"/>
      <c r="DK172" s="99"/>
      <c r="DL172" s="94"/>
      <c r="DM172" s="94"/>
      <c r="DN172" s="277"/>
      <c r="DO172" s="94"/>
      <c r="DP172" s="129"/>
      <c r="DQ172" s="129"/>
      <c r="DR172" s="94"/>
      <c r="DS172" s="277"/>
      <c r="DT172" s="99"/>
      <c r="DU172" s="129"/>
      <c r="DV172" s="94"/>
      <c r="DW172" s="94"/>
      <c r="DX172" s="277"/>
      <c r="DY172" s="99"/>
      <c r="DZ172" s="99"/>
      <c r="EA172" s="94"/>
      <c r="EB172" s="94"/>
      <c r="EC172" s="277"/>
      <c r="ED172" s="99"/>
      <c r="EE172" s="99"/>
      <c r="EF172" s="94"/>
      <c r="EG172" s="94"/>
      <c r="EH172" s="277"/>
      <c r="EI172" s="99"/>
      <c r="EJ172" s="99"/>
      <c r="EK172" s="94"/>
      <c r="EL172" s="94"/>
      <c r="EM172" s="277"/>
      <c r="EN172" s="99"/>
      <c r="EO172" s="99"/>
      <c r="EP172" s="94"/>
      <c r="EQ172" s="94"/>
      <c r="ER172" s="277"/>
      <c r="ES172" s="94"/>
    </row>
    <row r="173" spans="1:149">
      <c r="A173" s="929"/>
      <c r="B173" s="94"/>
      <c r="C173" s="592" t="s">
        <v>140</v>
      </c>
      <c r="D173" s="17"/>
      <c r="E173" s="17"/>
      <c r="F173" s="17"/>
      <c r="G173" s="17"/>
      <c r="H173" s="17"/>
      <c r="I173" s="17"/>
      <c r="J173" s="17"/>
      <c r="K173" s="17"/>
      <c r="L173" s="17"/>
      <c r="M173" s="94"/>
      <c r="N173" s="17"/>
      <c r="O173" s="17"/>
      <c r="P173" s="17"/>
      <c r="Q173" s="17"/>
      <c r="R173" s="94"/>
      <c r="S173" s="17"/>
      <c r="T173" s="17"/>
      <c r="U173" s="17"/>
      <c r="V173" s="17"/>
      <c r="W173" s="94"/>
      <c r="X173" s="94"/>
      <c r="Y173" s="94"/>
      <c r="Z173" s="94"/>
      <c r="AA173" s="94"/>
      <c r="AB173" s="94"/>
      <c r="AC173" s="94"/>
      <c r="AD173" s="94"/>
      <c r="AE173" s="94"/>
      <c r="AF173" s="94"/>
      <c r="AG173" s="94"/>
      <c r="AH173" s="94"/>
      <c r="AI173" s="94"/>
      <c r="AJ173" s="94"/>
      <c r="AK173" s="94"/>
      <c r="AL173" s="94"/>
      <c r="AM173" s="94"/>
      <c r="AN173" s="94"/>
      <c r="AO173" s="94"/>
      <c r="AP173" s="94"/>
      <c r="AQ173" s="94"/>
      <c r="AR173" s="94"/>
      <c r="AS173" s="94"/>
      <c r="AT173" s="94"/>
      <c r="AU173" s="94"/>
      <c r="AV173" s="94"/>
      <c r="AW173" s="94"/>
      <c r="AX173" s="94"/>
      <c r="AY173" s="94"/>
      <c r="AZ173" s="94"/>
      <c r="BA173" s="94"/>
      <c r="BB173" s="94"/>
      <c r="BC173" s="94"/>
      <c r="BD173" s="94"/>
      <c r="BE173" s="94"/>
      <c r="BF173" s="160"/>
      <c r="BG173" s="94"/>
      <c r="BH173" s="94"/>
      <c r="BI173" s="94"/>
      <c r="BJ173" s="94"/>
      <c r="BK173" s="91">
        <f>+BK161/BF161-1</f>
        <v>1.1126959801956855</v>
      </c>
      <c r="BL173" s="94"/>
      <c r="BM173" s="94"/>
      <c r="BN173" s="94"/>
      <c r="BO173" s="94"/>
      <c r="BP173" s="91">
        <f>+BP161/BK161-1</f>
        <v>1.2284901238701038</v>
      </c>
      <c r="BQ173" s="94"/>
      <c r="BR173" s="94"/>
      <c r="BS173" s="94"/>
      <c r="BT173" s="94"/>
      <c r="BU173" s="729">
        <f>+BU161/BP161-1</f>
        <v>0.99603144795813603</v>
      </c>
      <c r="BV173" s="94"/>
      <c r="BW173" s="94"/>
      <c r="BX173" s="94"/>
      <c r="BZ173" s="729">
        <f>+BZ161/BU161-1</f>
        <v>0.95051398967630307</v>
      </c>
      <c r="CA173" s="94"/>
      <c r="CB173" s="94"/>
      <c r="CC173" s="94"/>
      <c r="CE173" s="729">
        <f>+CE161/BZ161-1</f>
        <v>0.69264730471915303</v>
      </c>
      <c r="CF173" s="94"/>
      <c r="CG173" s="94"/>
      <c r="CH173" s="94"/>
      <c r="CJ173" s="729">
        <f>+CJ161/CE161-1</f>
        <v>0.569602939248812</v>
      </c>
      <c r="CK173" s="94"/>
      <c r="CL173" s="94"/>
      <c r="CM173" s="94"/>
      <c r="CO173" s="729">
        <f>+CO161/CJ161-1</f>
        <v>0.42295831174929943</v>
      </c>
      <c r="CP173" s="94"/>
      <c r="CQ173" s="94"/>
      <c r="CR173" s="94"/>
      <c r="CT173" s="729">
        <f>+CT161/CO161-1</f>
        <v>0.82601676635297783</v>
      </c>
      <c r="CU173" s="94"/>
      <c r="CV173" s="94"/>
      <c r="CW173" s="94"/>
      <c r="CY173" s="729">
        <f>+CY161/CT161-1</f>
        <v>0.53296075229198836</v>
      </c>
      <c r="CZ173" s="99"/>
      <c r="DA173" s="99"/>
      <c r="DB173" s="94"/>
      <c r="DD173" s="729">
        <f>+DD161/CY161-1</f>
        <v>0.23549073230021267</v>
      </c>
      <c r="DE173" s="99"/>
      <c r="DF173" s="99"/>
      <c r="DG173" s="94"/>
      <c r="DI173" s="729">
        <f>+DI161/DD161-1</f>
        <v>0.23880964092474177</v>
      </c>
      <c r="DJ173" s="93"/>
      <c r="DK173" s="99"/>
      <c r="DL173" s="94"/>
      <c r="DM173" s="94"/>
      <c r="DN173" s="729">
        <f>+DN161/DI161-1</f>
        <v>0.22910462576930724</v>
      </c>
      <c r="DO173" s="94"/>
      <c r="DP173" s="129"/>
      <c r="DQ173" s="129"/>
      <c r="DR173" s="94"/>
      <c r="DS173" s="729">
        <f t="shared" ref="DS173:DU175" si="430">+DS161/DN161-1</f>
        <v>0.27572282345340016</v>
      </c>
      <c r="DT173" s="90">
        <f t="shared" si="430"/>
        <v>0.32756489493201491</v>
      </c>
      <c r="DU173" s="90">
        <f t="shared" si="430"/>
        <v>0.34657594381035994</v>
      </c>
      <c r="DV173" s="94"/>
      <c r="DW173" s="94"/>
      <c r="DX173" s="729">
        <f>+DX161/DS161-1</f>
        <v>0.32206842419936055</v>
      </c>
      <c r="DY173" s="99"/>
      <c r="DZ173" s="99"/>
      <c r="EA173" s="94"/>
      <c r="EB173" s="94"/>
      <c r="EC173" s="729">
        <f>+EC161/DX161-1</f>
        <v>0.2578260556801848</v>
      </c>
      <c r="ED173" s="99"/>
      <c r="EE173" s="99"/>
      <c r="EF173" s="94"/>
      <c r="EG173" s="94"/>
      <c r="EH173" s="729">
        <f>+EH161/EC161-1</f>
        <v>0.19129472735906283</v>
      </c>
      <c r="EI173" s="99"/>
      <c r="EJ173" s="99"/>
      <c r="EK173" s="94"/>
      <c r="EL173" s="94"/>
      <c r="EM173" s="729">
        <f>+EM161/EH161-1</f>
        <v>0.16171902894246304</v>
      </c>
      <c r="EN173" s="99"/>
      <c r="EO173" s="99"/>
      <c r="EP173" s="94"/>
      <c r="EQ173" s="94"/>
      <c r="ER173" s="729">
        <f>+ER161/EM161-1</f>
        <v>0.14346460723684151</v>
      </c>
      <c r="ES173" s="94"/>
    </row>
    <row r="174" spans="1:149">
      <c r="A174" s="929"/>
      <c r="B174" s="94"/>
      <c r="C174" s="1030" t="s">
        <v>169</v>
      </c>
      <c r="D174" s="17"/>
      <c r="E174" s="17"/>
      <c r="F174" s="17"/>
      <c r="G174" s="17"/>
      <c r="H174" s="17"/>
      <c r="I174" s="17"/>
      <c r="J174" s="17"/>
      <c r="K174" s="17"/>
      <c r="L174" s="17"/>
      <c r="M174" s="94"/>
      <c r="N174" s="17"/>
      <c r="O174" s="17"/>
      <c r="P174" s="17"/>
      <c r="Q174" s="17"/>
      <c r="R174" s="94"/>
      <c r="S174" s="17"/>
      <c r="T174" s="17"/>
      <c r="U174" s="17"/>
      <c r="V174" s="17"/>
      <c r="W174" s="94"/>
      <c r="X174" s="94"/>
      <c r="Y174" s="94"/>
      <c r="Z174" s="94"/>
      <c r="AA174" s="94"/>
      <c r="AB174" s="94"/>
      <c r="AC174" s="94"/>
      <c r="AD174" s="94"/>
      <c r="AE174" s="94"/>
      <c r="AF174" s="94"/>
      <c r="AG174" s="94"/>
      <c r="AH174" s="94"/>
      <c r="AI174" s="94"/>
      <c r="AJ174" s="94"/>
      <c r="AK174" s="94"/>
      <c r="AL174" s="94"/>
      <c r="AM174" s="94"/>
      <c r="AN174" s="94"/>
      <c r="AO174" s="94"/>
      <c r="AP174" s="94"/>
      <c r="AQ174" s="94"/>
      <c r="AR174" s="94"/>
      <c r="AS174" s="94"/>
      <c r="AT174" s="94"/>
      <c r="AU174" s="94"/>
      <c r="AV174" s="94"/>
      <c r="AW174" s="94"/>
      <c r="AX174" s="94"/>
      <c r="AY174" s="94"/>
      <c r="AZ174" s="94"/>
      <c r="BA174" s="94"/>
      <c r="BB174" s="94"/>
      <c r="BC174" s="94"/>
      <c r="BD174" s="1004"/>
      <c r="BE174" s="94"/>
      <c r="BF174" s="239"/>
      <c r="BG174" s="94"/>
      <c r="BH174" s="94"/>
      <c r="BI174" s="94"/>
      <c r="BJ174" s="94"/>
      <c r="BK174" s="91">
        <f>+BK162/BF162-1</f>
        <v>1.2131678359417162</v>
      </c>
      <c r="BL174" s="94"/>
      <c r="BM174" s="94"/>
      <c r="BN174" s="94"/>
      <c r="BO174" s="94"/>
      <c r="BP174" s="91">
        <f>+BP162/BK162-1</f>
        <v>0.8846622774932944</v>
      </c>
      <c r="BQ174" s="94"/>
      <c r="BR174" s="94"/>
      <c r="BS174" s="94"/>
      <c r="BU174" s="729">
        <f>+BU162/BP162-1</f>
        <v>0.90076335877862612</v>
      </c>
      <c r="BV174" s="94"/>
      <c r="BW174" s="94"/>
      <c r="BX174" s="94"/>
      <c r="BZ174" s="729">
        <f>+BZ162/BU162-1</f>
        <v>0.8305765434619834</v>
      </c>
      <c r="CA174" s="94"/>
      <c r="CB174" s="94"/>
      <c r="CC174" s="94"/>
      <c r="CE174" s="729">
        <f>+CE162/BZ162-1</f>
        <v>0.78882980701297734</v>
      </c>
      <c r="CF174" s="94"/>
      <c r="CG174" s="94"/>
      <c r="CH174" s="94"/>
      <c r="CJ174" s="729">
        <f>+CJ162/CE162-1</f>
        <v>0.47117883052362441</v>
      </c>
      <c r="CK174" s="94"/>
      <c r="CL174" s="94"/>
      <c r="CM174" s="94"/>
      <c r="CO174" s="729">
        <f>+CO162/CJ162-1</f>
        <v>0.3588040805945687</v>
      </c>
      <c r="CP174" s="94"/>
      <c r="CQ174" s="94"/>
      <c r="CR174" s="94"/>
      <c r="CT174" s="729">
        <f>+CT162/CO162-1</f>
        <v>1.004003410697945</v>
      </c>
      <c r="CU174" s="94"/>
      <c r="CV174" s="94"/>
      <c r="CW174" s="94"/>
      <c r="CY174" s="729">
        <f>+CY162/CT162-1</f>
        <v>0.64486485645051661</v>
      </c>
      <c r="CZ174" s="99"/>
      <c r="DA174" s="99"/>
      <c r="DB174" s="94"/>
      <c r="DD174" s="729">
        <f>+DD162/CY162-1</f>
        <v>9.1482649842271391E-2</v>
      </c>
      <c r="DE174" s="99"/>
      <c r="DF174" s="99"/>
      <c r="DG174" s="94"/>
      <c r="DI174" s="729">
        <f>+DI162/DD162-1</f>
        <v>0.12138728323699421</v>
      </c>
      <c r="DJ174" s="93"/>
      <c r="DK174" s="99"/>
      <c r="DL174" s="94"/>
      <c r="DM174" s="94"/>
      <c r="DN174" s="729">
        <f>+DN162/DI162-1</f>
        <v>0.24484536082474229</v>
      </c>
      <c r="DO174" s="94"/>
      <c r="DP174" s="129"/>
      <c r="DQ174" s="129"/>
      <c r="DR174" s="94"/>
      <c r="DS174" s="729">
        <f t="shared" si="430"/>
        <v>0.17391304347826098</v>
      </c>
      <c r="DT174" s="90">
        <f t="shared" si="430"/>
        <v>0.23529411764705888</v>
      </c>
      <c r="DU174" s="90" t="e">
        <f t="shared" si="430"/>
        <v>#VALUE!</v>
      </c>
      <c r="DV174" s="1034"/>
      <c r="DW174" s="1034"/>
      <c r="DX174" s="732">
        <v>0.09</v>
      </c>
      <c r="DY174" s="1061"/>
      <c r="DZ174" s="1061"/>
      <c r="EA174" s="1034"/>
      <c r="EB174" s="1034"/>
      <c r="EC174" s="732">
        <v>0.09</v>
      </c>
      <c r="ED174" s="1061"/>
      <c r="EE174" s="1061"/>
      <c r="EF174" s="1034"/>
      <c r="EG174" s="1034"/>
      <c r="EH174" s="732">
        <v>0.09</v>
      </c>
      <c r="EI174" s="1061"/>
      <c r="EJ174" s="1061"/>
      <c r="EK174" s="1034"/>
      <c r="EL174" s="1034"/>
      <c r="EM174" s="732">
        <v>0.09</v>
      </c>
      <c r="EN174" s="1061"/>
      <c r="EO174" s="1061"/>
      <c r="EP174" s="1034"/>
      <c r="EQ174" s="1034"/>
      <c r="ER174" s="732">
        <v>0.09</v>
      </c>
      <c r="ES174" s="94"/>
    </row>
    <row r="175" spans="1:149">
      <c r="A175" s="929"/>
      <c r="B175" s="94"/>
      <c r="C175" s="1030" t="s">
        <v>304</v>
      </c>
      <c r="D175" s="17"/>
      <c r="E175" s="17"/>
      <c r="F175" s="17"/>
      <c r="G175" s="17"/>
      <c r="H175" s="17"/>
      <c r="I175" s="17"/>
      <c r="J175" s="17"/>
      <c r="K175" s="17"/>
      <c r="L175" s="17"/>
      <c r="M175" s="94"/>
      <c r="N175" s="17"/>
      <c r="O175" s="17"/>
      <c r="P175" s="17"/>
      <c r="Q175" s="17"/>
      <c r="R175" s="94"/>
      <c r="S175" s="17"/>
      <c r="T175" s="17"/>
      <c r="U175" s="17"/>
      <c r="V175" s="17"/>
      <c r="W175" s="94"/>
      <c r="X175" s="94"/>
      <c r="Y175" s="94"/>
      <c r="Z175" s="94"/>
      <c r="AA175" s="94"/>
      <c r="AB175" s="94"/>
      <c r="AC175" s="94"/>
      <c r="AD175" s="94"/>
      <c r="AE175" s="94"/>
      <c r="AF175" s="94"/>
      <c r="AG175" s="94"/>
      <c r="AH175" s="94"/>
      <c r="AI175" s="94"/>
      <c r="AJ175" s="94"/>
      <c r="AK175" s="94"/>
      <c r="AL175" s="94"/>
      <c r="AM175" s="94"/>
      <c r="AN175" s="94"/>
      <c r="AO175" s="94"/>
      <c r="AP175" s="94"/>
      <c r="AQ175" s="94"/>
      <c r="AR175" s="94"/>
      <c r="AS175" s="94"/>
      <c r="AT175" s="94"/>
      <c r="AU175" s="94"/>
      <c r="AV175" s="94"/>
      <c r="AW175" s="94"/>
      <c r="AX175" s="94"/>
      <c r="AY175" s="94"/>
      <c r="AZ175" s="94"/>
      <c r="BA175" s="94"/>
      <c r="BB175" s="94"/>
      <c r="BC175" s="94"/>
      <c r="BD175" s="94"/>
      <c r="BE175" s="94"/>
      <c r="BF175" s="239"/>
      <c r="BG175" s="94"/>
      <c r="BH175" s="94"/>
      <c r="BI175" s="94"/>
      <c r="BJ175" s="94"/>
      <c r="BK175" s="91">
        <f>+BK163/BF163-1</f>
        <v>1.1003771587375106</v>
      </c>
      <c r="BL175" s="94"/>
      <c r="BM175" s="94"/>
      <c r="BN175" s="94"/>
      <c r="BO175" s="94"/>
      <c r="BP175" s="91">
        <f>+BP163/BK163-1</f>
        <v>1.2729105629587627</v>
      </c>
      <c r="BQ175" s="94"/>
      <c r="BR175" s="94"/>
      <c r="BS175" s="94"/>
      <c r="BU175" s="729">
        <f>+BU163/BP163-1</f>
        <v>1.0062370926831972</v>
      </c>
      <c r="BV175" s="94"/>
      <c r="BW175" s="94"/>
      <c r="BX175" s="94"/>
      <c r="BZ175" s="729">
        <f>+BZ163/BU163-1</f>
        <v>0.96268687650261175</v>
      </c>
      <c r="CA175" s="94"/>
      <c r="CB175" s="94"/>
      <c r="CC175" s="94"/>
      <c r="CE175" s="729">
        <f>+CE163/BZ163-1</f>
        <v>0.68354247698833115</v>
      </c>
      <c r="CF175" s="94"/>
      <c r="CG175" s="94"/>
      <c r="CH175" s="94"/>
      <c r="CJ175" s="729">
        <f>+CJ163/CE163-1</f>
        <v>0.57950264067942592</v>
      </c>
      <c r="CK175" s="94"/>
      <c r="CL175" s="94"/>
      <c r="CM175" s="94"/>
      <c r="CO175" s="729">
        <f>+CO163/CJ163-1</f>
        <v>0.42896854077150959</v>
      </c>
      <c r="CP175" s="94"/>
      <c r="CQ175" s="94"/>
      <c r="CR175" s="94"/>
      <c r="CT175" s="729">
        <f>+CT163/CO163-1</f>
        <v>0.81016099748036163</v>
      </c>
      <c r="CU175" s="94"/>
      <c r="CV175" s="94"/>
      <c r="CW175" s="94"/>
      <c r="CY175" s="729">
        <f>+CY163/CT163-1</f>
        <v>0.52192435923351099</v>
      </c>
      <c r="CZ175" s="99"/>
      <c r="DA175" s="99"/>
      <c r="DB175" s="94"/>
      <c r="DD175" s="729">
        <f>+DD163/CY163-1</f>
        <v>0.25084061869535978</v>
      </c>
      <c r="DE175" s="99"/>
      <c r="DF175" s="99"/>
      <c r="DG175" s="94"/>
      <c r="DI175" s="729">
        <f>+DI163/DD163-1</f>
        <v>0.24973118279569895</v>
      </c>
      <c r="DJ175" s="93"/>
      <c r="DK175" s="99"/>
      <c r="DL175" s="94"/>
      <c r="DM175" s="94"/>
      <c r="DN175" s="729">
        <f>+DN163/DI163-1</f>
        <v>0.22779092277909219</v>
      </c>
      <c r="DO175" s="94"/>
      <c r="DP175" s="129"/>
      <c r="DQ175" s="129"/>
      <c r="DR175" s="94"/>
      <c r="DS175" s="729">
        <f t="shared" si="430"/>
        <v>0.28433777154870366</v>
      </c>
      <c r="DT175" s="90">
        <f t="shared" si="430"/>
        <v>0.33488992661774519</v>
      </c>
      <c r="DU175" s="90">
        <f t="shared" si="430"/>
        <v>0.34057545507927189</v>
      </c>
      <c r="DV175" s="1034"/>
      <c r="DW175" s="1034"/>
      <c r="DX175" s="729">
        <f>+DX163/DS163-1</f>
        <v>0.34001724380392173</v>
      </c>
      <c r="DY175" s="1061"/>
      <c r="DZ175" s="1061"/>
      <c r="EA175" s="1034"/>
      <c r="EB175" s="1034"/>
      <c r="EC175" s="729">
        <f>+EC163/DX163-1</f>
        <v>0.26838438826370581</v>
      </c>
      <c r="ED175" s="1061"/>
      <c r="EE175" s="1061"/>
      <c r="EF175" s="1034"/>
      <c r="EG175" s="1034"/>
      <c r="EH175" s="729">
        <f>+EH163/EC163-1</f>
        <v>0.19677116819433005</v>
      </c>
      <c r="EI175" s="1061"/>
      <c r="EJ175" s="1061"/>
      <c r="EK175" s="1034"/>
      <c r="EL175" s="1034"/>
      <c r="EM175" s="729">
        <f>+EM163/EH163-1</f>
        <v>0.16525054626612312</v>
      </c>
      <c r="EN175" s="1061"/>
      <c r="EO175" s="1061"/>
      <c r="EP175" s="1034"/>
      <c r="EQ175" s="1034"/>
      <c r="ER175" s="729">
        <f>+ER163/EM163-1</f>
        <v>0.1459272448239064</v>
      </c>
      <c r="ES175" s="94"/>
    </row>
    <row r="176" spans="1:149">
      <c r="A176" s="929"/>
      <c r="B176" s="94"/>
      <c r="C176" s="1030"/>
      <c r="D176" s="17"/>
      <c r="E176" s="17"/>
      <c r="F176" s="17"/>
      <c r="G176" s="17"/>
      <c r="H176" s="17"/>
      <c r="I176" s="17"/>
      <c r="J176" s="17"/>
      <c r="K176" s="17"/>
      <c r="L176" s="17"/>
      <c r="M176" s="94"/>
      <c r="N176" s="17"/>
      <c r="O176" s="17"/>
      <c r="P176" s="17"/>
      <c r="Q176" s="17"/>
      <c r="R176" s="94"/>
      <c r="S176" s="17"/>
      <c r="T176" s="17"/>
      <c r="U176" s="17"/>
      <c r="V176" s="17"/>
      <c r="W176" s="94"/>
      <c r="X176" s="94"/>
      <c r="Y176" s="94"/>
      <c r="Z176" s="94"/>
      <c r="AA176" s="94"/>
      <c r="AB176" s="94"/>
      <c r="AC176" s="94"/>
      <c r="AD176" s="94"/>
      <c r="AE176" s="94"/>
      <c r="AF176" s="94"/>
      <c r="AG176" s="94"/>
      <c r="AH176" s="94"/>
      <c r="AI176" s="94"/>
      <c r="AJ176" s="94"/>
      <c r="AK176" s="94"/>
      <c r="AL176" s="94"/>
      <c r="AM176" s="94"/>
      <c r="AN176" s="94"/>
      <c r="AO176" s="94"/>
      <c r="AP176" s="94"/>
      <c r="AQ176" s="94"/>
      <c r="AR176" s="94"/>
      <c r="AS176" s="94"/>
      <c r="AT176" s="94"/>
      <c r="AU176" s="94"/>
      <c r="AV176" s="94"/>
      <c r="AW176" s="94"/>
      <c r="AX176" s="94"/>
      <c r="AY176" s="94"/>
      <c r="AZ176" s="94"/>
      <c r="BA176" s="94"/>
      <c r="BB176" s="94"/>
      <c r="BC176" s="94"/>
      <c r="BD176" s="94"/>
      <c r="BE176" s="94"/>
      <c r="BF176" s="239"/>
      <c r="BG176" s="94"/>
      <c r="BH176" s="94"/>
      <c r="BI176" s="94"/>
      <c r="BJ176" s="94"/>
      <c r="BK176" s="91"/>
      <c r="BL176" s="94"/>
      <c r="BM176" s="94"/>
      <c r="BN176" s="94"/>
      <c r="BO176" s="94"/>
      <c r="BP176" s="91"/>
      <c r="BQ176" s="94"/>
      <c r="BR176" s="94"/>
      <c r="BS176" s="94"/>
      <c r="BU176" s="729"/>
      <c r="BV176" s="94"/>
      <c r="BW176" s="94"/>
      <c r="BX176" s="94"/>
      <c r="BZ176" s="729"/>
      <c r="CA176" s="94"/>
      <c r="CB176" s="94"/>
      <c r="CC176" s="94"/>
      <c r="CE176" s="729"/>
      <c r="CF176" s="94"/>
      <c r="CG176" s="94"/>
      <c r="CH176" s="94"/>
      <c r="CJ176" s="729"/>
      <c r="CK176" s="94"/>
      <c r="CL176" s="94"/>
      <c r="CM176" s="94"/>
      <c r="CO176" s="729"/>
      <c r="CP176" s="94"/>
      <c r="CQ176" s="94"/>
      <c r="CR176" s="94"/>
      <c r="CT176" s="729"/>
      <c r="CU176" s="94"/>
      <c r="CV176" s="94"/>
      <c r="CW176" s="94"/>
      <c r="CY176" s="729"/>
      <c r="CZ176" s="99"/>
      <c r="DA176" s="99"/>
      <c r="DB176" s="94"/>
      <c r="DD176" s="729"/>
      <c r="DE176" s="99"/>
      <c r="DF176" s="99"/>
      <c r="DG176" s="94"/>
      <c r="DI176" s="729"/>
      <c r="DJ176" s="93"/>
      <c r="DK176" s="99"/>
      <c r="DL176" s="94"/>
      <c r="DM176" s="94"/>
      <c r="DN176" s="729"/>
      <c r="DO176" s="94"/>
      <c r="DP176" s="129"/>
      <c r="DQ176" s="129"/>
      <c r="DR176" s="94"/>
      <c r="DS176" s="729"/>
      <c r="DT176" s="90">
        <f>+DT164/DO164-1</f>
        <v>0.41648590021691967</v>
      </c>
      <c r="DU176" s="90">
        <f>+DU164/DP164-1</f>
        <v>0.35272045028142585</v>
      </c>
      <c r="DV176" s="1034"/>
      <c r="DW176" s="1034"/>
      <c r="DX176" s="729"/>
      <c r="DY176" s="1061"/>
      <c r="DZ176" s="1061"/>
      <c r="EA176" s="1034"/>
      <c r="EB176" s="1034"/>
      <c r="EC176" s="729"/>
      <c r="ED176" s="1061"/>
      <c r="EE176" s="1061"/>
      <c r="EF176" s="1034"/>
      <c r="EG176" s="1034"/>
      <c r="EH176" s="729"/>
      <c r="EI176" s="1061"/>
      <c r="EJ176" s="1061"/>
      <c r="EK176" s="1034"/>
      <c r="EL176" s="1034"/>
      <c r="EM176" s="729"/>
      <c r="EN176" s="1061"/>
      <c r="EO176" s="1061"/>
      <c r="EP176" s="1034"/>
      <c r="EQ176" s="1034"/>
      <c r="ER176" s="729"/>
      <c r="ES176" s="94"/>
    </row>
    <row r="177" spans="1:149">
      <c r="A177" s="929"/>
      <c r="B177" s="94"/>
      <c r="C177" s="1031" t="s">
        <v>305</v>
      </c>
      <c r="D177" s="17"/>
      <c r="E177" s="17"/>
      <c r="F177" s="17"/>
      <c r="G177" s="17"/>
      <c r="H177" s="17"/>
      <c r="I177" s="17"/>
      <c r="J177" s="17"/>
      <c r="K177" s="17"/>
      <c r="L177" s="17"/>
      <c r="M177" s="94"/>
      <c r="N177" s="17"/>
      <c r="O177" s="17"/>
      <c r="P177" s="17"/>
      <c r="Q177" s="17"/>
      <c r="R177" s="94"/>
      <c r="S177" s="17"/>
      <c r="T177" s="17"/>
      <c r="U177" s="17"/>
      <c r="V177" s="17"/>
      <c r="W177" s="94"/>
      <c r="X177" s="94"/>
      <c r="Y177" s="94"/>
      <c r="Z177" s="94"/>
      <c r="AA177" s="94"/>
      <c r="AB177" s="94"/>
      <c r="AC177" s="94"/>
      <c r="AD177" s="94"/>
      <c r="AE177" s="94"/>
      <c r="AF177" s="94"/>
      <c r="AG177" s="94"/>
      <c r="AH177" s="94"/>
      <c r="AI177" s="94"/>
      <c r="AJ177" s="94"/>
      <c r="AK177" s="94"/>
      <c r="AL177" s="94"/>
      <c r="AM177" s="94"/>
      <c r="AN177" s="94"/>
      <c r="AO177" s="94"/>
      <c r="AP177" s="94"/>
      <c r="AQ177" s="94"/>
      <c r="AR177" s="94"/>
      <c r="AS177" s="94"/>
      <c r="AT177" s="94"/>
      <c r="AU177" s="94"/>
      <c r="AV177" s="94"/>
      <c r="AW177" s="94"/>
      <c r="AX177" s="94"/>
      <c r="AY177" s="94"/>
      <c r="AZ177" s="94"/>
      <c r="BA177" s="94"/>
      <c r="BB177" s="94"/>
      <c r="BC177" s="94"/>
      <c r="BD177" s="94"/>
      <c r="BE177" s="94"/>
      <c r="BF177" s="239"/>
      <c r="BG177" s="94"/>
      <c r="BH177" s="94"/>
      <c r="BI177" s="94"/>
      <c r="BJ177" s="94"/>
      <c r="BK177" s="91"/>
      <c r="BL177" s="94"/>
      <c r="BM177" s="94"/>
      <c r="BN177" s="94"/>
      <c r="BO177" s="94"/>
      <c r="BP177" s="91"/>
      <c r="BQ177" s="94"/>
      <c r="BR177" s="94"/>
      <c r="BS177" s="94"/>
      <c r="BU177" s="729"/>
      <c r="BV177" s="94"/>
      <c r="BW177" s="94"/>
      <c r="BX177" s="94"/>
      <c r="BZ177" s="729"/>
      <c r="CA177" s="94"/>
      <c r="CB177" s="94"/>
      <c r="CC177" s="94"/>
      <c r="CE177" s="729"/>
      <c r="CF177" s="94"/>
      <c r="CG177" s="94"/>
      <c r="CH177" s="94"/>
      <c r="CJ177" s="729"/>
      <c r="CK177" s="94"/>
      <c r="CL177" s="94"/>
      <c r="CM177" s="94"/>
      <c r="CO177" s="729"/>
      <c r="CP177" s="94"/>
      <c r="CQ177" s="94"/>
      <c r="CR177" s="94"/>
      <c r="CT177" s="729"/>
      <c r="CU177" s="94"/>
      <c r="CV177" s="94"/>
      <c r="CW177" s="94"/>
      <c r="CY177" s="729">
        <f>+CY165/CT165-1</f>
        <v>0.75886974457865275</v>
      </c>
      <c r="CZ177" s="99"/>
      <c r="DA177" s="99"/>
      <c r="DB177" s="94"/>
      <c r="DD177" s="729">
        <f>+DD165/CY165-1</f>
        <v>0.14768460575719655</v>
      </c>
      <c r="DE177" s="99"/>
      <c r="DF177" s="99"/>
      <c r="DG177" s="94"/>
      <c r="DI177" s="729">
        <f>+DI165/DD165-1</f>
        <v>0.36859323882224637</v>
      </c>
      <c r="DJ177" s="93"/>
      <c r="DK177" s="99"/>
      <c r="DL177" s="94"/>
      <c r="DM177" s="94"/>
      <c r="DN177" s="729">
        <f>+DN165/DI165-1</f>
        <v>0.36015936254980074</v>
      </c>
      <c r="DO177" s="94"/>
      <c r="DP177" s="129"/>
      <c r="DQ177" s="129"/>
      <c r="DR177" s="94"/>
      <c r="DS177" s="729">
        <f>+DS165/DN165-1</f>
        <v>0.42120679554774454</v>
      </c>
      <c r="DT177" s="90"/>
      <c r="DU177" s="90"/>
      <c r="DV177" s="1034"/>
      <c r="DW177" s="1034"/>
      <c r="DX177" s="732">
        <v>0.28999999999999998</v>
      </c>
      <c r="DY177" s="1061"/>
      <c r="DZ177" s="1061"/>
      <c r="EA177" s="1034"/>
      <c r="EB177" s="1034"/>
      <c r="EC177" s="732">
        <v>0.25</v>
      </c>
      <c r="ED177" s="1061"/>
      <c r="EE177" s="1061"/>
      <c r="EF177" s="1034"/>
      <c r="EG177" s="1034"/>
      <c r="EH177" s="732">
        <v>0.25</v>
      </c>
      <c r="EI177" s="1061"/>
      <c r="EJ177" s="1061"/>
      <c r="EK177" s="1034"/>
      <c r="EL177" s="1034"/>
      <c r="EM177" s="732">
        <v>0.25</v>
      </c>
      <c r="EN177" s="1061"/>
      <c r="EO177" s="1061"/>
      <c r="EP177" s="1034"/>
      <c r="EQ177" s="1034"/>
      <c r="ER177" s="732">
        <v>0.25</v>
      </c>
      <c r="ES177" s="94"/>
    </row>
    <row r="178" spans="1:149">
      <c r="A178" s="929"/>
      <c r="B178" s="94"/>
      <c r="C178" s="1030" t="s">
        <v>598</v>
      </c>
      <c r="D178" s="17"/>
      <c r="E178" s="17"/>
      <c r="F178" s="17"/>
      <c r="G178" s="17"/>
      <c r="H178" s="17"/>
      <c r="I178" s="17"/>
      <c r="J178" s="17"/>
      <c r="K178" s="17"/>
      <c r="L178" s="17"/>
      <c r="M178" s="94"/>
      <c r="N178" s="17"/>
      <c r="O178" s="17"/>
      <c r="P178" s="17"/>
      <c r="Q178" s="17"/>
      <c r="R178" s="94"/>
      <c r="S178" s="17"/>
      <c r="T178" s="17"/>
      <c r="U178" s="17"/>
      <c r="V178" s="17"/>
      <c r="W178" s="94"/>
      <c r="X178" s="94"/>
      <c r="Y178" s="94"/>
      <c r="Z178" s="94"/>
      <c r="AA178" s="94"/>
      <c r="AB178" s="94"/>
      <c r="AC178" s="94"/>
      <c r="AD178" s="94"/>
      <c r="AE178" s="94"/>
      <c r="AF178" s="94"/>
      <c r="AG178" s="94"/>
      <c r="AH178" s="94"/>
      <c r="AI178" s="94"/>
      <c r="AJ178" s="94"/>
      <c r="AK178" s="94"/>
      <c r="AL178" s="94"/>
      <c r="AM178" s="94"/>
      <c r="AN178" s="94"/>
      <c r="AO178" s="94"/>
      <c r="AP178" s="94"/>
      <c r="AQ178" s="94"/>
      <c r="AR178" s="94"/>
      <c r="AS178" s="94"/>
      <c r="AT178" s="94"/>
      <c r="AU178" s="94"/>
      <c r="AV178" s="94"/>
      <c r="AW178" s="94"/>
      <c r="AX178" s="94"/>
      <c r="AY178" s="94"/>
      <c r="AZ178" s="94"/>
      <c r="BA178" s="94"/>
      <c r="BB178" s="94"/>
      <c r="BC178" s="94"/>
      <c r="BD178" s="94"/>
      <c r="BE178" s="94"/>
      <c r="BF178" s="239"/>
      <c r="BG178" s="94"/>
      <c r="BH178" s="94"/>
      <c r="BI178" s="94"/>
      <c r="BJ178" s="94"/>
      <c r="BK178" s="91">
        <f>+BK166/BF166-1</f>
        <v>1.0970287836583106</v>
      </c>
      <c r="BL178" s="94"/>
      <c r="BM178" s="94"/>
      <c r="BN178" s="94"/>
      <c r="BO178" s="94"/>
      <c r="BP178" s="91">
        <f>+BP166/BK166-1</f>
        <v>0.75160504759796321</v>
      </c>
      <c r="BQ178" s="94"/>
      <c r="BR178" s="94"/>
      <c r="BS178" s="94"/>
      <c r="BU178" s="729">
        <f>+BU166/BP166-1</f>
        <v>0.95096056622851366</v>
      </c>
      <c r="BV178" s="94"/>
      <c r="BW178" s="94"/>
      <c r="BX178" s="94"/>
      <c r="BZ178" s="729">
        <f>+BZ166/BU166-1</f>
        <v>0.68165327805130849</v>
      </c>
      <c r="CA178" s="94"/>
      <c r="CB178" s="94"/>
      <c r="CC178" s="94"/>
      <c r="CE178" s="729">
        <f>+CE166/BZ166-1</f>
        <v>0.71777486709299665</v>
      </c>
      <c r="CF178" s="94"/>
      <c r="CG178" s="94"/>
      <c r="CH178" s="94"/>
      <c r="CJ178" s="729">
        <f>+CJ166/CE166-1</f>
        <v>0.56079838528818127</v>
      </c>
      <c r="CK178" s="94"/>
      <c r="CL178" s="94"/>
      <c r="CM178" s="94"/>
      <c r="CO178" s="729">
        <f>+CO166/CJ166-1</f>
        <v>0.48712569687913088</v>
      </c>
      <c r="CP178" s="94"/>
      <c r="CQ178" s="94"/>
      <c r="CR178" s="94"/>
      <c r="CT178" s="729">
        <f>+CT166/CO166-1</f>
        <v>0.93071363697849208</v>
      </c>
      <c r="CU178" s="94"/>
      <c r="CV178" s="94"/>
      <c r="CW178" s="94"/>
      <c r="CY178" s="729"/>
      <c r="CZ178" s="99"/>
      <c r="DA178" s="99"/>
      <c r="DB178" s="94"/>
      <c r="DD178" s="729"/>
      <c r="DE178" s="99"/>
      <c r="DF178" s="99"/>
      <c r="DG178" s="94"/>
      <c r="DI178" s="729"/>
      <c r="DJ178" s="93"/>
      <c r="DK178" s="99"/>
      <c r="DL178" s="94"/>
      <c r="DM178" s="94"/>
      <c r="DN178" s="729"/>
      <c r="DO178" s="94"/>
      <c r="DP178" s="129"/>
      <c r="DQ178" s="129"/>
      <c r="DR178" s="94"/>
      <c r="DS178" s="729"/>
      <c r="DT178" s="99"/>
      <c r="DU178" s="99"/>
      <c r="DV178" s="94"/>
      <c r="DW178" s="94"/>
      <c r="DX178" s="729"/>
      <c r="DY178" s="99"/>
      <c r="DZ178" s="99"/>
      <c r="EA178" s="94"/>
      <c r="EB178" s="94"/>
      <c r="EC178" s="729"/>
      <c r="ED178" s="99"/>
      <c r="EE178" s="99"/>
      <c r="EF178" s="94"/>
      <c r="EG178" s="94"/>
      <c r="EH178" s="729"/>
      <c r="EI178" s="99"/>
      <c r="EJ178" s="99"/>
      <c r="EK178" s="94"/>
      <c r="EL178" s="94"/>
      <c r="EM178" s="729"/>
      <c r="EN178" s="99"/>
      <c r="EO178" s="99"/>
      <c r="EP178" s="94"/>
      <c r="EQ178" s="94"/>
      <c r="ER178" s="729"/>
      <c r="ES178" s="94"/>
    </row>
    <row r="179" spans="1:149">
      <c r="A179" s="929"/>
      <c r="B179" s="94"/>
      <c r="C179" s="592" t="s">
        <v>307</v>
      </c>
      <c r="D179" s="17"/>
      <c r="E179" s="17"/>
      <c r="F179" s="17"/>
      <c r="G179" s="17"/>
      <c r="H179" s="17"/>
      <c r="I179" s="17"/>
      <c r="J179" s="17"/>
      <c r="K179" s="17"/>
      <c r="L179" s="17"/>
      <c r="M179" s="94"/>
      <c r="N179" s="17"/>
      <c r="O179" s="17"/>
      <c r="P179" s="17"/>
      <c r="Q179" s="17"/>
      <c r="R179" s="94"/>
      <c r="S179" s="17"/>
      <c r="T179" s="17"/>
      <c r="U179" s="17"/>
      <c r="V179" s="17"/>
      <c r="W179" s="94"/>
      <c r="X179" s="94"/>
      <c r="Y179" s="94"/>
      <c r="Z179" s="94"/>
      <c r="AA179" s="94"/>
      <c r="AB179" s="94"/>
      <c r="AC179" s="94"/>
      <c r="AD179" s="94"/>
      <c r="AE179" s="94"/>
      <c r="AF179" s="94"/>
      <c r="AG179" s="94"/>
      <c r="AH179" s="94"/>
      <c r="AI179" s="94"/>
      <c r="AJ179" s="94"/>
      <c r="AK179" s="94"/>
      <c r="AL179" s="94"/>
      <c r="AM179" s="94"/>
      <c r="AN179" s="94"/>
      <c r="AO179" s="94"/>
      <c r="AP179" s="94"/>
      <c r="AQ179" s="94"/>
      <c r="AR179" s="94"/>
      <c r="AS179" s="94"/>
      <c r="AT179" s="94"/>
      <c r="AU179" s="94"/>
      <c r="AV179" s="94"/>
      <c r="AW179" s="94"/>
      <c r="AX179" s="94"/>
      <c r="AY179" s="94"/>
      <c r="AZ179" s="94"/>
      <c r="BA179" s="94"/>
      <c r="BB179" s="94"/>
      <c r="BC179" s="94"/>
      <c r="BD179" s="94"/>
      <c r="BE179" s="94"/>
      <c r="BF179" s="239"/>
      <c r="BG179" s="94"/>
      <c r="BH179" s="94"/>
      <c r="BI179" s="94"/>
      <c r="BJ179" s="94"/>
      <c r="BK179" s="91"/>
      <c r="BL179" s="94"/>
      <c r="BM179" s="94"/>
      <c r="BN179" s="94"/>
      <c r="BO179" s="94"/>
      <c r="BP179" s="91"/>
      <c r="BQ179" s="94"/>
      <c r="BR179" s="94"/>
      <c r="BS179" s="94"/>
      <c r="BU179" s="729"/>
      <c r="BV179" s="94"/>
      <c r="BW179" s="94"/>
      <c r="BX179" s="94"/>
      <c r="BZ179" s="729"/>
      <c r="CA179" s="94"/>
      <c r="CB179" s="94"/>
      <c r="CC179" s="94"/>
      <c r="CE179" s="729"/>
      <c r="CF179" s="94"/>
      <c r="CG179" s="94"/>
      <c r="CH179" s="94"/>
      <c r="CJ179" s="729"/>
      <c r="CK179" s="94"/>
      <c r="CL179" s="94"/>
      <c r="CM179" s="94"/>
      <c r="CO179" s="729"/>
      <c r="CP179" s="94"/>
      <c r="CQ179" s="94"/>
      <c r="CR179" s="94"/>
      <c r="CT179" s="729"/>
      <c r="CU179" s="94"/>
      <c r="CV179" s="94"/>
      <c r="CW179" s="94"/>
      <c r="CY179" s="729">
        <f>+CY167/CT167-1</f>
        <v>0.59800164248562826</v>
      </c>
      <c r="CZ179" s="99"/>
      <c r="DA179" s="99"/>
      <c r="DB179" s="94"/>
      <c r="DD179" s="729">
        <f>+DD167/CY167-1</f>
        <v>0.18415417558886515</v>
      </c>
      <c r="DE179" s="99"/>
      <c r="DF179" s="99"/>
      <c r="DG179" s="94"/>
      <c r="DI179" s="729">
        <f>+DI167/DD167-1</f>
        <v>0.26401446654611216</v>
      </c>
      <c r="DJ179" s="93"/>
      <c r="DK179" s="99"/>
      <c r="DL179" s="94"/>
      <c r="DM179" s="94"/>
      <c r="DN179" s="729">
        <f>+DN167/DI167-1</f>
        <v>0.26609442060085842</v>
      </c>
      <c r="DO179" s="94"/>
      <c r="DP179" s="129"/>
      <c r="DQ179" s="129"/>
      <c r="DR179" s="94"/>
      <c r="DS179" s="729">
        <f>+DS167/DN167-1</f>
        <v>0.27457627118644057</v>
      </c>
      <c r="DT179" s="90">
        <f>+DT167/DO167-1</f>
        <v>0.30000000000000004</v>
      </c>
      <c r="DU179" s="90">
        <f>+DU167/DP167-1</f>
        <v>0.3056603773584905</v>
      </c>
      <c r="DV179" s="1034"/>
      <c r="DW179" s="1034"/>
      <c r="DX179" s="732">
        <v>0.23</v>
      </c>
      <c r="DY179" s="1061"/>
      <c r="DZ179" s="1061"/>
      <c r="EA179" s="1034"/>
      <c r="EB179" s="1034"/>
      <c r="EC179" s="732">
        <v>0.22</v>
      </c>
      <c r="ED179" s="1061"/>
      <c r="EE179" s="1061"/>
      <c r="EF179" s="1034"/>
      <c r="EG179" s="1034"/>
      <c r="EH179" s="732">
        <v>0.22</v>
      </c>
      <c r="EI179" s="1061"/>
      <c r="EJ179" s="1061"/>
      <c r="EK179" s="1034"/>
      <c r="EL179" s="1034"/>
      <c r="EM179" s="732">
        <v>0.22</v>
      </c>
      <c r="EN179" s="1061"/>
      <c r="EO179" s="1061"/>
      <c r="EP179" s="1034"/>
      <c r="EQ179" s="1034"/>
      <c r="ER179" s="732">
        <v>0.22</v>
      </c>
      <c r="ES179" s="94"/>
    </row>
    <row r="180" spans="1:149">
      <c r="A180" s="929"/>
      <c r="B180" s="94"/>
      <c r="C180" s="1030" t="s">
        <v>308</v>
      </c>
      <c r="D180" s="17"/>
      <c r="E180" s="17"/>
      <c r="F180" s="17"/>
      <c r="G180" s="17"/>
      <c r="H180" s="17"/>
      <c r="I180" s="17"/>
      <c r="J180" s="17"/>
      <c r="K180" s="17"/>
      <c r="L180" s="17"/>
      <c r="M180" s="94"/>
      <c r="N180" s="17"/>
      <c r="O180" s="17"/>
      <c r="P180" s="17"/>
      <c r="Q180" s="17"/>
      <c r="R180" s="94"/>
      <c r="S180" s="17"/>
      <c r="T180" s="17"/>
      <c r="U180" s="17"/>
      <c r="V180" s="17"/>
      <c r="W180" s="94"/>
      <c r="X180" s="94"/>
      <c r="Y180" s="94"/>
      <c r="Z180" s="94"/>
      <c r="AA180" s="94"/>
      <c r="AB180" s="94"/>
      <c r="AC180" s="94"/>
      <c r="AD180" s="94"/>
      <c r="AE180" s="94"/>
      <c r="AF180" s="94"/>
      <c r="AG180" s="94"/>
      <c r="AH180" s="94"/>
      <c r="AI180" s="94"/>
      <c r="AJ180" s="94"/>
      <c r="AK180" s="94"/>
      <c r="AL180" s="94"/>
      <c r="AM180" s="94"/>
      <c r="AN180" s="94"/>
      <c r="AO180" s="94"/>
      <c r="AP180" s="94"/>
      <c r="AQ180" s="94"/>
      <c r="AR180" s="94"/>
      <c r="AS180" s="94"/>
      <c r="AT180" s="94"/>
      <c r="AU180" s="94"/>
      <c r="AV180" s="94"/>
      <c r="AW180" s="94"/>
      <c r="AX180" s="94"/>
      <c r="AY180" s="94"/>
      <c r="AZ180" s="94"/>
      <c r="BA180" s="94"/>
      <c r="BB180" s="94"/>
      <c r="BC180" s="94"/>
      <c r="BD180" s="94"/>
      <c r="BE180" s="94"/>
      <c r="BF180" s="239"/>
      <c r="BG180" s="94"/>
      <c r="BH180" s="94"/>
      <c r="BI180" s="94"/>
      <c r="BJ180" s="94"/>
      <c r="BK180" s="91">
        <f>+BK168/BF168-1</f>
        <v>1.1033149171270717</v>
      </c>
      <c r="BL180" s="94"/>
      <c r="BM180" s="94"/>
      <c r="BN180" s="94"/>
      <c r="BO180" s="94"/>
      <c r="BP180" s="91">
        <f>+BP168/BK168-1</f>
        <v>0.68636721828211189</v>
      </c>
      <c r="BQ180" s="94"/>
      <c r="BR180" s="94"/>
      <c r="BS180" s="94"/>
      <c r="BU180" s="729">
        <f>+BU168/BP168-1</f>
        <v>0.64034267912772602</v>
      </c>
      <c r="BV180" s="94"/>
      <c r="BW180" s="94"/>
      <c r="BX180" s="94"/>
      <c r="BZ180" s="729">
        <f>+BZ168/BU168-1</f>
        <v>0.7247175007121831</v>
      </c>
      <c r="CA180" s="94"/>
      <c r="CB180" s="94"/>
      <c r="CC180" s="94"/>
      <c r="CE180" s="729">
        <f>+CE168/BZ168-1</f>
        <v>0.74117711831745847</v>
      </c>
      <c r="CF180" s="94"/>
      <c r="CG180" s="94"/>
      <c r="CH180" s="94"/>
      <c r="CJ180" s="729">
        <f>+CJ168/CE168-1</f>
        <v>0.51579446640316196</v>
      </c>
      <c r="CK180" s="94"/>
      <c r="CL180" s="94"/>
      <c r="CM180" s="94"/>
      <c r="CO180" s="729">
        <f>+CO168/CJ168-1</f>
        <v>0.43043995243757438</v>
      </c>
      <c r="CP180" s="94"/>
      <c r="CQ180" s="94"/>
      <c r="CR180" s="94"/>
      <c r="CT180" s="729">
        <f>+CT168/CO168-1</f>
        <v>0.77927987049919079</v>
      </c>
      <c r="CU180" s="94"/>
      <c r="CV180" s="94"/>
      <c r="CW180" s="94"/>
      <c r="CY180" s="729"/>
      <c r="CZ180" s="99"/>
      <c r="DA180" s="99"/>
      <c r="DB180" s="94"/>
      <c r="DD180" s="729"/>
      <c r="DE180" s="99"/>
      <c r="DF180" s="99"/>
      <c r="DG180" s="94"/>
      <c r="DI180" s="729"/>
      <c r="DJ180" s="93"/>
      <c r="DK180" s="99"/>
      <c r="DL180" s="94"/>
      <c r="DM180" s="94"/>
      <c r="DN180" s="729"/>
      <c r="DO180" s="94"/>
      <c r="DP180" s="129"/>
      <c r="DQ180" s="129"/>
      <c r="DR180" s="94"/>
      <c r="DS180" s="729"/>
      <c r="DT180" s="99"/>
      <c r="DU180" s="99"/>
      <c r="DV180" s="94"/>
      <c r="DW180" s="94"/>
      <c r="DX180" s="729"/>
      <c r="DY180" s="99"/>
      <c r="DZ180" s="99"/>
      <c r="EA180" s="94"/>
      <c r="EB180" s="94"/>
      <c r="EC180" s="729"/>
      <c r="ED180" s="99"/>
      <c r="EE180" s="99"/>
      <c r="EF180" s="94"/>
      <c r="EG180" s="94"/>
      <c r="EH180" s="729"/>
      <c r="EI180" s="99"/>
      <c r="EJ180" s="99"/>
      <c r="EK180" s="94"/>
      <c r="EL180" s="94"/>
      <c r="EM180" s="729"/>
      <c r="EN180" s="99"/>
      <c r="EO180" s="99"/>
      <c r="EP180" s="94"/>
      <c r="EQ180" s="94"/>
      <c r="ER180" s="729"/>
      <c r="ES180" s="94"/>
    </row>
    <row r="181" spans="1:149">
      <c r="A181" s="929"/>
      <c r="B181" s="94"/>
      <c r="C181" s="1031" t="s">
        <v>170</v>
      </c>
      <c r="D181" s="17"/>
      <c r="E181" s="17"/>
      <c r="F181" s="17"/>
      <c r="G181" s="17"/>
      <c r="H181" s="17"/>
      <c r="I181" s="17"/>
      <c r="J181" s="17"/>
      <c r="K181" s="17"/>
      <c r="L181" s="17"/>
      <c r="M181" s="94"/>
      <c r="N181" s="17"/>
      <c r="O181" s="17"/>
      <c r="P181" s="17"/>
      <c r="Q181" s="17"/>
      <c r="R181" s="94"/>
      <c r="S181" s="17"/>
      <c r="T181" s="17"/>
      <c r="U181" s="17"/>
      <c r="V181" s="17"/>
      <c r="W181" s="94"/>
      <c r="X181" s="94"/>
      <c r="Y181" s="94"/>
      <c r="Z181" s="94"/>
      <c r="AA181" s="94"/>
      <c r="AB181" s="94"/>
      <c r="AC181" s="94"/>
      <c r="AD181" s="94"/>
      <c r="AE181" s="94"/>
      <c r="AF181" s="94"/>
      <c r="AG181" s="94"/>
      <c r="AH181" s="94"/>
      <c r="AI181" s="94"/>
      <c r="AJ181" s="94"/>
      <c r="AK181" s="94"/>
      <c r="AL181" s="94"/>
      <c r="AM181" s="94"/>
      <c r="AN181" s="94"/>
      <c r="AO181" s="94"/>
      <c r="AP181" s="94"/>
      <c r="AQ181" s="94"/>
      <c r="AR181" s="94"/>
      <c r="AS181" s="94"/>
      <c r="AT181" s="94"/>
      <c r="AU181" s="94"/>
      <c r="AV181" s="94"/>
      <c r="AW181" s="94"/>
      <c r="AX181" s="94"/>
      <c r="AY181" s="94"/>
      <c r="AZ181" s="94"/>
      <c r="BA181" s="94"/>
      <c r="BB181" s="94"/>
      <c r="BC181" s="94"/>
      <c r="BD181" s="94"/>
      <c r="BE181" s="94"/>
      <c r="BF181" s="239"/>
      <c r="BG181" s="94"/>
      <c r="BH181" s="94"/>
      <c r="BI181" s="94"/>
      <c r="BJ181" s="94"/>
      <c r="BK181" s="91"/>
      <c r="BL181" s="94"/>
      <c r="BM181" s="94"/>
      <c r="BN181" s="94"/>
      <c r="BO181" s="94"/>
      <c r="BP181" s="91"/>
      <c r="BQ181" s="94"/>
      <c r="BR181" s="94"/>
      <c r="BS181" s="94"/>
      <c r="BU181" s="729"/>
      <c r="BV181" s="94"/>
      <c r="BW181" s="94"/>
      <c r="BX181" s="94"/>
      <c r="BZ181" s="729"/>
      <c r="CA181" s="94"/>
      <c r="CB181" s="94"/>
      <c r="CC181" s="94"/>
      <c r="CE181" s="729"/>
      <c r="CF181" s="94"/>
      <c r="CG181" s="94"/>
      <c r="CH181" s="94"/>
      <c r="CJ181" s="729"/>
      <c r="CK181" s="94"/>
      <c r="CL181" s="94"/>
      <c r="CM181" s="94"/>
      <c r="CO181" s="729"/>
      <c r="CP181" s="94"/>
      <c r="CQ181" s="94"/>
      <c r="CR181" s="94"/>
      <c r="CT181" s="729"/>
      <c r="CU181" s="94"/>
      <c r="CV181" s="94"/>
      <c r="CW181" s="94"/>
      <c r="CY181" s="729">
        <f>+CY169/CT169-1</f>
        <v>0.52118597189954641</v>
      </c>
      <c r="CZ181" s="99"/>
      <c r="DA181" s="99"/>
      <c r="DB181" s="94"/>
      <c r="DD181" s="729">
        <f>+DD169/CY169-1</f>
        <v>0.16363636363636358</v>
      </c>
      <c r="DE181" s="99"/>
      <c r="DF181" s="99"/>
      <c r="DG181" s="94"/>
      <c r="DI181" s="729">
        <f>+DI169/DD169-1</f>
        <v>7.8125E-2</v>
      </c>
      <c r="DJ181" s="93"/>
      <c r="DK181" s="99"/>
      <c r="DL181" s="94"/>
      <c r="DM181" s="94"/>
      <c r="DN181" s="729">
        <f>+DN169/DI169-1</f>
        <v>0.40579710144927539</v>
      </c>
      <c r="DO181" s="94"/>
      <c r="DP181" s="129"/>
      <c r="DQ181" s="129"/>
      <c r="DR181" s="94"/>
      <c r="DS181" s="729">
        <f>+DS169/DN169-1</f>
        <v>7.2164948453608213E-2</v>
      </c>
      <c r="DT181" s="1061"/>
      <c r="DU181" s="1061"/>
      <c r="DV181" s="1034"/>
      <c r="DW181" s="1034"/>
      <c r="DX181" s="732">
        <v>0.35</v>
      </c>
      <c r="DY181" s="1061"/>
      <c r="DZ181" s="1061"/>
      <c r="EA181" s="1034"/>
      <c r="EB181" s="1034"/>
      <c r="EC181" s="732">
        <v>0.3</v>
      </c>
      <c r="ED181" s="1061"/>
      <c r="EE181" s="1061"/>
      <c r="EF181" s="1034"/>
      <c r="EG181" s="1034"/>
      <c r="EH181" s="732">
        <v>0.3</v>
      </c>
      <c r="EI181" s="1061"/>
      <c r="EJ181" s="1061"/>
      <c r="EK181" s="1034"/>
      <c r="EL181" s="1034"/>
      <c r="EM181" s="732">
        <v>0.3</v>
      </c>
      <c r="EN181" s="1061"/>
      <c r="EO181" s="1061"/>
      <c r="EP181" s="1034"/>
      <c r="EQ181" s="1034"/>
      <c r="ER181" s="732">
        <v>0.3</v>
      </c>
      <c r="ES181" s="94"/>
    </row>
    <row r="182" spans="1:149">
      <c r="A182" s="929"/>
      <c r="B182" s="94"/>
      <c r="C182" s="1667" t="s">
        <v>599</v>
      </c>
      <c r="D182" s="1668"/>
      <c r="E182" s="1668"/>
      <c r="F182" s="1668"/>
      <c r="G182" s="1668"/>
      <c r="H182" s="1668"/>
      <c r="I182" s="1668"/>
      <c r="J182" s="1668"/>
      <c r="K182" s="1668"/>
      <c r="L182" s="1668"/>
      <c r="M182" s="371"/>
      <c r="N182" s="1668"/>
      <c r="O182" s="1668"/>
      <c r="P182" s="1668"/>
      <c r="Q182" s="1668"/>
      <c r="R182" s="371"/>
      <c r="S182" s="1668"/>
      <c r="T182" s="1668"/>
      <c r="U182" s="1668"/>
      <c r="V182" s="1668"/>
      <c r="W182" s="371"/>
      <c r="X182" s="371"/>
      <c r="Y182" s="371"/>
      <c r="Z182" s="371"/>
      <c r="AA182" s="371"/>
      <c r="AB182" s="371"/>
      <c r="AC182" s="371"/>
      <c r="AD182" s="371"/>
      <c r="AE182" s="371"/>
      <c r="AF182" s="371"/>
      <c r="AG182" s="371"/>
      <c r="AH182" s="371"/>
      <c r="AI182" s="371"/>
      <c r="AJ182" s="371"/>
      <c r="AK182" s="371"/>
      <c r="AL182" s="371"/>
      <c r="AM182" s="371"/>
      <c r="AN182" s="371"/>
      <c r="AO182" s="371"/>
      <c r="AP182" s="371"/>
      <c r="AQ182" s="371"/>
      <c r="AR182" s="371"/>
      <c r="AS182" s="371"/>
      <c r="AT182" s="371"/>
      <c r="AU182" s="371"/>
      <c r="AV182" s="371"/>
      <c r="AW182" s="371"/>
      <c r="AX182" s="371"/>
      <c r="AY182" s="371"/>
      <c r="AZ182" s="371"/>
      <c r="BA182" s="371"/>
      <c r="BB182" s="371"/>
      <c r="BC182" s="371"/>
      <c r="BD182" s="371"/>
      <c r="BE182" s="371"/>
      <c r="BF182" s="1669"/>
      <c r="BG182" s="371"/>
      <c r="BH182" s="371"/>
      <c r="BI182" s="371"/>
      <c r="BJ182" s="371"/>
      <c r="BK182" s="1670">
        <f>+BK170/BF170-1</f>
        <v>1.1861300754581388</v>
      </c>
      <c r="BL182" s="371"/>
      <c r="BM182" s="371"/>
      <c r="BN182" s="371"/>
      <c r="BO182" s="371"/>
      <c r="BP182" s="1670">
        <f>+BP170/BK170-1</f>
        <v>0.77646285338593035</v>
      </c>
      <c r="BQ182" s="371"/>
      <c r="BR182" s="371"/>
      <c r="BS182" s="371"/>
      <c r="BT182" s="1671"/>
      <c r="BU182" s="744">
        <f>+BU170/BP170-1</f>
        <v>0.83447446336047393</v>
      </c>
      <c r="BV182" s="371"/>
      <c r="BW182" s="371"/>
      <c r="BX182" s="371"/>
      <c r="BY182" s="1671"/>
      <c r="BZ182" s="744">
        <f>+BZ170/BU170-1</f>
        <v>0.72597972461794491</v>
      </c>
      <c r="CA182" s="371"/>
      <c r="CB182" s="371"/>
      <c r="CC182" s="371"/>
      <c r="CD182" s="1671"/>
      <c r="CE182" s="744">
        <f>+CE170/BZ170-1</f>
        <v>1.0658659887203767</v>
      </c>
      <c r="CF182" s="371"/>
      <c r="CG182" s="371"/>
      <c r="CH182" s="371"/>
      <c r="CI182" s="1671"/>
      <c r="CJ182" s="744">
        <f>+CJ170/CE170-1</f>
        <v>0.83133416317754882</v>
      </c>
      <c r="CK182" s="371"/>
      <c r="CL182" s="371"/>
      <c r="CM182" s="371"/>
      <c r="CN182" s="1671"/>
      <c r="CO182" s="744">
        <f>+CO170/CJ170-1</f>
        <v>0.77971390613896885</v>
      </c>
      <c r="CP182" s="371"/>
      <c r="CQ182" s="371"/>
      <c r="CR182" s="371"/>
      <c r="CS182" s="1671"/>
      <c r="CT182" s="744"/>
      <c r="CU182" s="371"/>
      <c r="CV182" s="371"/>
      <c r="CW182" s="371"/>
      <c r="CX182" s="1671"/>
      <c r="CY182" s="744"/>
      <c r="CZ182" s="1672"/>
      <c r="DA182" s="1672"/>
      <c r="DB182" s="371"/>
      <c r="DC182" s="1671"/>
      <c r="DD182" s="744"/>
      <c r="DE182" s="1672"/>
      <c r="DF182" s="1672"/>
      <c r="DG182" s="371"/>
      <c r="DH182" s="1671"/>
      <c r="DI182" s="744"/>
      <c r="DJ182" s="1673"/>
      <c r="DK182" s="1672"/>
      <c r="DL182" s="371"/>
      <c r="DM182" s="371"/>
      <c r="DN182" s="744"/>
      <c r="DO182" s="371"/>
      <c r="DP182" s="1674"/>
      <c r="DQ182" s="1674"/>
      <c r="DR182" s="371"/>
      <c r="DS182" s="744"/>
      <c r="DT182" s="90">
        <f>+DT170/DO170-1</f>
        <v>0.39024390243902429</v>
      </c>
      <c r="DU182" s="90">
        <f>+DU170/DP170-1</f>
        <v>0.34782608695652173</v>
      </c>
      <c r="DV182" s="371"/>
      <c r="DW182" s="371"/>
      <c r="DX182" s="744"/>
      <c r="DY182" s="1672"/>
      <c r="DZ182" s="1672"/>
      <c r="EA182" s="371"/>
      <c r="EB182" s="371"/>
      <c r="EC182" s="744"/>
      <c r="ED182" s="1672"/>
      <c r="EE182" s="1672"/>
      <c r="EF182" s="371"/>
      <c r="EG182" s="371"/>
      <c r="EH182" s="744"/>
      <c r="EI182" s="1672"/>
      <c r="EJ182" s="1672"/>
      <c r="EK182" s="371"/>
      <c r="EL182" s="371"/>
      <c r="EM182" s="744"/>
      <c r="EN182" s="1672"/>
      <c r="EO182" s="1672"/>
      <c r="EP182" s="371"/>
      <c r="EQ182" s="371"/>
      <c r="ER182" s="744"/>
      <c r="ES182" s="94"/>
    </row>
    <row r="183" spans="1:149">
      <c r="A183" s="929"/>
      <c r="B183" s="94"/>
      <c r="C183" s="592" t="s">
        <v>600</v>
      </c>
      <c r="D183" s="17"/>
      <c r="E183" s="17"/>
      <c r="F183" s="17"/>
      <c r="G183" s="17"/>
      <c r="H183" s="17"/>
      <c r="I183" s="17"/>
      <c r="J183" s="17"/>
      <c r="K183" s="17"/>
      <c r="L183" s="17"/>
      <c r="M183" s="94"/>
      <c r="N183" s="17"/>
      <c r="O183" s="17"/>
      <c r="P183" s="17"/>
      <c r="Q183" s="17"/>
      <c r="R183" s="94"/>
      <c r="S183" s="17"/>
      <c r="T183" s="17"/>
      <c r="U183" s="17"/>
      <c r="V183" s="17"/>
      <c r="W183" s="94"/>
      <c r="X183" s="94"/>
      <c r="Y183" s="94"/>
      <c r="Z183" s="94"/>
      <c r="AA183" s="94"/>
      <c r="AB183" s="94"/>
      <c r="AC183" s="94"/>
      <c r="AD183" s="94"/>
      <c r="AE183" s="94"/>
      <c r="AF183" s="94"/>
      <c r="AG183" s="94"/>
      <c r="AH183" s="94"/>
      <c r="AI183" s="94"/>
      <c r="AJ183" s="94"/>
      <c r="AK183" s="94"/>
      <c r="AL183" s="94"/>
      <c r="AM183" s="94"/>
      <c r="AN183" s="94"/>
      <c r="AO183" s="94"/>
      <c r="AP183" s="94"/>
      <c r="AQ183" s="94"/>
      <c r="AR183" s="94"/>
      <c r="AS183" s="94"/>
      <c r="AT183" s="94"/>
      <c r="AU183" s="94"/>
      <c r="AV183" s="94"/>
      <c r="AW183" s="94"/>
      <c r="AX183" s="94"/>
      <c r="AY183" s="94"/>
      <c r="AZ183" s="94"/>
      <c r="BA183" s="94"/>
      <c r="BB183" s="94"/>
      <c r="BC183" s="94"/>
      <c r="BD183" s="94"/>
      <c r="BE183" s="94"/>
      <c r="BF183" s="160"/>
      <c r="BG183" s="94"/>
      <c r="BH183" s="94"/>
      <c r="BI183" s="94"/>
      <c r="BJ183" s="94"/>
      <c r="BK183" s="91">
        <f>+BK171/BF171-1</f>
        <v>1.11917513600135</v>
      </c>
      <c r="BL183" s="94"/>
      <c r="BM183" s="94"/>
      <c r="BN183" s="94"/>
      <c r="BO183" s="94"/>
      <c r="BP183" s="91">
        <f>+BP171/BK171-1</f>
        <v>1.0898272705563952</v>
      </c>
      <c r="BQ183" s="94"/>
      <c r="BR183" s="94"/>
      <c r="BS183" s="94"/>
      <c r="BU183" s="729">
        <f>+BU171/BP171-1</f>
        <v>0.95426498314574637</v>
      </c>
      <c r="BV183" s="94"/>
      <c r="BW183" s="94"/>
      <c r="BX183" s="94"/>
      <c r="BZ183" s="729">
        <f>+BZ171/BU171-1</f>
        <v>0.89701461265975757</v>
      </c>
      <c r="CA183" s="94"/>
      <c r="CB183" s="94"/>
      <c r="CC183" s="94"/>
      <c r="CE183" s="729">
        <f>+CE171/BZ171-1</f>
        <v>0.72939151876300312</v>
      </c>
      <c r="CF183" s="94"/>
      <c r="CG183" s="94"/>
      <c r="CH183" s="94"/>
      <c r="CJ183" s="729">
        <f>+CJ171/CE171-1</f>
        <v>0.59397389589249427</v>
      </c>
      <c r="CK183" s="94"/>
      <c r="CL183" s="94"/>
      <c r="CM183" s="94"/>
      <c r="CO183" s="729">
        <f>+CO171/CJ171-1</f>
        <v>0.47049045450691329</v>
      </c>
      <c r="CP183" s="94"/>
      <c r="CQ183" s="94"/>
      <c r="CR183" s="94"/>
      <c r="CT183" s="729">
        <f>+CT171/CO171-1</f>
        <v>0.856254669164914</v>
      </c>
      <c r="CU183" s="94"/>
      <c r="CV183" s="94"/>
      <c r="CW183" s="94"/>
      <c r="CY183" s="729">
        <f>+CY171/CT171-1</f>
        <v>0.57433492712556555</v>
      </c>
      <c r="CZ183" s="99"/>
      <c r="DA183" s="99"/>
      <c r="DB183" s="94"/>
      <c r="DD183" s="729">
        <f>+DD171/CY171-1</f>
        <v>0.21422376409366861</v>
      </c>
      <c r="DE183" s="99"/>
      <c r="DF183" s="99"/>
      <c r="DG183" s="94"/>
      <c r="DI183" s="729">
        <f>+DI171/DD171-1</f>
        <v>0.26071428571428568</v>
      </c>
      <c r="DJ183" s="93"/>
      <c r="DK183" s="99"/>
      <c r="DL183" s="94"/>
      <c r="DM183" s="94"/>
      <c r="DN183" s="729">
        <f>+DN171/DI171-1</f>
        <v>0.25779036827195467</v>
      </c>
      <c r="DO183" s="94"/>
      <c r="DP183" s="129"/>
      <c r="DQ183" s="129"/>
      <c r="DR183" s="94"/>
      <c r="DS183" s="729">
        <f>+DS171/DN171-1</f>
        <v>0.30135135135135127</v>
      </c>
      <c r="DT183" s="99"/>
      <c r="DU183" s="129"/>
      <c r="DV183" s="94"/>
      <c r="DW183" s="94"/>
      <c r="DX183" s="729">
        <f>+DX171/DS171-1</f>
        <v>0.31634523397107017</v>
      </c>
      <c r="DY183" s="99"/>
      <c r="DZ183" s="99"/>
      <c r="EA183" s="94"/>
      <c r="EB183" s="94"/>
      <c r="EC183" s="729">
        <f>+EC171/DX171-1</f>
        <v>0.25786715559515483</v>
      </c>
      <c r="ED183" s="99"/>
      <c r="EE183" s="99"/>
      <c r="EF183" s="94"/>
      <c r="EG183" s="94"/>
      <c r="EH183" s="729">
        <f>+EH171/EC171-1</f>
        <v>0.20711689751887263</v>
      </c>
      <c r="EI183" s="99"/>
      <c r="EJ183" s="99"/>
      <c r="EK183" s="94"/>
      <c r="EL183" s="94"/>
      <c r="EM183" s="729">
        <f>+EM171/EH171-1</f>
        <v>0.18539712867798808</v>
      </c>
      <c r="EN183" s="99"/>
      <c r="EO183" s="99"/>
      <c r="EP183" s="94"/>
      <c r="EQ183" s="94"/>
      <c r="ER183" s="729">
        <f>+ER171/EM171-1</f>
        <v>0.1732072321725342</v>
      </c>
      <c r="ES183" s="94"/>
    </row>
    <row r="184" spans="1:149">
      <c r="C184" s="203" t="s">
        <v>677</v>
      </c>
      <c r="BU184" s="1073"/>
      <c r="BZ184" s="1213">
        <v>1400</v>
      </c>
      <c r="CE184" s="1213">
        <v>2300</v>
      </c>
      <c r="CJ184" s="1213">
        <v>2500</v>
      </c>
      <c r="CO184" s="1213">
        <v>3700</v>
      </c>
      <c r="CS184" s="1146"/>
      <c r="CT184" s="1213">
        <v>6000</v>
      </c>
      <c r="CY184" s="1213">
        <v>8000</v>
      </c>
      <c r="DD184" s="1213">
        <v>10000</v>
      </c>
      <c r="DI184" s="1213">
        <v>13000</v>
      </c>
      <c r="DN184" s="1213"/>
      <c r="DS184" s="1552"/>
      <c r="DU184" s="1544"/>
      <c r="DX184" s="1213"/>
      <c r="EC184" s="1213"/>
      <c r="EH184" s="1213"/>
      <c r="EM184" s="1213"/>
      <c r="ER184" s="1213"/>
    </row>
    <row r="185" spans="1:149">
      <c r="C185" s="203" t="s">
        <v>702</v>
      </c>
      <c r="BU185" s="1073"/>
      <c r="BZ185" s="1073"/>
      <c r="CE185" s="1073"/>
      <c r="CJ185" s="1073"/>
      <c r="CO185" s="1073"/>
      <c r="CT185" s="1073"/>
      <c r="CY185" s="1073"/>
      <c r="DD185" s="1073"/>
      <c r="DI185" s="1073"/>
      <c r="DN185" s="1213">
        <v>16000</v>
      </c>
      <c r="DS185" s="1552">
        <v>21000</v>
      </c>
      <c r="DU185" s="1544"/>
      <c r="DX185" s="1073"/>
      <c r="EC185" s="1073"/>
      <c r="EH185" s="1073"/>
      <c r="EM185" s="1073"/>
      <c r="ER185" s="1073"/>
    </row>
    <row r="186" spans="1:149">
      <c r="C186" s="203" t="s">
        <v>795</v>
      </c>
      <c r="BU186" s="1665"/>
      <c r="BZ186" s="1665"/>
      <c r="CE186" s="1665"/>
      <c r="CJ186" s="1665"/>
      <c r="CO186" s="1665"/>
      <c r="CT186" s="1665"/>
      <c r="CY186" s="1665"/>
      <c r="DD186" s="1665"/>
      <c r="DI186" s="1665"/>
      <c r="DM186" s="1004">
        <v>8100</v>
      </c>
      <c r="DN186" s="1664">
        <f>+DM186</f>
        <v>8100</v>
      </c>
      <c r="DR186" s="1004">
        <v>7600</v>
      </c>
      <c r="DS186" s="1664">
        <f>+DR186</f>
        <v>7600</v>
      </c>
      <c r="DT186" s="1004" t="s">
        <v>826</v>
      </c>
      <c r="DU186" s="1004" t="s">
        <v>826</v>
      </c>
      <c r="DX186" s="1665"/>
      <c r="EC186" s="1665"/>
      <c r="EH186" s="1665"/>
      <c r="EM186" s="1665"/>
      <c r="ER186" s="1665"/>
    </row>
    <row r="187" spans="1:149">
      <c r="DU187" s="1544"/>
    </row>
    <row r="188" spans="1:149">
      <c r="C188" s="592" t="s">
        <v>362</v>
      </c>
      <c r="DU188" s="1544"/>
    </row>
    <row r="189" spans="1:149">
      <c r="DU189" s="1544"/>
    </row>
    <row r="190" spans="1:149">
      <c r="DU190" s="1544"/>
    </row>
  </sheetData>
  <phoneticPr fontId="0" type="noConversion"/>
  <conditionalFormatting sqref="CA102:ER102">
    <cfRule type="cellIs" dxfId="2" priority="2" operator="greaterThan">
      <formula>1</formula>
    </cfRule>
  </conditionalFormatting>
  <conditionalFormatting sqref="CA107:ER107">
    <cfRule type="cellIs" dxfId="1" priority="1" operator="greaterThan">
      <formula>1</formula>
    </cfRule>
  </conditionalFormatting>
  <dataValidations count="34">
    <dataValidation allowBlank="1" errorTitle="1x1xSingleCell" error="1861" promptTitle="FactSet Formula" prompt="=FDS(&quot;SHOP-US&quot;,&quot;FE_ESTIMATE(SALES,MEAN,QTR_ROLL,&quot;&amp;YEAR(DK5)&amp;&quot;/1F,NOW,,,'')&quot;)" sqref="DK9" xr:uid="{E72F27FC-69C7-42F8-B23F-4F70C45CED76}"/>
    <dataValidation allowBlank="1" errorTitle="1x1xSingleCell" error="1861" promptTitle="FactSet Formula" prompt="=FDS(&quot;SHOP-US&quot;,&quot;FE_ESTIMATE(SALES,MEAN,QTR_ROLL,&quot;&amp;YEAR(DL5)&amp;&quot;/1F,NOW,,,'')&quot;)" sqref="DL9" xr:uid="{E20142CD-B149-49B2-B86E-8D68CBDD8EDA}"/>
    <dataValidation allowBlank="1" errorTitle="1x1xSingleCell" error="1861" promptTitle="FactSet Formula" prompt="=FDS(&quot;SHOP-US&quot;,&quot;FE_ESTIMATE(SALES,MEAN,QTR_ROLL,&quot;&amp;YEAR(DM5)&amp;&quot;/1F,NOW,,,'')&quot;)" sqref="DM9" xr:uid="{87376526-E109-43D0-9290-93FA7C4B9C18}"/>
    <dataValidation allowBlank="1" errorTitle="1x1xSingleCell" error="8880" promptTitle="FactSet Formula" prompt="=FDS(&quot;SHOP-US&quot;,&quot;FE_ESTIMATE(SALES,MEAN,annual_ROLL,&quot;&amp;YEAR(DJ5)&amp;&quot;,NOW,,,'')&quot;)" sqref="DN9" xr:uid="{3E44AD48-7173-453B-93A6-113E342DC53E}"/>
    <dataValidation allowBlank="1" errorTitle="1x1xSingleCell" error="2360" promptTitle="FactSet Formula" prompt="=FDS(&quot;SHOP-US&quot;,&quot;FE_ESTIMATE(SALES,MEAN,QTR_ROLL,&quot;&amp;YEAR(DO5)&amp;&quot;/1F,NOW,,,'')&quot;)" sqref="DO9" xr:uid="{186F7026-56CD-4346-9902-47B27DF757EA}"/>
    <dataValidation allowBlank="1" errorTitle="1x1xSingleCell" error="2680" promptTitle="FactSet Formula" prompt="=FDS(&quot;SHOP-US&quot;,&quot;FE_ESTIMATE(SALES,MEAN,QTR_ROLL,&quot;&amp;YEAR(DP5)&amp;&quot;/2F,NOW,,,'')&quot;)" sqref="DP9" xr:uid="{CA0DAB4A-186A-42FD-901A-3759F8AE9DE2}"/>
    <dataValidation allowBlank="1" errorTitle="1x1xSingleCell" error="2844" promptTitle="FactSet Formula" prompt="=FDS(&quot;SHOP-US&quot;,&quot;FE_ESTIMATE(SALES,MEAN,QTR_ROLL,&quot;&amp;YEAR(DQ5)&amp;&quot;/3F,NOW,,,'')&quot;)" sqref="DQ9" xr:uid="{2F5471F5-9600-4EB3-A3DB-FD2F249CE41D}"/>
    <dataValidation allowBlank="1" errorTitle="1x1xSingleCell" error="3672" promptTitle="FactSet Formula" prompt="=FDS(&quot;SHOP-US&quot;,&quot;FE_ESTIMATE(SALES,MEAN,QTR_ROLL,&quot;&amp;YEAR(DO5)&amp;&quot;/4F,NOW,,,'')&quot;)" sqref="DR9" xr:uid="{42887E28-3A0F-4E70-BB2A-E915F76383CB}"/>
    <dataValidation allowBlank="1" errorTitle="1x1xSingleCell" error="11556" promptTitle="FactSet Formula" prompt="=FDS(&quot;SHOP-US&quot;,&quot;FE_ESTIMATE(SALES,MEAN,annual_ROLL,&quot;&amp;YEAR(DO5)&amp;&quot;,NOW,,,'')&quot;)" sqref="DS9" xr:uid="{DA13AEC2-6FFD-4634-A086-E64E9FAEE619}"/>
    <dataValidation allowBlank="1" errorTitle="1x1xSingleCell" error="3170" promptTitle="FactSet Formula" prompt="=FDS(&quot;SHOP-US&quot;,&quot;FE_ESTIMATE(SALES,MEAN,QTR_ROLL,&quot;&amp;YEAR(DT5)&amp;&quot;/1F,NOW,,,'')&quot;)" sqref="DT9" xr:uid="{B00A8200-1D87-41F0-8E09-0029785CCDC2}"/>
    <dataValidation allowBlank="1" errorTitle="1x1xSingleCell" error="3583" promptTitle="FactSet Formula" prompt="=FDS(&quot;SHOP-US&quot;,&quot;FE_ESTIMATE(SALES,MEAN,QTR_ROLL,&quot;&amp;YEAR(DU5)&amp;&quot;/2F,NOW,,,'')&quot;)" sqref="DU9" xr:uid="{302DD187-B517-4F59-AC33-3BCA8F38549B}"/>
    <dataValidation allowBlank="1" errorTitle="1x1xSingleCell" error="3651.513" promptTitle="FactSet Formula" prompt="=FDS(&quot;SHOP-US&quot;,&quot;FE_ESTIMATE(SALES,MEAN,QTR_ROLL,&quot;&amp;YEAR(DT5)&amp;&quot;/3F,NOW,,,'')&quot;)" sqref="DV9" xr:uid="{C7859573-96B6-419E-BBFA-77E57D8322CD}"/>
    <dataValidation allowBlank="1" errorTitle="1x1xSingleCell" error="4656.4146" promptTitle="FactSet Formula" prompt="=FDS(&quot;SHOP-US&quot;,&quot;FE_ESTIMATE(SALES,MEAN,QTR_ROLL,&quot;&amp;YEAR(DT5)&amp;&quot;/4F,NOW,,,'')&quot;)" sqref="DW9" xr:uid="{B6A7490C-DBDE-4B2B-87EE-56FDB0AC1787}"/>
    <dataValidation allowBlank="1" errorTitle="1x1xSingleCell" error="14977.527" promptTitle="FactSet Formula" prompt="=FDS(&quot;SHOP-US&quot;,&quot;FE_ESTIMATE(SALES,MEAN,annual_ROLL,&quot;&amp;YEAR(DT5)&amp;&quot;,NOW,,,'')&quot;)" sqref="DX9" xr:uid="{CF6F0AA0-4E9A-4B05-BA7F-144A76F0AA6A}"/>
    <dataValidation allowBlank="1" errorTitle="1x1xSingleCell" error="3937.7522" promptTitle="FactSet Formula" prompt="=FDS(&quot;SHOP-US&quot;,&quot;FE_ESTIMATE(SALES,MEAN,QTR_ROLL,&quot;&amp;YEAR(DY5)&amp;&quot;/1F,NOW,,,'')&quot;)" sqref="DY9" xr:uid="{53C8E8FA-ADF8-422C-AF39-BA96201CD4A9}"/>
    <dataValidation allowBlank="1" errorTitle="1x1xSingleCell" error="4343.4365" promptTitle="FactSet Formula" prompt="=FDS(&quot;SHOP-US&quot;,&quot;FE_ESTIMATE(SALES,MEAN,QTR_ROLL,&quot;&amp;YEAR(DY5)&amp;&quot;/2F,NOW,,,'')&quot;)" sqref="DZ9" xr:uid="{CB9CF476-D953-4344-8AC2-D7EF2C7F1CAD}"/>
    <dataValidation allowBlank="1" errorTitle="1x1xSingleCell" error="4506.5664" promptTitle="FactSet Formula" prompt="=FDS(&quot;SHOP-US&quot;,&quot;FE_ESTIMATE(SALES,MEAN,QTR_ROLL,&quot;&amp;YEAR(DY5)&amp;&quot;/3F,NOW,,,'')&quot;)" sqref="EA9" xr:uid="{66F699B7-011E-413B-8F53-502C98E19560}"/>
    <dataValidation allowBlank="1" errorTitle="1x1xSingleCell" error="5729.265" promptTitle="FactSet Formula" prompt="=FDS(&quot;SHOP-US&quot;,&quot;FE_ESTIMATE(SALES,MEAN,QTR_ROLL,&quot;&amp;YEAR(DY5)&amp;&quot;/4F,NOW,,,'')&quot;)" sqref="EB9" xr:uid="{EDA1B4AF-1A0A-4CFA-BFCB-C5693179A186}"/>
    <dataValidation allowBlank="1" errorTitle="1x1xSingleCell" error="18667.963" promptTitle="FactSet Formula" prompt="=FDS(&quot;SHOP-US&quot;,&quot;FE_ESTIMATE(SALES,MEAN,annual_ROLL,&quot;&amp;YEAR(DY5)&amp;&quot;,NOW,,,'')&quot;)" sqref="EC9" xr:uid="{0F3EFB50-E1D3-49C8-8821-B69EE60D8AFE}"/>
    <dataValidation allowBlank="1" errorTitle="1x1xSingleCell" error="4745.011" promptTitle="FactSet Formula" prompt="=FDS(&quot;SHOP-US&quot;,&quot;FE_ESTIMATE(SALES,MEAN,QTR_ROLL,&quot;&amp;YEAR(ED5)&amp;&quot;/1F,NOW,,,'')&quot;)" sqref="ED9" xr:uid="{ABC5FF61-54F1-4234-9CEE-7D0EEA8F2BFD}"/>
    <dataValidation allowBlank="1" errorTitle="1x1xSingleCell" error="5245.9165" promptTitle="FactSet Formula" prompt="=FDS(&quot;SHOP-US&quot;,&quot;FE_ESTIMATE(SALES,MEAN,QTR_ROLL,&quot;&amp;YEAR(ED5)&amp;&quot;/2F,NOW,,,'')&quot;)" sqref="EE9" xr:uid="{4FC077FE-BC47-41F4-943F-0449394DD13B}"/>
    <dataValidation allowBlank="1" errorTitle="1x1xSingleCell" error="5463.5034" promptTitle="FactSet Formula" prompt="=FDS(&quot;SHOP-US&quot;,&quot;FE_ESTIMATE(SALES,MEAN,QTR_ROLL,&quot;&amp;YEAR(ED5)&amp;&quot;/3F,NOW,,,'')&quot;)" sqref="EF9" xr:uid="{8FF822D5-0D12-48A3-B81F-181504EAF952}"/>
    <dataValidation allowBlank="1" errorTitle="1x1xSingleCell" error="6948.6406" promptTitle="FactSet Formula" prompt="=FDS(&quot;SHOP-US&quot;,&quot;FE_ESTIMATE(SALES,MEAN,QTR_ROLL,&quot;&amp;YEAR(ED5)&amp;&quot;/4F,NOW,,,'')&quot;)" sqref="EG9" xr:uid="{90B7F903-62AC-42D8-B299-C706BEE69BC5}"/>
    <dataValidation allowBlank="1" errorTitle="1x1xSingleCell" error="23471.11" promptTitle="FactSet Formula" prompt="=FDS(&quot;SHOP-US&quot;,&quot;FE_ESTIMATE(SALES,MEAN,annual_ROLL,&quot;&amp;YEAR(ED5)&amp;&quot;,NOW,,,'')&quot;)" sqref="EH9" xr:uid="{CC9FF3BA-3098-4C52-A9E6-F9AEA0A68B36}"/>
    <dataValidation allowBlank="1" errorTitle="1x1xSingleCell" error="-2146826246" promptTitle="FactSet Formula" prompt="=FDS(&quot;SHOP-US&quot;,&quot;FE_ESTIMATE(SALES,MEAN,QTR_ROLL,&quot;&amp;YEAR(EI5)&amp;&quot;/1F,NOW,,,'')&quot;)" sqref="EI9" xr:uid="{7AF45405-7E1F-4FE0-918D-9439960A1C0D}"/>
    <dataValidation allowBlank="1" errorTitle="1x1xSingleCell" error="-2146826246" promptTitle="FactSet Formula" prompt="=FDS(&quot;SHOP-US&quot;,&quot;FE_ESTIMATE(SALES,MEAN,QTR_ROLL,&quot;&amp;YEAR(EI5)&amp;&quot;/2F,NOW,,,'')&quot;)" sqref="EJ9" xr:uid="{B992950A-85FB-4A27-9317-7A236DAF6D53}"/>
    <dataValidation allowBlank="1" errorTitle="1x1xSingleCell" error="-2146826246" promptTitle="FactSet Formula" prompt="=FDS(&quot;SHOP-US&quot;,&quot;FE_ESTIMATE(SALES,MEAN,QTR_ROLL,&quot;&amp;YEAR(EI5)&amp;&quot;/3F,NOW,,,'')&quot;)" sqref="EK9" xr:uid="{3CDEB8B5-30E8-4C1C-BB8C-D9D5561863C4}"/>
    <dataValidation allowBlank="1" errorTitle="1x1xSingleCell" error="-2146826246" promptTitle="FactSet Formula" prompt="=FDS(&quot;SHOP-US&quot;,&quot;FE_ESTIMATE(SALES,MEAN,QTR_ROLL,&quot;&amp;YEAR(EI5)&amp;&quot;/4F,NOW,,,'')&quot;)" sqref="EL9" xr:uid="{15B593D7-DBFD-493C-8D11-E4215F1F2BB7}"/>
    <dataValidation allowBlank="1" errorTitle="1x1xSingleCell" error="28231.14" promptTitle="FactSet Formula" prompt="=FDS(&quot;SHOP-US&quot;,&quot;FE_ESTIMATE(SALES,MEAN,annual_ROLL,&quot;&amp;YEAR(EI5)&amp;&quot;,NOW,,,'')&quot;)" sqref="EM9" xr:uid="{C9182DDD-8963-49D1-9BB6-B0BBF8EE2DE0}"/>
    <dataValidation allowBlank="1" errorTitle="1x1xSingleCell" error="-2146826246" promptTitle="FactSet Formula" prompt="=FDS(&quot;SHOP-US&quot;,&quot;FE_ESTIMATE(SALES,MEAN,QTR_ROLL,&quot;&amp;YEAR(EN5)&amp;&quot;/1F,NOW,,,'')&quot;)" sqref="EN9" xr:uid="{89F537AA-1DB1-4277-8554-CDAA78B2073F}"/>
    <dataValidation allowBlank="1" errorTitle="1x1xSingleCell" error="-2146826246" promptTitle="FactSet Formula" prompt="=FDS(&quot;SHOP-US&quot;,&quot;FE_ESTIMATE(SALES,MEAN,QTR_ROLL,&quot;&amp;YEAR(EN5)&amp;&quot;/2F,NOW,,,'')&quot;)" sqref="EO9" xr:uid="{335586FF-8D22-4E1C-9CA9-9D19DE450DC1}"/>
    <dataValidation allowBlank="1" errorTitle="1x1xSingleCell" error="-2146826246" promptTitle="FactSet Formula" prompt="=FDS(&quot;SHOP-US&quot;,&quot;FE_ESTIMATE(SALES,MEAN,QTR_ROLL,&quot;&amp;YEAR(EN5)&amp;&quot;/3F,NOW,,,'')&quot;)" sqref="EP9" xr:uid="{41DE96F0-A47E-490B-A268-8E72D4C440B5}"/>
    <dataValidation allowBlank="1" errorTitle="1x1xSingleCell" error="-2146826246" promptTitle="FactSet Formula" prompt="=FDS(&quot;SHOP-US&quot;,&quot;FE_ESTIMATE(SALES,MEAN,QTR_ROLL,&quot;&amp;YEAR(EN5)&amp;&quot;/4F,NOW,,,'')&quot;)" sqref="EQ9" xr:uid="{54C3F613-654D-417D-B43D-727466AA86B8}"/>
    <dataValidation allowBlank="1" errorTitle="1x1xSingleCell" error="33373.3" promptTitle="FactSet Formula" prompt="=FDS(&quot;SHOP-US&quot;,&quot;FE_ESTIMATE(SALES,MEAN,annual_ROLL,&quot;&amp;YEAR(EN5)&amp;&quot;,NOW,,,'')&quot;)" sqref="ER9" xr:uid="{E9207140-37F5-4DDD-85BA-452CC241871E}"/>
  </dataValidations>
  <pageMargins left="0.15" right="0.15" top="0.3" bottom="0.3" header="0.25" footer="0.25"/>
  <pageSetup scale="65" pageOrder="overThenDown" orientation="portrait" horizontalDpi="1200" verticalDpi="1200" r:id="rId1"/>
  <headerFooter alignWithMargins="0">
    <oddFooter>&amp;R&amp;"Book Antiqua,Regular"&amp;8Daniel Salmon
BMO Capital Markets
 (212) 885-4029</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tabColor theme="9" tint="0.79998168889431442"/>
    <pageSetUpPr fitToPage="1"/>
  </sheetPr>
  <dimension ref="A1:JM127"/>
  <sheetViews>
    <sheetView showGridLines="0" zoomScaleNormal="100" workbookViewId="0">
      <pane xSplit="3" ySplit="5" topLeftCell="DN6" activePane="bottomRight" state="frozen"/>
      <selection activeCell="F6" sqref="F6"/>
      <selection pane="topRight" activeCell="F6" sqref="F6"/>
      <selection pane="bottomLeft" activeCell="F6" sqref="F6"/>
      <selection pane="bottomRight" activeCell="C2" sqref="C2"/>
    </sheetView>
  </sheetViews>
  <sheetFormatPr defaultColWidth="8.6640625" defaultRowHeight="13.2" outlineLevelCol="2"/>
  <cols>
    <col min="1" max="1" width="10.6640625" style="133" hidden="1" customWidth="1" outlineLevel="2"/>
    <col min="2" max="2" width="1.6640625" style="133" customWidth="1" collapsed="1"/>
    <col min="3" max="3" width="44.33203125" style="133" customWidth="1"/>
    <col min="4" max="64" width="9.33203125" style="377" hidden="1" customWidth="1"/>
    <col min="65" max="66" width="6.6640625" style="377" hidden="1" customWidth="1"/>
    <col min="67" max="67" width="7" style="377" hidden="1" customWidth="1"/>
    <col min="68" max="68" width="9.33203125" style="377" hidden="1" customWidth="1"/>
    <col min="69" max="69" width="6.6640625" style="377" hidden="1" customWidth="1" outlineLevel="2" collapsed="1"/>
    <col min="70" max="70" width="7.109375" style="377" hidden="1" customWidth="1" outlineLevel="2"/>
    <col min="71" max="71" width="6.6640625" style="377" hidden="1" customWidth="1" outlineLevel="2"/>
    <col min="72" max="72" width="7.33203125" style="377" hidden="1" customWidth="1" outlineLevel="2"/>
    <col min="73" max="74" width="9.33203125" style="377" hidden="1" customWidth="1" outlineLevel="2" collapsed="1"/>
    <col min="75" max="77" width="9.33203125" style="377" hidden="1" customWidth="1" outlineLevel="2"/>
    <col min="78" max="78" width="9.33203125" style="377" hidden="1" customWidth="1" outlineLevel="2" collapsed="1"/>
    <col min="79" max="82" width="7.33203125" style="377" hidden="1" customWidth="1" outlineLevel="2"/>
    <col min="83" max="83" width="9.33203125" style="377" hidden="1" customWidth="1" outlineLevel="2" collapsed="1"/>
    <col min="84" max="87" width="7.33203125" style="377" hidden="1" customWidth="1" outlineLevel="2"/>
    <col min="88" max="88" width="9.33203125" style="377" hidden="1" customWidth="1" outlineLevel="2" collapsed="1"/>
    <col min="89" max="91" width="7.6640625" style="377" hidden="1" customWidth="1" outlineLevel="2"/>
    <col min="92" max="92" width="8.33203125" style="377" hidden="1" customWidth="1" outlineLevel="2"/>
    <col min="93" max="93" width="9.33203125" style="377" hidden="1" customWidth="1" outlineLevel="2" collapsed="1"/>
    <col min="94" max="94" width="7.6640625" style="377" hidden="1" customWidth="1" outlineLevel="2"/>
    <col min="95" max="96" width="8.33203125" style="377" hidden="1" customWidth="1" outlineLevel="2"/>
    <col min="97" max="97" width="7.6640625" style="377" hidden="1" customWidth="1" outlineLevel="2"/>
    <col min="98" max="98" width="9.33203125" style="377" hidden="1" customWidth="1" outlineLevel="2" collapsed="1"/>
    <col min="99" max="102" width="7.6640625" style="377" hidden="1" customWidth="1" outlineLevel="2"/>
    <col min="103" max="103" width="9.44140625" style="377" hidden="1" customWidth="1" outlineLevel="2"/>
    <col min="104" max="106" width="7.6640625" style="377" hidden="1" customWidth="1" outlineLevel="2"/>
    <col min="107" max="107" width="8.6640625" style="377" hidden="1" customWidth="1" outlineLevel="2"/>
    <col min="108" max="108" width="9.44140625" style="377" hidden="1" customWidth="1" outlineLevel="2"/>
    <col min="109" max="110" width="10.5546875" style="377" hidden="1" customWidth="1" outlineLevel="2"/>
    <col min="111" max="112" width="10.44140625" style="377" hidden="1" customWidth="1" outlineLevel="2"/>
    <col min="113" max="113" width="9.109375" style="377" hidden="1" customWidth="1" outlineLevel="2" collapsed="1"/>
    <col min="114" max="117" width="9.109375" style="377" hidden="1" customWidth="1" outlineLevel="2"/>
    <col min="118" max="118" width="9.109375" style="377" customWidth="1" collapsed="1"/>
    <col min="119" max="122" width="9.109375" style="377" hidden="1" customWidth="1" outlineLevel="1"/>
    <col min="123" max="123" width="9.109375" style="377" customWidth="1" collapsed="1"/>
    <col min="124" max="127" width="9.109375" style="377" customWidth="1" outlineLevel="1"/>
    <col min="128" max="128" width="9.109375" style="377" customWidth="1"/>
    <col min="129" max="132" width="9.109375" style="377" customWidth="1" outlineLevel="2"/>
    <col min="133" max="133" width="9.109375" style="377" customWidth="1"/>
    <col min="134" max="137" width="9.109375" style="377" hidden="1" customWidth="1" outlineLevel="2"/>
    <col min="138" max="138" width="9.109375" style="377" customWidth="1" collapsed="1"/>
    <col min="139" max="142" width="9.109375" style="377" hidden="1" customWidth="1" outlineLevel="2"/>
    <col min="143" max="143" width="9.109375" style="377" customWidth="1" collapsed="1"/>
    <col min="144" max="147" width="9.109375" style="377" hidden="1" customWidth="1" outlineLevel="2"/>
    <col min="148" max="148" width="9.109375" style="377" customWidth="1" collapsed="1"/>
    <col min="149" max="16384" width="8.6640625" style="377"/>
  </cols>
  <sheetData>
    <row r="1" spans="1:273" s="376" customFormat="1" ht="12.75" customHeight="1">
      <c r="A1" s="133"/>
      <c r="B1" s="133"/>
      <c r="C1" s="17"/>
      <c r="W1" s="93"/>
      <c r="CS1" s="376" t="s">
        <v>188</v>
      </c>
      <c r="DA1" s="377"/>
      <c r="DB1" s="377"/>
      <c r="DC1" s="377"/>
      <c r="DD1" s="377"/>
      <c r="DE1" s="377"/>
      <c r="DF1" s="377"/>
      <c r="DG1" s="377"/>
      <c r="DH1" s="377"/>
      <c r="DI1" s="377"/>
      <c r="DJ1" s="377"/>
      <c r="DK1" s="377"/>
      <c r="DL1" s="377"/>
      <c r="DM1" s="377"/>
      <c r="DN1" s="377"/>
      <c r="DO1" s="377"/>
      <c r="DP1" s="377"/>
      <c r="DQ1" s="377"/>
      <c r="DR1" s="377"/>
      <c r="DS1" s="377"/>
      <c r="DT1" s="377"/>
      <c r="DU1" s="377"/>
      <c r="DV1" s="377"/>
      <c r="DW1" s="377"/>
      <c r="DX1" s="377"/>
      <c r="DY1" s="377"/>
      <c r="DZ1" s="377"/>
      <c r="EA1" s="377"/>
      <c r="EB1" s="377"/>
      <c r="EC1" s="377"/>
      <c r="ED1" s="377"/>
      <c r="EE1" s="377"/>
      <c r="EF1" s="377"/>
      <c r="EG1" s="377"/>
      <c r="EH1" s="377"/>
      <c r="EI1" s="377"/>
      <c r="EJ1" s="377"/>
      <c r="EK1" s="377"/>
      <c r="EL1" s="377"/>
      <c r="EM1" s="377"/>
      <c r="EN1" s="377"/>
      <c r="EO1" s="377"/>
      <c r="EP1" s="377"/>
      <c r="EQ1" s="377"/>
      <c r="ER1" s="377"/>
      <c r="ES1" s="377"/>
      <c r="ET1" s="377"/>
      <c r="EU1" s="377"/>
      <c r="EV1" s="377"/>
      <c r="FB1" s="377"/>
      <c r="FC1" s="377"/>
      <c r="FD1" s="377"/>
      <c r="FE1" s="377"/>
      <c r="FF1" s="377"/>
      <c r="FG1" s="377"/>
      <c r="FH1" s="377"/>
      <c r="FI1" s="377"/>
      <c r="FJ1" s="377"/>
      <c r="FK1" s="377"/>
      <c r="FL1" s="377"/>
      <c r="FM1" s="377"/>
      <c r="FN1" s="377"/>
      <c r="FO1" s="377"/>
      <c r="FP1" s="377"/>
      <c r="FQ1" s="377"/>
      <c r="FR1" s="377"/>
      <c r="FS1" s="377"/>
      <c r="FT1" s="377"/>
      <c r="FU1" s="377"/>
      <c r="FV1" s="377"/>
      <c r="FW1" s="377"/>
      <c r="FX1" s="377"/>
      <c r="FY1" s="377"/>
      <c r="FZ1" s="377"/>
      <c r="GA1" s="377"/>
      <c r="GB1" s="377"/>
      <c r="GC1" s="377"/>
      <c r="GD1" s="377"/>
      <c r="GE1" s="377"/>
      <c r="GF1" s="377"/>
      <c r="GG1" s="377"/>
      <c r="GH1" s="377"/>
      <c r="GI1" s="377"/>
      <c r="GJ1" s="377"/>
      <c r="GK1" s="377"/>
      <c r="GL1" s="377"/>
      <c r="GM1" s="377"/>
      <c r="GN1" s="377"/>
      <c r="GO1" s="377"/>
      <c r="GP1" s="377"/>
      <c r="GQ1" s="377"/>
      <c r="GR1" s="377"/>
      <c r="GS1" s="377"/>
      <c r="GT1" s="377"/>
      <c r="GU1" s="377"/>
      <c r="GV1" s="377"/>
      <c r="GW1" s="377"/>
      <c r="GX1" s="377"/>
      <c r="GY1" s="377"/>
      <c r="GZ1" s="377"/>
      <c r="HA1" s="377"/>
      <c r="HB1" s="377"/>
      <c r="HC1" s="377"/>
      <c r="HD1" s="377"/>
      <c r="HE1" s="377"/>
      <c r="HF1" s="377"/>
      <c r="HG1" s="377"/>
      <c r="HH1" s="377"/>
      <c r="HI1" s="377"/>
      <c r="HJ1" s="377"/>
      <c r="HK1" s="377"/>
      <c r="HL1" s="377"/>
      <c r="HM1" s="377"/>
      <c r="HN1" s="377"/>
      <c r="HO1" s="377"/>
      <c r="HP1" s="377"/>
      <c r="HQ1" s="377"/>
      <c r="HR1" s="377"/>
      <c r="HS1" s="377"/>
      <c r="HT1" s="377"/>
      <c r="HU1" s="377"/>
      <c r="HV1" s="377"/>
      <c r="HW1" s="377"/>
      <c r="HX1" s="377"/>
      <c r="HY1" s="377"/>
      <c r="HZ1" s="377"/>
      <c r="IA1" s="377"/>
      <c r="IB1" s="377"/>
      <c r="IC1" s="377"/>
      <c r="ID1" s="377"/>
      <c r="IE1" s="377"/>
      <c r="IF1" s="377"/>
      <c r="IG1" s="377"/>
      <c r="IH1" s="377"/>
      <c r="II1" s="377"/>
      <c r="IJ1" s="377"/>
      <c r="IK1" s="377"/>
      <c r="IL1" s="377"/>
      <c r="IM1" s="377"/>
      <c r="IN1" s="377"/>
      <c r="IO1" s="377"/>
      <c r="IP1" s="377"/>
      <c r="IQ1" s="377"/>
      <c r="IR1" s="377"/>
      <c r="IS1" s="377"/>
      <c r="IT1" s="377"/>
      <c r="IU1" s="377"/>
      <c r="IV1" s="377"/>
      <c r="IW1" s="377"/>
      <c r="IX1" s="377"/>
      <c r="IY1" s="377"/>
      <c r="IZ1" s="377"/>
      <c r="JA1" s="377"/>
      <c r="JB1" s="377"/>
      <c r="JC1" s="377"/>
      <c r="JD1" s="377"/>
      <c r="JE1" s="377"/>
      <c r="JF1" s="377"/>
      <c r="JG1" s="377"/>
      <c r="JH1" s="377"/>
      <c r="JI1" s="377"/>
      <c r="JJ1" s="377"/>
      <c r="JK1" s="377"/>
      <c r="JL1" s="377"/>
      <c r="JM1" s="377"/>
    </row>
    <row r="2" spans="1:273" s="93" customFormat="1" ht="12.75" customHeight="1">
      <c r="A2" s="133"/>
      <c r="B2" s="133"/>
      <c r="C2" s="18" t="s">
        <v>237</v>
      </c>
      <c r="CP2" s="158"/>
      <c r="DA2" s="377"/>
      <c r="DB2" s="377"/>
      <c r="DC2" s="377"/>
      <c r="DD2" s="377"/>
      <c r="DE2" s="377"/>
      <c r="DF2" s="377"/>
      <c r="DG2" s="377"/>
      <c r="DH2" s="377"/>
      <c r="DI2" s="377"/>
      <c r="DJ2" s="378"/>
      <c r="DK2" s="377"/>
      <c r="DL2" s="377"/>
      <c r="DM2" s="377"/>
      <c r="DN2" s="377"/>
      <c r="DO2" s="378"/>
      <c r="DP2" s="377"/>
      <c r="DQ2" s="377"/>
      <c r="DR2" s="377"/>
      <c r="DS2" s="377"/>
      <c r="DT2" s="377"/>
      <c r="DU2" s="377"/>
      <c r="DV2" s="377"/>
      <c r="DW2" s="377"/>
      <c r="DX2" s="377"/>
      <c r="DY2" s="377"/>
      <c r="DZ2" s="377"/>
      <c r="EA2" s="377"/>
      <c r="EB2" s="377"/>
      <c r="EC2" s="377"/>
      <c r="ED2" s="377"/>
      <c r="EE2" s="377"/>
      <c r="EF2" s="377"/>
      <c r="EG2" s="377"/>
      <c r="EH2" s="377"/>
      <c r="EI2" s="377"/>
      <c r="EJ2" s="377"/>
      <c r="EK2" s="377"/>
      <c r="EL2" s="377"/>
      <c r="EM2" s="377"/>
      <c r="EN2" s="377"/>
      <c r="EO2" s="377"/>
      <c r="EP2" s="377"/>
      <c r="EQ2" s="377"/>
      <c r="ER2" s="377"/>
      <c r="ES2" s="377"/>
      <c r="ET2" s="377"/>
      <c r="EU2" s="377"/>
      <c r="EV2" s="377"/>
      <c r="FB2" s="377"/>
      <c r="FC2" s="377"/>
      <c r="FD2" s="377"/>
      <c r="FE2" s="377"/>
      <c r="FF2" s="377"/>
      <c r="FG2" s="377"/>
      <c r="FH2" s="377"/>
      <c r="FI2" s="377"/>
      <c r="FJ2" s="377"/>
      <c r="FK2" s="377"/>
      <c r="FL2" s="377"/>
      <c r="FM2" s="377"/>
      <c r="FN2" s="377"/>
      <c r="FO2" s="377"/>
      <c r="FP2" s="377"/>
      <c r="FQ2" s="377"/>
      <c r="FR2" s="377"/>
      <c r="FS2" s="377"/>
      <c r="FT2" s="377"/>
      <c r="FU2" s="377"/>
      <c r="FV2" s="377"/>
      <c r="FW2" s="377"/>
      <c r="FX2" s="377"/>
      <c r="FY2" s="377"/>
      <c r="FZ2" s="377"/>
      <c r="GA2" s="377"/>
      <c r="GB2" s="377"/>
      <c r="GC2" s="377"/>
      <c r="GD2" s="377"/>
      <c r="GE2" s="377"/>
      <c r="GF2" s="377"/>
      <c r="GG2" s="377"/>
      <c r="GH2" s="377"/>
      <c r="GI2" s="377"/>
      <c r="GJ2" s="377"/>
      <c r="GK2" s="377"/>
      <c r="GL2" s="377"/>
      <c r="GM2" s="377"/>
      <c r="GN2" s="377"/>
      <c r="GO2" s="377"/>
      <c r="GP2" s="377"/>
      <c r="GQ2" s="377"/>
      <c r="GR2" s="377"/>
      <c r="GS2" s="377"/>
      <c r="GT2" s="377"/>
      <c r="GU2" s="377"/>
      <c r="GV2" s="377"/>
      <c r="GW2" s="377"/>
      <c r="GX2" s="377"/>
      <c r="GY2" s="377"/>
      <c r="GZ2" s="377"/>
      <c r="HA2" s="377"/>
      <c r="HB2" s="377"/>
      <c r="HC2" s="377"/>
      <c r="HD2" s="377"/>
      <c r="HE2" s="377"/>
      <c r="HF2" s="377"/>
      <c r="HG2" s="377"/>
      <c r="HH2" s="377"/>
      <c r="HI2" s="377"/>
      <c r="HJ2" s="377"/>
      <c r="HK2" s="377"/>
      <c r="HL2" s="377"/>
      <c r="HM2" s="377"/>
      <c r="HN2" s="377"/>
      <c r="HO2" s="377"/>
      <c r="HP2" s="377"/>
      <c r="HQ2" s="377"/>
      <c r="HR2" s="377"/>
      <c r="HS2" s="377"/>
      <c r="HT2" s="377"/>
      <c r="HU2" s="377"/>
      <c r="HV2" s="377"/>
      <c r="HW2" s="377"/>
      <c r="HX2" s="377"/>
      <c r="HY2" s="377"/>
      <c r="HZ2" s="377"/>
      <c r="IA2" s="377"/>
      <c r="IB2" s="377"/>
      <c r="IC2" s="377"/>
      <c r="ID2" s="377"/>
      <c r="IE2" s="377"/>
      <c r="IF2" s="377"/>
      <c r="IG2" s="377"/>
      <c r="IH2" s="377"/>
      <c r="II2" s="377"/>
      <c r="IJ2" s="377"/>
      <c r="IK2" s="377"/>
      <c r="IL2" s="377"/>
      <c r="IM2" s="377"/>
      <c r="IN2" s="377"/>
      <c r="IO2" s="377"/>
      <c r="IP2" s="377"/>
      <c r="IQ2" s="377"/>
      <c r="IR2" s="377"/>
      <c r="IS2" s="377"/>
      <c r="IT2" s="377"/>
      <c r="IU2" s="377"/>
      <c r="IV2" s="377"/>
      <c r="IW2" s="377"/>
      <c r="IX2" s="377"/>
      <c r="IY2" s="377"/>
      <c r="IZ2" s="377"/>
      <c r="JA2" s="377"/>
      <c r="JB2" s="377"/>
      <c r="JC2" s="377"/>
      <c r="JD2" s="377"/>
      <c r="JE2" s="377"/>
      <c r="JF2" s="377"/>
      <c r="JG2" s="377"/>
      <c r="JH2" s="377"/>
      <c r="JI2" s="377"/>
      <c r="JJ2" s="377"/>
      <c r="JK2" s="377"/>
      <c r="JL2" s="377"/>
      <c r="JM2" s="377"/>
    </row>
    <row r="3" spans="1:273" s="93" customFormat="1">
      <c r="A3" s="133"/>
      <c r="B3" s="133"/>
      <c r="C3" s="898" t="s">
        <v>422</v>
      </c>
      <c r="DM3" s="160"/>
      <c r="ES3" s="377"/>
      <c r="ET3" s="377"/>
      <c r="EU3" s="377"/>
      <c r="EV3" s="377"/>
      <c r="FB3" s="377"/>
      <c r="FC3" s="377"/>
      <c r="FD3" s="377"/>
      <c r="FE3" s="377"/>
      <c r="FF3" s="377"/>
      <c r="FG3" s="377"/>
      <c r="FH3" s="377"/>
      <c r="FI3" s="377"/>
      <c r="FJ3" s="377"/>
      <c r="FK3" s="377"/>
      <c r="FL3" s="377"/>
      <c r="FM3" s="377"/>
      <c r="FN3" s="377"/>
      <c r="FO3" s="377"/>
      <c r="FP3" s="377"/>
      <c r="FQ3" s="377"/>
      <c r="FR3" s="377"/>
      <c r="FS3" s="377"/>
      <c r="FT3" s="377"/>
      <c r="FU3" s="377"/>
      <c r="FV3" s="377"/>
      <c r="FW3" s="377"/>
      <c r="FX3" s="377"/>
      <c r="FY3" s="377"/>
      <c r="FZ3" s="377"/>
      <c r="GA3" s="377"/>
      <c r="GB3" s="377"/>
      <c r="GC3" s="377"/>
      <c r="GD3" s="377"/>
      <c r="GE3" s="377"/>
      <c r="GF3" s="377"/>
      <c r="GG3" s="377"/>
      <c r="GH3" s="377"/>
      <c r="GI3" s="377"/>
      <c r="GJ3" s="377"/>
      <c r="GK3" s="377"/>
      <c r="GL3" s="377"/>
      <c r="GM3" s="377"/>
      <c r="GN3" s="377"/>
      <c r="GO3" s="377"/>
      <c r="GP3" s="377"/>
      <c r="GQ3" s="377"/>
      <c r="GR3" s="377"/>
      <c r="GS3" s="377"/>
      <c r="GT3" s="377"/>
      <c r="GU3" s="377"/>
      <c r="GV3" s="377"/>
      <c r="GW3" s="377"/>
      <c r="GX3" s="377"/>
      <c r="GY3" s="377"/>
      <c r="GZ3" s="377"/>
      <c r="HA3" s="377"/>
      <c r="HB3" s="377"/>
      <c r="HC3" s="377"/>
      <c r="HD3" s="377"/>
      <c r="HE3" s="377"/>
      <c r="HF3" s="377"/>
      <c r="HG3" s="377"/>
      <c r="HH3" s="377"/>
      <c r="HI3" s="377"/>
      <c r="HJ3" s="377"/>
      <c r="HK3" s="377"/>
      <c r="HL3" s="377"/>
      <c r="HM3" s="377"/>
      <c r="HN3" s="377"/>
      <c r="HO3" s="377"/>
      <c r="HP3" s="377"/>
      <c r="HQ3" s="377"/>
      <c r="HR3" s="377"/>
      <c r="HS3" s="377"/>
      <c r="HT3" s="377"/>
      <c r="HU3" s="377"/>
      <c r="HV3" s="377"/>
      <c r="HW3" s="377"/>
      <c r="HX3" s="377"/>
      <c r="HY3" s="377"/>
      <c r="HZ3" s="377"/>
      <c r="IA3" s="377"/>
      <c r="IB3" s="377"/>
      <c r="IC3" s="377"/>
      <c r="ID3" s="377"/>
      <c r="IE3" s="377"/>
      <c r="IF3" s="377"/>
      <c r="IG3" s="377"/>
      <c r="IH3" s="377"/>
      <c r="II3" s="377"/>
      <c r="IJ3" s="377"/>
      <c r="IK3" s="377"/>
      <c r="IL3" s="377"/>
      <c r="IM3" s="377"/>
      <c r="IN3" s="377"/>
      <c r="IO3" s="377"/>
      <c r="IP3" s="377"/>
      <c r="IQ3" s="377"/>
      <c r="IR3" s="377"/>
      <c r="IS3" s="377"/>
      <c r="IT3" s="377"/>
      <c r="IU3" s="377"/>
      <c r="IV3" s="377"/>
      <c r="IW3" s="377"/>
      <c r="IX3" s="377"/>
      <c r="IY3" s="377"/>
      <c r="IZ3" s="377"/>
      <c r="JA3" s="377"/>
      <c r="JB3" s="377"/>
      <c r="JC3" s="377"/>
      <c r="JD3" s="377"/>
      <c r="JE3" s="377"/>
      <c r="JF3" s="377"/>
      <c r="JG3" s="377"/>
      <c r="JH3" s="377"/>
      <c r="JI3" s="377"/>
      <c r="JJ3" s="377"/>
      <c r="JK3" s="377"/>
      <c r="JL3" s="377"/>
      <c r="JM3" s="377"/>
    </row>
    <row r="4" spans="1:273" s="93" customFormat="1" ht="12" customHeight="1">
      <c r="A4" s="133"/>
      <c r="B4" s="133"/>
      <c r="C4" s="1623"/>
      <c r="D4" s="1630" t="str">
        <f>Income!D4</f>
        <v>1998A</v>
      </c>
      <c r="E4" s="1630" t="str">
        <f>Income!E4</f>
        <v>1999A</v>
      </c>
      <c r="F4" s="1630" t="str">
        <f>Income!F4</f>
        <v>2000A</v>
      </c>
      <c r="G4" s="1630" t="str">
        <f>Income!G4</f>
        <v>2001A</v>
      </c>
      <c r="H4" s="1630" t="str">
        <f>Income!H4</f>
        <v>2002A</v>
      </c>
      <c r="I4" s="1609" t="str">
        <f>Income!I4</f>
        <v>1Q03A</v>
      </c>
      <c r="J4" s="1609" t="str">
        <f>Income!J4</f>
        <v>2Q03A</v>
      </c>
      <c r="K4" s="1609" t="str">
        <f>Income!K4</f>
        <v>3Q03A</v>
      </c>
      <c r="L4" s="1609" t="str">
        <f>Income!L4</f>
        <v>4Q03A</v>
      </c>
      <c r="M4" s="1630" t="str">
        <f>Income!M4</f>
        <v>2003A</v>
      </c>
      <c r="N4" s="1609" t="str">
        <f>Income!N4</f>
        <v>1Q04A</v>
      </c>
      <c r="O4" s="1609" t="str">
        <f>Income!O4</f>
        <v>2Q04A</v>
      </c>
      <c r="P4" s="1609" t="str">
        <f>Income!P4</f>
        <v>3Q04A</v>
      </c>
      <c r="Q4" s="1609" t="str">
        <f>Income!Q4</f>
        <v>4Q04A</v>
      </c>
      <c r="R4" s="1630" t="str">
        <f>Income!R4</f>
        <v>2004A</v>
      </c>
      <c r="S4" s="1609" t="str">
        <f>Income!S4</f>
        <v>1Q05A</v>
      </c>
      <c r="T4" s="1609" t="str">
        <f>Income!T4</f>
        <v>2Q05A</v>
      </c>
      <c r="U4" s="1609" t="str">
        <f>Income!U4</f>
        <v>3Q05A</v>
      </c>
      <c r="V4" s="1609" t="str">
        <f>Income!V4</f>
        <v>4Q05A</v>
      </c>
      <c r="W4" s="1630" t="str">
        <f>Income!W4</f>
        <v>2005A</v>
      </c>
      <c r="X4" s="1609" t="str">
        <f>Income!X4</f>
        <v>1Q06A</v>
      </c>
      <c r="Y4" s="1609" t="str">
        <f>Income!Y4</f>
        <v>2Q06A</v>
      </c>
      <c r="Z4" s="1609" t="str">
        <f>Income!Z4</f>
        <v>3Q06A</v>
      </c>
      <c r="AA4" s="1609" t="str">
        <f>Income!AA4</f>
        <v>4Q06A</v>
      </c>
      <c r="AB4" s="1630" t="str">
        <f>Income!AB4</f>
        <v>2006A</v>
      </c>
      <c r="AC4" s="1609" t="str">
        <f>Income!AC4</f>
        <v>1Q07A</v>
      </c>
      <c r="AD4" s="1609" t="str">
        <f>Income!AD4</f>
        <v>2Q07A</v>
      </c>
      <c r="AE4" s="1609" t="str">
        <f>Income!AE4</f>
        <v>3Q07A</v>
      </c>
      <c r="AF4" s="1609" t="str">
        <f>Income!AF4</f>
        <v>4Q07A</v>
      </c>
      <c r="AG4" s="1630" t="str">
        <f>Income!AG4</f>
        <v>2007A</v>
      </c>
      <c r="AH4" s="1609" t="str">
        <f>Income!AH4</f>
        <v>1Q08A</v>
      </c>
      <c r="AI4" s="1609" t="str">
        <f>Income!AI4</f>
        <v>2Q08A</v>
      </c>
      <c r="AJ4" s="1609" t="str">
        <f>Income!AJ4</f>
        <v>3Q08A</v>
      </c>
      <c r="AK4" s="1609" t="str">
        <f>Income!AK4</f>
        <v>4Q08A</v>
      </c>
      <c r="AL4" s="1630" t="str">
        <f>Income!AL4</f>
        <v>2008A</v>
      </c>
      <c r="AM4" s="1609" t="str">
        <f>Income!AM4</f>
        <v>1Q09A</v>
      </c>
      <c r="AN4" s="1609" t="str">
        <f>Income!AN4</f>
        <v>2Q09A</v>
      </c>
      <c r="AO4" s="1609" t="str">
        <f>Income!AO4</f>
        <v>3Q09A</v>
      </c>
      <c r="AP4" s="1609" t="str">
        <f>Income!AP4</f>
        <v>4Q09A</v>
      </c>
      <c r="AQ4" s="1630" t="str">
        <f>Income!AQ4</f>
        <v>2009A</v>
      </c>
      <c r="AR4" s="1609" t="str">
        <f>Income!AR4</f>
        <v>1Q10A</v>
      </c>
      <c r="AS4" s="1609" t="str">
        <f>Income!AS4</f>
        <v>2Q10A</v>
      </c>
      <c r="AT4" s="1609" t="str">
        <f>Income!AT4</f>
        <v>3Q10A</v>
      </c>
      <c r="AU4" s="1609" t="str">
        <f>Income!AU4</f>
        <v>4Q10A</v>
      </c>
      <c r="AV4" s="1630" t="str">
        <f>Income!AV4</f>
        <v>2010A</v>
      </c>
      <c r="AW4" s="1609" t="str">
        <f>Income!AW4</f>
        <v>1Q11A</v>
      </c>
      <c r="AX4" s="1609" t="str">
        <f>Income!AX4</f>
        <v>2Q11A</v>
      </c>
      <c r="AY4" s="1609" t="str">
        <f>Income!AY4</f>
        <v>3Q11A</v>
      </c>
      <c r="AZ4" s="1609" t="str">
        <f>Income!AZ4</f>
        <v>4Q11A</v>
      </c>
      <c r="BA4" s="1630" t="str">
        <f>Income!BA4</f>
        <v>2011A</v>
      </c>
      <c r="BB4" s="1609" t="str">
        <f>Income!BB4</f>
        <v>1Q12A</v>
      </c>
      <c r="BC4" s="1609" t="str">
        <f>Income!BC4</f>
        <v>2Q12A</v>
      </c>
      <c r="BD4" s="1609" t="str">
        <f>Income!BD4</f>
        <v>3Q12A</v>
      </c>
      <c r="BE4" s="1609" t="str">
        <f>Income!BE4</f>
        <v>4Q12A</v>
      </c>
      <c r="BF4" s="1630" t="str">
        <f>Income!BF4</f>
        <v>2012A</v>
      </c>
      <c r="BG4" s="1609" t="str">
        <f>Income!BG4</f>
        <v>1Q13A</v>
      </c>
      <c r="BH4" s="1609" t="str">
        <f>Income!BH4</f>
        <v>2Q13A</v>
      </c>
      <c r="BI4" s="1609" t="str">
        <f>Income!BI4</f>
        <v>3Q13A</v>
      </c>
      <c r="BJ4" s="1609" t="str">
        <f>Income!BJ4</f>
        <v>4Q13A</v>
      </c>
      <c r="BK4" s="1630" t="str">
        <f>Income!BK4</f>
        <v>2013A</v>
      </c>
      <c r="BL4" s="1609" t="str">
        <f>Income!BL4</f>
        <v>1Q14A</v>
      </c>
      <c r="BM4" s="1609" t="str">
        <f>Income!BM4</f>
        <v>2Q14A</v>
      </c>
      <c r="BN4" s="1609" t="str">
        <f>Income!BN4</f>
        <v>3Q14A</v>
      </c>
      <c r="BO4" s="1609" t="str">
        <f>Income!BO4</f>
        <v>4Q14A</v>
      </c>
      <c r="BP4" s="1630" t="str">
        <f>Income!BP4</f>
        <v>2014A</v>
      </c>
      <c r="BQ4" s="1609" t="str">
        <f>Income!BQ4</f>
        <v>1Q15A</v>
      </c>
      <c r="BR4" s="1609" t="str">
        <f>Income!BR4</f>
        <v>2Q15A</v>
      </c>
      <c r="BS4" s="1609" t="str">
        <f>Income!BS4</f>
        <v>3Q15A</v>
      </c>
      <c r="BT4" s="1609" t="str">
        <f>Income!BT4</f>
        <v>4Q15A</v>
      </c>
      <c r="BU4" s="1630" t="str">
        <f>Income!BU4</f>
        <v>2015A</v>
      </c>
      <c r="BV4" s="1609" t="str">
        <f>Income!BV4</f>
        <v>1Q16A</v>
      </c>
      <c r="BW4" s="1609" t="str">
        <f>Income!BW4</f>
        <v>2Q16A</v>
      </c>
      <c r="BX4" s="1609" t="str">
        <f>Income!BX4</f>
        <v>3Q16A</v>
      </c>
      <c r="BY4" s="1609" t="str">
        <f>Income!BY4</f>
        <v>4Q16A</v>
      </c>
      <c r="BZ4" s="1630" t="str">
        <f>Income!BZ4</f>
        <v>2016A</v>
      </c>
      <c r="CA4" s="1609" t="str">
        <f>Income!CA4</f>
        <v>1Q17A</v>
      </c>
      <c r="CB4" s="1609" t="str">
        <f>Income!CB4</f>
        <v>2Q17A</v>
      </c>
      <c r="CC4" s="1609" t="str">
        <f>Income!CC4</f>
        <v>3Q17A</v>
      </c>
      <c r="CD4" s="1609" t="str">
        <f>Income!CD4</f>
        <v>4Q17A</v>
      </c>
      <c r="CE4" s="1630" t="str">
        <f>Income!CE4</f>
        <v>2017A</v>
      </c>
      <c r="CF4" s="1609" t="str">
        <f>Income!CF4</f>
        <v>1Q18A</v>
      </c>
      <c r="CG4" s="1609" t="str">
        <f>Income!CG4</f>
        <v>2Q18A</v>
      </c>
      <c r="CH4" s="1609" t="str">
        <f>Income!CH4</f>
        <v>3Q18A</v>
      </c>
      <c r="CI4" s="1609" t="str">
        <f>Income!CI4</f>
        <v>4Q18A</v>
      </c>
      <c r="CJ4" s="1633" t="str">
        <f>Income!CJ4</f>
        <v>2018A</v>
      </c>
      <c r="CK4" s="1609" t="str">
        <f>Income!CK4</f>
        <v>1Q19A</v>
      </c>
      <c r="CL4" s="1609" t="str">
        <f>Income!CL4</f>
        <v>2Q19A</v>
      </c>
      <c r="CM4" s="1609" t="str">
        <f>Income!CM4</f>
        <v>3Q19A</v>
      </c>
      <c r="CN4" s="1609" t="str">
        <f>Income!CN4</f>
        <v>4Q19A</v>
      </c>
      <c r="CO4" s="1633" t="str">
        <f>Income!CO4</f>
        <v>2019A</v>
      </c>
      <c r="CP4" s="1612" t="str">
        <f>Income!CP4</f>
        <v>1Q20A</v>
      </c>
      <c r="CQ4" s="1612" t="str">
        <f>Income!CQ4</f>
        <v>2Q20A</v>
      </c>
      <c r="CR4" s="1612" t="str">
        <f>Income!CR4</f>
        <v>3Q20A</v>
      </c>
      <c r="CS4" s="1612" t="str">
        <f>Income!CS4</f>
        <v>4Q20A</v>
      </c>
      <c r="CT4" s="1633" t="str">
        <f>Income!CT4</f>
        <v>2020A</v>
      </c>
      <c r="CU4" s="1612" t="str">
        <f>Income!CU4</f>
        <v>1Q21A</v>
      </c>
      <c r="CV4" s="1612" t="str">
        <f>Income!CV4</f>
        <v>2Q21A</v>
      </c>
      <c r="CW4" s="1612" t="str">
        <f>Income!CW4</f>
        <v>3Q21A</v>
      </c>
      <c r="CX4" s="1612" t="str">
        <f>Income!CX4</f>
        <v>4Q21A</v>
      </c>
      <c r="CY4" s="1633" t="str">
        <f>Income!CY4</f>
        <v>2021A</v>
      </c>
      <c r="CZ4" s="1612" t="str">
        <f>Income!CZ4</f>
        <v>1Q22A</v>
      </c>
      <c r="DA4" s="1609" t="str">
        <f>Income!DA4</f>
        <v>2Q22A</v>
      </c>
      <c r="DB4" s="1609" t="str">
        <f>Income!DB4</f>
        <v>3Q22A</v>
      </c>
      <c r="DC4" s="1609" t="str">
        <f>Income!DC4</f>
        <v>4Q22A</v>
      </c>
      <c r="DD4" s="1633" t="str">
        <f>Income!DD4</f>
        <v>2022A</v>
      </c>
      <c r="DE4" s="1609" t="str">
        <f>Income!DE4</f>
        <v>1Q23A</v>
      </c>
      <c r="DF4" s="1609" t="str">
        <f>Income!DF4</f>
        <v>2Q23A</v>
      </c>
      <c r="DG4" s="1609" t="str">
        <f>Income!DG4</f>
        <v>3Q23A</v>
      </c>
      <c r="DH4" s="1609" t="str">
        <f>Income!DH4</f>
        <v>4Q23A</v>
      </c>
      <c r="DI4" s="1633" t="str">
        <f>Income!DI4</f>
        <v>2023A</v>
      </c>
      <c r="DJ4" s="1609" t="str">
        <f>Income!DJ4</f>
        <v>1Q24A</v>
      </c>
      <c r="DK4" s="1609" t="str">
        <f>Income!DK4</f>
        <v>2Q24A</v>
      </c>
      <c r="DL4" s="1609" t="str">
        <f>Income!DL4</f>
        <v>3Q24A</v>
      </c>
      <c r="DM4" s="1609" t="str">
        <f>Income!DM4</f>
        <v>4Q24A</v>
      </c>
      <c r="DN4" s="1633" t="str">
        <f>Income!DN4</f>
        <v>2024A</v>
      </c>
      <c r="DO4" s="1609" t="str">
        <f>Income!DO4</f>
        <v>1Q25A</v>
      </c>
      <c r="DP4" s="1609" t="str">
        <f>Income!DP4</f>
        <v>2Q25A</v>
      </c>
      <c r="DQ4" s="1609" t="str">
        <f>Income!DQ4</f>
        <v>3Q25A</v>
      </c>
      <c r="DR4" s="1609" t="str">
        <f>Income!DR4</f>
        <v>4Q25A</v>
      </c>
      <c r="DS4" s="1633" t="str">
        <f>Income!DS4</f>
        <v>2025A</v>
      </c>
      <c r="DT4" s="1609" t="str">
        <f>Income!DT4</f>
        <v>1Q26A</v>
      </c>
      <c r="DU4" s="1609" t="str">
        <f>Income!DU4</f>
        <v>2Q26A</v>
      </c>
      <c r="DV4" s="1609" t="str">
        <f>Income!DV4</f>
        <v>3Q26E</v>
      </c>
      <c r="DW4" s="1609" t="str">
        <f>Income!DW4</f>
        <v>4Q26E</v>
      </c>
      <c r="DX4" s="1633" t="str">
        <f>Income!DX4</f>
        <v>2026E</v>
      </c>
      <c r="DY4" s="1609" t="str">
        <f>Income!DY4</f>
        <v>1Q27E</v>
      </c>
      <c r="DZ4" s="1609" t="str">
        <f>Income!DZ4</f>
        <v>2Q27E</v>
      </c>
      <c r="EA4" s="1609" t="str">
        <f>Income!EA4</f>
        <v>3Q27E</v>
      </c>
      <c r="EB4" s="1609" t="str">
        <f>Income!EB4</f>
        <v>4Q27E</v>
      </c>
      <c r="EC4" s="1633" t="str">
        <f>Income!EC4</f>
        <v>2027E</v>
      </c>
      <c r="ED4" s="1609" t="str">
        <f>Income!ED4</f>
        <v>1Q28E</v>
      </c>
      <c r="EE4" s="1609" t="str">
        <f>Income!EE4</f>
        <v>2Q28E</v>
      </c>
      <c r="EF4" s="1609" t="str">
        <f>Income!EF4</f>
        <v>3Q28E</v>
      </c>
      <c r="EG4" s="1609" t="str">
        <f>Income!EG4</f>
        <v>4Q28E</v>
      </c>
      <c r="EH4" s="1633" t="str">
        <f>Income!EH4</f>
        <v>2028E</v>
      </c>
      <c r="EI4" s="1609" t="str">
        <f>Income!EI4</f>
        <v>1Q29E</v>
      </c>
      <c r="EJ4" s="1609" t="str">
        <f>Income!EJ4</f>
        <v>2Q29E</v>
      </c>
      <c r="EK4" s="1609" t="str">
        <f>Income!EK4</f>
        <v>3Q29E</v>
      </c>
      <c r="EL4" s="1609" t="str">
        <f>Income!EL4</f>
        <v>4Q29E</v>
      </c>
      <c r="EM4" s="1633" t="str">
        <f>Income!EM4</f>
        <v>2029E</v>
      </c>
      <c r="EN4" s="1609" t="str">
        <f>Income!EN4</f>
        <v>1Q30E</v>
      </c>
      <c r="EO4" s="1609" t="str">
        <f>Income!EO4</f>
        <v>2Q30E</v>
      </c>
      <c r="EP4" s="1609" t="str">
        <f>Income!EP4</f>
        <v>3Q30E</v>
      </c>
      <c r="EQ4" s="1609" t="str">
        <f>Income!EQ4</f>
        <v>4Q30E</v>
      </c>
      <c r="ER4" s="1633" t="str">
        <f>Income!ER4</f>
        <v>2030E</v>
      </c>
      <c r="ES4" s="377"/>
      <c r="ET4" s="377"/>
      <c r="EU4" s="377"/>
      <c r="EV4" s="377"/>
      <c r="FB4" s="377"/>
      <c r="FC4" s="377"/>
      <c r="FD4" s="377"/>
      <c r="FE4" s="377"/>
      <c r="FF4" s="377"/>
      <c r="FG4" s="377"/>
      <c r="FH4" s="377"/>
      <c r="FI4" s="377"/>
      <c r="FJ4" s="377"/>
      <c r="FK4" s="377"/>
      <c r="FL4" s="377"/>
      <c r="FM4" s="377"/>
      <c r="FN4" s="377"/>
      <c r="FO4" s="377"/>
      <c r="FP4" s="377"/>
      <c r="FQ4" s="377"/>
      <c r="FR4" s="377"/>
      <c r="FS4" s="377"/>
      <c r="FT4" s="377"/>
      <c r="FU4" s="377"/>
      <c r="FV4" s="377"/>
      <c r="FW4" s="377"/>
      <c r="FX4" s="377"/>
      <c r="FY4" s="377"/>
      <c r="FZ4" s="377"/>
      <c r="GA4" s="377"/>
      <c r="GB4" s="377"/>
      <c r="GC4" s="377"/>
      <c r="GD4" s="377"/>
      <c r="GE4" s="377"/>
      <c r="GF4" s="377"/>
      <c r="GG4" s="377"/>
      <c r="GH4" s="377"/>
      <c r="GI4" s="377"/>
      <c r="GJ4" s="377"/>
      <c r="GK4" s="377"/>
      <c r="GL4" s="377"/>
      <c r="GM4" s="377"/>
      <c r="GN4" s="377"/>
      <c r="GO4" s="377"/>
      <c r="GP4" s="377"/>
      <c r="GQ4" s="377"/>
      <c r="GR4" s="377"/>
      <c r="GS4" s="377"/>
      <c r="GT4" s="377"/>
      <c r="GU4" s="377"/>
      <c r="GV4" s="377"/>
      <c r="GW4" s="377"/>
      <c r="GX4" s="377"/>
      <c r="GY4" s="377"/>
      <c r="GZ4" s="377"/>
      <c r="HA4" s="377"/>
      <c r="HB4" s="377"/>
      <c r="HC4" s="377"/>
      <c r="HD4" s="377"/>
      <c r="HE4" s="377"/>
      <c r="HF4" s="377"/>
      <c r="HG4" s="377"/>
      <c r="HH4" s="377"/>
      <c r="HI4" s="377"/>
      <c r="HJ4" s="377"/>
      <c r="HK4" s="377"/>
      <c r="HL4" s="377"/>
      <c r="HM4" s="377"/>
      <c r="HN4" s="377"/>
      <c r="HO4" s="377"/>
      <c r="HP4" s="377"/>
      <c r="HQ4" s="377"/>
      <c r="HR4" s="377"/>
      <c r="HS4" s="377"/>
      <c r="HT4" s="377"/>
      <c r="HU4" s="377"/>
      <c r="HV4" s="377"/>
      <c r="HW4" s="377"/>
      <c r="HX4" s="377"/>
      <c r="HY4" s="377"/>
      <c r="HZ4" s="377"/>
      <c r="IA4" s="377"/>
      <c r="IB4" s="377"/>
      <c r="IC4" s="377"/>
      <c r="ID4" s="377"/>
      <c r="IE4" s="377"/>
      <c r="IF4" s="377"/>
      <c r="IG4" s="377"/>
      <c r="IH4" s="377"/>
      <c r="II4" s="377"/>
      <c r="IJ4" s="377"/>
      <c r="IK4" s="377"/>
      <c r="IL4" s="377"/>
      <c r="IM4" s="377"/>
      <c r="IN4" s="377"/>
      <c r="IO4" s="377"/>
      <c r="IP4" s="377"/>
      <c r="IQ4" s="377"/>
      <c r="IR4" s="377"/>
      <c r="IS4" s="377"/>
      <c r="IT4" s="377"/>
      <c r="IU4" s="377"/>
      <c r="IV4" s="377"/>
      <c r="IW4" s="377"/>
      <c r="IX4" s="377"/>
      <c r="IY4" s="377"/>
      <c r="IZ4" s="377"/>
      <c r="JA4" s="377"/>
      <c r="JB4" s="377"/>
      <c r="JC4" s="377"/>
      <c r="JD4" s="377"/>
      <c r="JE4" s="377"/>
      <c r="JF4" s="377"/>
      <c r="JG4" s="377"/>
      <c r="JH4" s="377"/>
      <c r="JI4" s="377"/>
      <c r="JJ4" s="377"/>
      <c r="JK4" s="377"/>
      <c r="JL4" s="377"/>
      <c r="JM4" s="377"/>
    </row>
    <row r="5" spans="1:273" s="93" customFormat="1" ht="12" customHeight="1">
      <c r="A5" s="133"/>
      <c r="B5" s="133"/>
      <c r="C5" s="228" t="str">
        <f>Income!C5</f>
        <v>$ in millions, except per share figures</v>
      </c>
      <c r="D5" s="682">
        <v>1998</v>
      </c>
      <c r="E5" s="682">
        <f>+D5+1</f>
        <v>1999</v>
      </c>
      <c r="F5" s="682">
        <f>+E5+1</f>
        <v>2000</v>
      </c>
      <c r="G5" s="682">
        <f>+F5+1</f>
        <v>2001</v>
      </c>
      <c r="H5" s="682">
        <f>+G5+1</f>
        <v>2002</v>
      </c>
      <c r="I5" s="683">
        <v>37711</v>
      </c>
      <c r="J5" s="684">
        <f>EOMONTH(I5,3)</f>
        <v>37802</v>
      </c>
      <c r="K5" s="684">
        <f>EOMONTH(J5,3)</f>
        <v>37894</v>
      </c>
      <c r="L5" s="684">
        <f>EOMONTH(K5,3)</f>
        <v>37986</v>
      </c>
      <c r="M5" s="682">
        <f>+H5+1</f>
        <v>2003</v>
      </c>
      <c r="N5" s="684">
        <f>EOMONTH(I5,12)</f>
        <v>38077</v>
      </c>
      <c r="O5" s="684">
        <f>EOMONTH(N5,3)</f>
        <v>38168</v>
      </c>
      <c r="P5" s="684">
        <f>EOMONTH(O5,3)</f>
        <v>38260</v>
      </c>
      <c r="Q5" s="684">
        <f>EOMONTH(P5,3)</f>
        <v>38352</v>
      </c>
      <c r="R5" s="682">
        <f>+M5+1</f>
        <v>2004</v>
      </c>
      <c r="S5" s="684">
        <f>EOMONTH(N5,12)</f>
        <v>38442</v>
      </c>
      <c r="T5" s="684">
        <f>EOMONTH(S5,3)</f>
        <v>38533</v>
      </c>
      <c r="U5" s="684">
        <f>EOMONTH(T5,3)</f>
        <v>38625</v>
      </c>
      <c r="V5" s="684">
        <f>EOMONTH(U5,3)</f>
        <v>38717</v>
      </c>
      <c r="W5" s="682">
        <f>+R5+1</f>
        <v>2005</v>
      </c>
      <c r="X5" s="684">
        <f>EOMONTH(S5,12)</f>
        <v>38807</v>
      </c>
      <c r="Y5" s="684">
        <f>EOMONTH(X5,3)</f>
        <v>38898</v>
      </c>
      <c r="Z5" s="684">
        <f>EOMONTH(Y5,3)</f>
        <v>38990</v>
      </c>
      <c r="AA5" s="684">
        <f>EOMONTH(Z5,3)</f>
        <v>39082</v>
      </c>
      <c r="AB5" s="682">
        <f>+W5+1</f>
        <v>2006</v>
      </c>
      <c r="AC5" s="684">
        <f>EOMONTH(X5,12)</f>
        <v>39172</v>
      </c>
      <c r="AD5" s="684">
        <f>EOMONTH(AC5,3)</f>
        <v>39263</v>
      </c>
      <c r="AE5" s="684">
        <f>EOMONTH(AD5,3)</f>
        <v>39355</v>
      </c>
      <c r="AF5" s="684">
        <f>EOMONTH(AE5,3)</f>
        <v>39447</v>
      </c>
      <c r="AG5" s="682">
        <f>+AB5+1</f>
        <v>2007</v>
      </c>
      <c r="AH5" s="684">
        <f>EOMONTH(AC5,12)</f>
        <v>39538</v>
      </c>
      <c r="AI5" s="684">
        <f>EOMONTH(AH5,3)</f>
        <v>39629</v>
      </c>
      <c r="AJ5" s="684">
        <f>EOMONTH(AI5,3)</f>
        <v>39721</v>
      </c>
      <c r="AK5" s="684">
        <f>EOMONTH(AJ5,3)</f>
        <v>39813</v>
      </c>
      <c r="AL5" s="682">
        <f>+AG5+1</f>
        <v>2008</v>
      </c>
      <c r="AM5" s="684">
        <f>EOMONTH(AH5,12)</f>
        <v>39903</v>
      </c>
      <c r="AN5" s="684">
        <f>EOMONTH(AM5,3)</f>
        <v>39994</v>
      </c>
      <c r="AO5" s="684">
        <f>EOMONTH(AN5,3)</f>
        <v>40086</v>
      </c>
      <c r="AP5" s="684">
        <f>EOMONTH(AO5,3)</f>
        <v>40178</v>
      </c>
      <c r="AQ5" s="682">
        <f>+AL5+1</f>
        <v>2009</v>
      </c>
      <c r="AR5" s="684">
        <f>EOMONTH(AM5,12)</f>
        <v>40268</v>
      </c>
      <c r="AS5" s="684">
        <f>EOMONTH(AR5,3)</f>
        <v>40359</v>
      </c>
      <c r="AT5" s="684">
        <f>EOMONTH(AS5,3)</f>
        <v>40451</v>
      </c>
      <c r="AU5" s="684">
        <f>EOMONTH(AT5,3)</f>
        <v>40543</v>
      </c>
      <c r="AV5" s="682">
        <f>+AQ5+1</f>
        <v>2010</v>
      </c>
      <c r="AW5" s="684">
        <f>EOMONTH(AR5,12)</f>
        <v>40633</v>
      </c>
      <c r="AX5" s="684">
        <f>EOMONTH(AW5,3)</f>
        <v>40724</v>
      </c>
      <c r="AY5" s="684">
        <f>EOMONTH(AX5,3)</f>
        <v>40816</v>
      </c>
      <c r="AZ5" s="684">
        <f>EOMONTH(AY5,3)</f>
        <v>40908</v>
      </c>
      <c r="BA5" s="682">
        <f>+AV5+1</f>
        <v>2011</v>
      </c>
      <c r="BB5" s="684">
        <f>EOMONTH(AW5,12)</f>
        <v>40999</v>
      </c>
      <c r="BC5" s="684">
        <f>EOMONTH(BB5,3)</f>
        <v>41090</v>
      </c>
      <c r="BD5" s="684">
        <f>EOMONTH(BC5,3)</f>
        <v>41182</v>
      </c>
      <c r="BE5" s="684">
        <f>EOMONTH(BD5,3)</f>
        <v>41274</v>
      </c>
      <c r="BF5" s="682">
        <f>+BA5+1</f>
        <v>2012</v>
      </c>
      <c r="BG5" s="684">
        <f>EOMONTH(BB5,12)</f>
        <v>41364</v>
      </c>
      <c r="BH5" s="684">
        <f>EOMONTH(BG5,3)</f>
        <v>41455</v>
      </c>
      <c r="BI5" s="684">
        <f>EOMONTH(BH5,3)</f>
        <v>41547</v>
      </c>
      <c r="BJ5" s="684">
        <f>EOMONTH(BI5,3)</f>
        <v>41639</v>
      </c>
      <c r="BK5" s="682">
        <f>+BF5+1</f>
        <v>2013</v>
      </c>
      <c r="BL5" s="684">
        <f>EOMONTH(BG5,12)</f>
        <v>41729</v>
      </c>
      <c r="BM5" s="684">
        <f>EOMONTH(BL5,3)</f>
        <v>41820</v>
      </c>
      <c r="BN5" s="684">
        <f>EOMONTH(BM5,3)</f>
        <v>41912</v>
      </c>
      <c r="BO5" s="684">
        <f>EOMONTH(BN5,3)</f>
        <v>42004</v>
      </c>
      <c r="BP5" s="682">
        <f>+BK5+1</f>
        <v>2014</v>
      </c>
      <c r="BQ5" s="684">
        <f>EOMONTH(BL5,12)</f>
        <v>42094</v>
      </c>
      <c r="BR5" s="684">
        <f>EOMONTH(BQ5,3)</f>
        <v>42185</v>
      </c>
      <c r="BS5" s="684">
        <f>EOMONTH(BR5,3)</f>
        <v>42277</v>
      </c>
      <c r="BT5" s="684">
        <f>EOMONTH(BS5,3)</f>
        <v>42369</v>
      </c>
      <c r="BU5" s="682">
        <f>+BP5+1</f>
        <v>2015</v>
      </c>
      <c r="BV5" s="684">
        <f>EOMONTH(BQ5,12)</f>
        <v>42460</v>
      </c>
      <c r="BW5" s="684">
        <f>EOMONTH(BV5,3)</f>
        <v>42551</v>
      </c>
      <c r="BX5" s="684">
        <f>EOMONTH(BW5,3)</f>
        <v>42643</v>
      </c>
      <c r="BY5" s="684">
        <f>EOMONTH(BX5,3)</f>
        <v>42735</v>
      </c>
      <c r="BZ5" s="682">
        <f>+BU5+1</f>
        <v>2016</v>
      </c>
      <c r="CA5" s="684">
        <f>EOMONTH(BV5,12)</f>
        <v>42825</v>
      </c>
      <c r="CB5" s="684">
        <f>EOMONTH(CA5,3)</f>
        <v>42916</v>
      </c>
      <c r="CC5" s="684">
        <f>EOMONTH(CB5,3)</f>
        <v>43008</v>
      </c>
      <c r="CD5" s="684">
        <f>EOMONTH(CC5,3)</f>
        <v>43100</v>
      </c>
      <c r="CE5" s="682">
        <f>+BZ5+1</f>
        <v>2017</v>
      </c>
      <c r="CF5" s="684">
        <f>EOMONTH(CA5,12)</f>
        <v>43190</v>
      </c>
      <c r="CG5" s="684">
        <f>EOMONTH(CF5,3)</f>
        <v>43281</v>
      </c>
      <c r="CH5" s="684">
        <f>EOMONTH(CG5,3)</f>
        <v>43373</v>
      </c>
      <c r="CI5" s="684">
        <f>EOMONTH(CH5,3)</f>
        <v>43465</v>
      </c>
      <c r="CJ5" s="682">
        <f>+CE5+1</f>
        <v>2018</v>
      </c>
      <c r="CK5" s="684">
        <f>EOMONTH(CF5,12)</f>
        <v>43555</v>
      </c>
      <c r="CL5" s="684">
        <f>EOMONTH(CK5,3)</f>
        <v>43646</v>
      </c>
      <c r="CM5" s="684">
        <f>EOMONTH(CL5,3)</f>
        <v>43738</v>
      </c>
      <c r="CN5" s="684">
        <f>EOMONTH(CM5,3)</f>
        <v>43830</v>
      </c>
      <c r="CO5" s="682">
        <f>+CJ5+1</f>
        <v>2019</v>
      </c>
      <c r="CP5" s="684">
        <f>EOMONTH(CK5,12)</f>
        <v>43921</v>
      </c>
      <c r="CQ5" s="684">
        <f>EOMONTH(CP5,3)</f>
        <v>44012</v>
      </c>
      <c r="CR5" s="684">
        <f>EOMONTH(CQ5,3)</f>
        <v>44104</v>
      </c>
      <c r="CS5" s="684">
        <f>EOMONTH(CR5,3)</f>
        <v>44196</v>
      </c>
      <c r="CT5" s="682">
        <f>+CO5+1</f>
        <v>2020</v>
      </c>
      <c r="CU5" s="684">
        <f>EOMONTH(CP5,12)</f>
        <v>44286</v>
      </c>
      <c r="CV5" s="684">
        <f>EOMONTH(CU5,3)</f>
        <v>44377</v>
      </c>
      <c r="CW5" s="684">
        <f>EOMONTH(CV5,3)</f>
        <v>44469</v>
      </c>
      <c r="CX5" s="684">
        <f>EOMONTH(CW5,3)</f>
        <v>44561</v>
      </c>
      <c r="CY5" s="682">
        <f>+CT5+1</f>
        <v>2021</v>
      </c>
      <c r="CZ5" s="684">
        <f>EOMONTH(CU5,12)</f>
        <v>44651</v>
      </c>
      <c r="DA5" s="684">
        <f>EOMONTH(CZ5,3)</f>
        <v>44742</v>
      </c>
      <c r="DB5" s="684">
        <f>EOMONTH(DA5,3)</f>
        <v>44834</v>
      </c>
      <c r="DC5" s="684">
        <f>EOMONTH(DB5,3)</f>
        <v>44926</v>
      </c>
      <c r="DD5" s="682">
        <f>+CY5+1</f>
        <v>2022</v>
      </c>
      <c r="DE5" s="684">
        <f>EOMONTH(CZ5,12)</f>
        <v>45016</v>
      </c>
      <c r="DF5" s="684">
        <f>EOMONTH(DE5,3)</f>
        <v>45107</v>
      </c>
      <c r="DG5" s="684">
        <f>EOMONTH(DF5,3)</f>
        <v>45199</v>
      </c>
      <c r="DH5" s="684">
        <f>EOMONTH(DG5,3)</f>
        <v>45291</v>
      </c>
      <c r="DI5" s="682">
        <f>+DD5+1</f>
        <v>2023</v>
      </c>
      <c r="DJ5" s="684">
        <f>EOMONTH(DE5,12)</f>
        <v>45382</v>
      </c>
      <c r="DK5" s="684">
        <f>EOMONTH(DJ5,3)</f>
        <v>45473</v>
      </c>
      <c r="DL5" s="684">
        <f>EOMONTH(DK5,3)</f>
        <v>45565</v>
      </c>
      <c r="DM5" s="684">
        <f>EOMONTH(DL5,3)</f>
        <v>45657</v>
      </c>
      <c r="DN5" s="682">
        <f>+DI5+1</f>
        <v>2024</v>
      </c>
      <c r="DO5" s="684">
        <f>EOMONTH(DJ5,12)</f>
        <v>45747</v>
      </c>
      <c r="DP5" s="684">
        <f>EOMONTH(DO5,3)</f>
        <v>45838</v>
      </c>
      <c r="DQ5" s="684">
        <f>EOMONTH(DP5,3)</f>
        <v>45930</v>
      </c>
      <c r="DR5" s="684">
        <f>EOMONTH(DQ5,3)</f>
        <v>46022</v>
      </c>
      <c r="DS5" s="682">
        <f>+DN5+1</f>
        <v>2025</v>
      </c>
      <c r="DT5" s="684">
        <f>EOMONTH(DO5,12)</f>
        <v>46112</v>
      </c>
      <c r="DU5" s="684">
        <f>EOMONTH(DT5,3)</f>
        <v>46203</v>
      </c>
      <c r="DV5" s="684">
        <f>EOMONTH(DU5,3)</f>
        <v>46295</v>
      </c>
      <c r="DW5" s="684">
        <f>EOMONTH(DV5,3)</f>
        <v>46387</v>
      </c>
      <c r="DX5" s="682">
        <f>+DS5+1</f>
        <v>2026</v>
      </c>
      <c r="DY5" s="684">
        <f>EOMONTH(DT5,12)</f>
        <v>46477</v>
      </c>
      <c r="DZ5" s="684">
        <f>EOMONTH(DY5,3)</f>
        <v>46568</v>
      </c>
      <c r="EA5" s="684">
        <f>EOMONTH(DZ5,3)</f>
        <v>46660</v>
      </c>
      <c r="EB5" s="684">
        <f>EOMONTH(EA5,3)</f>
        <v>46752</v>
      </c>
      <c r="EC5" s="682">
        <f>+DX5+1</f>
        <v>2027</v>
      </c>
      <c r="ED5" s="684">
        <f>EOMONTH(DY5,12)</f>
        <v>46843</v>
      </c>
      <c r="EE5" s="684">
        <f>EOMONTH(ED5,3)</f>
        <v>46934</v>
      </c>
      <c r="EF5" s="684">
        <f>EOMONTH(EE5,3)</f>
        <v>47026</v>
      </c>
      <c r="EG5" s="684">
        <f>EOMONTH(EF5,3)</f>
        <v>47118</v>
      </c>
      <c r="EH5" s="682">
        <f>+EC5+1</f>
        <v>2028</v>
      </c>
      <c r="EI5" s="684">
        <f>EOMONTH(ED5,12)</f>
        <v>47208</v>
      </c>
      <c r="EJ5" s="684">
        <f>EOMONTH(EI5,3)</f>
        <v>47299</v>
      </c>
      <c r="EK5" s="684">
        <f>EOMONTH(EJ5,3)</f>
        <v>47391</v>
      </c>
      <c r="EL5" s="684">
        <f>EOMONTH(EK5,3)</f>
        <v>47483</v>
      </c>
      <c r="EM5" s="682">
        <f>+EH5+1</f>
        <v>2029</v>
      </c>
      <c r="EN5" s="684">
        <f>EOMONTH(EI5,12)</f>
        <v>47573</v>
      </c>
      <c r="EO5" s="684">
        <f>EOMONTH(EN5,3)</f>
        <v>47664</v>
      </c>
      <c r="EP5" s="684">
        <f>EOMONTH(EO5,3)</f>
        <v>47756</v>
      </c>
      <c r="EQ5" s="684">
        <f>EOMONTH(EP5,3)</f>
        <v>47848</v>
      </c>
      <c r="ER5" s="682">
        <f>+EM5+1</f>
        <v>2030</v>
      </c>
      <c r="ES5" s="377"/>
      <c r="ET5" s="377"/>
      <c r="EU5" s="377"/>
      <c r="EV5" s="377"/>
      <c r="FB5" s="377"/>
      <c r="FC5" s="377"/>
      <c r="FD5" s="377"/>
      <c r="FE5" s="377"/>
      <c r="FF5" s="377"/>
      <c r="FG5" s="377"/>
      <c r="FH5" s="377"/>
      <c r="FI5" s="377"/>
      <c r="FJ5" s="377"/>
      <c r="FK5" s="377"/>
      <c r="FL5" s="377"/>
      <c r="FM5" s="377"/>
      <c r="FN5" s="377"/>
      <c r="FO5" s="377"/>
      <c r="FP5" s="377"/>
      <c r="FQ5" s="377"/>
      <c r="FR5" s="377"/>
      <c r="FS5" s="377"/>
      <c r="FT5" s="377"/>
      <c r="FU5" s="377"/>
      <c r="FV5" s="377"/>
      <c r="FW5" s="377"/>
      <c r="FX5" s="377"/>
      <c r="FY5" s="377"/>
      <c r="FZ5" s="377"/>
      <c r="GA5" s="377"/>
      <c r="GB5" s="377"/>
      <c r="GC5" s="377"/>
      <c r="GD5" s="377"/>
      <c r="GE5" s="377"/>
      <c r="GF5" s="377"/>
      <c r="GG5" s="377"/>
      <c r="GH5" s="377"/>
      <c r="GI5" s="377"/>
      <c r="GJ5" s="377"/>
      <c r="GK5" s="377"/>
      <c r="GL5" s="377"/>
      <c r="GM5" s="377"/>
      <c r="GN5" s="377"/>
      <c r="GO5" s="377"/>
      <c r="GP5" s="377"/>
      <c r="GQ5" s="377"/>
      <c r="GR5" s="377"/>
      <c r="GS5" s="377"/>
      <c r="GT5" s="377"/>
      <c r="GU5" s="377"/>
      <c r="GV5" s="377"/>
      <c r="GW5" s="377"/>
      <c r="GX5" s="377"/>
      <c r="GY5" s="377"/>
      <c r="GZ5" s="377"/>
      <c r="HA5" s="377"/>
      <c r="HB5" s="377"/>
      <c r="HC5" s="377"/>
      <c r="HD5" s="377"/>
      <c r="HE5" s="377"/>
      <c r="HF5" s="377"/>
      <c r="HG5" s="377"/>
      <c r="HH5" s="377"/>
      <c r="HI5" s="377"/>
      <c r="HJ5" s="377"/>
      <c r="HK5" s="377"/>
      <c r="HL5" s="377"/>
      <c r="HM5" s="377"/>
      <c r="HN5" s="377"/>
      <c r="HO5" s="377"/>
      <c r="HP5" s="377"/>
      <c r="HQ5" s="377"/>
      <c r="HR5" s="377"/>
      <c r="HS5" s="377"/>
      <c r="HT5" s="377"/>
      <c r="HU5" s="377"/>
      <c r="HV5" s="377"/>
      <c r="HW5" s="377"/>
      <c r="HX5" s="377"/>
      <c r="HY5" s="377"/>
      <c r="HZ5" s="377"/>
      <c r="IA5" s="377"/>
      <c r="IB5" s="377"/>
      <c r="IC5" s="377"/>
      <c r="ID5" s="377"/>
      <c r="IE5" s="377"/>
      <c r="IF5" s="377"/>
      <c r="IG5" s="377"/>
      <c r="IH5" s="377"/>
      <c r="II5" s="377"/>
      <c r="IJ5" s="377"/>
      <c r="IK5" s="377"/>
      <c r="IL5" s="377"/>
      <c r="IM5" s="377"/>
      <c r="IN5" s="377"/>
      <c r="IO5" s="377"/>
      <c r="IP5" s="377"/>
      <c r="IQ5" s="377"/>
      <c r="IR5" s="377"/>
      <c r="IS5" s="377"/>
      <c r="IT5" s="377"/>
      <c r="IU5" s="377"/>
      <c r="IV5" s="377"/>
      <c r="IW5" s="377"/>
      <c r="IX5" s="377"/>
      <c r="IY5" s="377"/>
      <c r="IZ5" s="377"/>
      <c r="JA5" s="377"/>
      <c r="JB5" s="377"/>
      <c r="JC5" s="377"/>
      <c r="JD5" s="377"/>
      <c r="JE5" s="377"/>
      <c r="JF5" s="377"/>
      <c r="JG5" s="377"/>
      <c r="JH5" s="377"/>
      <c r="JI5" s="377"/>
      <c r="JJ5" s="377"/>
      <c r="JK5" s="377"/>
      <c r="JL5" s="377"/>
      <c r="JM5" s="377"/>
    </row>
    <row r="6" spans="1:273" s="93" customFormat="1" ht="12" customHeight="1">
      <c r="A6" s="133"/>
      <c r="B6" s="133"/>
      <c r="C6" s="920" t="s">
        <v>5</v>
      </c>
      <c r="D6" s="374"/>
      <c r="E6" s="374"/>
      <c r="F6" s="374"/>
      <c r="G6" s="374"/>
      <c r="H6" s="374"/>
      <c r="I6" s="373"/>
      <c r="J6" s="373"/>
      <c r="K6" s="373"/>
      <c r="L6" s="373"/>
      <c r="M6" s="374"/>
      <c r="N6" s="373"/>
      <c r="O6" s="373"/>
      <c r="P6" s="373"/>
      <c r="Q6" s="373"/>
      <c r="R6" s="374"/>
      <c r="S6" s="373"/>
      <c r="T6" s="373"/>
      <c r="U6" s="373"/>
      <c r="V6" s="373"/>
      <c r="W6" s="374"/>
      <c r="X6" s="373"/>
      <c r="Y6" s="373"/>
      <c r="Z6" s="373"/>
      <c r="AA6" s="373"/>
      <c r="AB6" s="374"/>
      <c r="AC6" s="373"/>
      <c r="AD6" s="373"/>
      <c r="AE6" s="373"/>
      <c r="AF6" s="373"/>
      <c r="AG6" s="374"/>
      <c r="AH6" s="373"/>
      <c r="AI6" s="923"/>
      <c r="AJ6" s="373"/>
      <c r="AK6" s="373"/>
      <c r="AL6" s="374"/>
      <c r="AM6" s="373"/>
      <c r="AN6" s="373"/>
      <c r="AO6" s="373"/>
      <c r="AP6" s="373"/>
      <c r="AQ6" s="374"/>
      <c r="AR6" s="924"/>
      <c r="AS6" s="924"/>
      <c r="AT6" s="924"/>
      <c r="AU6" s="924"/>
      <c r="AV6" s="374"/>
      <c r="AW6" s="373"/>
      <c r="AX6" s="373"/>
      <c r="AY6" s="373"/>
      <c r="AZ6" s="373"/>
      <c r="BA6" s="374"/>
      <c r="BB6" s="924"/>
      <c r="BC6" s="924"/>
      <c r="BD6" s="924"/>
      <c r="BE6" s="924"/>
      <c r="BF6" s="374"/>
      <c r="BG6" s="373"/>
      <c r="BH6" s="373"/>
      <c r="BI6" s="373"/>
      <c r="BJ6" s="373"/>
      <c r="BK6" s="374"/>
      <c r="BL6" s="373"/>
      <c r="BM6" s="373"/>
      <c r="BN6" s="373"/>
      <c r="BO6" s="373"/>
      <c r="BP6" s="374"/>
      <c r="BQ6" s="373"/>
      <c r="BR6" s="373"/>
      <c r="BS6" s="373"/>
      <c r="BT6" s="373"/>
      <c r="BU6" s="374"/>
      <c r="BV6" s="373"/>
      <c r="BW6" s="373"/>
      <c r="BX6" s="373"/>
      <c r="BY6" s="373"/>
      <c r="BZ6" s="374"/>
      <c r="CA6" s="373"/>
      <c r="CB6" s="373"/>
      <c r="CC6" s="373"/>
      <c r="CD6" s="373"/>
      <c r="CE6" s="374"/>
      <c r="CF6" s="373"/>
      <c r="CG6" s="373"/>
      <c r="CH6" s="373"/>
      <c r="CI6" s="373"/>
      <c r="CJ6" s="925"/>
      <c r="CK6" s="373"/>
      <c r="CL6" s="373"/>
      <c r="CM6" s="373"/>
      <c r="CN6" s="926"/>
      <c r="CO6" s="925"/>
      <c r="CP6" s="927"/>
      <c r="CQ6" s="927"/>
      <c r="CR6" s="927"/>
      <c r="CS6" s="927"/>
      <c r="CT6" s="925"/>
      <c r="CU6" s="927"/>
      <c r="CV6" s="927"/>
      <c r="CW6" s="927"/>
      <c r="CX6" s="927"/>
      <c r="CY6" s="925"/>
      <c r="CZ6" s="927"/>
      <c r="DA6" s="373"/>
      <c r="DB6" s="373"/>
      <c r="DC6" s="373"/>
      <c r="DD6" s="925"/>
      <c r="DE6" s="373"/>
      <c r="DF6" s="373"/>
      <c r="DG6" s="373"/>
      <c r="DH6" s="373"/>
      <c r="DI6" s="925"/>
      <c r="DJ6" s="373"/>
      <c r="DK6" s="373"/>
      <c r="DL6" s="373"/>
      <c r="DM6" s="373"/>
      <c r="DN6" s="925"/>
      <c r="DO6" s="373"/>
      <c r="DP6" s="373"/>
      <c r="DQ6" s="373"/>
      <c r="DR6" s="373"/>
      <c r="DS6" s="925"/>
      <c r="DT6" s="927"/>
      <c r="DU6" s="927"/>
      <c r="DV6" s="927"/>
      <c r="DW6" s="927"/>
      <c r="DX6" s="925"/>
      <c r="DY6" s="927"/>
      <c r="DZ6" s="927"/>
      <c r="EA6" s="927"/>
      <c r="EB6" s="927"/>
      <c r="EC6" s="925"/>
      <c r="ED6" s="927"/>
      <c r="EE6" s="927"/>
      <c r="EF6" s="927"/>
      <c r="EG6" s="927"/>
      <c r="EH6" s="925"/>
      <c r="EI6" s="927"/>
      <c r="EJ6" s="927"/>
      <c r="EK6" s="927"/>
      <c r="EL6" s="927"/>
      <c r="EM6" s="925"/>
      <c r="EN6" s="927"/>
      <c r="EO6" s="927"/>
      <c r="EP6" s="927"/>
      <c r="EQ6" s="927"/>
      <c r="ER6" s="925"/>
      <c r="ES6" s="377"/>
      <c r="ET6" s="377"/>
      <c r="EU6" s="377"/>
      <c r="EV6" s="377"/>
      <c r="EW6"/>
      <c r="FB6" s="377"/>
      <c r="FC6" s="377"/>
      <c r="FD6" s="377"/>
      <c r="FE6" s="377"/>
      <c r="FF6" s="377"/>
      <c r="FG6" s="377"/>
      <c r="FH6" s="377"/>
      <c r="FI6" s="377"/>
      <c r="FJ6" s="377"/>
      <c r="FK6" s="377"/>
      <c r="FL6" s="377"/>
      <c r="FM6" s="377"/>
      <c r="FN6" s="377"/>
      <c r="FO6" s="377"/>
      <c r="FP6" s="377"/>
      <c r="FQ6" s="377"/>
      <c r="FR6" s="377"/>
      <c r="FS6" s="377"/>
      <c r="FT6" s="377"/>
      <c r="FU6" s="377"/>
      <c r="FV6" s="377"/>
      <c r="FW6" s="377"/>
      <c r="FX6" s="377"/>
      <c r="FY6" s="377"/>
      <c r="FZ6" s="377"/>
      <c r="GA6" s="377"/>
      <c r="GB6" s="377"/>
      <c r="GC6" s="377"/>
      <c r="GD6" s="377"/>
      <c r="GE6" s="377"/>
      <c r="GF6" s="377"/>
      <c r="GG6" s="377"/>
      <c r="GH6" s="377"/>
      <c r="GI6" s="377"/>
      <c r="GJ6" s="377"/>
      <c r="GK6" s="377"/>
      <c r="GL6" s="377"/>
      <c r="GM6" s="377"/>
      <c r="GN6" s="377"/>
      <c r="GO6" s="377"/>
      <c r="GP6" s="377"/>
      <c r="GQ6" s="377"/>
      <c r="GR6" s="377"/>
      <c r="GS6" s="377"/>
      <c r="GT6" s="377"/>
      <c r="GU6" s="377"/>
      <c r="GV6" s="377"/>
      <c r="GW6" s="377"/>
      <c r="GX6" s="377"/>
      <c r="GY6" s="377"/>
      <c r="GZ6" s="377"/>
      <c r="HA6" s="377"/>
      <c r="HB6" s="377"/>
      <c r="HC6" s="377"/>
      <c r="HD6" s="377"/>
      <c r="HE6" s="377"/>
      <c r="HF6" s="377"/>
      <c r="HG6" s="377"/>
      <c r="HH6" s="377"/>
      <c r="HI6" s="377"/>
      <c r="HJ6" s="377"/>
      <c r="HK6" s="377"/>
      <c r="HL6" s="377"/>
      <c r="HM6" s="377"/>
      <c r="HN6" s="377"/>
      <c r="HO6" s="377"/>
      <c r="HP6" s="377"/>
      <c r="HQ6" s="377"/>
      <c r="HR6" s="377"/>
      <c r="HS6" s="377"/>
      <c r="HT6" s="377"/>
      <c r="HU6" s="377"/>
      <c r="HV6" s="377"/>
      <c r="HW6" s="377"/>
      <c r="HX6" s="377"/>
      <c r="HY6" s="377"/>
      <c r="HZ6" s="377"/>
      <c r="IA6" s="377"/>
      <c r="IB6" s="377"/>
      <c r="IC6" s="377"/>
      <c r="ID6" s="377"/>
      <c r="IE6" s="377"/>
      <c r="IF6" s="377"/>
      <c r="IG6" s="377"/>
      <c r="IH6" s="377"/>
      <c r="II6" s="377"/>
      <c r="IJ6" s="377"/>
      <c r="IK6" s="377"/>
      <c r="IL6" s="377"/>
      <c r="IM6" s="377"/>
      <c r="IN6" s="377"/>
      <c r="IO6" s="377"/>
      <c r="IP6" s="377"/>
      <c r="IQ6" s="377"/>
      <c r="IR6" s="377"/>
      <c r="IS6" s="377"/>
      <c r="IT6" s="377"/>
      <c r="IU6" s="377"/>
      <c r="IV6" s="377"/>
      <c r="IW6" s="377"/>
      <c r="IX6" s="377"/>
      <c r="IY6" s="377"/>
      <c r="IZ6" s="377"/>
      <c r="JA6" s="377"/>
      <c r="JB6" s="377"/>
      <c r="JC6" s="377"/>
      <c r="JD6" s="377"/>
      <c r="JE6" s="377"/>
      <c r="JF6" s="377"/>
      <c r="JG6" s="377"/>
      <c r="JH6" s="377"/>
      <c r="JI6" s="377"/>
      <c r="JJ6" s="377"/>
      <c r="JK6" s="377"/>
      <c r="JL6" s="377"/>
      <c r="JM6" s="377"/>
    </row>
    <row r="7" spans="1:273" s="93" customFormat="1" ht="12" customHeight="1">
      <c r="A7" s="133"/>
      <c r="B7" s="133"/>
      <c r="C7" s="118" t="s">
        <v>254</v>
      </c>
      <c r="D7" s="372"/>
      <c r="E7" s="372"/>
      <c r="F7" s="372"/>
      <c r="G7" s="372"/>
      <c r="H7" s="372"/>
      <c r="M7" s="372"/>
      <c r="R7" s="372"/>
      <c r="W7" s="372"/>
      <c r="AB7" s="372"/>
      <c r="AG7" s="372"/>
      <c r="AI7" s="646"/>
      <c r="AL7" s="372"/>
      <c r="AQ7" s="372"/>
      <c r="AR7" s="129"/>
      <c r="AS7" s="129"/>
      <c r="AT7" s="129"/>
      <c r="AU7" s="129"/>
      <c r="AV7" s="372"/>
      <c r="BA7" s="372"/>
      <c r="BB7" s="129"/>
      <c r="BC7" s="129"/>
      <c r="BD7" s="129"/>
      <c r="BE7" s="129"/>
      <c r="BF7" s="372"/>
      <c r="BK7" s="372"/>
      <c r="BP7" s="372"/>
      <c r="BQ7" s="160"/>
      <c r="BR7" s="160">
        <f>SUM(BR8:BR9)</f>
        <v>198.82900000000001</v>
      </c>
      <c r="BS7" s="160">
        <f>SUM(BS8:BS9)</f>
        <v>186.93599999999998</v>
      </c>
      <c r="BT7" s="160">
        <f>SUM(BT8:BT9)</f>
        <v>190.173</v>
      </c>
      <c r="BU7" s="257">
        <f t="shared" ref="BU7:BU14" si="0">BT7</f>
        <v>190.173</v>
      </c>
      <c r="BV7" s="160">
        <f>SUM(BV8:BV9)</f>
        <v>189.464</v>
      </c>
      <c r="BW7" s="160">
        <f>SUM(BW8:BW9)</f>
        <v>179.64600000000002</v>
      </c>
      <c r="BX7" s="160">
        <f>SUM(BX8:BX9)</f>
        <v>400.28700000000003</v>
      </c>
      <c r="BY7" s="160">
        <f>SUM(BY8:BY9)</f>
        <v>392.41400000000004</v>
      </c>
      <c r="BZ7" s="257">
        <f t="shared" ref="BZ7:BZ14" si="1">BY7</f>
        <v>392.41400000000004</v>
      </c>
      <c r="CA7" s="160">
        <f>SUM(CA8:CA9)</f>
        <v>395.69000000000005</v>
      </c>
      <c r="CB7" s="160">
        <f>SUM(CB8:CB9)</f>
        <v>932.41699999999992</v>
      </c>
      <c r="CC7" s="160">
        <f>SUM(CC8:CC9)</f>
        <v>926.55899999999997</v>
      </c>
      <c r="CD7" s="160">
        <f>SUM(CD8:CD9)</f>
        <v>938.03899999999999</v>
      </c>
      <c r="CE7" s="257">
        <f t="shared" ref="CE7:CE14" si="2">CD7</f>
        <v>938.03899999999999</v>
      </c>
      <c r="CF7" s="160">
        <f>SUM(CF8:CF9)</f>
        <v>1580.0330000000001</v>
      </c>
      <c r="CG7" s="160">
        <f>SUM(CG8:CG9)</f>
        <v>1574.1679999999999</v>
      </c>
      <c r="CH7" s="160">
        <f>SUM(CH8:CH9)</f>
        <v>1578.2250000000001</v>
      </c>
      <c r="CI7" s="160">
        <f>SUM(CI8:CI9)</f>
        <v>1969.67</v>
      </c>
      <c r="CJ7" s="257">
        <f t="shared" ref="CJ7:CJ14" si="3">CI7</f>
        <v>1969.67</v>
      </c>
      <c r="CK7" s="160">
        <f>SUM(CK8:CK9)</f>
        <v>1997.0140000000001</v>
      </c>
      <c r="CL7" s="160">
        <f>SUM(CL8:CL9)</f>
        <v>2013.3309999999999</v>
      </c>
      <c r="CM7" s="160">
        <f>SUM(CM8:CM9)</f>
        <v>2667.1819999999998</v>
      </c>
      <c r="CN7" s="160">
        <f>SUM(CN8:CN9)</f>
        <v>2455.1940000000004</v>
      </c>
      <c r="CO7" s="257">
        <f t="shared" ref="CO7:CO14" si="4">CN7</f>
        <v>2455.1940000000004</v>
      </c>
      <c r="CP7" s="160">
        <f>SUM(CP8:CP9)</f>
        <v>2360.5720000000001</v>
      </c>
      <c r="CQ7" s="160">
        <f>SUM(CQ8:CQ9)</f>
        <v>4000.9549999999999</v>
      </c>
      <c r="CR7" s="160">
        <f>SUM(CR8:CR9)</f>
        <v>6121.1610000000001</v>
      </c>
      <c r="CS7" s="160">
        <f>SUM(CS8:CS9)</f>
        <v>6387.9670000000006</v>
      </c>
      <c r="CT7" s="257">
        <f t="shared" ref="CT7:CT14" si="5">CS7</f>
        <v>6387.9670000000006</v>
      </c>
      <c r="CU7" s="160">
        <f>SUM(CU8:CU9)</f>
        <v>7872.4480000000003</v>
      </c>
      <c r="CV7" s="160">
        <f>SUM(CV8:CV9)</f>
        <v>7755.3869999999997</v>
      </c>
      <c r="CW7" s="160">
        <f>SUM(CW8:CW9)</f>
        <v>7518.6940000000013</v>
      </c>
      <c r="CX7" s="160">
        <f>SUM(CX8:CX9)</f>
        <v>7768.0929999999998</v>
      </c>
      <c r="CY7" s="257">
        <f t="shared" ref="CY7:CY14" si="6">CX7</f>
        <v>7768.0929999999998</v>
      </c>
      <c r="CZ7" s="160">
        <f>SUM(CZ8:CZ9)+SUM('Cash Flow'!CZ29:CZ30)</f>
        <v>7712.3750000000018</v>
      </c>
      <c r="DA7" s="160">
        <f>SUM(DA8:DA9)+SUM('Cash Flow'!DA29:DA30)</f>
        <v>8145.5660000000007</v>
      </c>
      <c r="DB7" s="160">
        <f>SUM(DB8:DB9)+SUM('Cash Flow'!DB29:DB30)</f>
        <v>4990.6820000000007</v>
      </c>
      <c r="DC7" s="160">
        <f>SUM(DC8:DC9)+SUM('Cash Flow'!DC29:DC30)</f>
        <v>5226.2730000000029</v>
      </c>
      <c r="DD7" s="257">
        <f t="shared" ref="DD7:DD14" si="7">DC7</f>
        <v>5226.2730000000029</v>
      </c>
      <c r="DE7" s="160">
        <f>SUM(DE8:DE9)+SUM('Cash Flow'!DE29:DE30)</f>
        <v>5162.3280000000013</v>
      </c>
      <c r="DF7" s="160">
        <f>SUM(DF8:DF9)+SUM('Cash Flow'!DF29:DF30)</f>
        <v>4746.3280000000013</v>
      </c>
      <c r="DG7" s="160">
        <f>SUM(DG8:DG9)+SUM('Cash Flow'!DG29:DG30)</f>
        <v>4473.0000000000018</v>
      </c>
      <c r="DH7" s="160">
        <f>SUM(DH8:DH9)+SUM('Cash Flow'!DH29:DH30)</f>
        <v>4937.0000000000018</v>
      </c>
      <c r="DI7" s="257">
        <f t="shared" ref="DI7:DI22" si="8">DH7</f>
        <v>4937.0000000000018</v>
      </c>
      <c r="DJ7" s="160">
        <f>SUM(DJ8:DJ9)+SUM('Cash Flow'!DJ29:DJ30)</f>
        <v>5187.0000000000018</v>
      </c>
      <c r="DK7" s="160">
        <f>SUM(DK8:DK9)+SUM('Cash Flow'!DK29:DK30)</f>
        <v>4850.0000000000018</v>
      </c>
      <c r="DL7" s="160">
        <f>SUM(DL8:DL9)+SUM('Cash Flow'!DL29:DL30)</f>
        <v>4646.0000000000018</v>
      </c>
      <c r="DM7" s="160">
        <f>SUM(DM8:DM9)+SUM('Cash Flow'!DM29:DM30)</f>
        <v>4950.0000000000018</v>
      </c>
      <c r="DN7" s="257">
        <f t="shared" ref="DN7:DN14" si="9">DM7</f>
        <v>4950.0000000000018</v>
      </c>
      <c r="DO7" s="160">
        <f>SUM(DO8:DO9)+SUM('Cash Flow'!DO29:DO30)</f>
        <v>5127.0000000000018</v>
      </c>
      <c r="DP7" s="160">
        <f>SUM(DP8:DP9)+SUM('Cash Flow'!DP29:DP30)</f>
        <v>5820.0000000000018</v>
      </c>
      <c r="DQ7" s="160">
        <f>SUM(DQ8:DQ9)+SUM('Cash Flow'!DQ29:DQ30)</f>
        <v>6845.0000000000018</v>
      </c>
      <c r="DR7" s="160">
        <f>SUM(DR8:DR9)+SUM('Cash Flow'!DR29:DR30)</f>
        <v>5180.6720000000023</v>
      </c>
      <c r="DS7" s="257">
        <f t="shared" ref="DS7:DS25" si="10">DR7</f>
        <v>5180.6720000000023</v>
      </c>
      <c r="DT7" s="160">
        <f>SUM(DT8:DT9)+SUM('Cash Flow'!DT29:DT30)</f>
        <v>6362.6720000000023</v>
      </c>
      <c r="DU7" s="160">
        <f>SUM(DU8:DU9)+SUM('Cash Flow'!DU29:DU30)</f>
        <v>5742.6720000000023</v>
      </c>
      <c r="DV7" s="160">
        <f>SUM(DV8:DV9)</f>
        <v>5668.938201351446</v>
      </c>
      <c r="DW7" s="160">
        <f>SUM(DW8:DW9)</f>
        <v>6623.7043701727989</v>
      </c>
      <c r="DX7" s="257">
        <f t="shared" ref="DX7:DX16" si="11">DW7</f>
        <v>6623.7043701727989</v>
      </c>
      <c r="DY7" s="160">
        <f>SUM(DY8:DY9)</f>
        <v>7086.9810220955724</v>
      </c>
      <c r="DZ7" s="160">
        <f>SUM(DZ8:DZ9)</f>
        <v>7845.4112828808393</v>
      </c>
      <c r="EA7" s="160">
        <f>SUM(EA8:EA9)</f>
        <v>8694.475245280144</v>
      </c>
      <c r="EB7" s="160">
        <f>SUM(EB8:EB9)</f>
        <v>10026.760541172216</v>
      </c>
      <c r="EC7" s="257">
        <f t="shared" ref="EC7:EC16" si="12">EB7</f>
        <v>10026.760541172216</v>
      </c>
      <c r="ED7" s="160">
        <f>SUM(ED8:ED9)</f>
        <v>10568.912962281518</v>
      </c>
      <c r="EE7" s="160">
        <f>SUM(EE8:EE9)</f>
        <v>11504.054960092697</v>
      </c>
      <c r="EF7" s="160">
        <f>SUM(EF8:EF9)</f>
        <v>12496.609111038977</v>
      </c>
      <c r="EG7" s="160">
        <f>SUM(EG8:EG9)</f>
        <v>14058.166740377632</v>
      </c>
      <c r="EH7" s="257">
        <f t="shared" ref="EH7:EH16" si="13">EG7</f>
        <v>14058.166740377632</v>
      </c>
      <c r="EI7" s="160">
        <f>SUM(EI8:EI9)</f>
        <v>14594.677482281695</v>
      </c>
      <c r="EJ7" s="160">
        <f>SUM(EJ8:EJ9)</f>
        <v>15739.561662472563</v>
      </c>
      <c r="EK7" s="160">
        <f>SUM(EK8:EK9)</f>
        <v>16945.164586805528</v>
      </c>
      <c r="EL7" s="160">
        <f>SUM(EL8:EL9)</f>
        <v>18831.612023527461</v>
      </c>
      <c r="EM7" s="257">
        <f t="shared" ref="EM7:EM16" si="14">EL7</f>
        <v>18831.612023527461</v>
      </c>
      <c r="EN7" s="160">
        <f>SUM(EN8:EN9)</f>
        <v>19438.60014613919</v>
      </c>
      <c r="EO7" s="160">
        <f>SUM(EO8:EO9)</f>
        <v>20811.561747313986</v>
      </c>
      <c r="EP7" s="160">
        <f>SUM(EP8:EP9)</f>
        <v>22262.681654591277</v>
      </c>
      <c r="EQ7" s="160">
        <f>SUM(EQ8:EQ9)</f>
        <v>24502.549585228455</v>
      </c>
      <c r="ER7" s="257">
        <f t="shared" ref="ER7:ER16" si="15">EQ7</f>
        <v>24502.549585228455</v>
      </c>
      <c r="ES7" s="377"/>
      <c r="ET7" s="377"/>
      <c r="EU7" s="377"/>
      <c r="EV7" s="377"/>
      <c r="EW7"/>
      <c r="EX7"/>
      <c r="EY7"/>
      <c r="EZ7"/>
      <c r="FA7"/>
      <c r="FB7" s="377"/>
      <c r="FC7" s="377"/>
      <c r="FD7" s="377"/>
      <c r="FE7" s="377"/>
      <c r="FF7" s="377"/>
      <c r="FG7" s="377"/>
      <c r="FH7" s="377"/>
      <c r="FI7" s="377"/>
      <c r="FJ7" s="377"/>
      <c r="FK7" s="377"/>
      <c r="FL7" s="377"/>
      <c r="FM7" s="377"/>
      <c r="FN7" s="377"/>
      <c r="FO7" s="377"/>
      <c r="FP7" s="377"/>
      <c r="FQ7" s="377"/>
      <c r="FR7" s="377"/>
      <c r="FS7" s="377"/>
      <c r="FT7" s="377"/>
      <c r="FU7" s="377"/>
      <c r="FV7" s="377"/>
      <c r="FW7" s="377"/>
      <c r="FX7" s="377"/>
      <c r="FY7" s="377"/>
      <c r="FZ7" s="377"/>
      <c r="GA7" s="377"/>
      <c r="GB7" s="377"/>
      <c r="GC7" s="377"/>
      <c r="GD7" s="377"/>
      <c r="GE7" s="377"/>
      <c r="GF7" s="377"/>
      <c r="GG7" s="377"/>
      <c r="GH7" s="377"/>
      <c r="GI7" s="377"/>
      <c r="GJ7" s="377"/>
      <c r="GK7" s="377"/>
      <c r="GL7" s="377"/>
      <c r="GM7" s="377"/>
      <c r="GN7" s="377"/>
      <c r="GO7" s="377"/>
      <c r="GP7" s="377"/>
      <c r="GQ7" s="377"/>
      <c r="GR7" s="377"/>
      <c r="GS7" s="377"/>
      <c r="GT7" s="377"/>
      <c r="GU7" s="377"/>
      <c r="GV7" s="377"/>
      <c r="GW7" s="377"/>
      <c r="GX7" s="377"/>
      <c r="GY7" s="377"/>
      <c r="GZ7" s="377"/>
      <c r="HA7" s="377"/>
      <c r="HB7" s="377"/>
      <c r="HC7" s="377"/>
      <c r="HD7" s="377"/>
      <c r="HE7" s="377"/>
      <c r="HF7" s="377"/>
      <c r="HG7" s="377"/>
      <c r="HH7" s="377"/>
      <c r="HI7" s="377"/>
      <c r="HJ7" s="377"/>
      <c r="HK7" s="377"/>
      <c r="HL7" s="377"/>
      <c r="HM7" s="377"/>
      <c r="HN7" s="377"/>
      <c r="HO7" s="377"/>
      <c r="HP7" s="377"/>
      <c r="HQ7" s="377"/>
      <c r="HR7" s="377"/>
      <c r="HS7" s="377"/>
      <c r="HT7" s="377"/>
      <c r="HU7" s="377"/>
      <c r="HV7" s="377"/>
      <c r="HW7" s="377"/>
      <c r="HX7" s="377"/>
      <c r="HY7" s="377"/>
      <c r="HZ7" s="377"/>
      <c r="IA7" s="377"/>
      <c r="IB7" s="377"/>
      <c r="IC7" s="377"/>
      <c r="ID7" s="377"/>
      <c r="IE7" s="377"/>
      <c r="IF7" s="377"/>
      <c r="IG7" s="377"/>
      <c r="IH7" s="377"/>
      <c r="II7" s="377"/>
      <c r="IJ7" s="377"/>
      <c r="IK7" s="377"/>
      <c r="IL7" s="377"/>
      <c r="IM7" s="377"/>
      <c r="IN7" s="377"/>
      <c r="IO7" s="377"/>
      <c r="IP7" s="377"/>
      <c r="IQ7" s="377"/>
      <c r="IR7" s="377"/>
      <c r="IS7" s="377"/>
      <c r="IT7" s="377"/>
      <c r="IU7" s="377"/>
      <c r="IV7" s="377"/>
      <c r="IW7" s="377"/>
      <c r="IX7" s="377"/>
      <c r="IY7" s="377"/>
      <c r="IZ7" s="377"/>
      <c r="JA7" s="377"/>
      <c r="JB7" s="377"/>
      <c r="JC7" s="377"/>
      <c r="JD7" s="377"/>
      <c r="JE7" s="377"/>
      <c r="JF7" s="377"/>
      <c r="JG7" s="377"/>
      <c r="JH7" s="377"/>
      <c r="JI7" s="377"/>
      <c r="JJ7" s="377"/>
      <c r="JK7" s="377"/>
      <c r="JL7" s="377"/>
      <c r="JM7" s="377"/>
    </row>
    <row r="8" spans="1:273" s="160" customFormat="1" ht="12" customHeight="1">
      <c r="A8" s="133"/>
      <c r="B8" s="133"/>
      <c r="C8" s="379" t="s">
        <v>22</v>
      </c>
      <c r="D8" s="380"/>
      <c r="E8" s="380"/>
      <c r="F8" s="380"/>
      <c r="G8" s="380"/>
      <c r="H8" s="380"/>
      <c r="M8" s="380"/>
      <c r="R8" s="380"/>
      <c r="W8" s="380"/>
      <c r="AB8" s="380"/>
      <c r="AG8" s="380"/>
      <c r="AL8" s="380"/>
      <c r="AQ8" s="380"/>
      <c r="AV8" s="380"/>
      <c r="BA8" s="380"/>
      <c r="BF8" s="315"/>
      <c r="BG8" s="93"/>
      <c r="BH8" s="93"/>
      <c r="BI8" s="93"/>
      <c r="BK8" s="380"/>
      <c r="BP8" s="380"/>
      <c r="BQ8" s="109"/>
      <c r="BR8" s="109">
        <f>'Cash Flow'!BR52</f>
        <v>146.66800000000001</v>
      </c>
      <c r="BS8" s="109">
        <f>'Cash Flow'!BS52</f>
        <v>115.315</v>
      </c>
      <c r="BT8" s="109">
        <f>'Cash Flow'!BT52</f>
        <v>110.07000000000001</v>
      </c>
      <c r="BU8" s="257">
        <f t="shared" si="0"/>
        <v>110.07000000000001</v>
      </c>
      <c r="BV8" s="109">
        <f>'Cash Flow'!BV52</f>
        <v>83.864000000000019</v>
      </c>
      <c r="BW8" s="109">
        <f>'Cash Flow'!BW52</f>
        <v>68.140000000000015</v>
      </c>
      <c r="BX8" s="109">
        <f>'Cash Flow'!BX52</f>
        <v>187.36</v>
      </c>
      <c r="BY8" s="109">
        <f>'Cash Flow'!BY52</f>
        <v>84.013000000000034</v>
      </c>
      <c r="BZ8" s="257">
        <f t="shared" si="1"/>
        <v>84.013000000000034</v>
      </c>
      <c r="CA8" s="109">
        <f>'Cash Flow'!CA52</f>
        <v>101.26800000000003</v>
      </c>
      <c r="CB8" s="109">
        <f>'Cash Flow'!CB52</f>
        <v>199.39699999999993</v>
      </c>
      <c r="CC8" s="109">
        <f>'Cash Flow'!CC52</f>
        <v>119.84899999999996</v>
      </c>
      <c r="CD8" s="109">
        <f>'Cash Flow'!CD52</f>
        <v>141.67700000000005</v>
      </c>
      <c r="CE8" s="257">
        <f t="shared" si="2"/>
        <v>141.67700000000005</v>
      </c>
      <c r="CF8" s="109">
        <f>'Cash Flow'!CF52</f>
        <v>196.57800000000012</v>
      </c>
      <c r="CG8" s="109">
        <f>'Cash Flow'!CG52</f>
        <v>219.80100000000002</v>
      </c>
      <c r="CH8" s="109">
        <f>'Cash Flow'!CH52</f>
        <v>243.42099999999996</v>
      </c>
      <c r="CI8" s="109">
        <f>'Cash Flow'!CI52</f>
        <v>410.68299999999999</v>
      </c>
      <c r="CJ8" s="257">
        <f t="shared" si="3"/>
        <v>410.68299999999999</v>
      </c>
      <c r="CK8" s="109">
        <f>'Cash Flow'!CK52</f>
        <v>410.44600000000003</v>
      </c>
      <c r="CL8" s="109">
        <f>'Cash Flow'!CL52</f>
        <v>668.99</v>
      </c>
      <c r="CM8" s="109">
        <f>'Cash Flow'!CM52</f>
        <v>1124.529</v>
      </c>
      <c r="CN8" s="109">
        <f>'Cash Flow'!CN52</f>
        <v>649.91600000000017</v>
      </c>
      <c r="CO8" s="257">
        <f t="shared" si="4"/>
        <v>649.91600000000017</v>
      </c>
      <c r="CP8" s="109">
        <f>'Cash Flow'!CP52</f>
        <v>969.36300000000028</v>
      </c>
      <c r="CQ8" s="109">
        <f>'Cash Flow'!CQ52</f>
        <v>1882.3620000000001</v>
      </c>
      <c r="CR8" s="109">
        <f>'Cash Flow'!CR52</f>
        <v>3089.884</v>
      </c>
      <c r="CS8" s="109">
        <f>'Cash Flow'!CS52</f>
        <v>2703.5970000000002</v>
      </c>
      <c r="CT8" s="257">
        <f t="shared" si="5"/>
        <v>2703.5970000000002</v>
      </c>
      <c r="CU8" s="109">
        <f>'Cash Flow'!CU52</f>
        <v>2785.5709999999999</v>
      </c>
      <c r="CV8" s="109">
        <f>'Cash Flow'!CV52</f>
        <v>2364.67</v>
      </c>
      <c r="CW8" s="109">
        <f>'Cash Flow'!CW52</f>
        <v>2189.6130000000007</v>
      </c>
      <c r="CX8" s="109">
        <f>'Cash Flow'!CX52</f>
        <v>2502.9920000000002</v>
      </c>
      <c r="CY8" s="257">
        <f t="shared" si="6"/>
        <v>2502.9920000000002</v>
      </c>
      <c r="CZ8" s="109">
        <f>'Cash Flow'!CZ52</f>
        <v>2451.5400000000004</v>
      </c>
      <c r="DA8" s="109">
        <f>'Cash Flow'!DA52</f>
        <v>3350.7810000000004</v>
      </c>
      <c r="DB8" s="109">
        <f>'Cash Flow'!DB52</f>
        <v>1378.2510000000009</v>
      </c>
      <c r="DC8" s="109">
        <f>'Cash Flow'!DC52</f>
        <v>1649.3280000000018</v>
      </c>
      <c r="DD8" s="257">
        <f t="shared" si="7"/>
        <v>1649.3280000000018</v>
      </c>
      <c r="DE8" s="109">
        <f>'Cash Flow'!DE52</f>
        <v>1738.3280000000018</v>
      </c>
      <c r="DF8" s="109">
        <f>'Cash Flow'!DF52</f>
        <v>1611.3280000000018</v>
      </c>
      <c r="DG8" s="109">
        <f>'Cash Flow'!DG52-0.328</f>
        <v>1287.0000000000018</v>
      </c>
      <c r="DH8" s="109">
        <f>'Cash Flow'!DH52</f>
        <v>1413.0000000000018</v>
      </c>
      <c r="DI8" s="257">
        <f t="shared" si="8"/>
        <v>1413.0000000000018</v>
      </c>
      <c r="DJ8" s="109">
        <f>'Cash Flow'!DJ52</f>
        <v>1623.0000000000018</v>
      </c>
      <c r="DK8" s="109">
        <f>'Cash Flow'!DK52</f>
        <v>1541.0000000000018</v>
      </c>
      <c r="DL8" s="109">
        <f>'Cash Flow'!DL52</f>
        <v>1507.0000000000018</v>
      </c>
      <c r="DM8" s="109">
        <f>'Cash Flow'!DM52</f>
        <v>1498.0000000000018</v>
      </c>
      <c r="DN8" s="257">
        <f t="shared" si="9"/>
        <v>1498.0000000000018</v>
      </c>
      <c r="DO8" s="109">
        <f>'Cash Flow'!DO52</f>
        <v>1309.0000000000018</v>
      </c>
      <c r="DP8" s="109">
        <f>'Cash Flow'!DP52</f>
        <v>1542.0000000000018</v>
      </c>
      <c r="DQ8" s="109">
        <f>'Cash Flow'!DQ52</f>
        <v>2414.0000000000018</v>
      </c>
      <c r="DR8" s="109">
        <f>'Cash Flow'!DR52</f>
        <v>1544.6720000000018</v>
      </c>
      <c r="DS8" s="257">
        <f t="shared" si="10"/>
        <v>1544.6720000000018</v>
      </c>
      <c r="DT8" s="109">
        <f>'Cash Flow'!DT52</f>
        <v>1847.6720000000018</v>
      </c>
      <c r="DU8" s="109">
        <f>'Cash Flow'!DU52</f>
        <v>1655.6720000000018</v>
      </c>
      <c r="DV8" s="109">
        <f>'Cash Flow'!DV52</f>
        <v>2377.938201351446</v>
      </c>
      <c r="DW8" s="109">
        <f>'Cash Flow'!DW52</f>
        <v>3332.7043701727989</v>
      </c>
      <c r="DX8" s="257">
        <f t="shared" si="11"/>
        <v>3332.7043701727989</v>
      </c>
      <c r="DY8" s="109">
        <f>'Cash Flow'!DY52</f>
        <v>3795.9810220955724</v>
      </c>
      <c r="DZ8" s="109">
        <f>'Cash Flow'!DZ52</f>
        <v>4554.4112828808393</v>
      </c>
      <c r="EA8" s="109">
        <f>'Cash Flow'!EA52</f>
        <v>5403.475245280144</v>
      </c>
      <c r="EB8" s="109">
        <f>'Cash Flow'!EB52</f>
        <v>6735.7605411722161</v>
      </c>
      <c r="EC8" s="257">
        <f t="shared" si="12"/>
        <v>6735.7605411722161</v>
      </c>
      <c r="ED8" s="109">
        <f>'Cash Flow'!ED52</f>
        <v>7277.912962281518</v>
      </c>
      <c r="EE8" s="109">
        <f>'Cash Flow'!EE52</f>
        <v>8213.054960092697</v>
      </c>
      <c r="EF8" s="109">
        <f>'Cash Flow'!EF52</f>
        <v>9205.6091110389771</v>
      </c>
      <c r="EG8" s="109">
        <f>'Cash Flow'!EG52</f>
        <v>10767.166740377632</v>
      </c>
      <c r="EH8" s="257">
        <f t="shared" si="13"/>
        <v>10767.166740377632</v>
      </c>
      <c r="EI8" s="109">
        <f>'Cash Flow'!EI52</f>
        <v>11303.677482281695</v>
      </c>
      <c r="EJ8" s="109">
        <f>'Cash Flow'!EJ52</f>
        <v>12448.561662472563</v>
      </c>
      <c r="EK8" s="109">
        <f>'Cash Flow'!EK52</f>
        <v>13654.164586805528</v>
      </c>
      <c r="EL8" s="109">
        <f>'Cash Flow'!EL52</f>
        <v>15540.612023527461</v>
      </c>
      <c r="EM8" s="257">
        <f t="shared" si="14"/>
        <v>15540.612023527461</v>
      </c>
      <c r="EN8" s="109">
        <f>'Cash Flow'!EN52</f>
        <v>16147.60014613919</v>
      </c>
      <c r="EO8" s="109">
        <f>'Cash Flow'!EO52</f>
        <v>17520.561747313986</v>
      </c>
      <c r="EP8" s="109">
        <f>'Cash Flow'!EP52</f>
        <v>18971.681654591277</v>
      </c>
      <c r="EQ8" s="109">
        <f>'Cash Flow'!EQ52</f>
        <v>21211.549585228455</v>
      </c>
      <c r="ER8" s="257">
        <f t="shared" si="15"/>
        <v>21211.549585228455</v>
      </c>
      <c r="ES8" s="377"/>
      <c r="ET8" s="377"/>
      <c r="EU8" s="377"/>
      <c r="EV8" s="377"/>
      <c r="EW8"/>
      <c r="EX8"/>
      <c r="EY8"/>
      <c r="EZ8"/>
      <c r="FA8"/>
      <c r="FB8" s="377"/>
      <c r="FC8" s="377"/>
      <c r="FD8" s="377"/>
      <c r="FE8" s="377"/>
      <c r="FF8" s="377"/>
      <c r="FG8" s="377"/>
      <c r="FH8" s="377"/>
      <c r="FI8" s="377"/>
      <c r="FJ8" s="377"/>
      <c r="FK8" s="377"/>
      <c r="FL8" s="377"/>
      <c r="FM8" s="377"/>
      <c r="FN8" s="377"/>
      <c r="FO8" s="377"/>
      <c r="FP8" s="377"/>
      <c r="FQ8" s="377"/>
      <c r="FR8" s="377"/>
      <c r="FS8" s="377"/>
      <c r="FT8" s="377"/>
      <c r="FU8" s="377"/>
      <c r="FV8" s="377"/>
      <c r="FW8" s="377"/>
      <c r="FX8" s="377"/>
      <c r="FY8" s="377"/>
      <c r="FZ8" s="377"/>
      <c r="GA8" s="377"/>
      <c r="GB8" s="377"/>
      <c r="GC8" s="377"/>
      <c r="GD8" s="377"/>
      <c r="GE8" s="377"/>
      <c r="GF8" s="377"/>
      <c r="GG8" s="377"/>
      <c r="GH8" s="377"/>
      <c r="GI8" s="377"/>
      <c r="GJ8" s="377"/>
      <c r="GK8" s="377"/>
      <c r="GL8" s="377"/>
      <c r="GM8" s="377"/>
      <c r="GN8" s="377"/>
      <c r="GO8" s="377"/>
      <c r="GP8" s="377"/>
      <c r="GQ8" s="377"/>
      <c r="GR8" s="377"/>
      <c r="GS8" s="377"/>
      <c r="GT8" s="377"/>
      <c r="GU8" s="377"/>
      <c r="GV8" s="377"/>
      <c r="GW8" s="377"/>
      <c r="GX8" s="377"/>
      <c r="GY8" s="377"/>
      <c r="GZ8" s="377"/>
      <c r="HA8" s="377"/>
      <c r="HB8" s="377"/>
      <c r="HC8" s="377"/>
      <c r="HD8" s="377"/>
      <c r="HE8" s="377"/>
      <c r="HF8" s="377"/>
      <c r="HG8" s="377"/>
      <c r="HH8" s="377"/>
      <c r="HI8" s="377"/>
      <c r="HJ8" s="377"/>
      <c r="HK8" s="377"/>
      <c r="HL8" s="377"/>
      <c r="HM8" s="377"/>
      <c r="HN8" s="377"/>
      <c r="HO8" s="377"/>
      <c r="HP8" s="377"/>
      <c r="HQ8" s="377"/>
      <c r="HR8" s="377"/>
      <c r="HS8" s="377"/>
      <c r="HT8" s="377"/>
      <c r="HU8" s="377"/>
      <c r="HV8" s="377"/>
      <c r="HW8" s="377"/>
      <c r="HX8" s="377"/>
      <c r="HY8" s="377"/>
      <c r="HZ8" s="377"/>
      <c r="IA8" s="377"/>
      <c r="IB8" s="377"/>
      <c r="IC8" s="377"/>
      <c r="ID8" s="377"/>
      <c r="IE8" s="377"/>
      <c r="IF8" s="377"/>
      <c r="IG8" s="377"/>
      <c r="IH8" s="377"/>
      <c r="II8" s="377"/>
      <c r="IJ8" s="377"/>
      <c r="IK8" s="377"/>
      <c r="IL8" s="377"/>
      <c r="IM8" s="377"/>
      <c r="IN8" s="377"/>
      <c r="IO8" s="377"/>
      <c r="IP8" s="377"/>
      <c r="IQ8" s="377"/>
      <c r="IR8" s="377"/>
      <c r="IS8" s="377"/>
      <c r="IT8" s="377"/>
      <c r="IU8" s="377"/>
      <c r="IV8" s="377"/>
      <c r="IW8" s="377"/>
      <c r="IX8" s="377"/>
      <c r="IY8" s="377"/>
      <c r="IZ8" s="377"/>
      <c r="JA8" s="377"/>
      <c r="JB8" s="377"/>
      <c r="JC8" s="377"/>
      <c r="JD8" s="377"/>
      <c r="JE8" s="377"/>
      <c r="JF8" s="377"/>
      <c r="JG8" s="377"/>
      <c r="JH8" s="377"/>
      <c r="JI8" s="377"/>
      <c r="JJ8" s="377"/>
      <c r="JK8" s="377"/>
      <c r="JL8" s="377"/>
      <c r="JM8" s="377"/>
    </row>
    <row r="9" spans="1:273" s="160" customFormat="1" ht="12" customHeight="1">
      <c r="A9" s="133"/>
      <c r="B9" s="133"/>
      <c r="C9" s="379" t="s">
        <v>240</v>
      </c>
      <c r="D9" s="315"/>
      <c r="E9" s="315"/>
      <c r="F9" s="315"/>
      <c r="G9" s="315"/>
      <c r="H9" s="315"/>
      <c r="I9" s="316"/>
      <c r="J9" s="316"/>
      <c r="K9" s="316"/>
      <c r="L9" s="316"/>
      <c r="M9" s="380"/>
      <c r="N9" s="316"/>
      <c r="O9" s="316"/>
      <c r="P9" s="316"/>
      <c r="Q9" s="316"/>
      <c r="R9" s="380"/>
      <c r="S9" s="316"/>
      <c r="T9" s="316"/>
      <c r="U9" s="316"/>
      <c r="V9" s="316"/>
      <c r="W9" s="380"/>
      <c r="X9" s="316"/>
      <c r="Y9" s="316"/>
      <c r="Z9" s="316"/>
      <c r="AA9" s="316"/>
      <c r="AB9" s="380"/>
      <c r="AC9" s="316"/>
      <c r="AD9" s="316"/>
      <c r="AE9" s="316"/>
      <c r="AF9" s="316"/>
      <c r="AG9" s="380"/>
      <c r="AH9" s="316"/>
      <c r="AI9" s="316"/>
      <c r="AJ9" s="316"/>
      <c r="AK9" s="316"/>
      <c r="AL9" s="380"/>
      <c r="AM9" s="316"/>
      <c r="AN9" s="316"/>
      <c r="AO9" s="316"/>
      <c r="AP9" s="316"/>
      <c r="AQ9" s="380"/>
      <c r="AR9" s="316"/>
      <c r="AS9" s="316"/>
      <c r="AT9" s="316"/>
      <c r="AU9" s="316"/>
      <c r="AV9" s="380"/>
      <c r="AW9" s="316"/>
      <c r="AX9" s="316"/>
      <c r="AY9" s="316"/>
      <c r="AZ9" s="316"/>
      <c r="BA9" s="380"/>
      <c r="BB9" s="316"/>
      <c r="BC9" s="316"/>
      <c r="BD9" s="316"/>
      <c r="BE9" s="316"/>
      <c r="BF9" s="315"/>
      <c r="BG9" s="93"/>
      <c r="BH9" s="93"/>
      <c r="BI9" s="93"/>
      <c r="BJ9" s="316"/>
      <c r="BK9" s="381"/>
      <c r="BL9" s="710"/>
      <c r="BM9" s="710"/>
      <c r="BN9" s="710"/>
      <c r="BO9" s="710"/>
      <c r="BP9" s="382"/>
      <c r="BQ9" s="239"/>
      <c r="BR9" s="239">
        <v>52.161000000000001</v>
      </c>
      <c r="BS9" s="239">
        <v>71.620999999999995</v>
      </c>
      <c r="BT9" s="239">
        <v>80.102999999999994</v>
      </c>
      <c r="BU9" s="257">
        <f t="shared" si="0"/>
        <v>80.102999999999994</v>
      </c>
      <c r="BV9" s="239">
        <v>105.6</v>
      </c>
      <c r="BW9" s="239">
        <v>111.506</v>
      </c>
      <c r="BX9" s="239">
        <v>212.92699999999999</v>
      </c>
      <c r="BY9" s="239">
        <v>308.40100000000001</v>
      </c>
      <c r="BZ9" s="257">
        <f t="shared" si="1"/>
        <v>308.40100000000001</v>
      </c>
      <c r="CA9" s="239">
        <v>294.42200000000003</v>
      </c>
      <c r="CB9" s="239">
        <v>733.02</v>
      </c>
      <c r="CC9" s="239">
        <v>806.71</v>
      </c>
      <c r="CD9" s="239">
        <v>796.36199999999997</v>
      </c>
      <c r="CE9" s="257">
        <f t="shared" si="2"/>
        <v>796.36199999999997</v>
      </c>
      <c r="CF9" s="239">
        <v>1383.4549999999999</v>
      </c>
      <c r="CG9" s="239">
        <v>1354.367</v>
      </c>
      <c r="CH9" s="239">
        <v>1334.8040000000001</v>
      </c>
      <c r="CI9" s="239">
        <v>1558.9870000000001</v>
      </c>
      <c r="CJ9" s="257">
        <f t="shared" si="3"/>
        <v>1558.9870000000001</v>
      </c>
      <c r="CK9" s="239">
        <v>1586.568</v>
      </c>
      <c r="CL9" s="239">
        <v>1344.3409999999999</v>
      </c>
      <c r="CM9" s="239">
        <v>1542.653</v>
      </c>
      <c r="CN9" s="239">
        <v>1805.278</v>
      </c>
      <c r="CO9" s="257">
        <f t="shared" si="4"/>
        <v>1805.278</v>
      </c>
      <c r="CP9" s="239">
        <v>1391.2090000000001</v>
      </c>
      <c r="CQ9" s="239">
        <v>2118.5929999999998</v>
      </c>
      <c r="CR9" s="239">
        <v>3031.277</v>
      </c>
      <c r="CS9" s="239">
        <v>3684.37</v>
      </c>
      <c r="CT9" s="257">
        <f t="shared" si="5"/>
        <v>3684.37</v>
      </c>
      <c r="CU9" s="239">
        <v>5086.8770000000004</v>
      </c>
      <c r="CV9" s="239">
        <v>5390.7169999999996</v>
      </c>
      <c r="CW9" s="239">
        <v>5329.0810000000001</v>
      </c>
      <c r="CX9" s="239">
        <v>5265.1009999999997</v>
      </c>
      <c r="CY9" s="257">
        <f t="shared" si="6"/>
        <v>5265.1009999999997</v>
      </c>
      <c r="CZ9" s="239">
        <v>4795.1450000000004</v>
      </c>
      <c r="DA9" s="239">
        <v>3604.01</v>
      </c>
      <c r="DB9" s="239">
        <v>3563.181</v>
      </c>
      <c r="DC9" s="239">
        <v>3403.6219999999998</v>
      </c>
      <c r="DD9" s="257">
        <f t="shared" si="7"/>
        <v>3403.6219999999998</v>
      </c>
      <c r="DE9" s="393">
        <v>3125</v>
      </c>
      <c r="DF9" s="393">
        <v>3169</v>
      </c>
      <c r="DG9" s="393">
        <v>3631</v>
      </c>
      <c r="DH9" s="393">
        <v>3595</v>
      </c>
      <c r="DI9" s="304">
        <f t="shared" si="8"/>
        <v>3595</v>
      </c>
      <c r="DJ9" s="393">
        <v>3554</v>
      </c>
      <c r="DK9" s="393">
        <v>3480</v>
      </c>
      <c r="DL9" s="393">
        <v>3388</v>
      </c>
      <c r="DM9" s="393">
        <v>3981</v>
      </c>
      <c r="DN9" s="304">
        <f t="shared" si="9"/>
        <v>3981</v>
      </c>
      <c r="DO9" s="239">
        <v>4205</v>
      </c>
      <c r="DP9" s="393">
        <v>4278</v>
      </c>
      <c r="DQ9" s="393">
        <v>3935</v>
      </c>
      <c r="DR9" s="393">
        <v>4233</v>
      </c>
      <c r="DS9" s="304">
        <f t="shared" si="10"/>
        <v>4233</v>
      </c>
      <c r="DT9" s="239">
        <v>3895</v>
      </c>
      <c r="DU9" s="393">
        <v>3291</v>
      </c>
      <c r="DV9" s="425">
        <f>DU9-SUM('Cash Flow'!DV29:DV30)</f>
        <v>3291</v>
      </c>
      <c r="DW9" s="425">
        <f>DV9-SUM('Cash Flow'!DW29:DW30)</f>
        <v>3291</v>
      </c>
      <c r="DX9" s="304">
        <f t="shared" si="11"/>
        <v>3291</v>
      </c>
      <c r="DY9" s="425">
        <f>DX9-SUM('Cash Flow'!DY29:DY30)</f>
        <v>3291</v>
      </c>
      <c r="DZ9" s="425">
        <f>DY9-SUM('Cash Flow'!DZ29:DZ30)</f>
        <v>3291</v>
      </c>
      <c r="EA9" s="425">
        <f>DZ9-SUM('Cash Flow'!EA29:EA30)</f>
        <v>3291</v>
      </c>
      <c r="EB9" s="425">
        <f>EA9-SUM('Cash Flow'!EB29:EB30)</f>
        <v>3291</v>
      </c>
      <c r="EC9" s="304">
        <f t="shared" si="12"/>
        <v>3291</v>
      </c>
      <c r="ED9" s="425">
        <f>EC9-SUM('Cash Flow'!ED29:ED30)</f>
        <v>3291</v>
      </c>
      <c r="EE9" s="425">
        <f>ED9-SUM('Cash Flow'!EE29:EE30)</f>
        <v>3291</v>
      </c>
      <c r="EF9" s="425">
        <f>EE9-SUM('Cash Flow'!EF29:EF30)</f>
        <v>3291</v>
      </c>
      <c r="EG9" s="425">
        <f>EF9-SUM('Cash Flow'!EG29:EG30)</f>
        <v>3291</v>
      </c>
      <c r="EH9" s="304">
        <f t="shared" si="13"/>
        <v>3291</v>
      </c>
      <c r="EI9" s="425">
        <f>EH9-SUM('Cash Flow'!EI29:EI30)</f>
        <v>3291</v>
      </c>
      <c r="EJ9" s="425">
        <f>EI9-SUM('Cash Flow'!EJ29:EJ30)</f>
        <v>3291</v>
      </c>
      <c r="EK9" s="425">
        <f>EJ9-SUM('Cash Flow'!EK29:EK30)</f>
        <v>3291</v>
      </c>
      <c r="EL9" s="425">
        <f>EK9-SUM('Cash Flow'!EL29:EL30)</f>
        <v>3291</v>
      </c>
      <c r="EM9" s="304">
        <f t="shared" si="14"/>
        <v>3291</v>
      </c>
      <c r="EN9" s="425">
        <f>EM9-SUM('Cash Flow'!EN29:EN30)</f>
        <v>3291</v>
      </c>
      <c r="EO9" s="425">
        <f>EN9-SUM('Cash Flow'!EO29:EO30)</f>
        <v>3291</v>
      </c>
      <c r="EP9" s="425">
        <f>EO9-SUM('Cash Flow'!EP29:EP30)</f>
        <v>3291</v>
      </c>
      <c r="EQ9" s="425">
        <f>EP9-SUM('Cash Flow'!EQ29:EQ30)</f>
        <v>3291</v>
      </c>
      <c r="ER9" s="304">
        <f t="shared" si="15"/>
        <v>3291</v>
      </c>
      <c r="ES9" s="377"/>
      <c r="ET9" s="377"/>
      <c r="EU9" s="377"/>
      <c r="EV9" s="377"/>
      <c r="EW9"/>
      <c r="EX9"/>
      <c r="EY9"/>
      <c r="EZ9"/>
      <c r="FA9"/>
      <c r="FB9" s="377"/>
      <c r="FC9" s="377"/>
      <c r="FD9" s="377"/>
      <c r="FE9" s="377"/>
      <c r="FF9" s="377"/>
      <c r="FG9" s="377"/>
      <c r="FH9" s="377"/>
      <c r="FI9" s="377"/>
      <c r="FJ9" s="377"/>
      <c r="FK9" s="377"/>
      <c r="FL9" s="377"/>
      <c r="FM9" s="377"/>
      <c r="FN9" s="377"/>
      <c r="FO9" s="377"/>
      <c r="FP9" s="377"/>
      <c r="FQ9" s="377"/>
      <c r="FR9" s="377"/>
      <c r="FS9" s="377"/>
      <c r="FT9" s="377"/>
      <c r="FU9" s="377"/>
      <c r="FV9" s="377"/>
      <c r="FW9" s="377"/>
      <c r="FX9" s="377"/>
      <c r="FY9" s="377"/>
      <c r="FZ9" s="377"/>
      <c r="GA9" s="377"/>
      <c r="GB9" s="377"/>
      <c r="GC9" s="377"/>
      <c r="GD9" s="377"/>
      <c r="GE9" s="377"/>
      <c r="GF9" s="377"/>
      <c r="GG9" s="377"/>
      <c r="GH9" s="377"/>
      <c r="GI9" s="377"/>
      <c r="GJ9" s="377"/>
      <c r="GK9" s="377"/>
      <c r="GL9" s="377"/>
      <c r="GM9" s="377"/>
      <c r="GN9" s="377"/>
      <c r="GO9" s="377"/>
      <c r="GP9" s="377"/>
      <c r="GQ9" s="377"/>
      <c r="GR9" s="377"/>
      <c r="GS9" s="377"/>
      <c r="GT9" s="377"/>
      <c r="GU9" s="377"/>
      <c r="GV9" s="377"/>
      <c r="GW9" s="377"/>
      <c r="GX9" s="377"/>
      <c r="GY9" s="377"/>
      <c r="GZ9" s="377"/>
      <c r="HA9" s="377"/>
      <c r="HB9" s="377"/>
      <c r="HC9" s="377"/>
      <c r="HD9" s="377"/>
      <c r="HE9" s="377"/>
      <c r="HF9" s="377"/>
      <c r="HG9" s="377"/>
      <c r="HH9" s="377"/>
      <c r="HI9" s="377"/>
      <c r="HJ9" s="377"/>
      <c r="HK9" s="377"/>
      <c r="HL9" s="377"/>
      <c r="HM9" s="377"/>
      <c r="HN9" s="377"/>
      <c r="HO9" s="377"/>
      <c r="HP9" s="377"/>
      <c r="HQ9" s="377"/>
      <c r="HR9" s="377"/>
      <c r="HS9" s="377"/>
      <c r="HT9" s="377"/>
      <c r="HU9" s="377"/>
      <c r="HV9" s="377"/>
      <c r="HW9" s="377"/>
      <c r="HX9" s="377"/>
      <c r="HY9" s="377"/>
      <c r="HZ9" s="377"/>
      <c r="IA9" s="377"/>
      <c r="IB9" s="377"/>
      <c r="IC9" s="377"/>
      <c r="ID9" s="377"/>
      <c r="IE9" s="377"/>
      <c r="IF9" s="377"/>
      <c r="IG9" s="377"/>
      <c r="IH9" s="377"/>
      <c r="II9" s="377"/>
      <c r="IJ9" s="377"/>
      <c r="IK9" s="377"/>
      <c r="IL9" s="377"/>
      <c r="IM9" s="377"/>
      <c r="IN9" s="377"/>
      <c r="IO9" s="377"/>
      <c r="IP9" s="377"/>
      <c r="IQ9" s="377"/>
      <c r="IR9" s="377"/>
      <c r="IS9" s="377"/>
      <c r="IT9" s="377"/>
      <c r="IU9" s="377"/>
      <c r="IV9" s="377"/>
      <c r="IW9" s="377"/>
      <c r="IX9" s="377"/>
      <c r="IY9" s="377"/>
      <c r="IZ9" s="377"/>
      <c r="JA9" s="377"/>
      <c r="JB9" s="377"/>
      <c r="JC9" s="377"/>
      <c r="JD9" s="377"/>
      <c r="JE9" s="377"/>
      <c r="JF9" s="377"/>
      <c r="JG9" s="377"/>
      <c r="JH9" s="377"/>
      <c r="JI9" s="377"/>
      <c r="JJ9" s="377"/>
      <c r="JK9" s="377"/>
      <c r="JL9" s="377"/>
      <c r="JM9" s="377"/>
    </row>
    <row r="10" spans="1:273" s="160" customFormat="1" ht="12" customHeight="1">
      <c r="A10" s="133"/>
      <c r="B10" s="133"/>
      <c r="C10" s="265" t="s">
        <v>44</v>
      </c>
      <c r="D10" s="315"/>
      <c r="E10" s="315"/>
      <c r="F10" s="315"/>
      <c r="G10" s="315"/>
      <c r="H10" s="315"/>
      <c r="I10" s="316"/>
      <c r="J10" s="316"/>
      <c r="K10" s="316"/>
      <c r="L10" s="316"/>
      <c r="M10" s="380"/>
      <c r="N10" s="316"/>
      <c r="O10" s="316"/>
      <c r="P10" s="316"/>
      <c r="Q10" s="316"/>
      <c r="R10" s="380"/>
      <c r="S10" s="316"/>
      <c r="T10" s="316"/>
      <c r="U10" s="316"/>
      <c r="V10" s="316"/>
      <c r="W10" s="380"/>
      <c r="X10" s="316"/>
      <c r="Y10" s="316"/>
      <c r="Z10" s="316"/>
      <c r="AA10" s="316"/>
      <c r="AB10" s="380"/>
      <c r="AC10" s="316"/>
      <c r="AD10" s="316"/>
      <c r="AE10" s="316"/>
      <c r="AF10" s="316"/>
      <c r="AG10" s="380"/>
      <c r="AH10" s="316"/>
      <c r="AI10" s="316"/>
      <c r="AJ10" s="316"/>
      <c r="AK10" s="316"/>
      <c r="AL10" s="380"/>
      <c r="AM10" s="316"/>
      <c r="AN10" s="316"/>
      <c r="AO10" s="316"/>
      <c r="AP10" s="316"/>
      <c r="AQ10" s="380"/>
      <c r="AR10" s="316"/>
      <c r="AS10" s="316"/>
      <c r="AT10" s="316"/>
      <c r="AU10" s="316"/>
      <c r="AV10" s="380"/>
      <c r="AW10" s="316"/>
      <c r="AX10" s="316"/>
      <c r="AY10" s="316"/>
      <c r="AZ10" s="316"/>
      <c r="BA10" s="380"/>
      <c r="BB10" s="316"/>
      <c r="BC10" s="316"/>
      <c r="BD10" s="316"/>
      <c r="BE10" s="316"/>
      <c r="BF10" s="315"/>
      <c r="BG10" s="93"/>
      <c r="BH10" s="93"/>
      <c r="BI10" s="93"/>
      <c r="BJ10" s="316"/>
      <c r="BK10" s="315"/>
      <c r="BL10" s="316"/>
      <c r="BM10" s="316"/>
      <c r="BN10" s="316"/>
      <c r="BO10" s="316"/>
      <c r="BP10" s="380"/>
      <c r="BQ10" s="239"/>
      <c r="BR10" s="239">
        <v>3.2930000000000001</v>
      </c>
      <c r="BS10" s="239">
        <v>3.8359999999999999</v>
      </c>
      <c r="BT10" s="239">
        <v>6.0890000000000004</v>
      </c>
      <c r="BU10" s="257">
        <f t="shared" si="0"/>
        <v>6.0890000000000004</v>
      </c>
      <c r="BV10" s="239">
        <v>6.548</v>
      </c>
      <c r="BW10" s="239">
        <v>9.0920000000000005</v>
      </c>
      <c r="BX10" s="239">
        <v>7.6840000000000002</v>
      </c>
      <c r="BY10" s="239">
        <v>9.5990000000000002</v>
      </c>
      <c r="BZ10" s="257">
        <f t="shared" si="1"/>
        <v>9.5990000000000002</v>
      </c>
      <c r="CA10" s="239">
        <v>9.1609999999999996</v>
      </c>
      <c r="CB10" s="239">
        <v>12.599</v>
      </c>
      <c r="CC10" s="239">
        <v>17.789000000000001</v>
      </c>
      <c r="CD10" s="239">
        <v>21.939</v>
      </c>
      <c r="CE10" s="257">
        <f t="shared" si="2"/>
        <v>21.939</v>
      </c>
      <c r="CF10" s="239">
        <v>28.364999999999998</v>
      </c>
      <c r="CG10" s="239">
        <v>32.51</v>
      </c>
      <c r="CH10" s="239">
        <v>35.798999999999999</v>
      </c>
      <c r="CI10" s="239">
        <v>41.347000000000001</v>
      </c>
      <c r="CJ10" s="257">
        <f t="shared" si="3"/>
        <v>41.347000000000001</v>
      </c>
      <c r="CK10" s="239">
        <v>40.412999999999997</v>
      </c>
      <c r="CL10" s="239">
        <v>45.84</v>
      </c>
      <c r="CM10" s="239">
        <v>46.691000000000003</v>
      </c>
      <c r="CN10" s="239">
        <v>90.528999999999996</v>
      </c>
      <c r="CO10" s="257">
        <f t="shared" si="4"/>
        <v>90.528999999999996</v>
      </c>
      <c r="CP10" s="239">
        <v>88.138999999999996</v>
      </c>
      <c r="CQ10" s="239">
        <v>106.40900000000001</v>
      </c>
      <c r="CR10" s="239">
        <v>109.7</v>
      </c>
      <c r="CS10" s="239">
        <v>120.752</v>
      </c>
      <c r="CT10" s="257">
        <f t="shared" si="5"/>
        <v>120.752</v>
      </c>
      <c r="CU10" s="239">
        <v>163.46100000000001</v>
      </c>
      <c r="CV10" s="239">
        <v>153.4</v>
      </c>
      <c r="CW10" s="239">
        <v>151.773</v>
      </c>
      <c r="CX10" s="239">
        <v>192.209</v>
      </c>
      <c r="CY10" s="257">
        <f t="shared" si="6"/>
        <v>192.209</v>
      </c>
      <c r="CZ10" s="239">
        <v>225.25200000000001</v>
      </c>
      <c r="DA10" s="239">
        <v>238.72300000000001</v>
      </c>
      <c r="DB10" s="239">
        <v>241.18299999999999</v>
      </c>
      <c r="DC10" s="239">
        <v>273.05500000000001</v>
      </c>
      <c r="DD10" s="257">
        <f t="shared" si="7"/>
        <v>273.05500000000001</v>
      </c>
      <c r="DE10" s="239">
        <v>276</v>
      </c>
      <c r="DF10" s="239">
        <v>262</v>
      </c>
      <c r="DG10" s="239">
        <v>248</v>
      </c>
      <c r="DH10" s="239">
        <v>282</v>
      </c>
      <c r="DI10" s="257">
        <f t="shared" si="8"/>
        <v>282</v>
      </c>
      <c r="DJ10" s="239">
        <v>265</v>
      </c>
      <c r="DK10" s="239">
        <v>275</v>
      </c>
      <c r="DL10" s="239">
        <v>281</v>
      </c>
      <c r="DM10" s="239">
        <v>342</v>
      </c>
      <c r="DN10" s="257">
        <f t="shared" si="9"/>
        <v>342</v>
      </c>
      <c r="DO10" s="239">
        <v>297</v>
      </c>
      <c r="DP10" s="239">
        <v>350</v>
      </c>
      <c r="DQ10" s="239">
        <v>396</v>
      </c>
      <c r="DR10" s="239">
        <v>500</v>
      </c>
      <c r="DS10" s="257">
        <f t="shared" si="10"/>
        <v>500</v>
      </c>
      <c r="DT10" s="239">
        <v>449</v>
      </c>
      <c r="DU10" s="239">
        <v>466</v>
      </c>
      <c r="DV10" s="120">
        <f>DV56*Income!DV10/(DV5-DU5)</f>
        <v>524.08702719074392</v>
      </c>
      <c r="DW10" s="120">
        <f>DW56*Income!DW10/(DW5-DV5)</f>
        <v>619.53416696445652</v>
      </c>
      <c r="DX10" s="257">
        <f t="shared" si="11"/>
        <v>619.53416696445652</v>
      </c>
      <c r="DY10" s="120">
        <f>DY56*Income!DY10/(DY5-DW5)</f>
        <v>493.18152460347233</v>
      </c>
      <c r="DZ10" s="120">
        <f>DZ56*Income!DZ10/(DZ5-DY5)</f>
        <v>549.00216186096054</v>
      </c>
      <c r="EA10" s="120">
        <f>EA56*Income!EA10/(EA5-DZ5)</f>
        <v>554.98298816670456</v>
      </c>
      <c r="EB10" s="120">
        <f>EB56*Income!EB10/(EB5-EA5)</f>
        <v>707.31637785344731</v>
      </c>
      <c r="EC10" s="257">
        <f t="shared" si="12"/>
        <v>707.31637785344731</v>
      </c>
      <c r="ED10" s="120">
        <f>ED56*Income!ED10/(ED5-EB5)</f>
        <v>589.54030862218349</v>
      </c>
      <c r="EE10" s="120">
        <f>EE56*Income!EE10/(EE5-ED5)</f>
        <v>663.02782600074124</v>
      </c>
      <c r="EF10" s="120">
        <f>EF56*Income!EF10/(EF5-EE5)</f>
        <v>669.41029869644512</v>
      </c>
      <c r="EG10" s="120">
        <f>EG56*Income!EG10/(EG5-EF5)</f>
        <v>853.27159551629779</v>
      </c>
      <c r="EH10" s="257">
        <f t="shared" si="13"/>
        <v>853.27159551629779</v>
      </c>
      <c r="EI10" s="120">
        <f>EI56*Income!EI10/(EI5-EG5)</f>
        <v>706.42669983591543</v>
      </c>
      <c r="EJ10" s="120">
        <f>EJ56*Income!EJ10/(EJ5-EI5)</f>
        <v>785.87837762441222</v>
      </c>
      <c r="EK10" s="120">
        <f>EK56*Income!EK10/(EK5-EJ5)</f>
        <v>793.39686210716263</v>
      </c>
      <c r="EL10" s="120">
        <f>EL56*Income!EL10/(EL5-EK5)</f>
        <v>1011.8317054021686</v>
      </c>
      <c r="EM10" s="257">
        <f t="shared" si="14"/>
        <v>1011.8317054021686</v>
      </c>
      <c r="EN10" s="120">
        <f>EN56*Income!EN10/(EN5-EL5)</f>
        <v>828.72084839595595</v>
      </c>
      <c r="EO10" s="120">
        <f>EO56*Income!EO10/(EO5-EN5)</f>
        <v>921.94495309496301</v>
      </c>
      <c r="EP10" s="120">
        <f>EP56*Income!EP10/(EP5-EO5)</f>
        <v>930.82436428041672</v>
      </c>
      <c r="EQ10" s="120">
        <f>EQ56*Income!EQ10/(EQ5-EP5)</f>
        <v>1187.1981833953623</v>
      </c>
      <c r="ER10" s="257">
        <f t="shared" si="15"/>
        <v>1187.1981833953623</v>
      </c>
      <c r="ES10" s="377"/>
      <c r="ET10" s="377"/>
      <c r="EU10" s="377"/>
      <c r="EV10" s="377"/>
      <c r="EW10"/>
      <c r="EX10"/>
      <c r="EY10"/>
      <c r="EZ10"/>
      <c r="FA10"/>
      <c r="FB10" s="377"/>
      <c r="FC10" s="377"/>
      <c r="FD10" s="377"/>
      <c r="FE10" s="377"/>
      <c r="FF10" s="377"/>
      <c r="FG10" s="377"/>
      <c r="FH10" s="377"/>
      <c r="FI10" s="377"/>
      <c r="FJ10" s="377"/>
      <c r="FK10" s="377"/>
      <c r="FL10" s="377"/>
      <c r="FM10" s="377"/>
      <c r="FN10" s="377"/>
      <c r="FO10" s="377"/>
      <c r="FP10" s="377"/>
      <c r="FQ10" s="377"/>
      <c r="FR10" s="377"/>
      <c r="FS10" s="377"/>
      <c r="FT10" s="377"/>
      <c r="FU10" s="377"/>
      <c r="FV10" s="377"/>
      <c r="FW10" s="377"/>
      <c r="FX10" s="377"/>
      <c r="FY10" s="377"/>
      <c r="FZ10" s="377"/>
      <c r="GA10" s="377"/>
      <c r="GB10" s="377"/>
      <c r="GC10" s="377"/>
      <c r="GD10" s="377"/>
      <c r="GE10" s="377"/>
      <c r="GF10" s="377"/>
      <c r="GG10" s="377"/>
      <c r="GH10" s="377"/>
      <c r="GI10" s="377"/>
      <c r="GJ10" s="377"/>
      <c r="GK10" s="377"/>
      <c r="GL10" s="377"/>
      <c r="GM10" s="377"/>
      <c r="GN10" s="377"/>
      <c r="GO10" s="377"/>
      <c r="GP10" s="377"/>
      <c r="GQ10" s="377"/>
      <c r="GR10" s="377"/>
      <c r="GS10" s="377"/>
      <c r="GT10" s="377"/>
      <c r="GU10" s="377"/>
      <c r="GV10" s="377"/>
      <c r="GW10" s="377"/>
      <c r="GX10" s="377"/>
      <c r="GY10" s="377"/>
      <c r="GZ10" s="377"/>
      <c r="HA10" s="377"/>
      <c r="HB10" s="377"/>
      <c r="HC10" s="377"/>
      <c r="HD10" s="377"/>
      <c r="HE10" s="377"/>
      <c r="HF10" s="377"/>
      <c r="HG10" s="377"/>
      <c r="HH10" s="377"/>
      <c r="HI10" s="377"/>
      <c r="HJ10" s="377"/>
      <c r="HK10" s="377"/>
      <c r="HL10" s="377"/>
      <c r="HM10" s="377"/>
      <c r="HN10" s="377"/>
      <c r="HO10" s="377"/>
      <c r="HP10" s="377"/>
      <c r="HQ10" s="377"/>
      <c r="HR10" s="377"/>
      <c r="HS10" s="377"/>
      <c r="HT10" s="377"/>
      <c r="HU10" s="377"/>
      <c r="HV10" s="377"/>
      <c r="HW10" s="377"/>
      <c r="HX10" s="377"/>
      <c r="HY10" s="377"/>
      <c r="HZ10" s="377"/>
      <c r="IA10" s="377"/>
      <c r="IB10" s="377"/>
      <c r="IC10" s="377"/>
      <c r="ID10" s="377"/>
      <c r="IE10" s="377"/>
      <c r="IF10" s="377"/>
      <c r="IG10" s="377"/>
      <c r="IH10" s="377"/>
      <c r="II10" s="377"/>
      <c r="IJ10" s="377"/>
      <c r="IK10" s="377"/>
      <c r="IL10" s="377"/>
      <c r="IM10" s="377"/>
      <c r="IN10" s="377"/>
      <c r="IO10" s="377"/>
      <c r="IP10" s="377"/>
      <c r="IQ10" s="377"/>
      <c r="IR10" s="377"/>
      <c r="IS10" s="377"/>
      <c r="IT10" s="377"/>
      <c r="IU10" s="377"/>
      <c r="IV10" s="377"/>
      <c r="IW10" s="377"/>
      <c r="IX10" s="377"/>
      <c r="IY10" s="377"/>
      <c r="IZ10" s="377"/>
      <c r="JA10" s="377"/>
      <c r="JB10" s="377"/>
      <c r="JC10" s="377"/>
      <c r="JD10" s="377"/>
      <c r="JE10" s="377"/>
      <c r="JF10" s="377"/>
      <c r="JG10" s="377"/>
      <c r="JH10" s="377"/>
      <c r="JI10" s="377"/>
      <c r="JJ10" s="377"/>
      <c r="JK10" s="377"/>
      <c r="JL10" s="377"/>
      <c r="JM10" s="377"/>
    </row>
    <row r="11" spans="1:273" s="160" customFormat="1" ht="12" customHeight="1">
      <c r="A11" s="133"/>
      <c r="B11" s="133"/>
      <c r="C11" s="265" t="s">
        <v>247</v>
      </c>
      <c r="D11" s="315"/>
      <c r="E11" s="315"/>
      <c r="F11" s="315"/>
      <c r="G11" s="315"/>
      <c r="H11" s="315"/>
      <c r="I11" s="316"/>
      <c r="J11" s="316"/>
      <c r="K11" s="316"/>
      <c r="L11" s="316"/>
      <c r="M11" s="380"/>
      <c r="N11" s="316"/>
      <c r="O11" s="316"/>
      <c r="P11" s="316"/>
      <c r="Q11" s="316"/>
      <c r="R11" s="380"/>
      <c r="S11" s="316"/>
      <c r="T11" s="316"/>
      <c r="U11" s="316"/>
      <c r="V11" s="316"/>
      <c r="W11" s="380"/>
      <c r="X11" s="316"/>
      <c r="Y11" s="316"/>
      <c r="Z11" s="316"/>
      <c r="AA11" s="316"/>
      <c r="AB11" s="380"/>
      <c r="AC11" s="316"/>
      <c r="AD11" s="316"/>
      <c r="AE11" s="316"/>
      <c r="AF11" s="316"/>
      <c r="AG11" s="380"/>
      <c r="AH11" s="316"/>
      <c r="AI11" s="316"/>
      <c r="AJ11" s="316"/>
      <c r="AK11" s="316"/>
      <c r="AL11" s="380"/>
      <c r="AM11" s="316"/>
      <c r="AN11" s="316"/>
      <c r="AO11" s="316"/>
      <c r="AP11" s="316"/>
      <c r="AQ11" s="380"/>
      <c r="AR11" s="316"/>
      <c r="AS11" s="316"/>
      <c r="AT11" s="316"/>
      <c r="AU11" s="316"/>
      <c r="AV11" s="380"/>
      <c r="AW11" s="316"/>
      <c r="AX11" s="316"/>
      <c r="AY11" s="316"/>
      <c r="AZ11" s="316"/>
      <c r="BA11" s="380"/>
      <c r="BB11" s="316"/>
      <c r="BC11" s="316"/>
      <c r="BD11" s="316"/>
      <c r="BE11" s="316"/>
      <c r="BF11" s="315"/>
      <c r="BG11" s="93"/>
      <c r="BH11" s="93"/>
      <c r="BI11" s="93"/>
      <c r="BJ11" s="316"/>
      <c r="BK11" s="315"/>
      <c r="BL11" s="316"/>
      <c r="BM11" s="316"/>
      <c r="BN11" s="316"/>
      <c r="BO11" s="316"/>
      <c r="BP11" s="380"/>
      <c r="BQ11" s="239"/>
      <c r="BR11" s="239">
        <v>0</v>
      </c>
      <c r="BS11" s="239">
        <v>0</v>
      </c>
      <c r="BT11" s="239">
        <v>0</v>
      </c>
      <c r="BU11" s="257">
        <f t="shared" si="0"/>
        <v>0</v>
      </c>
      <c r="BV11" s="239">
        <v>0</v>
      </c>
      <c r="BW11" s="239">
        <v>0</v>
      </c>
      <c r="BX11" s="239">
        <v>9.0990000000000002</v>
      </c>
      <c r="BY11" s="239">
        <v>11.896000000000001</v>
      </c>
      <c r="BZ11" s="257">
        <f t="shared" si="1"/>
        <v>11.896000000000001</v>
      </c>
      <c r="CA11" s="239">
        <v>17.337</v>
      </c>
      <c r="CB11" s="239">
        <v>32.838999999999999</v>
      </c>
      <c r="CC11" s="239">
        <v>50.276000000000003</v>
      </c>
      <c r="CD11" s="239">
        <v>47.100999999999999</v>
      </c>
      <c r="CE11" s="257">
        <f t="shared" si="2"/>
        <v>47.100999999999999</v>
      </c>
      <c r="CF11" s="239">
        <v>63.527999999999999</v>
      </c>
      <c r="CG11" s="239">
        <v>79.980999999999995</v>
      </c>
      <c r="CH11" s="239">
        <v>99.518000000000001</v>
      </c>
      <c r="CI11" s="239">
        <v>91.873000000000005</v>
      </c>
      <c r="CJ11" s="257">
        <f t="shared" si="3"/>
        <v>91.873000000000005</v>
      </c>
      <c r="CK11" s="239">
        <v>106.834</v>
      </c>
      <c r="CL11" s="239">
        <v>115.556</v>
      </c>
      <c r="CM11" s="239">
        <v>165.77500000000001</v>
      </c>
      <c r="CN11" s="239">
        <v>150.172</v>
      </c>
      <c r="CO11" s="257">
        <f t="shared" si="4"/>
        <v>150.172</v>
      </c>
      <c r="CP11" s="239">
        <v>191.863</v>
      </c>
      <c r="CQ11" s="239">
        <v>166.495</v>
      </c>
      <c r="CR11" s="239">
        <v>247.977</v>
      </c>
      <c r="CS11" s="239">
        <v>244.72300000000001</v>
      </c>
      <c r="CT11" s="257">
        <f t="shared" si="5"/>
        <v>244.72300000000001</v>
      </c>
      <c r="CU11" s="239">
        <v>312.77100000000002</v>
      </c>
      <c r="CV11" s="239">
        <v>415.35399999999998</v>
      </c>
      <c r="CW11" s="239">
        <v>524.02</v>
      </c>
      <c r="CX11" s="239">
        <v>470.72199999999998</v>
      </c>
      <c r="CY11" s="257">
        <f t="shared" si="6"/>
        <v>470.72199999999998</v>
      </c>
      <c r="CZ11" s="239">
        <v>486.50700000000001</v>
      </c>
      <c r="DA11" s="239">
        <v>537.79</v>
      </c>
      <c r="DB11" s="239">
        <v>666.053</v>
      </c>
      <c r="DC11" s="239">
        <v>580.11400000000003</v>
      </c>
      <c r="DD11" s="257">
        <f t="shared" si="7"/>
        <v>580.11400000000003</v>
      </c>
      <c r="DE11" s="239">
        <v>629</v>
      </c>
      <c r="DF11" s="239">
        <v>719</v>
      </c>
      <c r="DG11" s="239">
        <v>833</v>
      </c>
      <c r="DH11" s="239">
        <v>816</v>
      </c>
      <c r="DI11" s="286">
        <f t="shared" si="8"/>
        <v>816</v>
      </c>
      <c r="DJ11" s="239">
        <v>815</v>
      </c>
      <c r="DK11" s="239">
        <v>918</v>
      </c>
      <c r="DL11" s="239">
        <v>1154</v>
      </c>
      <c r="DM11" s="239">
        <v>1224</v>
      </c>
      <c r="DN11" s="286">
        <f t="shared" si="9"/>
        <v>1224</v>
      </c>
      <c r="DO11" s="239">
        <v>1392</v>
      </c>
      <c r="DP11" s="239">
        <v>1597</v>
      </c>
      <c r="DQ11" s="239">
        <v>1733</v>
      </c>
      <c r="DR11" s="239">
        <v>1784</v>
      </c>
      <c r="DS11" s="257">
        <f t="shared" si="10"/>
        <v>1784</v>
      </c>
      <c r="DT11" s="239">
        <v>2097</v>
      </c>
      <c r="DU11" s="239">
        <v>2184</v>
      </c>
      <c r="DV11" s="383">
        <f>DV55*DV58</f>
        <v>2299.5326177661564</v>
      </c>
      <c r="DW11" s="383">
        <f>DW55*DW58</f>
        <v>2308.3843061095649</v>
      </c>
      <c r="DX11" s="257">
        <f t="shared" si="11"/>
        <v>2308.3843061095649</v>
      </c>
      <c r="DY11" s="383">
        <f>DY55*DY58</f>
        <v>2669.2901961116527</v>
      </c>
      <c r="DZ11" s="383">
        <f>DZ55*DZ58</f>
        <v>2768.398387762787</v>
      </c>
      <c r="EA11" s="383">
        <f>EA55*EA58</f>
        <v>2877.8390586389842</v>
      </c>
      <c r="EB11" s="383">
        <f>EB55*EB58</f>
        <v>2875.0481715075762</v>
      </c>
      <c r="EC11" s="257">
        <f t="shared" si="12"/>
        <v>2875.0481715075762</v>
      </c>
      <c r="ED11" s="383">
        <f>ED55*ED58</f>
        <v>3275.0460396251169</v>
      </c>
      <c r="EE11" s="383">
        <f>EE55*EE58</f>
        <v>3398.2347034785862</v>
      </c>
      <c r="EF11" s="383">
        <f>EF55*EF58</f>
        <v>3527.1837193132692</v>
      </c>
      <c r="EG11" s="383">
        <f>EG55*EG58</f>
        <v>3539.6808587817909</v>
      </c>
      <c r="EH11" s="257">
        <f t="shared" si="13"/>
        <v>3539.6808587817909</v>
      </c>
      <c r="EI11" s="383">
        <f>EI55*EI58</f>
        <v>3939.0531060882154</v>
      </c>
      <c r="EJ11" s="383">
        <f>EJ55*EJ58</f>
        <v>4092.8975803866147</v>
      </c>
      <c r="EK11" s="383">
        <f>EK55*EK58</f>
        <v>4246.8370218972486</v>
      </c>
      <c r="EL11" s="383">
        <f>EL55*EL58</f>
        <v>4282.0717772619773</v>
      </c>
      <c r="EM11" s="257">
        <f t="shared" si="14"/>
        <v>4282.0717772619773</v>
      </c>
      <c r="EN11" s="383">
        <f>EN55*EN58</f>
        <v>4688.7727977972409</v>
      </c>
      <c r="EO11" s="383">
        <f>EO55*EO58</f>
        <v>4877.8097402290996</v>
      </c>
      <c r="EP11" s="383">
        <f>EP55*EP58</f>
        <v>5060.2997258153564</v>
      </c>
      <c r="EQ11" s="383">
        <f>EQ55*EQ58</f>
        <v>5123.5156511040586</v>
      </c>
      <c r="ER11" s="257">
        <f t="shared" si="15"/>
        <v>5123.5156511040586</v>
      </c>
      <c r="ES11" s="377"/>
      <c r="ET11" s="377"/>
      <c r="EU11" s="377"/>
      <c r="EV11" s="377"/>
      <c r="EW11"/>
      <c r="EX11"/>
      <c r="EY11"/>
      <c r="EZ11"/>
      <c r="FA11"/>
      <c r="FB11" s="377"/>
      <c r="FC11" s="377"/>
      <c r="FD11" s="377"/>
      <c r="FE11" s="377"/>
      <c r="FF11" s="377"/>
      <c r="FG11" s="377"/>
      <c r="FH11" s="377"/>
      <c r="FI11" s="377"/>
      <c r="FJ11" s="377"/>
      <c r="FK11" s="377"/>
      <c r="FL11" s="377"/>
      <c r="FM11" s="377"/>
      <c r="FN11" s="377"/>
      <c r="FO11" s="377"/>
      <c r="FP11" s="377"/>
      <c r="FQ11" s="377"/>
      <c r="FR11" s="377"/>
      <c r="FS11" s="377"/>
      <c r="FT11" s="377"/>
      <c r="FU11" s="377"/>
      <c r="FV11" s="377"/>
      <c r="FW11" s="377"/>
      <c r="FX11" s="377"/>
      <c r="FY11" s="377"/>
      <c r="FZ11" s="377"/>
      <c r="GA11" s="377"/>
      <c r="GB11" s="377"/>
      <c r="GC11" s="377"/>
      <c r="GD11" s="377"/>
      <c r="GE11" s="377"/>
      <c r="GF11" s="377"/>
      <c r="GG11" s="377"/>
      <c r="GH11" s="377"/>
      <c r="GI11" s="377"/>
      <c r="GJ11" s="377"/>
      <c r="GK11" s="377"/>
      <c r="GL11" s="377"/>
      <c r="GM11" s="377"/>
      <c r="GN11" s="377"/>
      <c r="GO11" s="377"/>
      <c r="GP11" s="377"/>
      <c r="GQ11" s="377"/>
      <c r="GR11" s="377"/>
      <c r="GS11" s="377"/>
      <c r="GT11" s="377"/>
      <c r="GU11" s="377"/>
      <c r="GV11" s="377"/>
      <c r="GW11" s="377"/>
      <c r="GX11" s="377"/>
      <c r="GY11" s="377"/>
      <c r="GZ11" s="377"/>
      <c r="HA11" s="377"/>
      <c r="HB11" s="377"/>
      <c r="HC11" s="377"/>
      <c r="HD11" s="377"/>
      <c r="HE11" s="377"/>
      <c r="HF11" s="377"/>
      <c r="HG11" s="377"/>
      <c r="HH11" s="377"/>
      <c r="HI11" s="377"/>
      <c r="HJ11" s="377"/>
      <c r="HK11" s="377"/>
      <c r="HL11" s="377"/>
      <c r="HM11" s="377"/>
      <c r="HN11" s="377"/>
      <c r="HO11" s="377"/>
      <c r="HP11" s="377"/>
      <c r="HQ11" s="377"/>
      <c r="HR11" s="377"/>
      <c r="HS11" s="377"/>
      <c r="HT11" s="377"/>
      <c r="HU11" s="377"/>
      <c r="HV11" s="377"/>
      <c r="HW11" s="377"/>
      <c r="HX11" s="377"/>
      <c r="HY11" s="377"/>
      <c r="HZ11" s="377"/>
      <c r="IA11" s="377"/>
      <c r="IB11" s="377"/>
      <c r="IC11" s="377"/>
      <c r="ID11" s="377"/>
      <c r="IE11" s="377"/>
      <c r="IF11" s="377"/>
      <c r="IG11" s="377"/>
      <c r="IH11" s="377"/>
      <c r="II11" s="377"/>
      <c r="IJ11" s="377"/>
      <c r="IK11" s="377"/>
      <c r="IL11" s="377"/>
      <c r="IM11" s="377"/>
      <c r="IN11" s="377"/>
      <c r="IO11" s="377"/>
      <c r="IP11" s="377"/>
      <c r="IQ11" s="377"/>
      <c r="IR11" s="377"/>
      <c r="IS11" s="377"/>
      <c r="IT11" s="377"/>
      <c r="IU11" s="377"/>
      <c r="IV11" s="377"/>
      <c r="IW11" s="377"/>
      <c r="IX11" s="377"/>
      <c r="IY11" s="377"/>
      <c r="IZ11" s="377"/>
      <c r="JA11" s="377"/>
      <c r="JB11" s="377"/>
      <c r="JC11" s="377"/>
      <c r="JD11" s="377"/>
      <c r="JE11" s="377"/>
      <c r="JF11" s="377"/>
      <c r="JG11" s="377"/>
      <c r="JH11" s="377"/>
      <c r="JI11" s="377"/>
      <c r="JJ11" s="377"/>
      <c r="JK11" s="377"/>
      <c r="JL11" s="377"/>
      <c r="JM11" s="377"/>
    </row>
    <row r="12" spans="1:273" s="160" customFormat="1" ht="12" customHeight="1">
      <c r="A12" s="133"/>
      <c r="B12" s="133"/>
      <c r="C12" s="265" t="s">
        <v>241</v>
      </c>
      <c r="D12" s="315"/>
      <c r="E12" s="315"/>
      <c r="F12" s="315"/>
      <c r="G12" s="315"/>
      <c r="H12" s="315"/>
      <c r="I12" s="316"/>
      <c r="J12" s="316"/>
      <c r="K12" s="316"/>
      <c r="L12" s="316"/>
      <c r="M12" s="380"/>
      <c r="N12" s="316"/>
      <c r="O12" s="316"/>
      <c r="P12" s="316"/>
      <c r="Q12" s="316"/>
      <c r="R12" s="380"/>
      <c r="S12" s="316"/>
      <c r="T12" s="316"/>
      <c r="U12" s="316"/>
      <c r="V12" s="316"/>
      <c r="W12" s="380"/>
      <c r="X12" s="316"/>
      <c r="Y12" s="316"/>
      <c r="Z12" s="316"/>
      <c r="AA12" s="316"/>
      <c r="AB12" s="380"/>
      <c r="AC12" s="316"/>
      <c r="AD12" s="316"/>
      <c r="AE12" s="316"/>
      <c r="AF12" s="316"/>
      <c r="AG12" s="380"/>
      <c r="AH12" s="316"/>
      <c r="AI12" s="316"/>
      <c r="AJ12" s="316"/>
      <c r="AK12" s="316"/>
      <c r="AL12" s="380"/>
      <c r="AM12" s="316"/>
      <c r="AN12" s="316"/>
      <c r="AO12" s="316"/>
      <c r="AP12" s="316"/>
      <c r="AQ12" s="380"/>
      <c r="AR12" s="316"/>
      <c r="AS12" s="316"/>
      <c r="AT12" s="316"/>
      <c r="AU12" s="316"/>
      <c r="AV12" s="380"/>
      <c r="AW12" s="316"/>
      <c r="AX12" s="316"/>
      <c r="AY12" s="316"/>
      <c r="AZ12" s="316"/>
      <c r="BA12" s="380"/>
      <c r="BB12" s="316"/>
      <c r="BC12" s="316"/>
      <c r="BD12" s="316"/>
      <c r="BE12" s="316"/>
      <c r="BF12" s="315"/>
      <c r="BG12" s="93"/>
      <c r="BH12" s="93"/>
      <c r="BI12" s="93"/>
      <c r="BJ12" s="316"/>
      <c r="BK12" s="315"/>
      <c r="BL12" s="316"/>
      <c r="BM12" s="316"/>
      <c r="BN12" s="316"/>
      <c r="BO12" s="316"/>
      <c r="BP12" s="380"/>
      <c r="BQ12" s="239"/>
      <c r="BR12" s="239">
        <v>0</v>
      </c>
      <c r="BS12" s="239">
        <v>0</v>
      </c>
      <c r="BT12" s="239">
        <v>0</v>
      </c>
      <c r="BU12" s="257">
        <f t="shared" si="0"/>
        <v>0</v>
      </c>
      <c r="BV12" s="239">
        <v>0</v>
      </c>
      <c r="BW12" s="239">
        <v>0</v>
      </c>
      <c r="BX12" s="239">
        <v>0</v>
      </c>
      <c r="BY12" s="239">
        <v>0</v>
      </c>
      <c r="BZ12" s="257">
        <f t="shared" si="1"/>
        <v>0</v>
      </c>
      <c r="CA12" s="239">
        <v>0</v>
      </c>
      <c r="CB12" s="239">
        <v>0</v>
      </c>
      <c r="CC12" s="239">
        <v>0</v>
      </c>
      <c r="CD12" s="239">
        <v>0</v>
      </c>
      <c r="CE12" s="257">
        <f t="shared" si="2"/>
        <v>0</v>
      </c>
      <c r="CF12" s="239">
        <v>0</v>
      </c>
      <c r="CG12" s="239">
        <v>0</v>
      </c>
      <c r="CH12" s="239">
        <v>0</v>
      </c>
      <c r="CI12" s="239">
        <v>0</v>
      </c>
      <c r="CJ12" s="257">
        <f t="shared" si="3"/>
        <v>0</v>
      </c>
      <c r="CK12" s="239">
        <v>0</v>
      </c>
      <c r="CL12" s="239">
        <v>0</v>
      </c>
      <c r="CM12" s="239">
        <v>0</v>
      </c>
      <c r="CN12" s="239">
        <v>0</v>
      </c>
      <c r="CO12" s="257">
        <f t="shared" si="4"/>
        <v>0</v>
      </c>
      <c r="CP12" s="239">
        <v>28.402000000000001</v>
      </c>
      <c r="CQ12" s="239">
        <v>49.173000000000002</v>
      </c>
      <c r="CR12" s="239">
        <v>71.302999999999997</v>
      </c>
      <c r="CS12" s="239">
        <v>56.067</v>
      </c>
      <c r="CT12" s="257">
        <f t="shared" si="5"/>
        <v>56.067</v>
      </c>
      <c r="CU12" s="239">
        <v>56.572000000000003</v>
      </c>
      <c r="CV12" s="239">
        <v>56.942999999999998</v>
      </c>
      <c r="CW12" s="239">
        <v>57.372</v>
      </c>
      <c r="CX12" s="239">
        <v>5.0229999999999997</v>
      </c>
      <c r="CY12" s="257">
        <f t="shared" si="6"/>
        <v>5.0229999999999997</v>
      </c>
      <c r="CZ12" s="239">
        <v>3.3690000000000002</v>
      </c>
      <c r="DA12" s="239">
        <v>13.212999999999999</v>
      </c>
      <c r="DB12" s="239">
        <v>11.996</v>
      </c>
      <c r="DC12" s="239">
        <v>4.6950000000000003</v>
      </c>
      <c r="DD12" s="257">
        <f t="shared" si="7"/>
        <v>4.6950000000000003</v>
      </c>
      <c r="DE12" s="239">
        <v>159</v>
      </c>
      <c r="DF12" s="239">
        <v>148</v>
      </c>
      <c r="DG12" s="239">
        <v>162</v>
      </c>
      <c r="DH12" s="239">
        <v>0</v>
      </c>
      <c r="DI12" s="286">
        <f t="shared" si="8"/>
        <v>0</v>
      </c>
      <c r="DJ12" s="239">
        <v>0</v>
      </c>
      <c r="DK12" s="239">
        <v>0</v>
      </c>
      <c r="DL12" s="239">
        <v>0</v>
      </c>
      <c r="DM12" s="239">
        <v>0</v>
      </c>
      <c r="DN12" s="286">
        <f t="shared" si="9"/>
        <v>0</v>
      </c>
      <c r="DO12" s="239">
        <v>0</v>
      </c>
      <c r="DP12" s="239">
        <v>0</v>
      </c>
      <c r="DQ12" s="239">
        <v>0</v>
      </c>
      <c r="DR12" s="239">
        <v>0</v>
      </c>
      <c r="DS12" s="257">
        <f t="shared" si="10"/>
        <v>0</v>
      </c>
      <c r="DT12" s="239">
        <v>0</v>
      </c>
      <c r="DU12" s="239">
        <v>0</v>
      </c>
      <c r="DV12" s="384">
        <f>DU12</f>
        <v>0</v>
      </c>
      <c r="DW12" s="384">
        <f>DV12</f>
        <v>0</v>
      </c>
      <c r="DX12" s="257">
        <f t="shared" si="11"/>
        <v>0</v>
      </c>
      <c r="DY12" s="384">
        <f>DW12</f>
        <v>0</v>
      </c>
      <c r="DZ12" s="384">
        <f>DY12</f>
        <v>0</v>
      </c>
      <c r="EA12" s="384">
        <f>DZ12</f>
        <v>0</v>
      </c>
      <c r="EB12" s="384">
        <f>EA12</f>
        <v>0</v>
      </c>
      <c r="EC12" s="257">
        <f t="shared" si="12"/>
        <v>0</v>
      </c>
      <c r="ED12" s="384">
        <f>EB12</f>
        <v>0</v>
      </c>
      <c r="EE12" s="384">
        <f>ED12</f>
        <v>0</v>
      </c>
      <c r="EF12" s="384">
        <f>EE12</f>
        <v>0</v>
      </c>
      <c r="EG12" s="384">
        <f>EF12</f>
        <v>0</v>
      </c>
      <c r="EH12" s="257">
        <f t="shared" si="13"/>
        <v>0</v>
      </c>
      <c r="EI12" s="384">
        <f>EG12</f>
        <v>0</v>
      </c>
      <c r="EJ12" s="384">
        <f>EI12</f>
        <v>0</v>
      </c>
      <c r="EK12" s="384">
        <f>EJ12</f>
        <v>0</v>
      </c>
      <c r="EL12" s="384">
        <f>EK12</f>
        <v>0</v>
      </c>
      <c r="EM12" s="257">
        <f t="shared" si="14"/>
        <v>0</v>
      </c>
      <c r="EN12" s="384">
        <f>EL12</f>
        <v>0</v>
      </c>
      <c r="EO12" s="384">
        <f>EN12</f>
        <v>0</v>
      </c>
      <c r="EP12" s="384">
        <f>EO12</f>
        <v>0</v>
      </c>
      <c r="EQ12" s="384">
        <f>EP12</f>
        <v>0</v>
      </c>
      <c r="ER12" s="257">
        <f t="shared" si="15"/>
        <v>0</v>
      </c>
      <c r="ES12" s="377"/>
      <c r="ET12" s="377"/>
      <c r="EU12" s="377"/>
      <c r="EV12" s="377"/>
      <c r="EW12"/>
      <c r="EX12"/>
      <c r="EY12"/>
      <c r="EZ12"/>
      <c r="FA12"/>
      <c r="FB12" s="377"/>
      <c r="FC12" s="377"/>
      <c r="FD12" s="377"/>
      <c r="FE12" s="377"/>
      <c r="FF12" s="377"/>
      <c r="FG12" s="377"/>
      <c r="FH12" s="377"/>
      <c r="FI12" s="377"/>
      <c r="FJ12" s="377"/>
      <c r="FK12" s="377"/>
      <c r="FL12" s="377"/>
      <c r="FM12" s="377"/>
      <c r="FN12" s="377"/>
      <c r="FO12" s="377"/>
      <c r="FP12" s="377"/>
      <c r="FQ12" s="377"/>
      <c r="FR12" s="377"/>
      <c r="FS12" s="377"/>
      <c r="FT12" s="377"/>
      <c r="FU12" s="377"/>
      <c r="FV12" s="377"/>
      <c r="FW12" s="377"/>
      <c r="FX12" s="377"/>
      <c r="FY12" s="377"/>
      <c r="FZ12" s="377"/>
      <c r="GA12" s="377"/>
      <c r="GB12" s="377"/>
      <c r="GC12" s="377"/>
      <c r="GD12" s="377"/>
      <c r="GE12" s="377"/>
      <c r="GF12" s="377"/>
      <c r="GG12" s="377"/>
      <c r="GH12" s="377"/>
      <c r="GI12" s="377"/>
      <c r="GJ12" s="377"/>
      <c r="GK12" s="377"/>
      <c r="GL12" s="377"/>
      <c r="GM12" s="377"/>
      <c r="GN12" s="377"/>
      <c r="GO12" s="377"/>
      <c r="GP12" s="377"/>
      <c r="GQ12" s="377"/>
      <c r="GR12" s="377"/>
      <c r="GS12" s="377"/>
      <c r="GT12" s="377"/>
      <c r="GU12" s="377"/>
      <c r="GV12" s="377"/>
      <c r="GW12" s="377"/>
      <c r="GX12" s="377"/>
      <c r="GY12" s="377"/>
      <c r="GZ12" s="377"/>
      <c r="HA12" s="377"/>
      <c r="HB12" s="377"/>
      <c r="HC12" s="377"/>
      <c r="HD12" s="377"/>
      <c r="HE12" s="377"/>
      <c r="HF12" s="377"/>
      <c r="HG12" s="377"/>
      <c r="HH12" s="377"/>
      <c r="HI12" s="377"/>
      <c r="HJ12" s="377"/>
      <c r="HK12" s="377"/>
      <c r="HL12" s="377"/>
      <c r="HM12" s="377"/>
      <c r="HN12" s="377"/>
      <c r="HO12" s="377"/>
      <c r="HP12" s="377"/>
      <c r="HQ12" s="377"/>
      <c r="HR12" s="377"/>
      <c r="HS12" s="377"/>
      <c r="HT12" s="377"/>
      <c r="HU12" s="377"/>
      <c r="HV12" s="377"/>
      <c r="HW12" s="377"/>
      <c r="HX12" s="377"/>
      <c r="HY12" s="377"/>
      <c r="HZ12" s="377"/>
      <c r="IA12" s="377"/>
      <c r="IB12" s="377"/>
      <c r="IC12" s="377"/>
      <c r="ID12" s="377"/>
      <c r="IE12" s="377"/>
      <c r="IF12" s="377"/>
      <c r="IG12" s="377"/>
      <c r="IH12" s="377"/>
      <c r="II12" s="377"/>
      <c r="IJ12" s="377"/>
      <c r="IK12" s="377"/>
      <c r="IL12" s="377"/>
      <c r="IM12" s="377"/>
      <c r="IN12" s="377"/>
      <c r="IO12" s="377"/>
      <c r="IP12" s="377"/>
      <c r="IQ12" s="377"/>
      <c r="IR12" s="377"/>
      <c r="IS12" s="377"/>
      <c r="IT12" s="377"/>
      <c r="IU12" s="377"/>
      <c r="IV12" s="377"/>
      <c r="IW12" s="377"/>
      <c r="IX12" s="377"/>
      <c r="IY12" s="377"/>
      <c r="IZ12" s="377"/>
      <c r="JA12" s="377"/>
      <c r="JB12" s="377"/>
      <c r="JC12" s="377"/>
      <c r="JD12" s="377"/>
      <c r="JE12" s="377"/>
      <c r="JF12" s="377"/>
      <c r="JG12" s="377"/>
      <c r="JH12" s="377"/>
      <c r="JI12" s="377"/>
      <c r="JJ12" s="377"/>
      <c r="JK12" s="377"/>
      <c r="JL12" s="377"/>
      <c r="JM12" s="377"/>
    </row>
    <row r="13" spans="1:273" s="160" customFormat="1" ht="12" customHeight="1">
      <c r="A13" s="133"/>
      <c r="B13" s="133"/>
      <c r="C13" s="265" t="s">
        <v>48</v>
      </c>
      <c r="D13" s="385"/>
      <c r="E13" s="385"/>
      <c r="F13" s="385"/>
      <c r="G13" s="385"/>
      <c r="H13" s="385"/>
      <c r="I13" s="386"/>
      <c r="J13" s="386"/>
      <c r="K13" s="386"/>
      <c r="L13" s="386"/>
      <c r="M13" s="387"/>
      <c r="N13" s="386"/>
      <c r="O13" s="386"/>
      <c r="P13" s="386"/>
      <c r="Q13" s="386"/>
      <c r="R13" s="387"/>
      <c r="S13" s="386"/>
      <c r="T13" s="386"/>
      <c r="U13" s="386"/>
      <c r="V13" s="386"/>
      <c r="W13" s="387"/>
      <c r="X13" s="386"/>
      <c r="Y13" s="386"/>
      <c r="Z13" s="386"/>
      <c r="AA13" s="386"/>
      <c r="AB13" s="387"/>
      <c r="AC13" s="386"/>
      <c r="AD13" s="386"/>
      <c r="AE13" s="386"/>
      <c r="AF13" s="386"/>
      <c r="AG13" s="387"/>
      <c r="AH13" s="386"/>
      <c r="AI13" s="386"/>
      <c r="AJ13" s="386"/>
      <c r="AK13" s="386"/>
      <c r="AL13" s="387"/>
      <c r="AM13" s="386"/>
      <c r="AN13" s="386"/>
      <c r="AO13" s="386"/>
      <c r="AP13" s="386"/>
      <c r="AQ13" s="387"/>
      <c r="AR13" s="386"/>
      <c r="AS13" s="386"/>
      <c r="AT13" s="386"/>
      <c r="AU13" s="386"/>
      <c r="AV13" s="387"/>
      <c r="AW13" s="386"/>
      <c r="AX13" s="386"/>
      <c r="AY13" s="386"/>
      <c r="AZ13" s="386"/>
      <c r="BA13" s="387"/>
      <c r="BB13" s="386"/>
      <c r="BC13" s="386"/>
      <c r="BD13" s="386"/>
      <c r="BE13" s="386"/>
      <c r="BF13" s="385"/>
      <c r="BG13" s="93"/>
      <c r="BH13" s="93"/>
      <c r="BI13" s="93"/>
      <c r="BJ13" s="386"/>
      <c r="BK13" s="385"/>
      <c r="BL13" s="386"/>
      <c r="BM13" s="386"/>
      <c r="BN13" s="386"/>
      <c r="BO13" s="386"/>
      <c r="BP13" s="387"/>
      <c r="BQ13" s="334"/>
      <c r="BR13" s="239">
        <v>2.9540000000000002</v>
      </c>
      <c r="BS13" s="239">
        <v>4.7039999999999997</v>
      </c>
      <c r="BT13" s="239">
        <v>6.2030000000000003</v>
      </c>
      <c r="BU13" s="257">
        <f t="shared" si="0"/>
        <v>6.2030000000000003</v>
      </c>
      <c r="BV13" s="239">
        <v>7.149</v>
      </c>
      <c r="BW13" s="239">
        <v>7.1349999999999998</v>
      </c>
      <c r="BX13" s="239">
        <v>10.305</v>
      </c>
      <c r="BY13" s="239">
        <v>8.9890000000000008</v>
      </c>
      <c r="BZ13" s="257">
        <f t="shared" si="1"/>
        <v>8.9890000000000008</v>
      </c>
      <c r="CA13" s="239">
        <v>12.113</v>
      </c>
      <c r="CB13" s="239">
        <v>16.382000000000001</v>
      </c>
      <c r="CC13" s="239">
        <v>20.302</v>
      </c>
      <c r="CD13" s="239">
        <v>18.597999999999999</v>
      </c>
      <c r="CE13" s="257">
        <f t="shared" si="2"/>
        <v>18.597999999999999</v>
      </c>
      <c r="CF13" s="239">
        <v>17.550999999999998</v>
      </c>
      <c r="CG13" s="239">
        <v>20.041</v>
      </c>
      <c r="CH13" s="239">
        <v>23.443999999999999</v>
      </c>
      <c r="CI13" s="239">
        <v>26.192</v>
      </c>
      <c r="CJ13" s="257">
        <f t="shared" si="3"/>
        <v>26.192</v>
      </c>
      <c r="CK13" s="239">
        <v>29.701000000000001</v>
      </c>
      <c r="CL13" s="239">
        <v>36.438000000000002</v>
      </c>
      <c r="CM13" s="239">
        <v>31.184000000000001</v>
      </c>
      <c r="CN13" s="239">
        <v>46.332999999999998</v>
      </c>
      <c r="CO13" s="257">
        <f t="shared" si="4"/>
        <v>46.332999999999998</v>
      </c>
      <c r="CP13" s="239">
        <v>58.911999999999999</v>
      </c>
      <c r="CQ13" s="239">
        <v>66.162000000000006</v>
      </c>
      <c r="CR13" s="239">
        <v>63.076000000000001</v>
      </c>
      <c r="CS13" s="239">
        <v>68.247</v>
      </c>
      <c r="CT13" s="257">
        <f t="shared" si="5"/>
        <v>68.247</v>
      </c>
      <c r="CU13" s="239">
        <v>77.853999999999999</v>
      </c>
      <c r="CV13" s="239">
        <v>79.081999999999994</v>
      </c>
      <c r="CW13" s="239">
        <v>80.891999999999996</v>
      </c>
      <c r="CX13" s="239">
        <v>103.273</v>
      </c>
      <c r="CY13" s="257">
        <f t="shared" si="6"/>
        <v>103.273</v>
      </c>
      <c r="CZ13" s="239">
        <v>113.063</v>
      </c>
      <c r="DA13" s="239">
        <v>113.247</v>
      </c>
      <c r="DB13" s="239">
        <v>152.322</v>
      </c>
      <c r="DC13" s="239">
        <v>139.65899999999999</v>
      </c>
      <c r="DD13" s="257">
        <f t="shared" si="7"/>
        <v>139.65899999999999</v>
      </c>
      <c r="DE13" s="239">
        <v>0</v>
      </c>
      <c r="DF13" s="239">
        <v>0</v>
      </c>
      <c r="DG13" s="239">
        <v>0</v>
      </c>
      <c r="DH13" s="239">
        <v>169</v>
      </c>
      <c r="DI13" s="257">
        <f t="shared" si="8"/>
        <v>169</v>
      </c>
      <c r="DJ13" s="239">
        <v>183</v>
      </c>
      <c r="DK13" s="239">
        <v>188</v>
      </c>
      <c r="DL13" s="239">
        <v>211</v>
      </c>
      <c r="DM13" s="239">
        <v>209</v>
      </c>
      <c r="DN13" s="257">
        <f t="shared" si="9"/>
        <v>209</v>
      </c>
      <c r="DO13" s="239">
        <v>242</v>
      </c>
      <c r="DP13" s="239">
        <v>234</v>
      </c>
      <c r="DQ13" s="239">
        <v>227</v>
      </c>
      <c r="DR13" s="239">
        <v>234</v>
      </c>
      <c r="DS13" s="257">
        <f t="shared" si="10"/>
        <v>234</v>
      </c>
      <c r="DT13" s="239">
        <v>206</v>
      </c>
      <c r="DU13" s="239">
        <v>219</v>
      </c>
      <c r="DV13" s="281">
        <f t="shared" ref="DV13:DW13" si="16">+DT13</f>
        <v>206</v>
      </c>
      <c r="DW13" s="281">
        <f t="shared" si="16"/>
        <v>219</v>
      </c>
      <c r="DX13" s="257">
        <f t="shared" si="11"/>
        <v>219</v>
      </c>
      <c r="DY13" s="281">
        <f>+DW13</f>
        <v>219</v>
      </c>
      <c r="DZ13" s="281">
        <f t="shared" ref="DZ13:EB13" si="17">+DX13</f>
        <v>219</v>
      </c>
      <c r="EA13" s="281">
        <f t="shared" si="17"/>
        <v>219</v>
      </c>
      <c r="EB13" s="281">
        <f t="shared" si="17"/>
        <v>219</v>
      </c>
      <c r="EC13" s="257">
        <f t="shared" si="12"/>
        <v>219</v>
      </c>
      <c r="ED13" s="281">
        <f>+EB13</f>
        <v>219</v>
      </c>
      <c r="EE13" s="281">
        <f t="shared" ref="EE13" si="18">+EC13</f>
        <v>219</v>
      </c>
      <c r="EF13" s="281">
        <f t="shared" ref="EF13" si="19">+ED13</f>
        <v>219</v>
      </c>
      <c r="EG13" s="281">
        <f t="shared" ref="EG13" si="20">+EE13</f>
        <v>219</v>
      </c>
      <c r="EH13" s="257">
        <f t="shared" si="13"/>
        <v>219</v>
      </c>
      <c r="EI13" s="281">
        <f>+EG13</f>
        <v>219</v>
      </c>
      <c r="EJ13" s="281">
        <f t="shared" ref="EJ13" si="21">+EH13</f>
        <v>219</v>
      </c>
      <c r="EK13" s="281">
        <f t="shared" ref="EK13" si="22">+EI13</f>
        <v>219</v>
      </c>
      <c r="EL13" s="281">
        <f t="shared" ref="EL13" si="23">+EJ13</f>
        <v>219</v>
      </c>
      <c r="EM13" s="257">
        <f t="shared" si="14"/>
        <v>219</v>
      </c>
      <c r="EN13" s="281">
        <f>+EL13</f>
        <v>219</v>
      </c>
      <c r="EO13" s="281">
        <f t="shared" ref="EO13" si="24">+EM13</f>
        <v>219</v>
      </c>
      <c r="EP13" s="281">
        <f t="shared" ref="EP13" si="25">+EN13</f>
        <v>219</v>
      </c>
      <c r="EQ13" s="281">
        <f t="shared" ref="EQ13" si="26">+EO13</f>
        <v>219</v>
      </c>
      <c r="ER13" s="257">
        <f t="shared" si="15"/>
        <v>219</v>
      </c>
      <c r="ES13" s="377"/>
      <c r="ET13" s="377"/>
      <c r="EU13" s="377"/>
      <c r="EV13" s="377"/>
      <c r="EW13"/>
      <c r="EX13"/>
      <c r="EY13"/>
      <c r="EZ13"/>
      <c r="FA13"/>
      <c r="FB13" s="377"/>
      <c r="FC13" s="377"/>
      <c r="FD13" s="377"/>
      <c r="FE13" s="377"/>
      <c r="FF13" s="377"/>
      <c r="FG13" s="377"/>
      <c r="FH13" s="377"/>
      <c r="FI13" s="377"/>
      <c r="FJ13" s="377"/>
      <c r="FK13" s="377"/>
      <c r="FL13" s="377"/>
      <c r="FM13" s="377"/>
      <c r="FN13" s="377"/>
      <c r="FO13" s="377"/>
      <c r="FP13" s="377"/>
      <c r="FQ13" s="377"/>
      <c r="FR13" s="377"/>
      <c r="FS13" s="377"/>
      <c r="FT13" s="377"/>
      <c r="FU13" s="377"/>
      <c r="FV13" s="377"/>
      <c r="FW13" s="377"/>
      <c r="FX13" s="377"/>
      <c r="FY13" s="377"/>
      <c r="FZ13" s="377"/>
      <c r="GA13" s="377"/>
      <c r="GB13" s="377"/>
      <c r="GC13" s="377"/>
      <c r="GD13" s="377"/>
      <c r="GE13" s="377"/>
      <c r="GF13" s="377"/>
      <c r="GG13" s="377"/>
      <c r="GH13" s="377"/>
      <c r="GI13" s="377"/>
      <c r="GJ13" s="377"/>
      <c r="GK13" s="377"/>
      <c r="GL13" s="377"/>
      <c r="GM13" s="377"/>
      <c r="GN13" s="377"/>
      <c r="GO13" s="377"/>
      <c r="GP13" s="377"/>
      <c r="GQ13" s="377"/>
      <c r="GR13" s="377"/>
      <c r="GS13" s="377"/>
      <c r="GT13" s="377"/>
      <c r="GU13" s="377"/>
      <c r="GV13" s="377"/>
      <c r="GW13" s="377"/>
      <c r="GX13" s="377"/>
      <c r="GY13" s="377"/>
      <c r="GZ13" s="377"/>
      <c r="HA13" s="377"/>
      <c r="HB13" s="377"/>
      <c r="HC13" s="377"/>
      <c r="HD13" s="377"/>
      <c r="HE13" s="377"/>
      <c r="HF13" s="377"/>
      <c r="HG13" s="377"/>
      <c r="HH13" s="377"/>
      <c r="HI13" s="377"/>
      <c r="HJ13" s="377"/>
      <c r="HK13" s="377"/>
      <c r="HL13" s="377"/>
      <c r="HM13" s="377"/>
      <c r="HN13" s="377"/>
      <c r="HO13" s="377"/>
      <c r="HP13" s="377"/>
      <c r="HQ13" s="377"/>
      <c r="HR13" s="377"/>
      <c r="HS13" s="377"/>
      <c r="HT13" s="377"/>
      <c r="HU13" s="377"/>
      <c r="HV13" s="377"/>
      <c r="HW13" s="377"/>
      <c r="HX13" s="377"/>
      <c r="HY13" s="377"/>
      <c r="HZ13" s="377"/>
      <c r="IA13" s="377"/>
      <c r="IB13" s="377"/>
      <c r="IC13" s="377"/>
      <c r="ID13" s="377"/>
      <c r="IE13" s="377"/>
      <c r="IF13" s="377"/>
      <c r="IG13" s="377"/>
      <c r="IH13" s="377"/>
      <c r="II13" s="377"/>
      <c r="IJ13" s="377"/>
      <c r="IK13" s="377"/>
      <c r="IL13" s="377"/>
      <c r="IM13" s="377"/>
      <c r="IN13" s="377"/>
      <c r="IO13" s="377"/>
      <c r="IP13" s="377"/>
      <c r="IQ13" s="377"/>
      <c r="IR13" s="377"/>
      <c r="IS13" s="377"/>
      <c r="IT13" s="377"/>
      <c r="IU13" s="377"/>
      <c r="IV13" s="377"/>
      <c r="IW13" s="377"/>
      <c r="IX13" s="377"/>
      <c r="IY13" s="377"/>
      <c r="IZ13" s="377"/>
      <c r="JA13" s="377"/>
      <c r="JB13" s="377"/>
      <c r="JC13" s="377"/>
      <c r="JD13" s="377"/>
      <c r="JE13" s="377"/>
      <c r="JF13" s="377"/>
      <c r="JG13" s="377"/>
      <c r="JH13" s="377"/>
      <c r="JI13" s="377"/>
      <c r="JJ13" s="377"/>
      <c r="JK13" s="377"/>
      <c r="JL13" s="377"/>
      <c r="JM13" s="377"/>
    </row>
    <row r="14" spans="1:273" s="231" customFormat="1" ht="12" customHeight="1">
      <c r="A14" s="133"/>
      <c r="B14" s="133"/>
      <c r="C14" s="388" t="s">
        <v>6</v>
      </c>
      <c r="D14" s="389"/>
      <c r="E14" s="389"/>
      <c r="F14" s="389"/>
      <c r="G14" s="389"/>
      <c r="H14" s="389"/>
      <c r="M14" s="389"/>
      <c r="R14" s="389"/>
      <c r="W14" s="389"/>
      <c r="AB14" s="389"/>
      <c r="AG14" s="389"/>
      <c r="AL14" s="389"/>
      <c r="AQ14" s="389"/>
      <c r="AV14" s="389"/>
      <c r="BA14" s="389"/>
      <c r="BF14" s="389"/>
      <c r="BG14" s="93"/>
      <c r="BH14" s="93"/>
      <c r="BI14" s="93"/>
      <c r="BK14" s="389"/>
      <c r="BP14" s="389"/>
      <c r="BQ14" s="160"/>
      <c r="BR14" s="284">
        <f>SUM(BR8:BR13)</f>
        <v>205.07600000000002</v>
      </c>
      <c r="BS14" s="284">
        <f>SUM(BS8:BS13)</f>
        <v>195.476</v>
      </c>
      <c r="BT14" s="284">
        <f>SUM(BT8:BT13)</f>
        <v>202.465</v>
      </c>
      <c r="BU14" s="711">
        <f t="shared" si="0"/>
        <v>202.465</v>
      </c>
      <c r="BV14" s="284">
        <f>SUM(BV8:BV13)</f>
        <v>203.161</v>
      </c>
      <c r="BW14" s="284">
        <f>SUM(BW8:BW13)</f>
        <v>195.87300000000002</v>
      </c>
      <c r="BX14" s="284">
        <f>SUM(BX8:BX13)</f>
        <v>427.37500000000006</v>
      </c>
      <c r="BY14" s="284">
        <f>SUM(BY8:BY13)</f>
        <v>422.89800000000002</v>
      </c>
      <c r="BZ14" s="711">
        <f t="shared" si="1"/>
        <v>422.89800000000002</v>
      </c>
      <c r="CA14" s="284">
        <f>SUM(CA8:CA13)</f>
        <v>434.30100000000004</v>
      </c>
      <c r="CB14" s="284">
        <f>SUM(CB8:CB13)</f>
        <v>994.23699999999997</v>
      </c>
      <c r="CC14" s="284">
        <f>SUM(CC8:CC13)</f>
        <v>1014.9259999999999</v>
      </c>
      <c r="CD14" s="284">
        <f>SUM(CD8:CD13)</f>
        <v>1025.6769999999999</v>
      </c>
      <c r="CE14" s="711">
        <f t="shared" si="2"/>
        <v>1025.6769999999999</v>
      </c>
      <c r="CF14" s="284">
        <f>SUM(CF8:CF13)</f>
        <v>1689.4770000000001</v>
      </c>
      <c r="CG14" s="284">
        <f>SUM(CG8:CG13)</f>
        <v>1706.6999999999998</v>
      </c>
      <c r="CH14" s="284">
        <f>SUM(CH8:CH13)</f>
        <v>1736.9860000000001</v>
      </c>
      <c r="CI14" s="284">
        <f>SUM(CI8:CI13)</f>
        <v>2129.0819999999999</v>
      </c>
      <c r="CJ14" s="711">
        <f t="shared" si="3"/>
        <v>2129.0819999999999</v>
      </c>
      <c r="CK14" s="284">
        <f>SUM(CK8:CK13)</f>
        <v>2173.962</v>
      </c>
      <c r="CL14" s="284">
        <f>SUM(CL8:CL13)</f>
        <v>2211.165</v>
      </c>
      <c r="CM14" s="284">
        <f>SUM(CM8:CM13)</f>
        <v>2910.8319999999999</v>
      </c>
      <c r="CN14" s="284">
        <f>SUM(CN8:CN13)</f>
        <v>2742.2280000000005</v>
      </c>
      <c r="CO14" s="711">
        <f t="shared" si="4"/>
        <v>2742.2280000000005</v>
      </c>
      <c r="CP14" s="284">
        <f>SUM(CP8:CP13)</f>
        <v>2727.8879999999999</v>
      </c>
      <c r="CQ14" s="284">
        <f>SUM(CQ8:CQ13)</f>
        <v>4389.1939999999995</v>
      </c>
      <c r="CR14" s="284">
        <f>SUM(CR8:CR13)</f>
        <v>6613.2169999999996</v>
      </c>
      <c r="CS14" s="284">
        <f>SUM(CS8:CS13)</f>
        <v>6877.7560000000012</v>
      </c>
      <c r="CT14" s="711">
        <f t="shared" si="5"/>
        <v>6877.7560000000012</v>
      </c>
      <c r="CU14" s="284">
        <f>SUM(CU8:CU13)</f>
        <v>8483.1059999999998</v>
      </c>
      <c r="CV14" s="284">
        <f>SUM(CV8:CV13)</f>
        <v>8460.1659999999993</v>
      </c>
      <c r="CW14" s="284">
        <f>SUM(CW8:CW13)</f>
        <v>8332.7510000000002</v>
      </c>
      <c r="CX14" s="284">
        <f>SUM(CX8:CX13)</f>
        <v>8539.3199999999979</v>
      </c>
      <c r="CY14" s="711">
        <f t="shared" si="6"/>
        <v>8539.3199999999979</v>
      </c>
      <c r="CZ14" s="284">
        <f>SUM(CZ8:CZ13)</f>
        <v>8074.8760000000011</v>
      </c>
      <c r="DA14" s="284">
        <f>SUM(DA8:DA13)</f>
        <v>7857.764000000001</v>
      </c>
      <c r="DB14" s="284">
        <f>SUM(DB8:DB13)</f>
        <v>6012.9860000000008</v>
      </c>
      <c r="DC14" s="284">
        <f>SUM(DC8:DC13)</f>
        <v>6050.4730000000018</v>
      </c>
      <c r="DD14" s="711">
        <f t="shared" si="7"/>
        <v>6050.4730000000018</v>
      </c>
      <c r="DE14" s="284">
        <f>SUM(DE8:DE13)</f>
        <v>5927.3280000000013</v>
      </c>
      <c r="DF14" s="284">
        <f>SUM(DF8:DF13)</f>
        <v>5909.3280000000013</v>
      </c>
      <c r="DG14" s="284">
        <f>SUM(DG8:DG13)</f>
        <v>6161.0000000000018</v>
      </c>
      <c r="DH14" s="284">
        <f>SUM(DH8:DH13)</f>
        <v>6275.0000000000018</v>
      </c>
      <c r="DI14" s="711">
        <f t="shared" si="8"/>
        <v>6275.0000000000018</v>
      </c>
      <c r="DJ14" s="284">
        <f>SUM(DJ8:DJ13)</f>
        <v>6440.0000000000018</v>
      </c>
      <c r="DK14" s="284">
        <f>SUM(DK8:DK13)</f>
        <v>6402.0000000000018</v>
      </c>
      <c r="DL14" s="284">
        <f>SUM(DL8:DL13)</f>
        <v>6541.0000000000018</v>
      </c>
      <c r="DM14" s="284">
        <f>SUM(DM8:DM13)</f>
        <v>7254.0000000000018</v>
      </c>
      <c r="DN14" s="711">
        <f t="shared" si="9"/>
        <v>7254.0000000000018</v>
      </c>
      <c r="DO14" s="284">
        <f>SUM(DO8:DO13)</f>
        <v>7445.0000000000018</v>
      </c>
      <c r="DP14" s="284">
        <f>SUM(DP8:DP13)</f>
        <v>8001.0000000000018</v>
      </c>
      <c r="DQ14" s="284">
        <f>SUM(DQ8:DQ13)</f>
        <v>8705.0000000000018</v>
      </c>
      <c r="DR14" s="284">
        <f>SUM(DR8:DR13)</f>
        <v>8295.6720000000023</v>
      </c>
      <c r="DS14" s="711">
        <f t="shared" si="10"/>
        <v>8295.6720000000023</v>
      </c>
      <c r="DT14" s="284">
        <f>SUM(DT8:DT13)</f>
        <v>8494.6720000000023</v>
      </c>
      <c r="DU14" s="284">
        <f>SUM(DU8:DU13)</f>
        <v>7815.6720000000023</v>
      </c>
      <c r="DV14" s="284">
        <f>SUM(DV8:DV13)</f>
        <v>8698.5578463083475</v>
      </c>
      <c r="DW14" s="284">
        <f>SUM(DW8:DW13)</f>
        <v>9770.6228432468197</v>
      </c>
      <c r="DX14" s="711">
        <f t="shared" si="11"/>
        <v>9770.6228432468197</v>
      </c>
      <c r="DY14" s="284">
        <f>SUM(DY8:DY13)</f>
        <v>10468.452742810698</v>
      </c>
      <c r="DZ14" s="284">
        <f>SUM(DZ8:DZ13)</f>
        <v>11381.811832504587</v>
      </c>
      <c r="EA14" s="284">
        <f>SUM(EA8:EA13)</f>
        <v>12346.297292085834</v>
      </c>
      <c r="EB14" s="284">
        <f>SUM(EB8:EB13)</f>
        <v>13828.12509053324</v>
      </c>
      <c r="EC14" s="711">
        <f t="shared" si="12"/>
        <v>13828.12509053324</v>
      </c>
      <c r="ED14" s="284">
        <f>SUM(ED8:ED13)</f>
        <v>14652.499310528818</v>
      </c>
      <c r="EE14" s="284">
        <f>SUM(EE8:EE13)</f>
        <v>15784.317489572026</v>
      </c>
      <c r="EF14" s="284">
        <f>SUM(EF8:EF13)</f>
        <v>16912.203129048692</v>
      </c>
      <c r="EG14" s="284">
        <f>SUM(EG8:EG13)</f>
        <v>18670.119194675721</v>
      </c>
      <c r="EH14" s="711">
        <f t="shared" si="13"/>
        <v>18670.119194675721</v>
      </c>
      <c r="EI14" s="284">
        <f>SUM(EI8:EI13)</f>
        <v>19459.157288205828</v>
      </c>
      <c r="EJ14" s="284">
        <f>SUM(EJ8:EJ13)</f>
        <v>20837.337620483591</v>
      </c>
      <c r="EK14" s="284">
        <f>SUM(EK8:EK13)</f>
        <v>22204.398470809938</v>
      </c>
      <c r="EL14" s="284">
        <f>SUM(EL8:EL13)</f>
        <v>24344.515506191608</v>
      </c>
      <c r="EM14" s="711">
        <f t="shared" si="14"/>
        <v>24344.515506191608</v>
      </c>
      <c r="EN14" s="284">
        <f>SUM(EN8:EN13)</f>
        <v>25175.093792332387</v>
      </c>
      <c r="EO14" s="284">
        <f>SUM(EO8:EO13)</f>
        <v>26830.316440638049</v>
      </c>
      <c r="EP14" s="284">
        <f>SUM(EP8:EP13)</f>
        <v>28472.805744687048</v>
      </c>
      <c r="EQ14" s="284">
        <f>SUM(EQ8:EQ13)</f>
        <v>31032.263419727875</v>
      </c>
      <c r="ER14" s="711">
        <f t="shared" si="15"/>
        <v>31032.263419727875</v>
      </c>
      <c r="ES14" s="377"/>
      <c r="ET14" s="377"/>
      <c r="EU14" s="377"/>
      <c r="EV14" s="377"/>
      <c r="EW14"/>
      <c r="EX14"/>
      <c r="EY14"/>
      <c r="EZ14"/>
      <c r="FA14"/>
      <c r="FB14" s="377"/>
      <c r="FC14" s="377"/>
      <c r="FD14" s="377"/>
      <c r="FE14" s="377"/>
      <c r="FF14" s="377"/>
      <c r="FG14" s="377"/>
      <c r="FH14" s="377"/>
      <c r="FI14" s="377"/>
      <c r="FJ14" s="377"/>
      <c r="FK14" s="377"/>
      <c r="FL14" s="377"/>
      <c r="FM14" s="377"/>
      <c r="FN14" s="377"/>
      <c r="FO14" s="377"/>
      <c r="FP14" s="377"/>
      <c r="FQ14" s="377"/>
      <c r="FR14" s="377"/>
      <c r="FS14" s="377"/>
      <c r="FT14" s="377"/>
      <c r="FU14" s="377"/>
      <c r="FV14" s="377"/>
      <c r="FW14" s="377"/>
      <c r="FX14" s="377"/>
      <c r="FY14" s="377"/>
      <c r="FZ14" s="377"/>
      <c r="GA14" s="377"/>
      <c r="GB14" s="377"/>
      <c r="GC14" s="377"/>
      <c r="GD14" s="377"/>
      <c r="GE14" s="377"/>
      <c r="GF14" s="377"/>
      <c r="GG14" s="377"/>
      <c r="GH14" s="377"/>
      <c r="GI14" s="377"/>
      <c r="GJ14" s="377"/>
      <c r="GK14" s="377"/>
      <c r="GL14" s="377"/>
      <c r="GM14" s="377"/>
      <c r="GN14" s="377"/>
      <c r="GO14" s="377"/>
      <c r="GP14" s="377"/>
      <c r="GQ14" s="377"/>
      <c r="GR14" s="377"/>
      <c r="GS14" s="377"/>
      <c r="GT14" s="377"/>
      <c r="GU14" s="377"/>
      <c r="GV14" s="377"/>
      <c r="GW14" s="377"/>
      <c r="GX14" s="377"/>
      <c r="GY14" s="377"/>
      <c r="GZ14" s="377"/>
      <c r="HA14" s="377"/>
      <c r="HB14" s="377"/>
      <c r="HC14" s="377"/>
      <c r="HD14" s="377"/>
      <c r="HE14" s="377"/>
      <c r="HF14" s="377"/>
      <c r="HG14" s="377"/>
      <c r="HH14" s="377"/>
      <c r="HI14" s="377"/>
      <c r="HJ14" s="377"/>
      <c r="HK14" s="377"/>
      <c r="HL14" s="377"/>
      <c r="HM14" s="377"/>
      <c r="HN14" s="377"/>
      <c r="HO14" s="377"/>
      <c r="HP14" s="377"/>
      <c r="HQ14" s="377"/>
      <c r="HR14" s="377"/>
      <c r="HS14" s="377"/>
      <c r="HT14" s="377"/>
      <c r="HU14" s="377"/>
      <c r="HV14" s="377"/>
      <c r="HW14" s="377"/>
      <c r="HX14" s="377"/>
      <c r="HY14" s="377"/>
      <c r="HZ14" s="377"/>
      <c r="IA14" s="377"/>
      <c r="IB14" s="377"/>
      <c r="IC14" s="377"/>
      <c r="ID14" s="377"/>
      <c r="IE14" s="377"/>
      <c r="IF14" s="377"/>
      <c r="IG14" s="377"/>
      <c r="IH14" s="377"/>
      <c r="II14" s="377"/>
      <c r="IJ14" s="377"/>
      <c r="IK14" s="377"/>
      <c r="IL14" s="377"/>
      <c r="IM14" s="377"/>
      <c r="IN14" s="377"/>
      <c r="IO14" s="377"/>
      <c r="IP14" s="377"/>
      <c r="IQ14" s="377"/>
      <c r="IR14" s="377"/>
      <c r="IS14" s="377"/>
      <c r="IT14" s="377"/>
      <c r="IU14" s="377"/>
      <c r="IV14" s="377"/>
      <c r="IW14" s="377"/>
      <c r="IX14" s="377"/>
      <c r="IY14" s="377"/>
      <c r="IZ14" s="377"/>
      <c r="JA14" s="377"/>
      <c r="JB14" s="377"/>
      <c r="JC14" s="377"/>
      <c r="JD14" s="377"/>
      <c r="JE14" s="377"/>
      <c r="JF14" s="377"/>
      <c r="JG14" s="377"/>
      <c r="JH14" s="377"/>
      <c r="JI14" s="377"/>
      <c r="JJ14" s="377"/>
      <c r="JK14" s="377"/>
      <c r="JL14" s="377"/>
      <c r="JM14" s="377"/>
    </row>
    <row r="15" spans="1:273" s="160" customFormat="1" ht="12" customHeight="1">
      <c r="A15" s="133"/>
      <c r="B15" s="133"/>
      <c r="C15" s="265" t="s">
        <v>49</v>
      </c>
      <c r="D15" s="380"/>
      <c r="E15" s="380"/>
      <c r="F15" s="380"/>
      <c r="G15" s="380"/>
      <c r="H15" s="380"/>
      <c r="M15" s="380"/>
      <c r="R15" s="380"/>
      <c r="W15" s="380"/>
      <c r="AB15" s="380"/>
      <c r="AG15" s="380"/>
      <c r="AL15" s="380"/>
      <c r="AQ15" s="380"/>
      <c r="AV15" s="380"/>
      <c r="BA15" s="380"/>
      <c r="BF15" s="380"/>
      <c r="BG15" s="93"/>
      <c r="BH15" s="93"/>
      <c r="BI15" s="93"/>
      <c r="BK15" s="380"/>
      <c r="BP15" s="380"/>
      <c r="BQ15" s="390"/>
      <c r="BR15" s="393">
        <v>25.6</v>
      </c>
      <c r="BS15" s="393">
        <v>29.105</v>
      </c>
      <c r="BT15" s="393">
        <v>33.048000000000002</v>
      </c>
      <c r="BU15" s="286">
        <f t="shared" ref="BU15:BU24" si="27">BT15</f>
        <v>33.048000000000002</v>
      </c>
      <c r="BV15" s="391">
        <v>34.558</v>
      </c>
      <c r="BW15" s="393">
        <v>39.145000000000003</v>
      </c>
      <c r="BX15" s="393">
        <v>24.798999999999999</v>
      </c>
      <c r="BY15" s="393">
        <v>45.719000000000001</v>
      </c>
      <c r="BZ15" s="286">
        <f t="shared" ref="BZ15:BZ25" si="28">BY15</f>
        <v>45.719000000000001</v>
      </c>
      <c r="CA15" s="391">
        <v>44.811</v>
      </c>
      <c r="CB15" s="393">
        <v>44.234999999999999</v>
      </c>
      <c r="CC15" s="393">
        <v>48.604999999999997</v>
      </c>
      <c r="CD15" s="393">
        <v>50.36</v>
      </c>
      <c r="CE15" s="286">
        <f t="shared" ref="CE15:CE25" si="29">CD15</f>
        <v>50.36</v>
      </c>
      <c r="CF15" s="391">
        <v>51.654000000000003</v>
      </c>
      <c r="CG15" s="393">
        <v>54.807000000000002</v>
      </c>
      <c r="CH15" s="393">
        <v>55.753999999999998</v>
      </c>
      <c r="CI15" s="393">
        <v>61.612000000000002</v>
      </c>
      <c r="CJ15" s="286">
        <f t="shared" ref="CJ15:CJ25" si="30">CI15</f>
        <v>61.612000000000002</v>
      </c>
      <c r="CK15" s="391">
        <v>70.832999999999998</v>
      </c>
      <c r="CL15" s="393">
        <v>84.159000000000006</v>
      </c>
      <c r="CM15" s="393">
        <v>92.141000000000005</v>
      </c>
      <c r="CN15" s="393">
        <v>111.398</v>
      </c>
      <c r="CO15" s="286">
        <f t="shared" ref="CO15:CO25" si="31">CN15</f>
        <v>111.398</v>
      </c>
      <c r="CP15" s="391">
        <v>116.83199999999999</v>
      </c>
      <c r="CQ15" s="393">
        <v>95.506</v>
      </c>
      <c r="CR15" s="393">
        <v>94.697999999999993</v>
      </c>
      <c r="CS15" s="393">
        <v>92.103999999999999</v>
      </c>
      <c r="CT15" s="286">
        <f t="shared" ref="CT15:CT25" si="32">CS15</f>
        <v>92.103999999999999</v>
      </c>
      <c r="CU15" s="393">
        <v>87.152000000000001</v>
      </c>
      <c r="CV15" s="393">
        <v>86.671000000000006</v>
      </c>
      <c r="CW15" s="393">
        <v>91.787000000000006</v>
      </c>
      <c r="CX15" s="393">
        <v>105.526</v>
      </c>
      <c r="CY15" s="286">
        <f t="shared" ref="CY15:CY25" si="33">CX15</f>
        <v>105.526</v>
      </c>
      <c r="CZ15" s="393">
        <v>109.57</v>
      </c>
      <c r="DA15" s="393">
        <v>114.20699999999999</v>
      </c>
      <c r="DB15" s="393">
        <v>128.46100000000001</v>
      </c>
      <c r="DC15" s="393">
        <v>130.821</v>
      </c>
      <c r="DD15" s="288">
        <f t="shared" ref="DD15:DD25" si="34">DC15</f>
        <v>130.821</v>
      </c>
      <c r="DE15" s="393">
        <v>137</v>
      </c>
      <c r="DF15" s="393">
        <v>69</v>
      </c>
      <c r="DG15" s="393">
        <v>52</v>
      </c>
      <c r="DH15" s="393">
        <v>49</v>
      </c>
      <c r="DI15" s="288">
        <f t="shared" si="8"/>
        <v>49</v>
      </c>
      <c r="DJ15" s="393">
        <v>52</v>
      </c>
      <c r="DK15" s="393">
        <v>51</v>
      </c>
      <c r="DL15" s="393">
        <v>47</v>
      </c>
      <c r="DM15" s="393">
        <v>47</v>
      </c>
      <c r="DN15" s="288">
        <f t="shared" ref="DN15:DN25" si="35">DM15</f>
        <v>47</v>
      </c>
      <c r="DO15" s="393">
        <v>46</v>
      </c>
      <c r="DP15" s="393">
        <v>46</v>
      </c>
      <c r="DQ15" s="393">
        <v>51</v>
      </c>
      <c r="DR15" s="393">
        <v>53</v>
      </c>
      <c r="DS15" s="288">
        <f t="shared" si="10"/>
        <v>53</v>
      </c>
      <c r="DT15" s="393">
        <v>54</v>
      </c>
      <c r="DU15" s="393">
        <v>53</v>
      </c>
      <c r="DV15" s="392">
        <f>DU15-'Cash Flow'!DV28-'Cash Flow'!DV8</f>
        <v>55.2</v>
      </c>
      <c r="DW15" s="392">
        <f>DV15-'Cash Flow'!DW28-'Cash Flow'!DW8</f>
        <v>62.2</v>
      </c>
      <c r="DX15" s="288">
        <f t="shared" si="11"/>
        <v>62.2</v>
      </c>
      <c r="DY15" s="392">
        <f>DX15-'Cash Flow'!DY28-'Cash Flow'!DY8</f>
        <v>64.2</v>
      </c>
      <c r="DZ15" s="392">
        <f>DY15-'Cash Flow'!DZ28-'Cash Flow'!DZ8</f>
        <v>65</v>
      </c>
      <c r="EA15" s="392">
        <f>DZ15-'Cash Flow'!EA28-'Cash Flow'!EA8</f>
        <v>69.64</v>
      </c>
      <c r="EB15" s="392">
        <f>EA15-'Cash Flow'!EB28-'Cash Flow'!EB8</f>
        <v>80.039999999999992</v>
      </c>
      <c r="EC15" s="288">
        <f t="shared" si="12"/>
        <v>80.039999999999992</v>
      </c>
      <c r="ED15" s="392">
        <f>EC15-'Cash Flow'!ED28-'Cash Flow'!ED8</f>
        <v>83.24</v>
      </c>
      <c r="EE15" s="392">
        <f>ED15-'Cash Flow'!EE28-'Cash Flow'!EE8</f>
        <v>85</v>
      </c>
      <c r="EF15" s="392">
        <f>EE15-'Cash Flow'!EF28-'Cash Flow'!EF8</f>
        <v>91.367999999999995</v>
      </c>
      <c r="EG15" s="392">
        <f>EF15-'Cash Flow'!EG28-'Cash Flow'!EG8</f>
        <v>104.648</v>
      </c>
      <c r="EH15" s="288">
        <f t="shared" si="13"/>
        <v>104.648</v>
      </c>
      <c r="EI15" s="392">
        <f>EH15-'Cash Flow'!EI28-'Cash Flow'!EI8</f>
        <v>109.288</v>
      </c>
      <c r="EJ15" s="392">
        <f>EI15-'Cash Flow'!EJ28-'Cash Flow'!EJ8</f>
        <v>112.2</v>
      </c>
      <c r="EK15" s="392">
        <f>EJ15-'Cash Flow'!EK28-'Cash Flow'!EK8</f>
        <v>120.6416</v>
      </c>
      <c r="EL15" s="392">
        <f>EK15-'Cash Flow'!EL28-'Cash Flow'!EL8</f>
        <v>137.3776</v>
      </c>
      <c r="EM15" s="288">
        <f t="shared" si="14"/>
        <v>137.3776</v>
      </c>
      <c r="EN15" s="392">
        <f>EM15-'Cash Flow'!EN28-'Cash Flow'!EN8</f>
        <v>143.7456</v>
      </c>
      <c r="EO15" s="392">
        <f>EN15-'Cash Flow'!EO28-'Cash Flow'!EO8</f>
        <v>148.04</v>
      </c>
      <c r="EP15" s="392">
        <f>EO15-'Cash Flow'!EP28-'Cash Flow'!EP8</f>
        <v>158.96992</v>
      </c>
      <c r="EQ15" s="392">
        <f>EP15-'Cash Flow'!EQ28-'Cash Flow'!EQ8</f>
        <v>179.85311999999999</v>
      </c>
      <c r="ER15" s="288">
        <f t="shared" si="15"/>
        <v>179.85311999999999</v>
      </c>
      <c r="ES15" s="377"/>
      <c r="ET15" s="377"/>
      <c r="EU15" s="377"/>
      <c r="EV15" s="377"/>
      <c r="EW15"/>
      <c r="EX15"/>
      <c r="EY15"/>
      <c r="EZ15"/>
      <c r="FA15"/>
      <c r="FB15" s="377"/>
      <c r="FC15" s="377"/>
      <c r="FD15" s="377"/>
      <c r="FE15" s="377"/>
      <c r="FF15" s="377"/>
      <c r="FG15" s="377"/>
      <c r="FH15" s="377"/>
      <c r="FI15" s="377"/>
      <c r="FJ15" s="377"/>
      <c r="FK15" s="377"/>
      <c r="FL15" s="377"/>
      <c r="FM15" s="377"/>
      <c r="FN15" s="377"/>
      <c r="FO15" s="377"/>
      <c r="FP15" s="377"/>
      <c r="FQ15" s="377"/>
      <c r="FR15" s="377"/>
      <c r="FS15" s="377"/>
      <c r="FT15" s="377"/>
      <c r="FU15" s="377"/>
      <c r="FV15" s="377"/>
      <c r="FW15" s="377"/>
      <c r="FX15" s="377"/>
      <c r="FY15" s="377"/>
      <c r="FZ15" s="377"/>
      <c r="GA15" s="377"/>
      <c r="GB15" s="377"/>
      <c r="GC15" s="377"/>
      <c r="GD15" s="377"/>
      <c r="GE15" s="377"/>
      <c r="GF15" s="377"/>
      <c r="GG15" s="377"/>
      <c r="GH15" s="377"/>
      <c r="GI15" s="377"/>
      <c r="GJ15" s="377"/>
      <c r="GK15" s="377"/>
      <c r="GL15" s="377"/>
      <c r="GM15" s="377"/>
      <c r="GN15" s="377"/>
      <c r="GO15" s="377"/>
      <c r="GP15" s="377"/>
      <c r="GQ15" s="377"/>
      <c r="GR15" s="377"/>
      <c r="GS15" s="377"/>
      <c r="GT15" s="377"/>
      <c r="GU15" s="377"/>
      <c r="GV15" s="377"/>
      <c r="GW15" s="377"/>
      <c r="GX15" s="377"/>
      <c r="GY15" s="377"/>
      <c r="GZ15" s="377"/>
      <c r="HA15" s="377"/>
      <c r="HB15" s="377"/>
      <c r="HC15" s="377"/>
      <c r="HD15" s="377"/>
      <c r="HE15" s="377"/>
      <c r="HF15" s="377"/>
      <c r="HG15" s="377"/>
      <c r="HH15" s="377"/>
      <c r="HI15" s="377"/>
      <c r="HJ15" s="377"/>
      <c r="HK15" s="377"/>
      <c r="HL15" s="377"/>
      <c r="HM15" s="377"/>
      <c r="HN15" s="377"/>
      <c r="HO15" s="377"/>
      <c r="HP15" s="377"/>
      <c r="HQ15" s="377"/>
      <c r="HR15" s="377"/>
      <c r="HS15" s="377"/>
      <c r="HT15" s="377"/>
      <c r="HU15" s="377"/>
      <c r="HV15" s="377"/>
      <c r="HW15" s="377"/>
      <c r="HX15" s="377"/>
      <c r="HY15" s="377"/>
      <c r="HZ15" s="377"/>
      <c r="IA15" s="377"/>
      <c r="IB15" s="377"/>
      <c r="IC15" s="377"/>
      <c r="ID15" s="377"/>
      <c r="IE15" s="377"/>
      <c r="IF15" s="377"/>
      <c r="IG15" s="377"/>
      <c r="IH15" s="377"/>
      <c r="II15" s="377"/>
      <c r="IJ15" s="377"/>
      <c r="IK15" s="377"/>
      <c r="IL15" s="377"/>
      <c r="IM15" s="377"/>
      <c r="IN15" s="377"/>
      <c r="IO15" s="377"/>
      <c r="IP15" s="377"/>
      <c r="IQ15" s="377"/>
      <c r="IR15" s="377"/>
      <c r="IS15" s="377"/>
      <c r="IT15" s="377"/>
      <c r="IU15" s="377"/>
      <c r="IV15" s="377"/>
      <c r="IW15" s="377"/>
      <c r="IX15" s="377"/>
      <c r="IY15" s="377"/>
      <c r="IZ15" s="377"/>
      <c r="JA15" s="377"/>
      <c r="JB15" s="377"/>
      <c r="JC15" s="377"/>
      <c r="JD15" s="377"/>
      <c r="JE15" s="377"/>
      <c r="JF15" s="377"/>
      <c r="JG15" s="377"/>
      <c r="JH15" s="377"/>
      <c r="JI15" s="377"/>
      <c r="JJ15" s="377"/>
      <c r="JK15" s="377"/>
      <c r="JL15" s="377"/>
      <c r="JM15" s="377"/>
    </row>
    <row r="16" spans="1:273" s="160" customFormat="1" ht="12" customHeight="1">
      <c r="A16" s="133"/>
      <c r="B16" s="133"/>
      <c r="C16" s="265" t="s">
        <v>243</v>
      </c>
      <c r="D16" s="315"/>
      <c r="E16" s="315"/>
      <c r="F16" s="315"/>
      <c r="G16" s="315"/>
      <c r="H16" s="315"/>
      <c r="I16" s="316"/>
      <c r="J16" s="316"/>
      <c r="K16" s="316"/>
      <c r="L16" s="316"/>
      <c r="M16" s="380"/>
      <c r="N16" s="316"/>
      <c r="O16" s="316"/>
      <c r="P16" s="316"/>
      <c r="Q16" s="316"/>
      <c r="R16" s="380"/>
      <c r="S16" s="316"/>
      <c r="T16" s="316"/>
      <c r="U16" s="316"/>
      <c r="V16" s="316"/>
      <c r="W16" s="380"/>
      <c r="X16" s="316"/>
      <c r="Y16" s="316"/>
      <c r="Z16" s="316"/>
      <c r="AA16" s="316"/>
      <c r="AB16" s="380"/>
      <c r="AC16" s="316"/>
      <c r="AD16" s="316"/>
      <c r="AE16" s="316"/>
      <c r="AF16" s="316"/>
      <c r="AG16" s="380"/>
      <c r="AH16" s="316"/>
      <c r="AI16" s="316"/>
      <c r="AJ16" s="316"/>
      <c r="AK16" s="316"/>
      <c r="AL16" s="380"/>
      <c r="AM16" s="316"/>
      <c r="AN16" s="316"/>
      <c r="AO16" s="316"/>
      <c r="AP16" s="316"/>
      <c r="AQ16" s="380"/>
      <c r="AR16" s="316"/>
      <c r="AS16" s="316"/>
      <c r="AT16" s="316"/>
      <c r="AU16" s="316"/>
      <c r="AV16" s="380"/>
      <c r="AW16" s="316"/>
      <c r="AX16" s="316"/>
      <c r="AY16" s="316"/>
      <c r="AZ16" s="316"/>
      <c r="BA16" s="380"/>
      <c r="BB16" s="316"/>
      <c r="BC16" s="316"/>
      <c r="BD16" s="316"/>
      <c r="BE16" s="316"/>
      <c r="BF16" s="380"/>
      <c r="BG16" s="93"/>
      <c r="BH16" s="93"/>
      <c r="BI16" s="93"/>
      <c r="BJ16" s="316"/>
      <c r="BK16" s="315"/>
      <c r="BL16" s="316"/>
      <c r="BM16" s="316"/>
      <c r="BN16" s="316"/>
      <c r="BO16" s="316"/>
      <c r="BP16" s="380"/>
      <c r="BQ16" s="239"/>
      <c r="BR16" s="239">
        <v>0</v>
      </c>
      <c r="BS16" s="239">
        <v>0</v>
      </c>
      <c r="BT16" s="239">
        <v>0</v>
      </c>
      <c r="BU16" s="257">
        <f t="shared" si="27"/>
        <v>0</v>
      </c>
      <c r="BV16" s="239">
        <v>0</v>
      </c>
      <c r="BW16" s="239">
        <v>0</v>
      </c>
      <c r="BX16" s="239">
        <v>0</v>
      </c>
      <c r="BY16" s="239">
        <v>0</v>
      </c>
      <c r="BZ16" s="257">
        <f t="shared" si="28"/>
        <v>0</v>
      </c>
      <c r="CA16" s="239">
        <v>0</v>
      </c>
      <c r="CB16" s="239">
        <v>0</v>
      </c>
      <c r="CC16" s="239">
        <v>0</v>
      </c>
      <c r="CD16" s="239">
        <v>0</v>
      </c>
      <c r="CE16" s="257">
        <f t="shared" si="29"/>
        <v>0</v>
      </c>
      <c r="CF16" s="239">
        <v>0</v>
      </c>
      <c r="CG16" s="239">
        <v>0</v>
      </c>
      <c r="CH16" s="239">
        <v>0</v>
      </c>
      <c r="CI16" s="239">
        <v>0</v>
      </c>
      <c r="CJ16" s="257">
        <f t="shared" si="30"/>
        <v>0</v>
      </c>
      <c r="CK16" s="239">
        <v>90.128</v>
      </c>
      <c r="CL16" s="239">
        <v>98.284999999999997</v>
      </c>
      <c r="CM16" s="239">
        <v>96.787999999999997</v>
      </c>
      <c r="CN16" s="239">
        <v>134.774</v>
      </c>
      <c r="CO16" s="257">
        <f t="shared" si="31"/>
        <v>134.774</v>
      </c>
      <c r="CP16" s="239">
        <v>133.786</v>
      </c>
      <c r="CQ16" s="239">
        <v>126.21299999999999</v>
      </c>
      <c r="CR16" s="239">
        <v>122.71</v>
      </c>
      <c r="CS16" s="239">
        <v>119.373</v>
      </c>
      <c r="CT16" s="257">
        <f t="shared" si="32"/>
        <v>119.373</v>
      </c>
      <c r="CU16" s="239">
        <v>128.02600000000001</v>
      </c>
      <c r="CV16" s="239">
        <v>124.342</v>
      </c>
      <c r="CW16" s="239">
        <v>123.414</v>
      </c>
      <c r="CX16" s="239">
        <v>138.49600000000001</v>
      </c>
      <c r="CY16" s="257">
        <f t="shared" si="33"/>
        <v>138.49600000000001</v>
      </c>
      <c r="CZ16" s="239">
        <v>220.20500000000001</v>
      </c>
      <c r="DA16" s="239">
        <v>224.55500000000001</v>
      </c>
      <c r="DB16" s="239">
        <v>349.74</v>
      </c>
      <c r="DC16" s="239">
        <v>355.14499999999998</v>
      </c>
      <c r="DD16" s="257">
        <f t="shared" si="34"/>
        <v>355.14499999999998</v>
      </c>
      <c r="DE16" s="239">
        <v>345</v>
      </c>
      <c r="DF16" s="239">
        <v>101</v>
      </c>
      <c r="DG16" s="239">
        <v>72</v>
      </c>
      <c r="DH16" s="239">
        <v>98</v>
      </c>
      <c r="DI16" s="257">
        <f t="shared" si="8"/>
        <v>98</v>
      </c>
      <c r="DJ16" s="239">
        <v>96</v>
      </c>
      <c r="DK16" s="239">
        <v>93</v>
      </c>
      <c r="DL16" s="239">
        <v>96</v>
      </c>
      <c r="DM16" s="239">
        <v>93</v>
      </c>
      <c r="DN16" s="257">
        <f t="shared" si="35"/>
        <v>93</v>
      </c>
      <c r="DO16" s="239">
        <v>105</v>
      </c>
      <c r="DP16" s="239">
        <v>97</v>
      </c>
      <c r="DQ16" s="239">
        <v>94</v>
      </c>
      <c r="DR16" s="239">
        <v>88</v>
      </c>
      <c r="DS16" s="257">
        <f t="shared" si="10"/>
        <v>88</v>
      </c>
      <c r="DT16" s="239">
        <v>84</v>
      </c>
      <c r="DU16" s="239">
        <v>90</v>
      </c>
      <c r="DV16" s="120">
        <f>DU16-'Cash Flow'!DV36</f>
        <v>90</v>
      </c>
      <c r="DW16" s="120">
        <f>DV16-'Cash Flow'!DW36</f>
        <v>90</v>
      </c>
      <c r="DX16" s="257">
        <f t="shared" si="11"/>
        <v>90</v>
      </c>
      <c r="DY16" s="120">
        <f>DX16-'Cash Flow'!DY36</f>
        <v>90</v>
      </c>
      <c r="DZ16" s="120">
        <f>DY16-'Cash Flow'!DZ36</f>
        <v>90</v>
      </c>
      <c r="EA16" s="120">
        <f>DZ16-'Cash Flow'!EA36</f>
        <v>90</v>
      </c>
      <c r="EB16" s="120">
        <f>EA16-'Cash Flow'!EB36</f>
        <v>90</v>
      </c>
      <c r="EC16" s="257">
        <f t="shared" si="12"/>
        <v>90</v>
      </c>
      <c r="ED16" s="120">
        <f>EC16-'Cash Flow'!ED36</f>
        <v>90</v>
      </c>
      <c r="EE16" s="120">
        <f>ED16-'Cash Flow'!EE36</f>
        <v>90</v>
      </c>
      <c r="EF16" s="120">
        <f>EE16-'Cash Flow'!EF36</f>
        <v>90</v>
      </c>
      <c r="EG16" s="120">
        <f>EF16-'Cash Flow'!EG36</f>
        <v>90</v>
      </c>
      <c r="EH16" s="257">
        <f t="shared" si="13"/>
        <v>90</v>
      </c>
      <c r="EI16" s="120">
        <f>EH16-'Cash Flow'!EI36</f>
        <v>90</v>
      </c>
      <c r="EJ16" s="120">
        <f>EI16-'Cash Flow'!EJ36</f>
        <v>90</v>
      </c>
      <c r="EK16" s="120">
        <f>EJ16-'Cash Flow'!EK36</f>
        <v>90</v>
      </c>
      <c r="EL16" s="120">
        <f>EK16-'Cash Flow'!EL36</f>
        <v>90</v>
      </c>
      <c r="EM16" s="257">
        <f t="shared" si="14"/>
        <v>90</v>
      </c>
      <c r="EN16" s="120">
        <f>EM16-'Cash Flow'!EN36</f>
        <v>90</v>
      </c>
      <c r="EO16" s="120">
        <f>EN16-'Cash Flow'!EO36</f>
        <v>90</v>
      </c>
      <c r="EP16" s="120">
        <f>EO16-'Cash Flow'!EP36</f>
        <v>90</v>
      </c>
      <c r="EQ16" s="120">
        <f>EP16-'Cash Flow'!EQ36</f>
        <v>90</v>
      </c>
      <c r="ER16" s="257">
        <f t="shared" si="15"/>
        <v>90</v>
      </c>
      <c r="ES16" s="377"/>
      <c r="ET16" s="377"/>
      <c r="EU16" s="377"/>
      <c r="EV16" s="377"/>
      <c r="EW16"/>
      <c r="EX16"/>
      <c r="EY16"/>
      <c r="EZ16"/>
      <c r="FA16"/>
      <c r="FB16" s="377"/>
      <c r="FC16" s="377"/>
      <c r="FD16" s="377"/>
      <c r="FE16" s="377"/>
      <c r="FF16" s="377"/>
      <c r="FG16" s="377"/>
      <c r="FH16" s="377"/>
      <c r="FI16" s="377"/>
      <c r="FJ16" s="377"/>
      <c r="FK16" s="377"/>
      <c r="FL16" s="377"/>
      <c r="FM16" s="377"/>
      <c r="FN16" s="377"/>
      <c r="FO16" s="377"/>
      <c r="FP16" s="377"/>
      <c r="FQ16" s="377"/>
      <c r="FR16" s="377"/>
      <c r="FS16" s="377"/>
      <c r="FT16" s="377"/>
      <c r="FU16" s="377"/>
      <c r="FV16" s="377"/>
      <c r="FW16" s="377"/>
      <c r="FX16" s="377"/>
      <c r="FY16" s="377"/>
      <c r="FZ16" s="377"/>
      <c r="GA16" s="377"/>
      <c r="GB16" s="377"/>
      <c r="GC16" s="377"/>
      <c r="GD16" s="377"/>
      <c r="GE16" s="377"/>
      <c r="GF16" s="377"/>
      <c r="GG16" s="377"/>
      <c r="GH16" s="377"/>
      <c r="GI16" s="377"/>
      <c r="GJ16" s="377"/>
      <c r="GK16" s="377"/>
      <c r="GL16" s="377"/>
      <c r="GM16" s="377"/>
      <c r="GN16" s="377"/>
      <c r="GO16" s="377"/>
      <c r="GP16" s="377"/>
      <c r="GQ16" s="377"/>
      <c r="GR16" s="377"/>
      <c r="GS16" s="377"/>
      <c r="GT16" s="377"/>
      <c r="GU16" s="377"/>
      <c r="GV16" s="377"/>
      <c r="GW16" s="377"/>
      <c r="GX16" s="377"/>
      <c r="GY16" s="377"/>
      <c r="GZ16" s="377"/>
      <c r="HA16" s="377"/>
      <c r="HB16" s="377"/>
      <c r="HC16" s="377"/>
      <c r="HD16" s="377"/>
      <c r="HE16" s="377"/>
      <c r="HF16" s="377"/>
      <c r="HG16" s="377"/>
      <c r="HH16" s="377"/>
      <c r="HI16" s="377"/>
      <c r="HJ16" s="377"/>
      <c r="HK16" s="377"/>
      <c r="HL16" s="377"/>
      <c r="HM16" s="377"/>
      <c r="HN16" s="377"/>
      <c r="HO16" s="377"/>
      <c r="HP16" s="377"/>
      <c r="HQ16" s="377"/>
      <c r="HR16" s="377"/>
      <c r="HS16" s="377"/>
      <c r="HT16" s="377"/>
      <c r="HU16" s="377"/>
      <c r="HV16" s="377"/>
      <c r="HW16" s="377"/>
      <c r="HX16" s="377"/>
      <c r="HY16" s="377"/>
      <c r="HZ16" s="377"/>
      <c r="IA16" s="377"/>
      <c r="IB16" s="377"/>
      <c r="IC16" s="377"/>
      <c r="ID16" s="377"/>
      <c r="IE16" s="377"/>
      <c r="IF16" s="377"/>
      <c r="IG16" s="377"/>
      <c r="IH16" s="377"/>
      <c r="II16" s="377"/>
      <c r="IJ16" s="377"/>
      <c r="IK16" s="377"/>
      <c r="IL16" s="377"/>
      <c r="IM16" s="377"/>
      <c r="IN16" s="377"/>
      <c r="IO16" s="377"/>
      <c r="IP16" s="377"/>
      <c r="IQ16" s="377"/>
      <c r="IR16" s="377"/>
      <c r="IS16" s="377"/>
      <c r="IT16" s="377"/>
      <c r="IU16" s="377"/>
      <c r="IV16" s="377"/>
      <c r="IW16" s="377"/>
      <c r="IX16" s="377"/>
      <c r="IY16" s="377"/>
      <c r="IZ16" s="377"/>
      <c r="JA16" s="377"/>
      <c r="JB16" s="377"/>
      <c r="JC16" s="377"/>
      <c r="JD16" s="377"/>
      <c r="JE16" s="377"/>
      <c r="JF16" s="377"/>
      <c r="JG16" s="377"/>
      <c r="JH16" s="377"/>
      <c r="JI16" s="377"/>
      <c r="JJ16" s="377"/>
      <c r="JK16" s="377"/>
      <c r="JL16" s="377"/>
      <c r="JM16" s="377"/>
    </row>
    <row r="17" spans="1:273" s="160" customFormat="1" ht="12" customHeight="1">
      <c r="A17" s="133"/>
      <c r="B17" s="133"/>
      <c r="C17" s="265" t="s">
        <v>242</v>
      </c>
      <c r="D17" s="315"/>
      <c r="E17" s="315"/>
      <c r="F17" s="315"/>
      <c r="G17" s="315"/>
      <c r="H17" s="315"/>
      <c r="I17" s="316"/>
      <c r="J17" s="316"/>
      <c r="K17" s="316"/>
      <c r="L17" s="316"/>
      <c r="M17" s="380"/>
      <c r="N17" s="316"/>
      <c r="O17" s="316"/>
      <c r="P17" s="316"/>
      <c r="Q17" s="316"/>
      <c r="R17" s="380"/>
      <c r="S17" s="316"/>
      <c r="T17" s="316"/>
      <c r="U17" s="316"/>
      <c r="V17" s="316"/>
      <c r="W17" s="380"/>
      <c r="X17" s="316"/>
      <c r="Y17" s="316"/>
      <c r="Z17" s="316"/>
      <c r="AA17" s="316"/>
      <c r="AB17" s="380"/>
      <c r="AC17" s="316"/>
      <c r="AD17" s="316"/>
      <c r="AE17" s="316"/>
      <c r="AF17" s="316"/>
      <c r="AG17" s="380"/>
      <c r="AH17" s="316"/>
      <c r="AI17" s="316"/>
      <c r="AJ17" s="316"/>
      <c r="AK17" s="316"/>
      <c r="AL17" s="380"/>
      <c r="AM17" s="316"/>
      <c r="AN17" s="316"/>
      <c r="AO17" s="316"/>
      <c r="AP17" s="316"/>
      <c r="AQ17" s="380"/>
      <c r="AR17" s="316"/>
      <c r="AS17" s="316"/>
      <c r="AT17" s="316"/>
      <c r="AU17" s="316"/>
      <c r="AV17" s="380"/>
      <c r="AW17" s="316"/>
      <c r="AX17" s="316"/>
      <c r="AY17" s="316"/>
      <c r="AZ17" s="316"/>
      <c r="BA17" s="380"/>
      <c r="BB17" s="316"/>
      <c r="BC17" s="316"/>
      <c r="BD17" s="316"/>
      <c r="BE17" s="316"/>
      <c r="BF17" s="380"/>
      <c r="BG17" s="93"/>
      <c r="BH17" s="93"/>
      <c r="BI17" s="93"/>
      <c r="BJ17" s="316"/>
      <c r="BK17" s="315"/>
      <c r="BL17" s="316"/>
      <c r="BM17" s="316"/>
      <c r="BN17" s="316"/>
      <c r="BO17" s="316"/>
      <c r="BP17" s="380"/>
      <c r="BQ17" s="239"/>
      <c r="BR17" s="239">
        <v>3.831</v>
      </c>
      <c r="BS17" s="239">
        <v>4.1399999999999997</v>
      </c>
      <c r="BT17" s="239">
        <v>5.8259999999999996</v>
      </c>
      <c r="BU17" s="257">
        <f>BT17</f>
        <v>5.8259999999999996</v>
      </c>
      <c r="BV17" s="239">
        <v>5.1820000000000004</v>
      </c>
      <c r="BW17" s="239">
        <v>6.7889999999999997</v>
      </c>
      <c r="BX17" s="239">
        <v>6.867</v>
      </c>
      <c r="BY17" s="239">
        <v>6.4370000000000003</v>
      </c>
      <c r="BZ17" s="257">
        <f>BY17</f>
        <v>6.4370000000000003</v>
      </c>
      <c r="CA17" s="239">
        <v>6.7220000000000004</v>
      </c>
      <c r="CB17" s="239">
        <v>18.443999999999999</v>
      </c>
      <c r="CC17" s="239">
        <v>17.559999999999999</v>
      </c>
      <c r="CD17" s="239">
        <v>17.21</v>
      </c>
      <c r="CE17" s="257">
        <f>CD17</f>
        <v>17.21</v>
      </c>
      <c r="CF17" s="239">
        <v>21.088000000000001</v>
      </c>
      <c r="CG17" s="239">
        <v>24.655999999999999</v>
      </c>
      <c r="CH17" s="239">
        <v>26.06</v>
      </c>
      <c r="CI17" s="239">
        <v>26.071999999999999</v>
      </c>
      <c r="CJ17" s="257">
        <f>CI17</f>
        <v>26.071999999999999</v>
      </c>
      <c r="CK17" s="239">
        <v>24.155999999999999</v>
      </c>
      <c r="CL17" s="239">
        <v>25.314</v>
      </c>
      <c r="CM17" s="239">
        <v>24.759</v>
      </c>
      <c r="CN17" s="239">
        <v>167.28200000000001</v>
      </c>
      <c r="CO17" s="257">
        <f>CN17</f>
        <v>167.28200000000001</v>
      </c>
      <c r="CP17" s="239">
        <v>159.00399999999999</v>
      </c>
      <c r="CQ17" s="239">
        <v>151.25399999999999</v>
      </c>
      <c r="CR17" s="239">
        <v>143.92500000000001</v>
      </c>
      <c r="CS17" s="239">
        <v>135.67599999999999</v>
      </c>
      <c r="CT17" s="257">
        <f>CS17</f>
        <v>135.67599999999999</v>
      </c>
      <c r="CU17" s="239">
        <v>129.69200000000001</v>
      </c>
      <c r="CV17" s="239">
        <v>124.203</v>
      </c>
      <c r="CW17" s="239">
        <v>141.929</v>
      </c>
      <c r="CX17" s="239">
        <v>196.38800000000001</v>
      </c>
      <c r="CY17" s="257">
        <f>CX17</f>
        <v>196.38800000000001</v>
      </c>
      <c r="CZ17" s="239">
        <v>131.608</v>
      </c>
      <c r="DA17" s="239">
        <v>133.12899999999999</v>
      </c>
      <c r="DB17" s="239">
        <v>410.81900000000002</v>
      </c>
      <c r="DC17" s="239">
        <v>390.14800000000002</v>
      </c>
      <c r="DD17" s="257">
        <f>DC17</f>
        <v>390.14800000000002</v>
      </c>
      <c r="DE17" s="239">
        <v>372</v>
      </c>
      <c r="DF17" s="239">
        <v>26</v>
      </c>
      <c r="DG17" s="239">
        <v>33</v>
      </c>
      <c r="DH17" s="239">
        <v>29</v>
      </c>
      <c r="DI17" s="257">
        <f t="shared" si="8"/>
        <v>29</v>
      </c>
      <c r="DJ17" s="239">
        <v>25</v>
      </c>
      <c r="DK17" s="239">
        <v>26</v>
      </c>
      <c r="DL17" s="239">
        <v>24</v>
      </c>
      <c r="DM17" s="239">
        <v>22</v>
      </c>
      <c r="DN17" s="257">
        <f>DM17</f>
        <v>22</v>
      </c>
      <c r="DO17" s="239">
        <v>39</v>
      </c>
      <c r="DP17" s="239">
        <v>36</v>
      </c>
      <c r="DQ17" s="239">
        <v>33</v>
      </c>
      <c r="DR17" s="239">
        <v>30</v>
      </c>
      <c r="DS17" s="257">
        <f>DR17</f>
        <v>30</v>
      </c>
      <c r="DT17" s="239">
        <v>28</v>
      </c>
      <c r="DU17" s="239">
        <v>27</v>
      </c>
      <c r="DV17" s="120">
        <f>DU17-'Cash Flow'!DV9-'Cash Flow'!DV34</f>
        <v>25.145538211478907</v>
      </c>
      <c r="DW17" s="120">
        <f>DV17-'Cash Flow'!DW9-'Cash Flow'!DW34</f>
        <v>22.770657238115156</v>
      </c>
      <c r="DX17" s="257">
        <f>DW17</f>
        <v>22.770657238115156</v>
      </c>
      <c r="DY17" s="120">
        <f>DX17-'Cash Flow'!DY9-'Cash Flow'!DY34</f>
        <v>20.753096455646407</v>
      </c>
      <c r="DZ17" s="120">
        <f>DY17-'Cash Flow'!DZ9-'Cash Flow'!DZ34</f>
        <v>18.482223877039708</v>
      </c>
      <c r="EA17" s="120">
        <f>DZ17-'Cash Flow'!EA9-'Cash Flow'!EA34</f>
        <v>16.161385926524396</v>
      </c>
      <c r="EB17" s="120">
        <f>EA17-'Cash Flow'!EB9-'Cash Flow'!EB34</f>
        <v>13.203517437319071</v>
      </c>
      <c r="EC17" s="257">
        <f>EB17</f>
        <v>13.203517437319071</v>
      </c>
      <c r="ED17" s="120">
        <f>EC17-'Cash Flow'!ED9-'Cash Flow'!ED34</f>
        <v>10.764964342563676</v>
      </c>
      <c r="EE17" s="120">
        <f>ED17-'Cash Flow'!EE9-'Cash Flow'!EE34</f>
        <v>8.0224401531969729</v>
      </c>
      <c r="EF17" s="120">
        <f>EE17-'Cash Flow'!EF9-'Cash Flow'!EF34</f>
        <v>5.2230879950118387</v>
      </c>
      <c r="EG17" s="120">
        <f>EF17-'Cash Flow'!EG9-'Cash Flow'!EG34</f>
        <v>1.6548613228527751</v>
      </c>
      <c r="EH17" s="257">
        <f>EG17</f>
        <v>1.6548613228527751</v>
      </c>
      <c r="EI17" s="120">
        <f>EH17-'Cash Flow'!EI9-'Cash Flow'!EI34</f>
        <v>-1.2350660855668791</v>
      </c>
      <c r="EJ17" s="120">
        <f>EI17-'Cash Flow'!EJ9-'Cash Flow'!EJ34</f>
        <v>-4.485744829376948</v>
      </c>
      <c r="EK17" s="120">
        <f>EJ17-'Cash Flow'!EK9-'Cash Flow'!EK34</f>
        <v>-7.8035862527341742</v>
      </c>
      <c r="EL17" s="120">
        <f>EK17-'Cash Flow'!EL9-'Cash Flow'!EL34</f>
        <v>-12.034882475325061</v>
      </c>
      <c r="EM17" s="257">
        <f>EL17</f>
        <v>-12.034882475325061</v>
      </c>
      <c r="EN17" s="120">
        <f>EM17-'Cash Flow'!EN9-'Cash Flow'!EN34</f>
        <v>-15.425104127853972</v>
      </c>
      <c r="EO17" s="120">
        <f>EN17-'Cash Flow'!EO9-'Cash Flow'!EO34</f>
        <v>-19.238603706564955</v>
      </c>
      <c r="EP17" s="120">
        <f>EO17-'Cash Flow'!EP9-'Cash Flow'!EP34</f>
        <v>-23.131141957192153</v>
      </c>
      <c r="EQ17" s="120">
        <f>EP17-'Cash Flow'!EQ9-'Cash Flow'!EQ34</f>
        <v>-28.095788905936395</v>
      </c>
      <c r="ER17" s="257">
        <f>EQ17</f>
        <v>-28.095788905936395</v>
      </c>
      <c r="ES17" s="377"/>
      <c r="ET17" s="377"/>
      <c r="EU17" s="377"/>
      <c r="EV17" s="377"/>
      <c r="EW17"/>
      <c r="EX17"/>
      <c r="EY17"/>
      <c r="EZ17"/>
      <c r="FA17"/>
      <c r="FB17" s="377"/>
      <c r="FC17" s="377"/>
      <c r="FD17" s="377"/>
      <c r="FE17" s="377"/>
      <c r="FF17" s="377"/>
      <c r="FG17" s="377"/>
      <c r="FH17" s="377"/>
      <c r="FI17" s="377"/>
      <c r="FJ17" s="377"/>
      <c r="FK17" s="377"/>
      <c r="FL17" s="377"/>
      <c r="FM17" s="377"/>
      <c r="FN17" s="377"/>
      <c r="FO17" s="377"/>
      <c r="FP17" s="377"/>
      <c r="FQ17" s="377"/>
      <c r="FR17" s="377"/>
      <c r="FS17" s="377"/>
      <c r="FT17" s="377"/>
      <c r="FU17" s="377"/>
      <c r="FV17" s="377"/>
      <c r="FW17" s="377"/>
      <c r="FX17" s="377"/>
      <c r="FY17" s="377"/>
      <c r="FZ17" s="377"/>
      <c r="GA17" s="377"/>
      <c r="GB17" s="377"/>
      <c r="GC17" s="377"/>
      <c r="GD17" s="377"/>
      <c r="GE17" s="377"/>
      <c r="GF17" s="377"/>
      <c r="GG17" s="377"/>
      <c r="GH17" s="377"/>
      <c r="GI17" s="377"/>
      <c r="GJ17" s="377"/>
      <c r="GK17" s="377"/>
      <c r="GL17" s="377"/>
      <c r="GM17" s="377"/>
      <c r="GN17" s="377"/>
      <c r="GO17" s="377"/>
      <c r="GP17" s="377"/>
      <c r="GQ17" s="377"/>
      <c r="GR17" s="377"/>
      <c r="GS17" s="377"/>
      <c r="GT17" s="377"/>
      <c r="GU17" s="377"/>
      <c r="GV17" s="377"/>
      <c r="GW17" s="377"/>
      <c r="GX17" s="377"/>
      <c r="GY17" s="377"/>
      <c r="GZ17" s="377"/>
      <c r="HA17" s="377"/>
      <c r="HB17" s="377"/>
      <c r="HC17" s="377"/>
      <c r="HD17" s="377"/>
      <c r="HE17" s="377"/>
      <c r="HF17" s="377"/>
      <c r="HG17" s="377"/>
      <c r="HH17" s="377"/>
      <c r="HI17" s="377"/>
      <c r="HJ17" s="377"/>
      <c r="HK17" s="377"/>
      <c r="HL17" s="377"/>
      <c r="HM17" s="377"/>
      <c r="HN17" s="377"/>
      <c r="HO17" s="377"/>
      <c r="HP17" s="377"/>
      <c r="HQ17" s="377"/>
      <c r="HR17" s="377"/>
      <c r="HS17" s="377"/>
      <c r="HT17" s="377"/>
      <c r="HU17" s="377"/>
      <c r="HV17" s="377"/>
      <c r="HW17" s="377"/>
      <c r="HX17" s="377"/>
      <c r="HY17" s="377"/>
      <c r="HZ17" s="377"/>
      <c r="IA17" s="377"/>
      <c r="IB17" s="377"/>
      <c r="IC17" s="377"/>
      <c r="ID17" s="377"/>
      <c r="IE17" s="377"/>
      <c r="IF17" s="377"/>
      <c r="IG17" s="377"/>
      <c r="IH17" s="377"/>
      <c r="II17" s="377"/>
      <c r="IJ17" s="377"/>
      <c r="IK17" s="377"/>
      <c r="IL17" s="377"/>
      <c r="IM17" s="377"/>
      <c r="IN17" s="377"/>
      <c r="IO17" s="377"/>
      <c r="IP17" s="377"/>
      <c r="IQ17" s="377"/>
      <c r="IR17" s="377"/>
      <c r="IS17" s="377"/>
      <c r="IT17" s="377"/>
      <c r="IU17" s="377"/>
      <c r="IV17" s="377"/>
      <c r="IW17" s="377"/>
      <c r="IX17" s="377"/>
      <c r="IY17" s="377"/>
      <c r="IZ17" s="377"/>
      <c r="JA17" s="377"/>
      <c r="JB17" s="377"/>
      <c r="JC17" s="377"/>
      <c r="JD17" s="377"/>
      <c r="JE17" s="377"/>
      <c r="JF17" s="377"/>
      <c r="JG17" s="377"/>
      <c r="JH17" s="377"/>
      <c r="JI17" s="377"/>
      <c r="JJ17" s="377"/>
      <c r="JK17" s="377"/>
      <c r="JL17" s="377"/>
      <c r="JM17" s="377"/>
    </row>
    <row r="18" spans="1:273" s="160" customFormat="1" ht="12" customHeight="1">
      <c r="A18" s="133"/>
      <c r="B18" s="133"/>
      <c r="C18" s="265" t="s">
        <v>798</v>
      </c>
      <c r="D18" s="315"/>
      <c r="E18" s="315"/>
      <c r="F18" s="315"/>
      <c r="G18" s="315"/>
      <c r="H18" s="315"/>
      <c r="I18" s="316"/>
      <c r="J18" s="316"/>
      <c r="K18" s="316"/>
      <c r="L18" s="316"/>
      <c r="M18" s="380"/>
      <c r="N18" s="316"/>
      <c r="O18" s="316"/>
      <c r="P18" s="316"/>
      <c r="Q18" s="316"/>
      <c r="R18" s="380"/>
      <c r="S18" s="316"/>
      <c r="T18" s="316"/>
      <c r="U18" s="316"/>
      <c r="V18" s="316"/>
      <c r="W18" s="380"/>
      <c r="X18" s="316"/>
      <c r="Y18" s="316"/>
      <c r="Z18" s="316"/>
      <c r="AA18" s="316"/>
      <c r="AB18" s="380"/>
      <c r="AC18" s="316"/>
      <c r="AD18" s="316"/>
      <c r="AE18" s="316"/>
      <c r="AF18" s="316"/>
      <c r="AG18" s="380"/>
      <c r="AH18" s="316"/>
      <c r="AI18" s="316"/>
      <c r="AJ18" s="316"/>
      <c r="AK18" s="316"/>
      <c r="AL18" s="380"/>
      <c r="AM18" s="316"/>
      <c r="AN18" s="316"/>
      <c r="AO18" s="316"/>
      <c r="AP18" s="316"/>
      <c r="AQ18" s="380"/>
      <c r="AR18" s="316"/>
      <c r="AS18" s="316"/>
      <c r="AT18" s="316"/>
      <c r="AU18" s="316"/>
      <c r="AV18" s="380"/>
      <c r="AW18" s="316"/>
      <c r="AX18" s="316"/>
      <c r="AY18" s="316"/>
      <c r="AZ18" s="316"/>
      <c r="BA18" s="380"/>
      <c r="BB18" s="316"/>
      <c r="BC18" s="316"/>
      <c r="BD18" s="316"/>
      <c r="BE18" s="316"/>
      <c r="BF18" s="380"/>
      <c r="BG18" s="93"/>
      <c r="BH18" s="93"/>
      <c r="BI18" s="93"/>
      <c r="BJ18" s="316"/>
      <c r="BK18" s="315"/>
      <c r="BL18" s="316"/>
      <c r="BM18" s="316"/>
      <c r="BN18" s="316"/>
      <c r="BO18" s="316"/>
      <c r="BP18" s="380"/>
      <c r="BQ18" s="239">
        <v>0</v>
      </c>
      <c r="BR18" s="239">
        <v>0</v>
      </c>
      <c r="BS18" s="239">
        <v>0</v>
      </c>
      <c r="BT18" s="239">
        <v>0</v>
      </c>
      <c r="BU18" s="257">
        <f t="shared" ref="BU18" si="36">+BT18</f>
        <v>0</v>
      </c>
      <c r="BV18" s="239">
        <v>0</v>
      </c>
      <c r="BW18" s="239">
        <v>0</v>
      </c>
      <c r="BX18" s="239">
        <v>0</v>
      </c>
      <c r="BY18" s="239">
        <v>0</v>
      </c>
      <c r="BZ18" s="257">
        <f t="shared" ref="BZ18" si="37">+BY18</f>
        <v>0</v>
      </c>
      <c r="CA18" s="239">
        <v>0</v>
      </c>
      <c r="CB18" s="239">
        <v>0</v>
      </c>
      <c r="CC18" s="239">
        <v>0</v>
      </c>
      <c r="CD18" s="239">
        <v>0</v>
      </c>
      <c r="CE18" s="257">
        <f t="shared" ref="CE18" si="38">+CD18</f>
        <v>0</v>
      </c>
      <c r="CF18" s="239">
        <v>0</v>
      </c>
      <c r="CG18" s="239">
        <v>0</v>
      </c>
      <c r="CH18" s="239">
        <v>0</v>
      </c>
      <c r="CI18" s="239">
        <v>0</v>
      </c>
      <c r="CJ18" s="257">
        <f t="shared" ref="CJ18" si="39">+CI18</f>
        <v>0</v>
      </c>
      <c r="CK18" s="239">
        <v>0</v>
      </c>
      <c r="CL18" s="239">
        <v>0</v>
      </c>
      <c r="CM18" s="239">
        <v>0</v>
      </c>
      <c r="CN18" s="239">
        <v>0</v>
      </c>
      <c r="CO18" s="257">
        <f t="shared" ref="CO18" si="40">+CN18</f>
        <v>0</v>
      </c>
      <c r="CP18" s="239">
        <v>0</v>
      </c>
      <c r="CQ18" s="239">
        <v>0</v>
      </c>
      <c r="CR18" s="239">
        <v>0</v>
      </c>
      <c r="CS18" s="239">
        <v>0</v>
      </c>
      <c r="CT18" s="257">
        <f t="shared" ref="CT18" si="41">+CS18</f>
        <v>0</v>
      </c>
      <c r="CU18" s="239">
        <v>0</v>
      </c>
      <c r="CV18" s="239">
        <v>0</v>
      </c>
      <c r="CW18" s="239">
        <v>0</v>
      </c>
      <c r="CX18" s="239">
        <v>0</v>
      </c>
      <c r="CY18" s="257">
        <f t="shared" ref="CY18" si="42">+CX18</f>
        <v>0</v>
      </c>
      <c r="CZ18" s="239">
        <v>0</v>
      </c>
      <c r="DA18" s="239">
        <v>0</v>
      </c>
      <c r="DB18" s="239">
        <v>0</v>
      </c>
      <c r="DC18" s="239">
        <v>0</v>
      </c>
      <c r="DD18" s="257">
        <f t="shared" ref="DD18" si="43">+DC18</f>
        <v>0</v>
      </c>
      <c r="DE18" s="239">
        <v>0</v>
      </c>
      <c r="DF18" s="239">
        <v>0</v>
      </c>
      <c r="DG18" s="239">
        <v>0</v>
      </c>
      <c r="DH18" s="239">
        <v>0</v>
      </c>
      <c r="DI18" s="257">
        <f>+DH18</f>
        <v>0</v>
      </c>
      <c r="DJ18" s="239">
        <v>0</v>
      </c>
      <c r="DK18" s="239">
        <v>0</v>
      </c>
      <c r="DL18" s="239">
        <v>0</v>
      </c>
      <c r="DM18" s="239">
        <v>21</v>
      </c>
      <c r="DN18" s="257">
        <f>DM18</f>
        <v>21</v>
      </c>
      <c r="DO18" s="239">
        <v>23</v>
      </c>
      <c r="DP18" s="239">
        <v>28</v>
      </c>
      <c r="DQ18" s="239">
        <v>23</v>
      </c>
      <c r="DR18" s="239">
        <v>39</v>
      </c>
      <c r="DS18" s="257">
        <f>DR18</f>
        <v>39</v>
      </c>
      <c r="DT18" s="239">
        <v>30</v>
      </c>
      <c r="DU18" s="239">
        <v>25</v>
      </c>
      <c r="DV18" s="281">
        <f t="shared" ref="DV18:DW18" si="44">+DU18</f>
        <v>25</v>
      </c>
      <c r="DW18" s="281">
        <f t="shared" si="44"/>
        <v>25</v>
      </c>
      <c r="DX18" s="257">
        <f>DW18</f>
        <v>25</v>
      </c>
      <c r="DY18" s="281">
        <f t="shared" ref="DY18" si="45">+DW18</f>
        <v>25</v>
      </c>
      <c r="DZ18" s="281">
        <f t="shared" ref="DZ18:EB18" si="46">+DY18</f>
        <v>25</v>
      </c>
      <c r="EA18" s="281">
        <f t="shared" si="46"/>
        <v>25</v>
      </c>
      <c r="EB18" s="281">
        <f t="shared" si="46"/>
        <v>25</v>
      </c>
      <c r="EC18" s="257">
        <f t="shared" ref="EC18" si="47">EB18</f>
        <v>25</v>
      </c>
      <c r="ED18" s="281">
        <f t="shared" ref="ED18" si="48">+EB18</f>
        <v>25</v>
      </c>
      <c r="EE18" s="281">
        <f t="shared" ref="EE18:EG18" si="49">+ED18</f>
        <v>25</v>
      </c>
      <c r="EF18" s="281">
        <f t="shared" si="49"/>
        <v>25</v>
      </c>
      <c r="EG18" s="281">
        <f t="shared" si="49"/>
        <v>25</v>
      </c>
      <c r="EH18" s="257">
        <f t="shared" ref="EH18:EH19" si="50">EG18</f>
        <v>25</v>
      </c>
      <c r="EI18" s="281">
        <f t="shared" ref="EI18" si="51">+EG18</f>
        <v>25</v>
      </c>
      <c r="EJ18" s="281">
        <f t="shared" ref="EJ18:EL18" si="52">+EI18</f>
        <v>25</v>
      </c>
      <c r="EK18" s="281">
        <f t="shared" si="52"/>
        <v>25</v>
      </c>
      <c r="EL18" s="281">
        <f t="shared" si="52"/>
        <v>25</v>
      </c>
      <c r="EM18" s="257">
        <f t="shared" ref="EM18:EM19" si="53">EL18</f>
        <v>25</v>
      </c>
      <c r="EN18" s="281">
        <f t="shared" ref="EN18" si="54">+EL18</f>
        <v>25</v>
      </c>
      <c r="EO18" s="281">
        <f t="shared" ref="EO18:EQ18" si="55">+EN18</f>
        <v>25</v>
      </c>
      <c r="EP18" s="281">
        <f t="shared" si="55"/>
        <v>25</v>
      </c>
      <c r="EQ18" s="281">
        <f t="shared" si="55"/>
        <v>25</v>
      </c>
      <c r="ER18" s="257">
        <f t="shared" ref="ER18:ER19" si="56">EQ18</f>
        <v>25</v>
      </c>
      <c r="ES18" s="377"/>
      <c r="ET18" s="377"/>
      <c r="EU18" s="377"/>
      <c r="EV18" s="377"/>
      <c r="EW18"/>
      <c r="EX18"/>
      <c r="EY18"/>
      <c r="EZ18"/>
      <c r="FA18"/>
      <c r="FB18" s="377"/>
      <c r="FC18" s="377"/>
      <c r="FD18" s="377"/>
      <c r="FE18" s="377"/>
      <c r="FF18" s="377"/>
      <c r="FG18" s="377"/>
      <c r="FH18" s="377"/>
      <c r="FI18" s="377"/>
      <c r="FJ18" s="377"/>
      <c r="FK18" s="377"/>
      <c r="FL18" s="377"/>
      <c r="FM18" s="377"/>
      <c r="FN18" s="377"/>
      <c r="FO18" s="377"/>
      <c r="FP18" s="377"/>
      <c r="FQ18" s="377"/>
      <c r="FR18" s="377"/>
      <c r="FS18" s="377"/>
      <c r="FT18" s="377"/>
      <c r="FU18" s="377"/>
      <c r="FV18" s="377"/>
      <c r="FW18" s="377"/>
      <c r="FX18" s="377"/>
      <c r="FY18" s="377"/>
      <c r="FZ18" s="377"/>
      <c r="GA18" s="377"/>
      <c r="GB18" s="377"/>
      <c r="GC18" s="377"/>
      <c r="GD18" s="377"/>
      <c r="GE18" s="377"/>
      <c r="GF18" s="377"/>
      <c r="GG18" s="377"/>
      <c r="GH18" s="377"/>
      <c r="GI18" s="377"/>
      <c r="GJ18" s="377"/>
      <c r="GK18" s="377"/>
      <c r="GL18" s="377"/>
      <c r="GM18" s="377"/>
      <c r="GN18" s="377"/>
      <c r="GO18" s="377"/>
      <c r="GP18" s="377"/>
      <c r="GQ18" s="377"/>
      <c r="GR18" s="377"/>
      <c r="GS18" s="377"/>
      <c r="GT18" s="377"/>
      <c r="GU18" s="377"/>
      <c r="GV18" s="377"/>
      <c r="GW18" s="377"/>
      <c r="GX18" s="377"/>
      <c r="GY18" s="377"/>
      <c r="GZ18" s="377"/>
      <c r="HA18" s="377"/>
      <c r="HB18" s="377"/>
      <c r="HC18" s="377"/>
      <c r="HD18" s="377"/>
      <c r="HE18" s="377"/>
      <c r="HF18" s="377"/>
      <c r="HG18" s="377"/>
      <c r="HH18" s="377"/>
      <c r="HI18" s="377"/>
      <c r="HJ18" s="377"/>
      <c r="HK18" s="377"/>
      <c r="HL18" s="377"/>
      <c r="HM18" s="377"/>
      <c r="HN18" s="377"/>
      <c r="HO18" s="377"/>
      <c r="HP18" s="377"/>
      <c r="HQ18" s="377"/>
      <c r="HR18" s="377"/>
      <c r="HS18" s="377"/>
      <c r="HT18" s="377"/>
      <c r="HU18" s="377"/>
      <c r="HV18" s="377"/>
      <c r="HW18" s="377"/>
      <c r="HX18" s="377"/>
      <c r="HY18" s="377"/>
      <c r="HZ18" s="377"/>
      <c r="IA18" s="377"/>
      <c r="IB18" s="377"/>
      <c r="IC18" s="377"/>
      <c r="ID18" s="377"/>
      <c r="IE18" s="377"/>
      <c r="IF18" s="377"/>
      <c r="IG18" s="377"/>
      <c r="IH18" s="377"/>
      <c r="II18" s="377"/>
      <c r="IJ18" s="377"/>
      <c r="IK18" s="377"/>
      <c r="IL18" s="377"/>
      <c r="IM18" s="377"/>
      <c r="IN18" s="377"/>
      <c r="IO18" s="377"/>
      <c r="IP18" s="377"/>
      <c r="IQ18" s="377"/>
      <c r="IR18" s="377"/>
      <c r="IS18" s="377"/>
      <c r="IT18" s="377"/>
      <c r="IU18" s="377"/>
      <c r="IV18" s="377"/>
      <c r="IW18" s="377"/>
      <c r="IX18" s="377"/>
      <c r="IY18" s="377"/>
      <c r="IZ18" s="377"/>
      <c r="JA18" s="377"/>
      <c r="JB18" s="377"/>
      <c r="JC18" s="377"/>
      <c r="JD18" s="377"/>
      <c r="JE18" s="377"/>
      <c r="JF18" s="377"/>
      <c r="JG18" s="377"/>
      <c r="JH18" s="377"/>
      <c r="JI18" s="377"/>
      <c r="JJ18" s="377"/>
      <c r="JK18" s="377"/>
      <c r="JL18" s="377"/>
      <c r="JM18" s="377"/>
    </row>
    <row r="19" spans="1:273" s="160" customFormat="1" ht="12" customHeight="1">
      <c r="A19" s="133"/>
      <c r="B19" s="133"/>
      <c r="C19" s="1556" t="s">
        <v>796</v>
      </c>
      <c r="D19" s="1557"/>
      <c r="E19" s="1557"/>
      <c r="F19" s="1557"/>
      <c r="G19" s="1557"/>
      <c r="H19" s="1557"/>
      <c r="I19" s="1558"/>
      <c r="J19" s="1558"/>
      <c r="K19" s="1558"/>
      <c r="L19" s="1558"/>
      <c r="M19" s="459"/>
      <c r="N19" s="1558"/>
      <c r="O19" s="1558"/>
      <c r="P19" s="1558"/>
      <c r="Q19" s="1558"/>
      <c r="R19" s="459"/>
      <c r="S19" s="1558"/>
      <c r="T19" s="1558"/>
      <c r="U19" s="1558"/>
      <c r="V19" s="1558"/>
      <c r="W19" s="459"/>
      <c r="X19" s="1558"/>
      <c r="Y19" s="1558"/>
      <c r="Z19" s="1558"/>
      <c r="AA19" s="1558"/>
      <c r="AB19" s="459"/>
      <c r="AC19" s="1558"/>
      <c r="AD19" s="1558"/>
      <c r="AE19" s="1558"/>
      <c r="AF19" s="1558"/>
      <c r="AG19" s="459"/>
      <c r="AH19" s="1558"/>
      <c r="AI19" s="1558"/>
      <c r="AJ19" s="1558"/>
      <c r="AK19" s="1558"/>
      <c r="AL19" s="459"/>
      <c r="AM19" s="1558"/>
      <c r="AN19" s="1558"/>
      <c r="AO19" s="1558"/>
      <c r="AP19" s="1558"/>
      <c r="AQ19" s="459"/>
      <c r="AR19" s="1558"/>
      <c r="AS19" s="1558"/>
      <c r="AT19" s="1558"/>
      <c r="AU19" s="1558"/>
      <c r="AV19" s="459"/>
      <c r="AW19" s="1558"/>
      <c r="AX19" s="1558"/>
      <c r="AY19" s="1558"/>
      <c r="AZ19" s="1558"/>
      <c r="BA19" s="459"/>
      <c r="BB19" s="1558"/>
      <c r="BC19" s="1558"/>
      <c r="BD19" s="1558"/>
      <c r="BE19" s="1558"/>
      <c r="BF19" s="459"/>
      <c r="BG19" s="1559"/>
      <c r="BH19" s="1559"/>
      <c r="BI19" s="1559"/>
      <c r="BJ19" s="1558"/>
      <c r="BK19" s="1557"/>
      <c r="BL19" s="1558"/>
      <c r="BM19" s="1558"/>
      <c r="BN19" s="1558"/>
      <c r="BO19" s="1558"/>
      <c r="BP19" s="459"/>
      <c r="BQ19" s="1360">
        <f t="shared" ref="BQ19:BT19" si="57">SUM(BQ15:BQ17)</f>
        <v>0</v>
      </c>
      <c r="BR19" s="1360">
        <f t="shared" si="57"/>
        <v>29.431000000000001</v>
      </c>
      <c r="BS19" s="1360">
        <f t="shared" si="57"/>
        <v>33.244999999999997</v>
      </c>
      <c r="BT19" s="1360">
        <f t="shared" si="57"/>
        <v>38.874000000000002</v>
      </c>
      <c r="BU19" s="272">
        <f t="shared" ref="BU19" si="58">BT19</f>
        <v>38.874000000000002</v>
      </c>
      <c r="BV19" s="1360">
        <f t="shared" ref="BV19:BY19" si="59">SUM(BV15:BV17)</f>
        <v>39.74</v>
      </c>
      <c r="BW19" s="1360">
        <f t="shared" si="59"/>
        <v>45.934000000000005</v>
      </c>
      <c r="BX19" s="1360">
        <f t="shared" si="59"/>
        <v>31.666</v>
      </c>
      <c r="BY19" s="1360">
        <f t="shared" si="59"/>
        <v>52.155999999999999</v>
      </c>
      <c r="BZ19" s="272">
        <f t="shared" ref="BZ19" si="60">BY19</f>
        <v>52.155999999999999</v>
      </c>
      <c r="CA19" s="1360">
        <f t="shared" ref="CA19:CD19" si="61">SUM(CA15:CA17)</f>
        <v>51.533000000000001</v>
      </c>
      <c r="CB19" s="1360">
        <f t="shared" si="61"/>
        <v>62.679000000000002</v>
      </c>
      <c r="CC19" s="1360">
        <f t="shared" si="61"/>
        <v>66.164999999999992</v>
      </c>
      <c r="CD19" s="1360">
        <f t="shared" si="61"/>
        <v>67.569999999999993</v>
      </c>
      <c r="CE19" s="272">
        <f t="shared" ref="CE19" si="62">CD19</f>
        <v>67.569999999999993</v>
      </c>
      <c r="CF19" s="1360">
        <f t="shared" ref="CF19:CI19" si="63">SUM(CF15:CF17)</f>
        <v>72.742000000000004</v>
      </c>
      <c r="CG19" s="1360">
        <f t="shared" si="63"/>
        <v>79.462999999999994</v>
      </c>
      <c r="CH19" s="1360">
        <f t="shared" si="63"/>
        <v>81.813999999999993</v>
      </c>
      <c r="CI19" s="1360">
        <f t="shared" si="63"/>
        <v>87.683999999999997</v>
      </c>
      <c r="CJ19" s="272">
        <f t="shared" ref="CJ19" si="64">CI19</f>
        <v>87.683999999999997</v>
      </c>
      <c r="CK19" s="1360">
        <f t="shared" ref="CK19:CN19" si="65">SUM(CK15:CK17)</f>
        <v>185.11700000000002</v>
      </c>
      <c r="CL19" s="1360">
        <f t="shared" si="65"/>
        <v>207.75800000000001</v>
      </c>
      <c r="CM19" s="1360">
        <f t="shared" si="65"/>
        <v>213.68799999999999</v>
      </c>
      <c r="CN19" s="1360">
        <f t="shared" si="65"/>
        <v>413.45400000000001</v>
      </c>
      <c r="CO19" s="272">
        <f t="shared" ref="CO19" si="66">CN19</f>
        <v>413.45400000000001</v>
      </c>
      <c r="CP19" s="1360">
        <f t="shared" ref="CP19:CS19" si="67">SUM(CP15:CP17)</f>
        <v>409.62199999999996</v>
      </c>
      <c r="CQ19" s="1360">
        <f t="shared" si="67"/>
        <v>372.97299999999996</v>
      </c>
      <c r="CR19" s="1360">
        <f t="shared" si="67"/>
        <v>361.33299999999997</v>
      </c>
      <c r="CS19" s="1360">
        <f t="shared" si="67"/>
        <v>347.15300000000002</v>
      </c>
      <c r="CT19" s="272">
        <f t="shared" ref="CT19" si="68">CS19</f>
        <v>347.15300000000002</v>
      </c>
      <c r="CU19" s="1360">
        <f t="shared" ref="CU19:CX19" si="69">SUM(CU15:CU17)</f>
        <v>344.87</v>
      </c>
      <c r="CV19" s="1360">
        <f t="shared" si="69"/>
        <v>335.21600000000001</v>
      </c>
      <c r="CW19" s="1360">
        <f t="shared" si="69"/>
        <v>357.13</v>
      </c>
      <c r="CX19" s="1360">
        <f t="shared" si="69"/>
        <v>440.40999999999997</v>
      </c>
      <c r="CY19" s="272">
        <f t="shared" ref="CY19" si="70">CX19</f>
        <v>440.40999999999997</v>
      </c>
      <c r="CZ19" s="1360">
        <f t="shared" ref="CZ19:DC19" si="71">SUM(CZ15:CZ17)</f>
        <v>461.38299999999998</v>
      </c>
      <c r="DA19" s="1360">
        <f t="shared" si="71"/>
        <v>471.89099999999996</v>
      </c>
      <c r="DB19" s="1360">
        <f t="shared" si="71"/>
        <v>889.02</v>
      </c>
      <c r="DC19" s="1360">
        <f t="shared" si="71"/>
        <v>876.11400000000003</v>
      </c>
      <c r="DD19" s="272">
        <f t="shared" ref="DD19" si="72">DC19</f>
        <v>876.11400000000003</v>
      </c>
      <c r="DE19" s="1360">
        <f t="shared" ref="DE19:DH19" si="73">SUM(DE15:DE17)</f>
        <v>854</v>
      </c>
      <c r="DF19" s="1360">
        <f t="shared" si="73"/>
        <v>196</v>
      </c>
      <c r="DG19" s="1360">
        <f t="shared" si="73"/>
        <v>157</v>
      </c>
      <c r="DH19" s="1360">
        <f t="shared" si="73"/>
        <v>176</v>
      </c>
      <c r="DI19" s="272">
        <f t="shared" si="8"/>
        <v>176</v>
      </c>
      <c r="DJ19" s="1360">
        <f>SUM(DJ15:DJ17)</f>
        <v>173</v>
      </c>
      <c r="DK19" s="1360">
        <f>SUM(DK15:DK17)</f>
        <v>170</v>
      </c>
      <c r="DL19" s="1360">
        <f>SUM(DL15:DL18)</f>
        <v>167</v>
      </c>
      <c r="DM19" s="1360">
        <f>SUM(DM15:DM18)</f>
        <v>183</v>
      </c>
      <c r="DN19" s="272">
        <f>DM19</f>
        <v>183</v>
      </c>
      <c r="DO19" s="1360">
        <f>SUM(DO15:DO18)</f>
        <v>213</v>
      </c>
      <c r="DP19" s="1360">
        <f>SUM(DP15:DP18)</f>
        <v>207</v>
      </c>
      <c r="DQ19" s="1360">
        <f>SUM(DQ15:DQ18)</f>
        <v>201</v>
      </c>
      <c r="DR19" s="1360">
        <f>SUM(DR15:DR18)</f>
        <v>210</v>
      </c>
      <c r="DS19" s="272">
        <f>DR19</f>
        <v>210</v>
      </c>
      <c r="DT19" s="1360">
        <f>SUM(DT15:DT18)</f>
        <v>196</v>
      </c>
      <c r="DU19" s="1360">
        <f>SUM(DU15:DU18)</f>
        <v>195</v>
      </c>
      <c r="DV19" s="1360">
        <f t="shared" ref="DV19:DW19" si="74">SUM(DV15:DV18)</f>
        <v>195.3455382114789</v>
      </c>
      <c r="DW19" s="1360">
        <f t="shared" si="74"/>
        <v>199.97065723811514</v>
      </c>
      <c r="DX19" s="272">
        <f t="shared" ref="DX19" si="75">DW19</f>
        <v>199.97065723811514</v>
      </c>
      <c r="DY19" s="1360">
        <f t="shared" ref="DY19:EB19" si="76">SUM(DY15:DY18)</f>
        <v>199.9530964556464</v>
      </c>
      <c r="DZ19" s="1360">
        <f t="shared" si="76"/>
        <v>198.4822238770397</v>
      </c>
      <c r="EA19" s="1360">
        <f t="shared" si="76"/>
        <v>200.80138592652438</v>
      </c>
      <c r="EB19" s="1360">
        <f t="shared" si="76"/>
        <v>208.24351743731907</v>
      </c>
      <c r="EC19" s="272">
        <f t="shared" ref="EC19" si="77">EB19</f>
        <v>208.24351743731907</v>
      </c>
      <c r="ED19" s="1360">
        <f t="shared" ref="ED19" si="78">SUM(ED15:ED18)</f>
        <v>209.00496434256368</v>
      </c>
      <c r="EE19" s="1360">
        <f t="shared" ref="EE19" si="79">SUM(EE15:EE18)</f>
        <v>208.02244015319698</v>
      </c>
      <c r="EF19" s="1360">
        <f t="shared" ref="EF19" si="80">SUM(EF15:EF18)</f>
        <v>211.59108799501183</v>
      </c>
      <c r="EG19" s="1360">
        <f t="shared" ref="EG19" si="81">SUM(EG15:EG18)</f>
        <v>221.30286132285278</v>
      </c>
      <c r="EH19" s="272">
        <f t="shared" si="50"/>
        <v>221.30286132285278</v>
      </c>
      <c r="EI19" s="1360">
        <f t="shared" ref="EI19" si="82">SUM(EI15:EI18)</f>
        <v>223.05293391443314</v>
      </c>
      <c r="EJ19" s="1360">
        <f t="shared" ref="EJ19" si="83">SUM(EJ15:EJ18)</f>
        <v>222.71425517062303</v>
      </c>
      <c r="EK19" s="1360">
        <f t="shared" ref="EK19" si="84">SUM(EK15:EK18)</f>
        <v>227.83801374726582</v>
      </c>
      <c r="EL19" s="1360">
        <f t="shared" ref="EL19" si="85">SUM(EL15:EL18)</f>
        <v>240.34271752467495</v>
      </c>
      <c r="EM19" s="272">
        <f t="shared" si="53"/>
        <v>240.34271752467495</v>
      </c>
      <c r="EN19" s="1360">
        <f t="shared" ref="EN19" si="86">SUM(EN15:EN18)</f>
        <v>243.32049587214601</v>
      </c>
      <c r="EO19" s="1360">
        <f t="shared" ref="EO19" si="87">SUM(EO15:EO18)</f>
        <v>243.80139629343503</v>
      </c>
      <c r="EP19" s="1360">
        <f t="shared" ref="EP19" si="88">SUM(EP15:EP18)</f>
        <v>250.83877804280786</v>
      </c>
      <c r="EQ19" s="1360">
        <f t="shared" ref="EQ19" si="89">SUM(EQ15:EQ18)</f>
        <v>266.7573310940636</v>
      </c>
      <c r="ER19" s="272">
        <f t="shared" si="56"/>
        <v>266.7573310940636</v>
      </c>
      <c r="ES19" s="377"/>
      <c r="ET19" s="377"/>
      <c r="EU19" s="377"/>
      <c r="EV19" s="377"/>
      <c r="EW19"/>
      <c r="EX19"/>
      <c r="EY19"/>
      <c r="EZ19"/>
      <c r="FA19"/>
      <c r="FB19" s="377"/>
      <c r="FC19" s="377"/>
      <c r="FD19" s="377"/>
      <c r="FE19" s="377"/>
      <c r="FF19" s="377"/>
      <c r="FG19" s="377"/>
      <c r="FH19" s="377"/>
      <c r="FI19" s="377"/>
      <c r="FJ19" s="377"/>
      <c r="FK19" s="377"/>
      <c r="FL19" s="377"/>
      <c r="FM19" s="377"/>
      <c r="FN19" s="377"/>
      <c r="FO19" s="377"/>
      <c r="FP19" s="377"/>
      <c r="FQ19" s="377"/>
      <c r="FR19" s="377"/>
      <c r="FS19" s="377"/>
      <c r="FT19" s="377"/>
      <c r="FU19" s="377"/>
      <c r="FV19" s="377"/>
      <c r="FW19" s="377"/>
      <c r="FX19" s="377"/>
      <c r="FY19" s="377"/>
      <c r="FZ19" s="377"/>
      <c r="GA19" s="377"/>
      <c r="GB19" s="377"/>
      <c r="GC19" s="377"/>
      <c r="GD19" s="377"/>
      <c r="GE19" s="377"/>
      <c r="GF19" s="377"/>
      <c r="GG19" s="377"/>
      <c r="GH19" s="377"/>
      <c r="GI19" s="377"/>
      <c r="GJ19" s="377"/>
      <c r="GK19" s="377"/>
      <c r="GL19" s="377"/>
      <c r="GM19" s="377"/>
      <c r="GN19" s="377"/>
      <c r="GO19" s="377"/>
      <c r="GP19" s="377"/>
      <c r="GQ19" s="377"/>
      <c r="GR19" s="377"/>
      <c r="GS19" s="377"/>
      <c r="GT19" s="377"/>
      <c r="GU19" s="377"/>
      <c r="GV19" s="377"/>
      <c r="GW19" s="377"/>
      <c r="GX19" s="377"/>
      <c r="GY19" s="377"/>
      <c r="GZ19" s="377"/>
      <c r="HA19" s="377"/>
      <c r="HB19" s="377"/>
      <c r="HC19" s="377"/>
      <c r="HD19" s="377"/>
      <c r="HE19" s="377"/>
      <c r="HF19" s="377"/>
      <c r="HG19" s="377"/>
      <c r="HH19" s="377"/>
      <c r="HI19" s="377"/>
      <c r="HJ19" s="377"/>
      <c r="HK19" s="377"/>
      <c r="HL19" s="377"/>
      <c r="HM19" s="377"/>
      <c r="HN19" s="377"/>
      <c r="HO19" s="377"/>
      <c r="HP19" s="377"/>
      <c r="HQ19" s="377"/>
      <c r="HR19" s="377"/>
      <c r="HS19" s="377"/>
      <c r="HT19" s="377"/>
      <c r="HU19" s="377"/>
      <c r="HV19" s="377"/>
      <c r="HW19" s="377"/>
      <c r="HX19" s="377"/>
      <c r="HY19" s="377"/>
      <c r="HZ19" s="377"/>
      <c r="IA19" s="377"/>
      <c r="IB19" s="377"/>
      <c r="IC19" s="377"/>
      <c r="ID19" s="377"/>
      <c r="IE19" s="377"/>
      <c r="IF19" s="377"/>
      <c r="IG19" s="377"/>
      <c r="IH19" s="377"/>
      <c r="II19" s="377"/>
      <c r="IJ19" s="377"/>
      <c r="IK19" s="377"/>
      <c r="IL19" s="377"/>
      <c r="IM19" s="377"/>
      <c r="IN19" s="377"/>
      <c r="IO19" s="377"/>
      <c r="IP19" s="377"/>
      <c r="IQ19" s="377"/>
      <c r="IR19" s="377"/>
      <c r="IS19" s="377"/>
      <c r="IT19" s="377"/>
      <c r="IU19" s="377"/>
      <c r="IV19" s="377"/>
      <c r="IW19" s="377"/>
      <c r="IX19" s="377"/>
      <c r="IY19" s="377"/>
      <c r="IZ19" s="377"/>
      <c r="JA19" s="377"/>
      <c r="JB19" s="377"/>
      <c r="JC19" s="377"/>
      <c r="JD19" s="377"/>
      <c r="JE19" s="377"/>
      <c r="JF19" s="377"/>
      <c r="JG19" s="377"/>
      <c r="JH19" s="377"/>
      <c r="JI19" s="377"/>
      <c r="JJ19" s="377"/>
      <c r="JK19" s="377"/>
      <c r="JL19" s="377"/>
      <c r="JM19" s="377"/>
    </row>
    <row r="20" spans="1:273" s="160" customFormat="1" ht="12" customHeight="1">
      <c r="A20" s="133"/>
      <c r="B20" s="133"/>
      <c r="C20" s="265" t="s">
        <v>244</v>
      </c>
      <c r="D20" s="315"/>
      <c r="E20" s="315"/>
      <c r="F20" s="315"/>
      <c r="G20" s="315"/>
      <c r="H20" s="315"/>
      <c r="I20" s="316"/>
      <c r="J20" s="316"/>
      <c r="K20" s="316"/>
      <c r="L20" s="316"/>
      <c r="M20" s="380"/>
      <c r="N20" s="316"/>
      <c r="O20" s="316"/>
      <c r="P20" s="316"/>
      <c r="Q20" s="316"/>
      <c r="R20" s="380"/>
      <c r="S20" s="316"/>
      <c r="T20" s="316"/>
      <c r="U20" s="316"/>
      <c r="V20" s="316"/>
      <c r="W20" s="380"/>
      <c r="X20" s="316"/>
      <c r="Y20" s="316"/>
      <c r="Z20" s="316"/>
      <c r="AA20" s="316"/>
      <c r="AB20" s="380"/>
      <c r="AC20" s="316"/>
      <c r="AD20" s="316"/>
      <c r="AE20" s="316"/>
      <c r="AF20" s="316"/>
      <c r="AG20" s="380"/>
      <c r="AH20" s="316"/>
      <c r="AI20" s="316"/>
      <c r="AJ20" s="316"/>
      <c r="AK20" s="316"/>
      <c r="AL20" s="380"/>
      <c r="AM20" s="316"/>
      <c r="AN20" s="316"/>
      <c r="AO20" s="316"/>
      <c r="AP20" s="316"/>
      <c r="AQ20" s="380"/>
      <c r="AR20" s="316"/>
      <c r="AS20" s="316"/>
      <c r="AT20" s="316"/>
      <c r="AU20" s="316"/>
      <c r="AV20" s="380"/>
      <c r="AW20" s="316"/>
      <c r="AX20" s="316"/>
      <c r="AY20" s="316"/>
      <c r="AZ20" s="316"/>
      <c r="BA20" s="380"/>
      <c r="BB20" s="316"/>
      <c r="BC20" s="316"/>
      <c r="BD20" s="316"/>
      <c r="BE20" s="316"/>
      <c r="BF20" s="380"/>
      <c r="BG20" s="93"/>
      <c r="BH20" s="93"/>
      <c r="BI20" s="93"/>
      <c r="BJ20" s="316"/>
      <c r="BK20" s="315"/>
      <c r="BL20" s="316"/>
      <c r="BM20" s="316"/>
      <c r="BN20" s="316"/>
      <c r="BO20" s="316"/>
      <c r="BP20" s="380"/>
      <c r="BQ20" s="239"/>
      <c r="BR20" s="393">
        <v>0</v>
      </c>
      <c r="BS20" s="393">
        <v>0</v>
      </c>
      <c r="BT20" s="393">
        <v>0</v>
      </c>
      <c r="BU20" s="286">
        <f t="shared" si="27"/>
        <v>0</v>
      </c>
      <c r="BV20" s="393">
        <v>0</v>
      </c>
      <c r="BW20" s="393">
        <v>0</v>
      </c>
      <c r="BX20" s="393">
        <v>0</v>
      </c>
      <c r="BY20" s="393">
        <v>0</v>
      </c>
      <c r="BZ20" s="286">
        <f t="shared" si="28"/>
        <v>0</v>
      </c>
      <c r="CA20" s="393">
        <v>0</v>
      </c>
      <c r="CB20" s="393">
        <v>0</v>
      </c>
      <c r="CC20" s="393">
        <v>0</v>
      </c>
      <c r="CD20" s="393">
        <v>0</v>
      </c>
      <c r="CE20" s="286">
        <f t="shared" si="29"/>
        <v>0</v>
      </c>
      <c r="CF20" s="393">
        <v>0</v>
      </c>
      <c r="CG20" s="393">
        <v>0</v>
      </c>
      <c r="CH20" s="393">
        <v>0</v>
      </c>
      <c r="CI20" s="393">
        <v>0</v>
      </c>
      <c r="CJ20" s="286">
        <f t="shared" si="30"/>
        <v>0</v>
      </c>
      <c r="CK20" s="393">
        <v>0</v>
      </c>
      <c r="CL20" s="393">
        <v>0</v>
      </c>
      <c r="CM20" s="393">
        <v>16.04</v>
      </c>
      <c r="CN20" s="393">
        <v>19.431999999999999</v>
      </c>
      <c r="CO20" s="286">
        <f t="shared" si="31"/>
        <v>19.431999999999999</v>
      </c>
      <c r="CP20" s="393">
        <v>21.541</v>
      </c>
      <c r="CQ20" s="393">
        <v>24.407</v>
      </c>
      <c r="CR20" s="393">
        <v>5.1159999999999997</v>
      </c>
      <c r="CS20" s="393">
        <v>52.677</v>
      </c>
      <c r="CT20" s="286">
        <f t="shared" si="32"/>
        <v>52.677</v>
      </c>
      <c r="CU20" s="393">
        <v>54.097000000000001</v>
      </c>
      <c r="CV20" s="393">
        <v>52.11</v>
      </c>
      <c r="CW20" s="393">
        <v>52.073</v>
      </c>
      <c r="CX20" s="393">
        <v>48.369</v>
      </c>
      <c r="CY20" s="286">
        <f t="shared" si="33"/>
        <v>48.369</v>
      </c>
      <c r="CZ20" s="393">
        <v>47.064</v>
      </c>
      <c r="DA20" s="393">
        <v>44.762999999999998</v>
      </c>
      <c r="DB20" s="393">
        <v>43.25</v>
      </c>
      <c r="DC20" s="393">
        <v>40.822000000000003</v>
      </c>
      <c r="DD20" s="286">
        <f t="shared" si="34"/>
        <v>40.822000000000003</v>
      </c>
      <c r="DE20" s="393">
        <v>41</v>
      </c>
      <c r="DF20" s="393">
        <v>39</v>
      </c>
      <c r="DG20" s="393">
        <v>39</v>
      </c>
      <c r="DH20" s="393">
        <v>44</v>
      </c>
      <c r="DI20" s="286">
        <f t="shared" si="8"/>
        <v>44</v>
      </c>
      <c r="DJ20" s="393">
        <v>43</v>
      </c>
      <c r="DK20" s="393">
        <v>44</v>
      </c>
      <c r="DL20" s="393">
        <v>39</v>
      </c>
      <c r="DM20" s="393">
        <v>37</v>
      </c>
      <c r="DN20" s="286">
        <f t="shared" si="35"/>
        <v>37</v>
      </c>
      <c r="DO20" s="393">
        <v>98</v>
      </c>
      <c r="DP20" s="393">
        <v>31</v>
      </c>
      <c r="DQ20" s="393">
        <v>29</v>
      </c>
      <c r="DR20" s="393">
        <v>33</v>
      </c>
      <c r="DS20" s="286">
        <f t="shared" si="10"/>
        <v>33</v>
      </c>
      <c r="DT20" s="393">
        <v>117</v>
      </c>
      <c r="DU20" s="393">
        <v>30</v>
      </c>
      <c r="DV20" s="384">
        <f>DU20</f>
        <v>30</v>
      </c>
      <c r="DW20" s="384">
        <f>DV20</f>
        <v>30</v>
      </c>
      <c r="DX20" s="286">
        <f>DW20</f>
        <v>30</v>
      </c>
      <c r="DY20" s="384">
        <f>DW20</f>
        <v>30</v>
      </c>
      <c r="DZ20" s="384">
        <f>DY20</f>
        <v>30</v>
      </c>
      <c r="EA20" s="384">
        <f>DZ20</f>
        <v>30</v>
      </c>
      <c r="EB20" s="384">
        <f>EA20</f>
        <v>30</v>
      </c>
      <c r="EC20" s="286">
        <f>EB20</f>
        <v>30</v>
      </c>
      <c r="ED20" s="384">
        <f>EB20</f>
        <v>30</v>
      </c>
      <c r="EE20" s="384">
        <f>ED20</f>
        <v>30</v>
      </c>
      <c r="EF20" s="384">
        <f>EE20</f>
        <v>30</v>
      </c>
      <c r="EG20" s="384">
        <f>EF20</f>
        <v>30</v>
      </c>
      <c r="EH20" s="286">
        <f>EG20</f>
        <v>30</v>
      </c>
      <c r="EI20" s="384">
        <f>EG20</f>
        <v>30</v>
      </c>
      <c r="EJ20" s="384">
        <f>EI20</f>
        <v>30</v>
      </c>
      <c r="EK20" s="384">
        <f>EJ20</f>
        <v>30</v>
      </c>
      <c r="EL20" s="384">
        <f>EK20</f>
        <v>30</v>
      </c>
      <c r="EM20" s="286">
        <f>EL20</f>
        <v>30</v>
      </c>
      <c r="EN20" s="384">
        <f>EL20</f>
        <v>30</v>
      </c>
      <c r="EO20" s="384">
        <f>EN20</f>
        <v>30</v>
      </c>
      <c r="EP20" s="384">
        <f>EO20</f>
        <v>30</v>
      </c>
      <c r="EQ20" s="384">
        <f>EP20</f>
        <v>30</v>
      </c>
      <c r="ER20" s="286">
        <f>EQ20</f>
        <v>30</v>
      </c>
      <c r="ES20" s="377"/>
      <c r="ET20" s="377"/>
      <c r="EU20" s="377"/>
      <c r="EV20" s="377"/>
      <c r="EW20"/>
      <c r="EX20"/>
      <c r="EY20"/>
      <c r="EZ20"/>
      <c r="FA20"/>
      <c r="FB20" s="377"/>
      <c r="FC20" s="377"/>
      <c r="FD20" s="377"/>
      <c r="FE20" s="377"/>
      <c r="FF20" s="377"/>
      <c r="FG20" s="377"/>
      <c r="FH20" s="377"/>
      <c r="FI20" s="377"/>
      <c r="FJ20" s="377"/>
      <c r="FK20" s="377"/>
      <c r="FL20" s="377"/>
      <c r="FM20" s="377"/>
      <c r="FN20" s="377"/>
      <c r="FO20" s="377"/>
      <c r="FP20" s="377"/>
      <c r="FQ20" s="377"/>
      <c r="FR20" s="377"/>
      <c r="FS20" s="377"/>
      <c r="FT20" s="377"/>
      <c r="FU20" s="377"/>
      <c r="FV20" s="377"/>
      <c r="FW20" s="377"/>
      <c r="FX20" s="377"/>
      <c r="FY20" s="377"/>
      <c r="FZ20" s="377"/>
      <c r="GA20" s="377"/>
      <c r="GB20" s="377"/>
      <c r="GC20" s="377"/>
      <c r="GD20" s="377"/>
      <c r="GE20" s="377"/>
      <c r="GF20" s="377"/>
      <c r="GG20" s="377"/>
      <c r="GH20" s="377"/>
      <c r="GI20" s="377"/>
      <c r="GJ20" s="377"/>
      <c r="GK20" s="377"/>
      <c r="GL20" s="377"/>
      <c r="GM20" s="377"/>
      <c r="GN20" s="377"/>
      <c r="GO20" s="377"/>
      <c r="GP20" s="377"/>
      <c r="GQ20" s="377"/>
      <c r="GR20" s="377"/>
      <c r="GS20" s="377"/>
      <c r="GT20" s="377"/>
      <c r="GU20" s="377"/>
      <c r="GV20" s="377"/>
      <c r="GW20" s="377"/>
      <c r="GX20" s="377"/>
      <c r="GY20" s="377"/>
      <c r="GZ20" s="377"/>
      <c r="HA20" s="377"/>
      <c r="HB20" s="377"/>
      <c r="HC20" s="377"/>
      <c r="HD20" s="377"/>
      <c r="HE20" s="377"/>
      <c r="HF20" s="377"/>
      <c r="HG20" s="377"/>
      <c r="HH20" s="377"/>
      <c r="HI20" s="377"/>
      <c r="HJ20" s="377"/>
      <c r="HK20" s="377"/>
      <c r="HL20" s="377"/>
      <c r="HM20" s="377"/>
      <c r="HN20" s="377"/>
      <c r="HO20" s="377"/>
      <c r="HP20" s="377"/>
      <c r="HQ20" s="377"/>
      <c r="HR20" s="377"/>
      <c r="HS20" s="377"/>
      <c r="HT20" s="377"/>
      <c r="HU20" s="377"/>
      <c r="HV20" s="377"/>
      <c r="HW20" s="377"/>
      <c r="HX20" s="377"/>
      <c r="HY20" s="377"/>
      <c r="HZ20" s="377"/>
      <c r="IA20" s="377"/>
      <c r="IB20" s="377"/>
      <c r="IC20" s="377"/>
      <c r="ID20" s="377"/>
      <c r="IE20" s="377"/>
      <c r="IF20" s="377"/>
      <c r="IG20" s="377"/>
      <c r="IH20" s="377"/>
      <c r="II20" s="377"/>
      <c r="IJ20" s="377"/>
      <c r="IK20" s="377"/>
      <c r="IL20" s="377"/>
      <c r="IM20" s="377"/>
      <c r="IN20" s="377"/>
      <c r="IO20" s="377"/>
      <c r="IP20" s="377"/>
      <c r="IQ20" s="377"/>
      <c r="IR20" s="377"/>
      <c r="IS20" s="377"/>
      <c r="IT20" s="377"/>
      <c r="IU20" s="377"/>
      <c r="IV20" s="377"/>
      <c r="IW20" s="377"/>
      <c r="IX20" s="377"/>
      <c r="IY20" s="377"/>
      <c r="IZ20" s="377"/>
      <c r="JA20" s="377"/>
      <c r="JB20" s="377"/>
      <c r="JC20" s="377"/>
      <c r="JD20" s="377"/>
      <c r="JE20" s="377"/>
      <c r="JF20" s="377"/>
      <c r="JG20" s="377"/>
      <c r="JH20" s="377"/>
      <c r="JI20" s="377"/>
      <c r="JJ20" s="377"/>
      <c r="JK20" s="377"/>
      <c r="JL20" s="377"/>
      <c r="JM20" s="377"/>
    </row>
    <row r="21" spans="1:273" s="160" customFormat="1" ht="12" customHeight="1">
      <c r="A21" s="133"/>
      <c r="B21" s="133"/>
      <c r="C21" s="265" t="s">
        <v>797</v>
      </c>
      <c r="D21" s="315"/>
      <c r="E21" s="315"/>
      <c r="F21" s="315"/>
      <c r="G21" s="315"/>
      <c r="H21" s="315"/>
      <c r="I21" s="316"/>
      <c r="J21" s="316"/>
      <c r="K21" s="316"/>
      <c r="L21" s="316"/>
      <c r="M21" s="380"/>
      <c r="N21" s="316"/>
      <c r="O21" s="316"/>
      <c r="P21" s="316"/>
      <c r="Q21" s="316"/>
      <c r="R21" s="380"/>
      <c r="S21" s="316"/>
      <c r="T21" s="316"/>
      <c r="U21" s="316"/>
      <c r="V21" s="316"/>
      <c r="W21" s="380"/>
      <c r="X21" s="316"/>
      <c r="Y21" s="316"/>
      <c r="Z21" s="316"/>
      <c r="AA21" s="316"/>
      <c r="AB21" s="380"/>
      <c r="AC21" s="316"/>
      <c r="AD21" s="316"/>
      <c r="AE21" s="316"/>
      <c r="AF21" s="316"/>
      <c r="AG21" s="380"/>
      <c r="AH21" s="316"/>
      <c r="AI21" s="316"/>
      <c r="AJ21" s="316"/>
      <c r="AK21" s="316"/>
      <c r="AL21" s="380"/>
      <c r="AM21" s="316"/>
      <c r="AN21" s="316"/>
      <c r="AO21" s="316"/>
      <c r="AP21" s="316"/>
      <c r="AQ21" s="380"/>
      <c r="AR21" s="316"/>
      <c r="AS21" s="316"/>
      <c r="AT21" s="316"/>
      <c r="AU21" s="316"/>
      <c r="AV21" s="380"/>
      <c r="AW21" s="316"/>
      <c r="AX21" s="316"/>
      <c r="AY21" s="316"/>
      <c r="AZ21" s="316"/>
      <c r="BA21" s="380"/>
      <c r="BB21" s="316"/>
      <c r="BC21" s="316"/>
      <c r="BD21" s="316"/>
      <c r="BE21" s="316"/>
      <c r="BF21" s="380"/>
      <c r="BG21" s="93"/>
      <c r="BH21" s="93"/>
      <c r="BI21" s="93"/>
      <c r="BJ21" s="316"/>
      <c r="BK21" s="315"/>
      <c r="BL21" s="316"/>
      <c r="BM21" s="316"/>
      <c r="BN21" s="316"/>
      <c r="BO21" s="316"/>
      <c r="BP21" s="380"/>
      <c r="BQ21" s="239">
        <v>0</v>
      </c>
      <c r="BR21" s="239">
        <v>0</v>
      </c>
      <c r="BS21" s="239">
        <v>0</v>
      </c>
      <c r="BT21" s="239">
        <v>0</v>
      </c>
      <c r="BU21" s="257">
        <f t="shared" si="27"/>
        <v>0</v>
      </c>
      <c r="BV21" s="239">
        <v>0</v>
      </c>
      <c r="BW21" s="239">
        <v>0</v>
      </c>
      <c r="BX21" s="239">
        <v>0</v>
      </c>
      <c r="BY21" s="239">
        <v>0</v>
      </c>
      <c r="BZ21" s="257">
        <f t="shared" si="28"/>
        <v>0</v>
      </c>
      <c r="CA21" s="239">
        <v>0</v>
      </c>
      <c r="CB21" s="239">
        <v>0</v>
      </c>
      <c r="CC21" s="239">
        <v>0</v>
      </c>
      <c r="CD21" s="239">
        <v>0</v>
      </c>
      <c r="CE21" s="257">
        <f t="shared" si="29"/>
        <v>0</v>
      </c>
      <c r="CF21" s="239">
        <v>0</v>
      </c>
      <c r="CG21" s="239">
        <v>0</v>
      </c>
      <c r="CH21" s="239">
        <v>0</v>
      </c>
      <c r="CI21" s="239">
        <v>0</v>
      </c>
      <c r="CJ21" s="257">
        <f t="shared" si="30"/>
        <v>0</v>
      </c>
      <c r="CK21" s="239">
        <v>0</v>
      </c>
      <c r="CL21" s="239">
        <v>0</v>
      </c>
      <c r="CM21" s="239">
        <v>0</v>
      </c>
      <c r="CN21" s="239">
        <v>0</v>
      </c>
      <c r="CO21" s="257">
        <f t="shared" si="31"/>
        <v>0</v>
      </c>
      <c r="CP21" s="239">
        <v>0</v>
      </c>
      <c r="CQ21" s="239">
        <v>0</v>
      </c>
      <c r="CR21" s="239">
        <v>0</v>
      </c>
      <c r="CS21" s="239">
        <v>0</v>
      </c>
      <c r="CT21" s="257">
        <f t="shared" si="32"/>
        <v>0</v>
      </c>
      <c r="CU21" s="239">
        <v>0</v>
      </c>
      <c r="CV21" s="239">
        <v>0</v>
      </c>
      <c r="CW21" s="239">
        <v>0</v>
      </c>
      <c r="CX21" s="239">
        <v>0</v>
      </c>
      <c r="CY21" s="257">
        <f t="shared" si="33"/>
        <v>0</v>
      </c>
      <c r="CZ21" s="239">
        <v>0</v>
      </c>
      <c r="DA21" s="239">
        <v>0</v>
      </c>
      <c r="DB21" s="239">
        <v>0</v>
      </c>
      <c r="DC21" s="239">
        <v>0</v>
      </c>
      <c r="DD21" s="257">
        <f t="shared" si="34"/>
        <v>0</v>
      </c>
      <c r="DE21" s="239">
        <v>0</v>
      </c>
      <c r="DF21" s="239">
        <v>0</v>
      </c>
      <c r="DG21" s="239">
        <v>0</v>
      </c>
      <c r="DH21" s="239">
        <v>0</v>
      </c>
      <c r="DI21" s="257">
        <f t="shared" si="8"/>
        <v>0</v>
      </c>
      <c r="DJ21" s="239">
        <v>0</v>
      </c>
      <c r="DK21" s="239">
        <v>0</v>
      </c>
      <c r="DL21" s="239">
        <v>0</v>
      </c>
      <c r="DM21" s="239">
        <v>0</v>
      </c>
      <c r="DN21" s="257">
        <f>DM21</f>
        <v>0</v>
      </c>
      <c r="DO21" s="239">
        <v>0</v>
      </c>
      <c r="DP21" s="239">
        <v>0</v>
      </c>
      <c r="DQ21" s="239">
        <v>0</v>
      </c>
      <c r="DR21" s="239">
        <v>975</v>
      </c>
      <c r="DS21" s="257">
        <f>DR21</f>
        <v>975</v>
      </c>
      <c r="DT21" s="239">
        <v>708</v>
      </c>
      <c r="DU21" s="239">
        <v>525</v>
      </c>
      <c r="DV21" s="281">
        <f t="shared" ref="DV21:DW21" si="90">+DU21</f>
        <v>525</v>
      </c>
      <c r="DW21" s="281">
        <f t="shared" si="90"/>
        <v>525</v>
      </c>
      <c r="DX21" s="257">
        <f>DW21</f>
        <v>525</v>
      </c>
      <c r="DY21" s="281">
        <f t="shared" ref="DY21" si="91">+DW21</f>
        <v>525</v>
      </c>
      <c r="DZ21" s="281">
        <f t="shared" ref="DZ21:EB21" si="92">+DY21</f>
        <v>525</v>
      </c>
      <c r="EA21" s="281">
        <f t="shared" si="92"/>
        <v>525</v>
      </c>
      <c r="EB21" s="281">
        <f t="shared" si="92"/>
        <v>525</v>
      </c>
      <c r="EC21" s="257">
        <f t="shared" ref="EC21" si="93">EB21</f>
        <v>525</v>
      </c>
      <c r="ED21" s="281">
        <f t="shared" ref="ED21" si="94">+EB21</f>
        <v>525</v>
      </c>
      <c r="EE21" s="281">
        <f t="shared" ref="EE21:EG21" si="95">+ED21</f>
        <v>525</v>
      </c>
      <c r="EF21" s="281">
        <f t="shared" si="95"/>
        <v>525</v>
      </c>
      <c r="EG21" s="281">
        <f t="shared" si="95"/>
        <v>525</v>
      </c>
      <c r="EH21" s="257">
        <f t="shared" ref="EH21" si="96">EG21</f>
        <v>525</v>
      </c>
      <c r="EI21" s="281">
        <f t="shared" ref="EI21" si="97">+EG21</f>
        <v>525</v>
      </c>
      <c r="EJ21" s="281">
        <f t="shared" ref="EJ21:EL21" si="98">+EI21</f>
        <v>525</v>
      </c>
      <c r="EK21" s="281">
        <f t="shared" si="98"/>
        <v>525</v>
      </c>
      <c r="EL21" s="281">
        <f t="shared" si="98"/>
        <v>525</v>
      </c>
      <c r="EM21" s="257">
        <f t="shared" ref="EM21" si="99">EL21</f>
        <v>525</v>
      </c>
      <c r="EN21" s="281">
        <f t="shared" ref="EN21" si="100">+EL21</f>
        <v>525</v>
      </c>
      <c r="EO21" s="281">
        <f t="shared" ref="EO21:EQ21" si="101">+EN21</f>
        <v>525</v>
      </c>
      <c r="EP21" s="281">
        <f t="shared" si="101"/>
        <v>525</v>
      </c>
      <c r="EQ21" s="281">
        <f t="shared" si="101"/>
        <v>525</v>
      </c>
      <c r="ER21" s="257">
        <f t="shared" ref="ER21" si="102">EQ21</f>
        <v>525</v>
      </c>
      <c r="EW21"/>
      <c r="EX21"/>
      <c r="EY21"/>
      <c r="EZ21"/>
      <c r="FA21"/>
    </row>
    <row r="22" spans="1:273" s="160" customFormat="1" ht="12" customHeight="1">
      <c r="A22" s="133"/>
      <c r="B22" s="133"/>
      <c r="C22" s="265" t="s">
        <v>245</v>
      </c>
      <c r="D22" s="315"/>
      <c r="E22" s="315"/>
      <c r="F22" s="315"/>
      <c r="G22" s="315"/>
      <c r="H22" s="315"/>
      <c r="I22" s="316"/>
      <c r="J22" s="316"/>
      <c r="K22" s="316"/>
      <c r="L22" s="316"/>
      <c r="M22" s="380"/>
      <c r="N22" s="316"/>
      <c r="O22" s="316"/>
      <c r="P22" s="316"/>
      <c r="Q22" s="316"/>
      <c r="R22" s="380"/>
      <c r="S22" s="316"/>
      <c r="T22" s="316"/>
      <c r="U22" s="316"/>
      <c r="V22" s="316"/>
      <c r="W22" s="380"/>
      <c r="X22" s="316"/>
      <c r="Y22" s="316"/>
      <c r="Z22" s="316"/>
      <c r="AA22" s="316"/>
      <c r="AB22" s="380"/>
      <c r="AC22" s="316"/>
      <c r="AD22" s="316"/>
      <c r="AE22" s="316"/>
      <c r="AF22" s="316"/>
      <c r="AG22" s="380"/>
      <c r="AH22" s="316"/>
      <c r="AI22" s="316"/>
      <c r="AJ22" s="316"/>
      <c r="AK22" s="316"/>
      <c r="AL22" s="380"/>
      <c r="AM22" s="316"/>
      <c r="AN22" s="316"/>
      <c r="AO22" s="316"/>
      <c r="AP22" s="316"/>
      <c r="AQ22" s="380"/>
      <c r="AR22" s="316"/>
      <c r="AS22" s="316"/>
      <c r="AT22" s="316"/>
      <c r="AU22" s="316"/>
      <c r="AV22" s="380"/>
      <c r="AW22" s="316"/>
      <c r="AX22" s="316"/>
      <c r="AY22" s="316"/>
      <c r="AZ22" s="316"/>
      <c r="BA22" s="380"/>
      <c r="BB22" s="316"/>
      <c r="BC22" s="316"/>
      <c r="BD22" s="316"/>
      <c r="BE22" s="316"/>
      <c r="BF22" s="380"/>
      <c r="BG22" s="93"/>
      <c r="BH22" s="93"/>
      <c r="BI22" s="93"/>
      <c r="BJ22" s="316"/>
      <c r="BK22" s="315"/>
      <c r="BL22" s="316"/>
      <c r="BM22" s="316"/>
      <c r="BN22" s="316"/>
      <c r="BO22" s="316"/>
      <c r="BP22" s="380"/>
      <c r="BQ22" s="239"/>
      <c r="BR22" s="239">
        <v>0</v>
      </c>
      <c r="BS22" s="239">
        <v>0</v>
      </c>
      <c r="BT22" s="239">
        <v>0</v>
      </c>
      <c r="BU22" s="257">
        <f t="shared" si="27"/>
        <v>0</v>
      </c>
      <c r="BV22" s="239">
        <v>0</v>
      </c>
      <c r="BW22" s="239">
        <v>0</v>
      </c>
      <c r="BX22" s="239">
        <v>0</v>
      </c>
      <c r="BY22" s="239">
        <v>0</v>
      </c>
      <c r="BZ22" s="257">
        <f t="shared" si="28"/>
        <v>0</v>
      </c>
      <c r="CA22" s="239">
        <v>0</v>
      </c>
      <c r="CB22" s="239">
        <v>0</v>
      </c>
      <c r="CC22" s="239">
        <v>0</v>
      </c>
      <c r="CD22" s="239">
        <v>0</v>
      </c>
      <c r="CE22" s="257">
        <f t="shared" si="29"/>
        <v>0</v>
      </c>
      <c r="CF22" s="239">
        <v>0</v>
      </c>
      <c r="CG22" s="239">
        <v>0</v>
      </c>
      <c r="CH22" s="239">
        <v>0</v>
      </c>
      <c r="CI22" s="239">
        <v>0</v>
      </c>
      <c r="CJ22" s="257">
        <f t="shared" si="30"/>
        <v>0</v>
      </c>
      <c r="CK22" s="239">
        <v>0</v>
      </c>
      <c r="CL22" s="239">
        <v>0</v>
      </c>
      <c r="CM22" s="239">
        <v>0</v>
      </c>
      <c r="CN22" s="239">
        <v>2.5</v>
      </c>
      <c r="CO22" s="257">
        <f t="shared" si="31"/>
        <v>2.5</v>
      </c>
      <c r="CP22" s="239">
        <v>0</v>
      </c>
      <c r="CQ22" s="239">
        <v>0</v>
      </c>
      <c r="CR22" s="239">
        <v>170.5</v>
      </c>
      <c r="CS22" s="239">
        <v>173.45400000000001</v>
      </c>
      <c r="CT22" s="257">
        <f t="shared" si="32"/>
        <v>173.45400000000001</v>
      </c>
      <c r="CU22" s="239">
        <v>1630.95</v>
      </c>
      <c r="CV22" s="239">
        <v>2796.3209999999999</v>
      </c>
      <c r="CW22" s="239">
        <v>4445.1319999999996</v>
      </c>
      <c r="CX22" s="239">
        <v>3955.5450000000001</v>
      </c>
      <c r="CY22" s="257">
        <f t="shared" si="33"/>
        <v>3955.5450000000001</v>
      </c>
      <c r="CZ22" s="239">
        <v>2894.6010000000001</v>
      </c>
      <c r="DA22" s="239">
        <v>1993.867</v>
      </c>
      <c r="DB22" s="239">
        <v>2421.7469999999998</v>
      </c>
      <c r="DC22" s="239">
        <v>1953.46</v>
      </c>
      <c r="DD22" s="257">
        <f t="shared" si="34"/>
        <v>1953.46</v>
      </c>
      <c r="DE22" s="239">
        <v>2277</v>
      </c>
      <c r="DF22" s="239">
        <v>2294</v>
      </c>
      <c r="DG22" s="239">
        <v>2852</v>
      </c>
      <c r="DH22" s="239">
        <v>3597</v>
      </c>
      <c r="DI22" s="257">
        <f t="shared" si="8"/>
        <v>3597</v>
      </c>
      <c r="DJ22" s="239">
        <v>3294</v>
      </c>
      <c r="DK22" s="239">
        <v>3590</v>
      </c>
      <c r="DL22" s="239">
        <f>3684+782</f>
        <v>4466</v>
      </c>
      <c r="DM22" s="239">
        <f>4647+709</f>
        <v>5356</v>
      </c>
      <c r="DN22" s="257">
        <f t="shared" si="35"/>
        <v>5356</v>
      </c>
      <c r="DO22" s="239">
        <f>894+3640</f>
        <v>4534</v>
      </c>
      <c r="DP22" s="239">
        <f>4405+831</f>
        <v>5236</v>
      </c>
      <c r="DQ22" s="239">
        <f>676+4363</f>
        <v>5039</v>
      </c>
      <c r="DR22" s="239">
        <v>4582</v>
      </c>
      <c r="DS22" s="257">
        <f t="shared" si="10"/>
        <v>4582</v>
      </c>
      <c r="DT22" s="239">
        <v>3533</v>
      </c>
      <c r="DU22" s="239">
        <v>4854</v>
      </c>
      <c r="DV22" s="120">
        <f>DU22-'Cash Flow'!DV15-'Cash Flow'!DV35</f>
        <v>4854</v>
      </c>
      <c r="DW22" s="120">
        <f>DV22-'Cash Flow'!DW15-'Cash Flow'!DW35</f>
        <v>4854</v>
      </c>
      <c r="DX22" s="257">
        <f>DW22</f>
        <v>4854</v>
      </c>
      <c r="DY22" s="120">
        <f>DX22-'Cash Flow'!DY15-'Cash Flow'!DY35</f>
        <v>4854</v>
      </c>
      <c r="DZ22" s="120">
        <f>DY22-'Cash Flow'!DZ15-'Cash Flow'!DZ35</f>
        <v>4854</v>
      </c>
      <c r="EA22" s="120">
        <f>DZ22-'Cash Flow'!EA15-'Cash Flow'!EA35</f>
        <v>4854</v>
      </c>
      <c r="EB22" s="120">
        <f>EA22-'Cash Flow'!EB15-'Cash Flow'!EB35</f>
        <v>4854</v>
      </c>
      <c r="EC22" s="257">
        <f>EB22</f>
        <v>4854</v>
      </c>
      <c r="ED22" s="120">
        <f>EC22-'Cash Flow'!ED15-'Cash Flow'!ED35</f>
        <v>4854</v>
      </c>
      <c r="EE22" s="120">
        <f>ED22-'Cash Flow'!EE15-'Cash Flow'!EE35</f>
        <v>4854</v>
      </c>
      <c r="EF22" s="120">
        <f>EE22-'Cash Flow'!EF15-'Cash Flow'!EF35</f>
        <v>4854</v>
      </c>
      <c r="EG22" s="120">
        <f>EF22-'Cash Flow'!EG15-'Cash Flow'!EG35</f>
        <v>4854</v>
      </c>
      <c r="EH22" s="257">
        <f>EG22</f>
        <v>4854</v>
      </c>
      <c r="EI22" s="120">
        <f>EH22-'Cash Flow'!EI15-'Cash Flow'!EI35</f>
        <v>4854</v>
      </c>
      <c r="EJ22" s="120">
        <f>EI22-'Cash Flow'!EJ15-'Cash Flow'!EJ35</f>
        <v>4854</v>
      </c>
      <c r="EK22" s="120">
        <f>EJ22-'Cash Flow'!EK15-'Cash Flow'!EK35</f>
        <v>4854</v>
      </c>
      <c r="EL22" s="120">
        <f>EK22-'Cash Flow'!EL15-'Cash Flow'!EL35</f>
        <v>4854</v>
      </c>
      <c r="EM22" s="257">
        <f>EL22</f>
        <v>4854</v>
      </c>
      <c r="EN22" s="120">
        <f>EM22-'Cash Flow'!EN15-'Cash Flow'!EN35</f>
        <v>4854</v>
      </c>
      <c r="EO22" s="120">
        <f>EN22-'Cash Flow'!EO15-'Cash Flow'!EO35</f>
        <v>4854</v>
      </c>
      <c r="EP22" s="120">
        <f>EO22-'Cash Flow'!EP15-'Cash Flow'!EP35</f>
        <v>4854</v>
      </c>
      <c r="EQ22" s="120">
        <f>EP22-'Cash Flow'!EQ15-'Cash Flow'!EQ35</f>
        <v>4854</v>
      </c>
      <c r="ER22" s="257">
        <f>EQ22</f>
        <v>4854</v>
      </c>
      <c r="ES22" s="377"/>
      <c r="ET22" s="377"/>
      <c r="EU22" s="377"/>
      <c r="EV22" s="377"/>
      <c r="EW22"/>
      <c r="EX22"/>
      <c r="EY22"/>
      <c r="EZ22"/>
      <c r="FA22"/>
      <c r="FB22" s="377"/>
      <c r="FC22" s="377"/>
      <c r="FD22" s="377"/>
      <c r="FE22" s="377"/>
      <c r="FF22" s="377"/>
      <c r="FG22" s="377"/>
      <c r="FH22" s="377"/>
      <c r="FI22" s="377"/>
      <c r="FJ22" s="377"/>
      <c r="FK22" s="377"/>
      <c r="FL22" s="377"/>
      <c r="FM22" s="377"/>
      <c r="FN22" s="377"/>
      <c r="FO22" s="377"/>
      <c r="FP22" s="377"/>
      <c r="FQ22" s="377"/>
      <c r="FR22" s="377"/>
      <c r="FS22" s="377"/>
      <c r="FT22" s="377"/>
      <c r="FU22" s="377"/>
      <c r="FV22" s="377"/>
      <c r="FW22" s="377"/>
      <c r="FX22" s="377"/>
      <c r="FY22" s="377"/>
      <c r="FZ22" s="377"/>
      <c r="GA22" s="377"/>
      <c r="GB22" s="377"/>
      <c r="GC22" s="377"/>
      <c r="GD22" s="377"/>
      <c r="GE22" s="377"/>
      <c r="GF22" s="377"/>
      <c r="GG22" s="377"/>
      <c r="GH22" s="377"/>
      <c r="GI22" s="377"/>
      <c r="GJ22" s="377"/>
      <c r="GK22" s="377"/>
      <c r="GL22" s="377"/>
      <c r="GM22" s="377"/>
      <c r="GN22" s="377"/>
      <c r="GO22" s="377"/>
      <c r="GP22" s="377"/>
      <c r="GQ22" s="377"/>
      <c r="GR22" s="377"/>
      <c r="GS22" s="377"/>
      <c r="GT22" s="377"/>
      <c r="GU22" s="377"/>
      <c r="GV22" s="377"/>
      <c r="GW22" s="377"/>
      <c r="GX22" s="377"/>
      <c r="GY22" s="377"/>
      <c r="GZ22" s="377"/>
      <c r="HA22" s="377"/>
      <c r="HB22" s="377"/>
      <c r="HC22" s="377"/>
      <c r="HD22" s="377"/>
      <c r="HE22" s="377"/>
      <c r="HF22" s="377"/>
      <c r="HG22" s="377"/>
      <c r="HH22" s="377"/>
      <c r="HI22" s="377"/>
      <c r="HJ22" s="377"/>
      <c r="HK22" s="377"/>
      <c r="HL22" s="377"/>
      <c r="HM22" s="377"/>
      <c r="HN22" s="377"/>
      <c r="HO22" s="377"/>
      <c r="HP22" s="377"/>
      <c r="HQ22" s="377"/>
      <c r="HR22" s="377"/>
      <c r="HS22" s="377"/>
      <c r="HT22" s="377"/>
      <c r="HU22" s="377"/>
      <c r="HV22" s="377"/>
      <c r="HW22" s="377"/>
      <c r="HX22" s="377"/>
      <c r="HY22" s="377"/>
      <c r="HZ22" s="377"/>
      <c r="IA22" s="377"/>
      <c r="IB22" s="377"/>
      <c r="IC22" s="377"/>
      <c r="ID22" s="377"/>
      <c r="IE22" s="377"/>
      <c r="IF22" s="377"/>
      <c r="IG22" s="377"/>
      <c r="IH22" s="377"/>
      <c r="II22" s="377"/>
      <c r="IJ22" s="377"/>
      <c r="IK22" s="377"/>
      <c r="IL22" s="377"/>
      <c r="IM22" s="377"/>
      <c r="IN22" s="377"/>
      <c r="IO22" s="377"/>
      <c r="IP22" s="377"/>
      <c r="IQ22" s="377"/>
      <c r="IR22" s="377"/>
      <c r="IS22" s="377"/>
      <c r="IT22" s="377"/>
      <c r="IU22" s="377"/>
      <c r="IV22" s="377"/>
      <c r="IW22" s="377"/>
      <c r="IX22" s="377"/>
      <c r="IY22" s="377"/>
      <c r="IZ22" s="377"/>
      <c r="JA22" s="377"/>
      <c r="JB22" s="377"/>
      <c r="JC22" s="377"/>
      <c r="JD22" s="377"/>
      <c r="JE22" s="377"/>
      <c r="JF22" s="377"/>
      <c r="JG22" s="377"/>
      <c r="JH22" s="377"/>
      <c r="JI22" s="377"/>
      <c r="JJ22" s="377"/>
      <c r="JK22" s="377"/>
      <c r="JL22" s="377"/>
      <c r="JM22" s="377"/>
    </row>
    <row r="23" spans="1:273" s="160" customFormat="1" ht="12" customHeight="1">
      <c r="A23" s="133"/>
      <c r="B23" s="133"/>
      <c r="C23" s="265" t="s">
        <v>327</v>
      </c>
      <c r="D23" s="315"/>
      <c r="E23" s="315"/>
      <c r="F23" s="315"/>
      <c r="G23" s="315"/>
      <c r="H23" s="315"/>
      <c r="I23" s="316"/>
      <c r="J23" s="316"/>
      <c r="K23" s="316"/>
      <c r="L23" s="316"/>
      <c r="M23" s="380"/>
      <c r="N23" s="316"/>
      <c r="O23" s="316"/>
      <c r="P23" s="316"/>
      <c r="Q23" s="316"/>
      <c r="R23" s="380"/>
      <c r="S23" s="316"/>
      <c r="T23" s="316"/>
      <c r="U23" s="316"/>
      <c r="V23" s="316"/>
      <c r="W23" s="380"/>
      <c r="X23" s="316"/>
      <c r="Y23" s="316"/>
      <c r="Z23" s="316"/>
      <c r="AA23" s="316"/>
      <c r="AB23" s="380"/>
      <c r="AC23" s="316"/>
      <c r="AD23" s="316"/>
      <c r="AE23" s="316"/>
      <c r="AF23" s="316"/>
      <c r="AG23" s="380"/>
      <c r="AH23" s="316"/>
      <c r="AI23" s="316"/>
      <c r="AJ23" s="316"/>
      <c r="AK23" s="316"/>
      <c r="AL23" s="380"/>
      <c r="AM23" s="316"/>
      <c r="AN23" s="316"/>
      <c r="AO23" s="316"/>
      <c r="AP23" s="316"/>
      <c r="AQ23" s="380"/>
      <c r="AR23" s="316"/>
      <c r="AS23" s="316"/>
      <c r="AT23" s="316"/>
      <c r="AU23" s="316"/>
      <c r="AV23" s="380"/>
      <c r="AW23" s="316"/>
      <c r="AX23" s="316"/>
      <c r="AY23" s="316"/>
      <c r="AZ23" s="316"/>
      <c r="BA23" s="380"/>
      <c r="BB23" s="316"/>
      <c r="BC23" s="316"/>
      <c r="BD23" s="316"/>
      <c r="BE23" s="316"/>
      <c r="BF23" s="380"/>
      <c r="BG23" s="93"/>
      <c r="BH23" s="93"/>
      <c r="BI23" s="93"/>
      <c r="BJ23" s="316"/>
      <c r="BK23" s="315"/>
      <c r="BL23" s="316"/>
      <c r="BM23" s="316"/>
      <c r="BN23" s="316"/>
      <c r="BO23" s="316"/>
      <c r="BP23" s="380"/>
      <c r="BQ23" s="239"/>
      <c r="BR23" s="239">
        <v>0</v>
      </c>
      <c r="BS23" s="239">
        <v>0</v>
      </c>
      <c r="BT23" s="239">
        <v>0</v>
      </c>
      <c r="BU23" s="257">
        <f>+BT23</f>
        <v>0</v>
      </c>
      <c r="BV23" s="239">
        <v>0</v>
      </c>
      <c r="BW23" s="239">
        <v>0</v>
      </c>
      <c r="BX23" s="239">
        <v>0</v>
      </c>
      <c r="BY23" s="239">
        <v>0</v>
      </c>
      <c r="BZ23" s="257">
        <f>+BY23</f>
        <v>0</v>
      </c>
      <c r="CA23" s="239">
        <v>0</v>
      </c>
      <c r="CB23" s="239">
        <v>0</v>
      </c>
      <c r="CC23" s="239">
        <v>0</v>
      </c>
      <c r="CD23" s="239">
        <v>0</v>
      </c>
      <c r="CE23" s="257">
        <f>+CD23</f>
        <v>0</v>
      </c>
      <c r="CF23" s="239">
        <v>0</v>
      </c>
      <c r="CG23" s="239">
        <v>0</v>
      </c>
      <c r="CH23" s="239">
        <v>0</v>
      </c>
      <c r="CI23" s="239">
        <v>0</v>
      </c>
      <c r="CJ23" s="257">
        <f>+CI23</f>
        <v>0</v>
      </c>
      <c r="CK23" s="239">
        <v>0</v>
      </c>
      <c r="CL23" s="239">
        <v>0</v>
      </c>
      <c r="CM23" s="239">
        <v>0</v>
      </c>
      <c r="CN23" s="239">
        <v>0</v>
      </c>
      <c r="CO23" s="257">
        <f>+CN23</f>
        <v>0</v>
      </c>
      <c r="CP23" s="239">
        <v>0</v>
      </c>
      <c r="CQ23" s="239">
        <v>0</v>
      </c>
      <c r="CR23" s="239">
        <v>0</v>
      </c>
      <c r="CS23" s="239">
        <v>0</v>
      </c>
      <c r="CT23" s="257">
        <f>+CS23</f>
        <v>0</v>
      </c>
      <c r="CU23" s="239">
        <v>0</v>
      </c>
      <c r="CV23" s="239">
        <v>0</v>
      </c>
      <c r="CW23" s="239">
        <v>0</v>
      </c>
      <c r="CX23" s="239">
        <v>0</v>
      </c>
      <c r="CY23" s="257">
        <f>+CX23</f>
        <v>0</v>
      </c>
      <c r="CZ23" s="239">
        <v>0</v>
      </c>
      <c r="DA23" s="239">
        <v>0</v>
      </c>
      <c r="DB23" s="239">
        <v>0</v>
      </c>
      <c r="DC23" s="239">
        <v>0</v>
      </c>
      <c r="DD23" s="257">
        <f>+DC23</f>
        <v>0</v>
      </c>
      <c r="DE23" s="239">
        <v>0</v>
      </c>
      <c r="DF23" s="239">
        <v>838</v>
      </c>
      <c r="DG23" s="239">
        <v>828</v>
      </c>
      <c r="DH23" s="239">
        <v>780</v>
      </c>
      <c r="DI23" s="257">
        <f>+DH23</f>
        <v>780</v>
      </c>
      <c r="DJ23" s="239">
        <v>735</v>
      </c>
      <c r="DK23" s="239">
        <v>691</v>
      </c>
      <c r="DL23" s="239">
        <v>664</v>
      </c>
      <c r="DM23" s="239">
        <v>642</v>
      </c>
      <c r="DN23" s="257">
        <f>+DM23</f>
        <v>642</v>
      </c>
      <c r="DO23" s="239">
        <v>619</v>
      </c>
      <c r="DP23" s="239">
        <v>595</v>
      </c>
      <c r="DQ23" s="239">
        <v>574</v>
      </c>
      <c r="DR23" s="239">
        <v>602</v>
      </c>
      <c r="DS23" s="257">
        <f>+DR23</f>
        <v>602</v>
      </c>
      <c r="DT23" s="239">
        <v>581</v>
      </c>
      <c r="DU23" s="239">
        <v>559</v>
      </c>
      <c r="DV23" s="281">
        <f>+DU23</f>
        <v>559</v>
      </c>
      <c r="DW23" s="281">
        <f>+DV23</f>
        <v>559</v>
      </c>
      <c r="DX23" s="257">
        <f>+DW23</f>
        <v>559</v>
      </c>
      <c r="DY23" s="281">
        <f>+DW23</f>
        <v>559</v>
      </c>
      <c r="DZ23" s="281">
        <f>+DY23</f>
        <v>559</v>
      </c>
      <c r="EA23" s="281">
        <f>+DZ23</f>
        <v>559</v>
      </c>
      <c r="EB23" s="281">
        <f>+EA23</f>
        <v>559</v>
      </c>
      <c r="EC23" s="257">
        <f>+EB23</f>
        <v>559</v>
      </c>
      <c r="ED23" s="281">
        <f>+EB23</f>
        <v>559</v>
      </c>
      <c r="EE23" s="281">
        <f>+ED23</f>
        <v>559</v>
      </c>
      <c r="EF23" s="281">
        <f>+EE23</f>
        <v>559</v>
      </c>
      <c r="EG23" s="281">
        <f>+EF23</f>
        <v>559</v>
      </c>
      <c r="EH23" s="257">
        <f>+EG23</f>
        <v>559</v>
      </c>
      <c r="EI23" s="281">
        <f>+EG23</f>
        <v>559</v>
      </c>
      <c r="EJ23" s="281">
        <f>+EI23</f>
        <v>559</v>
      </c>
      <c r="EK23" s="281">
        <f>+EJ23</f>
        <v>559</v>
      </c>
      <c r="EL23" s="281">
        <f>+EK23</f>
        <v>559</v>
      </c>
      <c r="EM23" s="257">
        <f>+EL23</f>
        <v>559</v>
      </c>
      <c r="EN23" s="281">
        <f>+EL23</f>
        <v>559</v>
      </c>
      <c r="EO23" s="281">
        <f>+EN23</f>
        <v>559</v>
      </c>
      <c r="EP23" s="281">
        <f>+EO23</f>
        <v>559</v>
      </c>
      <c r="EQ23" s="281">
        <f>+EP23</f>
        <v>559</v>
      </c>
      <c r="ER23" s="257">
        <f>+EQ23</f>
        <v>559</v>
      </c>
      <c r="ES23" s="377"/>
      <c r="ET23" s="377"/>
      <c r="EU23" s="377"/>
      <c r="EV23" s="377"/>
      <c r="EW23"/>
      <c r="EX23"/>
      <c r="EY23"/>
      <c r="EZ23"/>
      <c r="FA23"/>
      <c r="FB23" s="377"/>
      <c r="FC23" s="377"/>
      <c r="FD23" s="377"/>
      <c r="FE23" s="377"/>
      <c r="FF23" s="377"/>
      <c r="FG23" s="377"/>
      <c r="FH23" s="377"/>
      <c r="FI23" s="377"/>
      <c r="FJ23" s="377"/>
      <c r="FK23" s="377"/>
      <c r="FL23" s="377"/>
      <c r="FM23" s="377"/>
      <c r="FN23" s="377"/>
      <c r="FO23" s="377"/>
      <c r="FP23" s="377"/>
      <c r="FQ23" s="377"/>
      <c r="FR23" s="377"/>
      <c r="FS23" s="377"/>
      <c r="FT23" s="377"/>
      <c r="FU23" s="377"/>
      <c r="FV23" s="377"/>
      <c r="FW23" s="377"/>
      <c r="FX23" s="377"/>
      <c r="FY23" s="377"/>
      <c r="FZ23" s="377"/>
      <c r="GA23" s="377"/>
      <c r="GB23" s="377"/>
      <c r="GC23" s="377"/>
      <c r="GD23" s="377"/>
      <c r="GE23" s="377"/>
      <c r="GF23" s="377"/>
      <c r="GG23" s="377"/>
      <c r="GH23" s="377"/>
      <c r="GI23" s="377"/>
      <c r="GJ23" s="377"/>
      <c r="GK23" s="377"/>
      <c r="GL23" s="377"/>
      <c r="GM23" s="377"/>
      <c r="GN23" s="377"/>
      <c r="GO23" s="377"/>
      <c r="GP23" s="377"/>
      <c r="GQ23" s="377"/>
      <c r="GR23" s="377"/>
      <c r="GS23" s="377"/>
      <c r="GT23" s="377"/>
      <c r="GU23" s="377"/>
      <c r="GV23" s="377"/>
      <c r="GW23" s="377"/>
      <c r="GX23" s="377"/>
      <c r="GY23" s="377"/>
      <c r="GZ23" s="377"/>
      <c r="HA23" s="377"/>
      <c r="HB23" s="377"/>
      <c r="HC23" s="377"/>
      <c r="HD23" s="377"/>
      <c r="HE23" s="377"/>
      <c r="HF23" s="377"/>
      <c r="HG23" s="377"/>
      <c r="HH23" s="377"/>
      <c r="HI23" s="377"/>
      <c r="HJ23" s="377"/>
      <c r="HK23" s="377"/>
      <c r="HL23" s="377"/>
      <c r="HM23" s="377"/>
      <c r="HN23" s="377"/>
      <c r="HO23" s="377"/>
      <c r="HP23" s="377"/>
      <c r="HQ23" s="377"/>
      <c r="HR23" s="377"/>
      <c r="HS23" s="377"/>
      <c r="HT23" s="377"/>
      <c r="HU23" s="377"/>
      <c r="HV23" s="377"/>
      <c r="HW23" s="377"/>
      <c r="HX23" s="377"/>
      <c r="HY23" s="377"/>
      <c r="HZ23" s="377"/>
      <c r="IA23" s="377"/>
      <c r="IB23" s="377"/>
      <c r="IC23" s="377"/>
      <c r="ID23" s="377"/>
      <c r="IE23" s="377"/>
      <c r="IF23" s="377"/>
      <c r="IG23" s="377"/>
      <c r="IH23" s="377"/>
      <c r="II23" s="377"/>
      <c r="IJ23" s="377"/>
      <c r="IK23" s="377"/>
      <c r="IL23" s="377"/>
      <c r="IM23" s="377"/>
      <c r="IN23" s="377"/>
      <c r="IO23" s="377"/>
      <c r="IP23" s="377"/>
      <c r="IQ23" s="377"/>
      <c r="IR23" s="377"/>
      <c r="IS23" s="377"/>
      <c r="IT23" s="377"/>
      <c r="IU23" s="377"/>
      <c r="IV23" s="377"/>
      <c r="IW23" s="377"/>
      <c r="IX23" s="377"/>
      <c r="IY23" s="377"/>
      <c r="IZ23" s="377"/>
      <c r="JA23" s="377"/>
      <c r="JB23" s="377"/>
      <c r="JC23" s="377"/>
      <c r="JD23" s="377"/>
      <c r="JE23" s="377"/>
      <c r="JF23" s="377"/>
      <c r="JG23" s="377"/>
      <c r="JH23" s="377"/>
      <c r="JI23" s="377"/>
      <c r="JJ23" s="377"/>
      <c r="JK23" s="377"/>
      <c r="JL23" s="377"/>
      <c r="JM23" s="377"/>
    </row>
    <row r="24" spans="1:273" s="160" customFormat="1" ht="12" customHeight="1">
      <c r="A24" s="133"/>
      <c r="B24" s="133"/>
      <c r="C24" s="265" t="s">
        <v>246</v>
      </c>
      <c r="D24" s="315"/>
      <c r="E24" s="315"/>
      <c r="F24" s="315"/>
      <c r="G24" s="315"/>
      <c r="H24" s="315"/>
      <c r="I24" s="316"/>
      <c r="J24" s="316"/>
      <c r="K24" s="316"/>
      <c r="L24" s="316"/>
      <c r="M24" s="380"/>
      <c r="N24" s="316"/>
      <c r="O24" s="316"/>
      <c r="P24" s="316"/>
      <c r="Q24" s="316"/>
      <c r="R24" s="380"/>
      <c r="S24" s="316"/>
      <c r="T24" s="316"/>
      <c r="U24" s="316"/>
      <c r="V24" s="316"/>
      <c r="W24" s="380"/>
      <c r="X24" s="316"/>
      <c r="Y24" s="316"/>
      <c r="Z24" s="316"/>
      <c r="AA24" s="316"/>
      <c r="AB24" s="380"/>
      <c r="AC24" s="316"/>
      <c r="AD24" s="316"/>
      <c r="AE24" s="316"/>
      <c r="AF24" s="316"/>
      <c r="AG24" s="380"/>
      <c r="AH24" s="316"/>
      <c r="AI24" s="316"/>
      <c r="AJ24" s="316"/>
      <c r="AK24" s="316"/>
      <c r="AL24" s="380"/>
      <c r="AM24" s="316"/>
      <c r="AN24" s="316"/>
      <c r="AO24" s="316"/>
      <c r="AP24" s="316"/>
      <c r="AQ24" s="380"/>
      <c r="AR24" s="316"/>
      <c r="AS24" s="316"/>
      <c r="AT24" s="316"/>
      <c r="AU24" s="316"/>
      <c r="AV24" s="380"/>
      <c r="AW24" s="316"/>
      <c r="AX24" s="316"/>
      <c r="AY24" s="316"/>
      <c r="AZ24" s="316"/>
      <c r="BA24" s="380"/>
      <c r="BB24" s="316"/>
      <c r="BC24" s="316"/>
      <c r="BD24" s="316"/>
      <c r="BE24" s="316"/>
      <c r="BF24" s="380"/>
      <c r="BG24" s="93"/>
      <c r="BH24" s="93"/>
      <c r="BI24" s="93"/>
      <c r="BJ24" s="316"/>
      <c r="BK24" s="315"/>
      <c r="BL24" s="316"/>
      <c r="BM24" s="316"/>
      <c r="BN24" s="316"/>
      <c r="BO24" s="316"/>
      <c r="BP24" s="380"/>
      <c r="BQ24" s="239"/>
      <c r="BR24" s="239">
        <v>2.3730000000000002</v>
      </c>
      <c r="BS24" s="239">
        <v>2.3730000000000002</v>
      </c>
      <c r="BT24" s="239">
        <v>2.3730000000000002</v>
      </c>
      <c r="BU24" s="257">
        <f t="shared" si="27"/>
        <v>2.3730000000000002</v>
      </c>
      <c r="BV24" s="239">
        <v>2.3730000000000002</v>
      </c>
      <c r="BW24" s="239">
        <v>9.3019999999999996</v>
      </c>
      <c r="BX24" s="239">
        <v>9.3019999999999996</v>
      </c>
      <c r="BY24" s="239">
        <v>15.504</v>
      </c>
      <c r="BZ24" s="257">
        <f t="shared" si="28"/>
        <v>15.504</v>
      </c>
      <c r="CA24" s="239">
        <v>15.504</v>
      </c>
      <c r="CB24" s="239">
        <v>20.317</v>
      </c>
      <c r="CC24" s="239">
        <v>20.317</v>
      </c>
      <c r="CD24" s="239">
        <v>20.317</v>
      </c>
      <c r="CE24" s="257">
        <f t="shared" si="29"/>
        <v>20.317</v>
      </c>
      <c r="CF24" s="239">
        <v>20.317</v>
      </c>
      <c r="CG24" s="239">
        <v>22.893999999999998</v>
      </c>
      <c r="CH24" s="239">
        <v>22.893999999999998</v>
      </c>
      <c r="CI24" s="239">
        <v>38.018999999999998</v>
      </c>
      <c r="CJ24" s="257">
        <f t="shared" si="30"/>
        <v>38.018999999999998</v>
      </c>
      <c r="CK24" s="239">
        <v>43.671999999999997</v>
      </c>
      <c r="CL24" s="239">
        <v>48.375</v>
      </c>
      <c r="CM24" s="239">
        <v>48.375</v>
      </c>
      <c r="CN24" s="239">
        <v>311.86500000000001</v>
      </c>
      <c r="CO24" s="257">
        <f t="shared" si="31"/>
        <v>311.86500000000001</v>
      </c>
      <c r="CP24" s="239">
        <v>311.86500000000001</v>
      </c>
      <c r="CQ24" s="239">
        <v>311.86500000000001</v>
      </c>
      <c r="CR24" s="239">
        <v>311.86500000000001</v>
      </c>
      <c r="CS24" s="239">
        <v>311.86500000000001</v>
      </c>
      <c r="CT24" s="257">
        <f t="shared" si="32"/>
        <v>311.86500000000001</v>
      </c>
      <c r="CU24" s="239">
        <v>311.86500000000001</v>
      </c>
      <c r="CV24" s="239">
        <v>311.86500000000001</v>
      </c>
      <c r="CW24" s="239">
        <v>349.43200000000002</v>
      </c>
      <c r="CX24" s="239">
        <v>356.52800000000002</v>
      </c>
      <c r="CY24" s="257">
        <f t="shared" si="33"/>
        <v>356.52800000000002</v>
      </c>
      <c r="CZ24" s="239">
        <v>356.52800000000002</v>
      </c>
      <c r="DA24" s="239">
        <v>379.34500000000003</v>
      </c>
      <c r="DB24" s="239">
        <v>1836.2819999999999</v>
      </c>
      <c r="DC24" s="239">
        <v>1836.2819999999999</v>
      </c>
      <c r="DD24" s="257">
        <f t="shared" si="34"/>
        <v>1836.2819999999999</v>
      </c>
      <c r="DE24" s="239">
        <v>1865</v>
      </c>
      <c r="DF24" s="239">
        <v>427</v>
      </c>
      <c r="DG24" s="239">
        <v>427</v>
      </c>
      <c r="DH24" s="239">
        <v>427</v>
      </c>
      <c r="DI24" s="257">
        <f>DH24</f>
        <v>427</v>
      </c>
      <c r="DJ24" s="239">
        <v>427</v>
      </c>
      <c r="DK24" s="239">
        <v>449</v>
      </c>
      <c r="DL24" s="239">
        <v>452</v>
      </c>
      <c r="DM24" s="239">
        <v>452</v>
      </c>
      <c r="DN24" s="257">
        <f t="shared" si="35"/>
        <v>452</v>
      </c>
      <c r="DO24" s="239">
        <v>491</v>
      </c>
      <c r="DP24" s="239">
        <v>491</v>
      </c>
      <c r="DQ24" s="239">
        <v>491</v>
      </c>
      <c r="DR24" s="239">
        <v>491</v>
      </c>
      <c r="DS24" s="257">
        <f t="shared" si="10"/>
        <v>491</v>
      </c>
      <c r="DT24" s="239">
        <v>491</v>
      </c>
      <c r="DU24" s="239">
        <v>491</v>
      </c>
      <c r="DV24" s="120">
        <f t="shared" ref="DV24:EC25" si="103">DU24</f>
        <v>491</v>
      </c>
      <c r="DW24" s="120">
        <f t="shared" si="103"/>
        <v>491</v>
      </c>
      <c r="DX24" s="257">
        <f t="shared" si="103"/>
        <v>491</v>
      </c>
      <c r="DY24" s="120">
        <f t="shared" si="103"/>
        <v>491</v>
      </c>
      <c r="DZ24" s="120">
        <f t="shared" si="103"/>
        <v>491</v>
      </c>
      <c r="EA24" s="120">
        <f t="shared" si="103"/>
        <v>491</v>
      </c>
      <c r="EB24" s="120">
        <f t="shared" si="103"/>
        <v>491</v>
      </c>
      <c r="EC24" s="257">
        <f t="shared" si="103"/>
        <v>491</v>
      </c>
      <c r="ED24" s="120">
        <f t="shared" ref="ED24:ED25" si="104">EC24</f>
        <v>491</v>
      </c>
      <c r="EE24" s="120">
        <f t="shared" ref="EE24:EE25" si="105">ED24</f>
        <v>491</v>
      </c>
      <c r="EF24" s="120">
        <f t="shared" ref="EF24:EF25" si="106">EE24</f>
        <v>491</v>
      </c>
      <c r="EG24" s="120">
        <f t="shared" ref="EG24:EG25" si="107">EF24</f>
        <v>491</v>
      </c>
      <c r="EH24" s="257">
        <f t="shared" ref="EH24:EH25" si="108">EG24</f>
        <v>491</v>
      </c>
      <c r="EI24" s="120">
        <f t="shared" ref="EI24:EI25" si="109">EH24</f>
        <v>491</v>
      </c>
      <c r="EJ24" s="120">
        <f t="shared" ref="EJ24:EJ25" si="110">EI24</f>
        <v>491</v>
      </c>
      <c r="EK24" s="120">
        <f t="shared" ref="EK24:EK25" si="111">EJ24</f>
        <v>491</v>
      </c>
      <c r="EL24" s="120">
        <f t="shared" ref="EL24:EL25" si="112">EK24</f>
        <v>491</v>
      </c>
      <c r="EM24" s="257">
        <f t="shared" ref="EM24:EM25" si="113">EL24</f>
        <v>491</v>
      </c>
      <c r="EN24" s="120">
        <f t="shared" ref="EN24:EN25" si="114">EM24</f>
        <v>491</v>
      </c>
      <c r="EO24" s="120">
        <f t="shared" ref="EO24:EO25" si="115">EN24</f>
        <v>491</v>
      </c>
      <c r="EP24" s="120">
        <f t="shared" ref="EP24:EP25" si="116">EO24</f>
        <v>491</v>
      </c>
      <c r="EQ24" s="120">
        <f t="shared" ref="EQ24:EQ25" si="117">EP24</f>
        <v>491</v>
      </c>
      <c r="ER24" s="257">
        <f t="shared" ref="ER24:ER25" si="118">EQ24</f>
        <v>491</v>
      </c>
      <c r="EW24"/>
      <c r="EX24"/>
      <c r="EY24"/>
      <c r="EZ24"/>
      <c r="FA24"/>
    </row>
    <row r="25" spans="1:273" s="160" customFormat="1" ht="12" customHeight="1">
      <c r="A25" s="133"/>
      <c r="B25" s="133"/>
      <c r="C25" s="265" t="s">
        <v>186</v>
      </c>
      <c r="D25" s="315"/>
      <c r="E25" s="315"/>
      <c r="F25" s="315"/>
      <c r="G25" s="315"/>
      <c r="H25" s="315"/>
      <c r="I25" s="316"/>
      <c r="J25" s="316"/>
      <c r="K25" s="316"/>
      <c r="L25" s="316"/>
      <c r="M25" s="380"/>
      <c r="N25" s="316"/>
      <c r="O25" s="316"/>
      <c r="P25" s="316"/>
      <c r="Q25" s="316"/>
      <c r="R25" s="380"/>
      <c r="S25" s="316"/>
      <c r="T25" s="316"/>
      <c r="U25" s="316"/>
      <c r="V25" s="316"/>
      <c r="W25" s="380"/>
      <c r="X25" s="316"/>
      <c r="Y25" s="316"/>
      <c r="Z25" s="316"/>
      <c r="AA25" s="316"/>
      <c r="AB25" s="380"/>
      <c r="AC25" s="316"/>
      <c r="AD25" s="316"/>
      <c r="AE25" s="316"/>
      <c r="AF25" s="316"/>
      <c r="AG25" s="380"/>
      <c r="AH25" s="316"/>
      <c r="AI25" s="316"/>
      <c r="AJ25" s="316"/>
      <c r="AK25" s="316"/>
      <c r="AL25" s="380"/>
      <c r="AM25" s="316"/>
      <c r="AN25" s="316"/>
      <c r="AO25" s="316"/>
      <c r="AP25" s="316"/>
      <c r="AQ25" s="380"/>
      <c r="AR25" s="316"/>
      <c r="AS25" s="316"/>
      <c r="AT25" s="316"/>
      <c r="AU25" s="316"/>
      <c r="AV25" s="380"/>
      <c r="AW25" s="316"/>
      <c r="AX25" s="316"/>
      <c r="AY25" s="316"/>
      <c r="AZ25" s="316"/>
      <c r="BA25" s="380"/>
      <c r="BB25" s="316"/>
      <c r="BC25" s="316"/>
      <c r="BD25" s="316"/>
      <c r="BE25" s="316"/>
      <c r="BF25" s="380"/>
      <c r="BG25" s="93"/>
      <c r="BH25" s="93"/>
      <c r="BI25" s="93"/>
      <c r="BJ25" s="316"/>
      <c r="BK25" s="315"/>
      <c r="BL25" s="316"/>
      <c r="BM25" s="316"/>
      <c r="BN25" s="316"/>
      <c r="BO25" s="316"/>
      <c r="BP25" s="380"/>
      <c r="BQ25" s="120"/>
      <c r="BR25" s="120">
        <f t="shared" ref="BR25:BY25" si="119">+BR26-SUM(BR19:BR24,BR14)</f>
        <v>0</v>
      </c>
      <c r="BS25" s="120">
        <f t="shared" si="119"/>
        <v>4.5450000000000159</v>
      </c>
      <c r="BT25" s="120">
        <f t="shared" si="119"/>
        <v>0</v>
      </c>
      <c r="BU25" s="257">
        <f t="shared" si="119"/>
        <v>0</v>
      </c>
      <c r="BV25" s="120">
        <f t="shared" si="119"/>
        <v>0</v>
      </c>
      <c r="BW25" s="120">
        <f t="shared" si="119"/>
        <v>0</v>
      </c>
      <c r="BX25" s="120">
        <f t="shared" si="119"/>
        <v>17.999999999999943</v>
      </c>
      <c r="BY25" s="120">
        <f t="shared" si="119"/>
        <v>0</v>
      </c>
      <c r="BZ25" s="257">
        <f t="shared" si="28"/>
        <v>0</v>
      </c>
      <c r="CA25" s="120">
        <f>+CA26-SUM(CA19:CA24,CA14)</f>
        <v>0</v>
      </c>
      <c r="CB25" s="120">
        <f>+CB26-SUM(CB19:CB24,CB14)</f>
        <v>0</v>
      </c>
      <c r="CC25" s="120">
        <f>+CC26-SUM(CC19:CC24,CC14)</f>
        <v>0</v>
      </c>
      <c r="CD25" s="120">
        <f>+CD26-SUM(CD19:CD24,CD14)</f>
        <v>0</v>
      </c>
      <c r="CE25" s="257">
        <f t="shared" si="29"/>
        <v>0</v>
      </c>
      <c r="CF25" s="120">
        <f>+CF26-SUM(CF19:CF24,CF14)</f>
        <v>0</v>
      </c>
      <c r="CG25" s="120">
        <f>+CG26-SUM(CG19:CG24,CG14)</f>
        <v>0</v>
      </c>
      <c r="CH25" s="120">
        <f>+CH26-SUM(CH19:CH24,CH14)</f>
        <v>0</v>
      </c>
      <c r="CI25" s="120">
        <f>+CI26-SUM(CI19:CI24,CI14)</f>
        <v>0</v>
      </c>
      <c r="CJ25" s="257">
        <f t="shared" si="30"/>
        <v>0</v>
      </c>
      <c r="CK25" s="120">
        <f>+CK26-SUM(CK19:CK24,CK14)</f>
        <v>0</v>
      </c>
      <c r="CL25" s="120">
        <f>+CL26-SUM(CL19:CL24,CL14)</f>
        <v>0</v>
      </c>
      <c r="CM25" s="120">
        <f>+CM26-SUM(CM19:CM24,CM14)</f>
        <v>0</v>
      </c>
      <c r="CN25" s="120">
        <f>+CN26-SUM(CN19:CN24,CN14)</f>
        <v>0</v>
      </c>
      <c r="CO25" s="257">
        <f t="shared" si="31"/>
        <v>0</v>
      </c>
      <c r="CP25" s="120">
        <f>+CP26-SUM(CP19:CP24,CP14)</f>
        <v>0</v>
      </c>
      <c r="CQ25" s="120">
        <f>+CQ26-SUM(CQ19:CQ24,CQ14)</f>
        <v>0</v>
      </c>
      <c r="CR25" s="120">
        <f>+CR26-SUM(CR19:CR24,CR14)</f>
        <v>0</v>
      </c>
      <c r="CS25" s="120">
        <f>+CS26-SUM(CS19:CS24,CS14)</f>
        <v>0</v>
      </c>
      <c r="CT25" s="257">
        <f t="shared" si="32"/>
        <v>0</v>
      </c>
      <c r="CU25" s="120">
        <f>+CU26-SUM(CU19:CU24,CU14)</f>
        <v>0</v>
      </c>
      <c r="CV25" s="120">
        <f>+CV26-SUM(CV19:CV24,CV14)</f>
        <v>0</v>
      </c>
      <c r="CW25" s="120">
        <f>+CW26-SUM(CW19:CW24,CW14)</f>
        <v>0</v>
      </c>
      <c r="CX25" s="120">
        <f>+CX26-SUM(CX19:CX24,CX14)</f>
        <v>0</v>
      </c>
      <c r="CY25" s="257">
        <f t="shared" si="33"/>
        <v>0</v>
      </c>
      <c r="CZ25" s="239">
        <v>0</v>
      </c>
      <c r="DA25" s="239">
        <v>0</v>
      </c>
      <c r="DB25" s="239">
        <v>0</v>
      </c>
      <c r="DC25" s="239">
        <v>0</v>
      </c>
      <c r="DD25" s="257">
        <f t="shared" si="34"/>
        <v>0</v>
      </c>
      <c r="DE25" s="239">
        <v>0</v>
      </c>
      <c r="DF25" s="239">
        <v>0</v>
      </c>
      <c r="DG25" s="239">
        <v>0</v>
      </c>
      <c r="DH25" s="239">
        <v>0</v>
      </c>
      <c r="DI25" s="257">
        <f t="shared" ref="DI25" si="120">DH25</f>
        <v>0</v>
      </c>
      <c r="DJ25" s="239">
        <v>0</v>
      </c>
      <c r="DK25" s="239">
        <v>0</v>
      </c>
      <c r="DL25" s="239">
        <v>0</v>
      </c>
      <c r="DM25" s="239">
        <v>0</v>
      </c>
      <c r="DN25" s="257">
        <f t="shared" si="35"/>
        <v>0</v>
      </c>
      <c r="DO25" s="239">
        <v>0</v>
      </c>
      <c r="DP25" s="239">
        <v>0</v>
      </c>
      <c r="DQ25" s="239">
        <v>0</v>
      </c>
      <c r="DR25" s="120">
        <v>0</v>
      </c>
      <c r="DS25" s="257">
        <f t="shared" si="10"/>
        <v>0</v>
      </c>
      <c r="DT25" s="239">
        <v>0</v>
      </c>
      <c r="DU25" s="239">
        <v>0</v>
      </c>
      <c r="DV25" s="120">
        <f t="shared" si="103"/>
        <v>0</v>
      </c>
      <c r="DW25" s="120">
        <f t="shared" si="103"/>
        <v>0</v>
      </c>
      <c r="DX25" s="257">
        <f t="shared" si="103"/>
        <v>0</v>
      </c>
      <c r="DY25" s="120">
        <f t="shared" si="103"/>
        <v>0</v>
      </c>
      <c r="DZ25" s="120">
        <f t="shared" si="103"/>
        <v>0</v>
      </c>
      <c r="EA25" s="120">
        <f t="shared" si="103"/>
        <v>0</v>
      </c>
      <c r="EB25" s="120">
        <f t="shared" si="103"/>
        <v>0</v>
      </c>
      <c r="EC25" s="257">
        <f t="shared" si="103"/>
        <v>0</v>
      </c>
      <c r="ED25" s="120">
        <f t="shared" si="104"/>
        <v>0</v>
      </c>
      <c r="EE25" s="120">
        <f t="shared" si="105"/>
        <v>0</v>
      </c>
      <c r="EF25" s="120">
        <f t="shared" si="106"/>
        <v>0</v>
      </c>
      <c r="EG25" s="120">
        <f t="shared" si="107"/>
        <v>0</v>
      </c>
      <c r="EH25" s="257">
        <f t="shared" si="108"/>
        <v>0</v>
      </c>
      <c r="EI25" s="120">
        <f t="shared" si="109"/>
        <v>0</v>
      </c>
      <c r="EJ25" s="120">
        <f t="shared" si="110"/>
        <v>0</v>
      </c>
      <c r="EK25" s="120">
        <f t="shared" si="111"/>
        <v>0</v>
      </c>
      <c r="EL25" s="120">
        <f t="shared" si="112"/>
        <v>0</v>
      </c>
      <c r="EM25" s="257">
        <f t="shared" si="113"/>
        <v>0</v>
      </c>
      <c r="EN25" s="120">
        <f t="shared" si="114"/>
        <v>0</v>
      </c>
      <c r="EO25" s="120">
        <f t="shared" si="115"/>
        <v>0</v>
      </c>
      <c r="EP25" s="120">
        <f t="shared" si="116"/>
        <v>0</v>
      </c>
      <c r="EQ25" s="120">
        <f t="shared" si="117"/>
        <v>0</v>
      </c>
      <c r="ER25" s="257">
        <f t="shared" si="118"/>
        <v>0</v>
      </c>
      <c r="EW25"/>
      <c r="EX25"/>
      <c r="EY25"/>
      <c r="EZ25"/>
      <c r="FA25"/>
    </row>
    <row r="26" spans="1:273" s="396" customFormat="1" ht="12" customHeight="1">
      <c r="A26" s="133"/>
      <c r="B26" s="133"/>
      <c r="C26" s="394" t="s">
        <v>5</v>
      </c>
      <c r="D26" s="395"/>
      <c r="E26" s="395"/>
      <c r="F26" s="395"/>
      <c r="G26" s="395"/>
      <c r="H26" s="395"/>
      <c r="M26" s="395"/>
      <c r="R26" s="395"/>
      <c r="W26" s="395"/>
      <c r="AB26" s="395"/>
      <c r="AG26" s="395"/>
      <c r="AL26" s="395"/>
      <c r="AQ26" s="395"/>
      <c r="AV26" s="395"/>
      <c r="BA26" s="395"/>
      <c r="BF26" s="395"/>
      <c r="BK26" s="395"/>
      <c r="BP26" s="395"/>
      <c r="BQ26" s="1560">
        <f>SUM(BQ19:BQ25,BQ14)</f>
        <v>0</v>
      </c>
      <c r="BR26" s="1561">
        <v>236.88</v>
      </c>
      <c r="BS26" s="1561">
        <v>235.63900000000001</v>
      </c>
      <c r="BT26" s="1561">
        <v>243.71199999999999</v>
      </c>
      <c r="BU26" s="1562">
        <v>243.71199999999999</v>
      </c>
      <c r="BV26" s="1561">
        <v>245.274</v>
      </c>
      <c r="BW26" s="1561">
        <v>251.10900000000001</v>
      </c>
      <c r="BX26" s="1561">
        <v>486.34300000000002</v>
      </c>
      <c r="BY26" s="1561">
        <v>490.55799999999999</v>
      </c>
      <c r="BZ26" s="1562">
        <v>490.55799999999999</v>
      </c>
      <c r="CA26" s="1561">
        <v>501.33800000000002</v>
      </c>
      <c r="CB26" s="1561">
        <v>1077.2329999999999</v>
      </c>
      <c r="CC26" s="1561">
        <v>1101.4079999999999</v>
      </c>
      <c r="CD26" s="1561">
        <v>1113.5640000000001</v>
      </c>
      <c r="CE26" s="1562">
        <v>1113.5640000000001</v>
      </c>
      <c r="CF26" s="1561">
        <v>1782.5360000000001</v>
      </c>
      <c r="CG26" s="1561">
        <v>1809.057</v>
      </c>
      <c r="CH26" s="1561">
        <v>1841.694</v>
      </c>
      <c r="CI26" s="1561">
        <v>2254.7849999999999</v>
      </c>
      <c r="CJ26" s="1562">
        <v>2254.7849999999999</v>
      </c>
      <c r="CK26" s="1561">
        <v>2402.7510000000002</v>
      </c>
      <c r="CL26" s="1561">
        <v>2467.2979999999998</v>
      </c>
      <c r="CM26" s="1561">
        <v>3188.9349999999999</v>
      </c>
      <c r="CN26" s="1561">
        <v>3489.4789999999998</v>
      </c>
      <c r="CO26" s="1562">
        <v>3489.4789999999998</v>
      </c>
      <c r="CP26" s="1561">
        <v>3470.9160000000002</v>
      </c>
      <c r="CQ26" s="1561">
        <v>5098.4390000000003</v>
      </c>
      <c r="CR26" s="1561">
        <v>7462.0309999999999</v>
      </c>
      <c r="CS26" s="1561">
        <v>7762.9049999999997</v>
      </c>
      <c r="CT26" s="1562">
        <v>7762.9049999999997</v>
      </c>
      <c r="CU26" s="1561">
        <v>10824.888000000001</v>
      </c>
      <c r="CV26" s="1561">
        <v>11955.678</v>
      </c>
      <c r="CW26" s="1561">
        <v>13536.518</v>
      </c>
      <c r="CX26" s="1561">
        <v>13340.172</v>
      </c>
      <c r="CY26" s="1563">
        <f t="shared" ref="CY26:ER26" si="121">SUM(CY19:CY25,CY14)</f>
        <v>13340.171999999999</v>
      </c>
      <c r="CZ26" s="1560">
        <f t="shared" si="121"/>
        <v>11834.452000000001</v>
      </c>
      <c r="DA26" s="1560">
        <f t="shared" si="121"/>
        <v>10747.630000000001</v>
      </c>
      <c r="DB26" s="1560">
        <f t="shared" si="121"/>
        <v>11203.285</v>
      </c>
      <c r="DC26" s="1560">
        <f t="shared" si="121"/>
        <v>10757.151000000002</v>
      </c>
      <c r="DD26" s="1563">
        <f t="shared" si="121"/>
        <v>10757.151000000002</v>
      </c>
      <c r="DE26" s="1560">
        <f t="shared" si="121"/>
        <v>10964.328000000001</v>
      </c>
      <c r="DF26" s="1560">
        <f t="shared" si="121"/>
        <v>9703.3280000000013</v>
      </c>
      <c r="DG26" s="1560">
        <f t="shared" si="121"/>
        <v>10464.000000000002</v>
      </c>
      <c r="DH26" s="1560">
        <f t="shared" si="121"/>
        <v>11299.000000000002</v>
      </c>
      <c r="DI26" s="1563">
        <f t="shared" si="121"/>
        <v>11299.000000000002</v>
      </c>
      <c r="DJ26" s="1560">
        <f t="shared" si="121"/>
        <v>11112.000000000002</v>
      </c>
      <c r="DK26" s="1560">
        <f t="shared" si="121"/>
        <v>11346.000000000002</v>
      </c>
      <c r="DL26" s="1560">
        <f t="shared" si="121"/>
        <v>12329.000000000002</v>
      </c>
      <c r="DM26" s="1560">
        <f t="shared" si="121"/>
        <v>13924.000000000002</v>
      </c>
      <c r="DN26" s="1563">
        <f t="shared" si="121"/>
        <v>13924.000000000002</v>
      </c>
      <c r="DO26" s="1560">
        <f t="shared" si="121"/>
        <v>13400.000000000002</v>
      </c>
      <c r="DP26" s="1560">
        <f t="shared" si="121"/>
        <v>14561.000000000002</v>
      </c>
      <c r="DQ26" s="1560">
        <f t="shared" si="121"/>
        <v>15039.000000000002</v>
      </c>
      <c r="DR26" s="1560">
        <f t="shared" si="121"/>
        <v>15188.672000000002</v>
      </c>
      <c r="DS26" s="1563">
        <f t="shared" si="121"/>
        <v>15188.672000000002</v>
      </c>
      <c r="DT26" s="1560">
        <f t="shared" ref="DT26:DU26" si="122">SUM(DT19:DT25,DT14)</f>
        <v>14120.672000000002</v>
      </c>
      <c r="DU26" s="1560">
        <f t="shared" si="122"/>
        <v>14469.672000000002</v>
      </c>
      <c r="DV26" s="1560">
        <f t="shared" si="121"/>
        <v>15352.903384519826</v>
      </c>
      <c r="DW26" s="1560">
        <f t="shared" si="121"/>
        <v>16429.593500484934</v>
      </c>
      <c r="DX26" s="1563">
        <f t="shared" si="121"/>
        <v>16429.593500484934</v>
      </c>
      <c r="DY26" s="1560">
        <f t="shared" si="121"/>
        <v>17127.405839266343</v>
      </c>
      <c r="DZ26" s="1560">
        <f t="shared" si="121"/>
        <v>18039.294056381626</v>
      </c>
      <c r="EA26" s="1560">
        <f t="shared" si="121"/>
        <v>19006.098678012357</v>
      </c>
      <c r="EB26" s="1560">
        <f t="shared" si="121"/>
        <v>20495.368607970559</v>
      </c>
      <c r="EC26" s="1563">
        <f t="shared" si="121"/>
        <v>20495.368607970559</v>
      </c>
      <c r="ED26" s="1560">
        <f t="shared" si="121"/>
        <v>21320.504274871382</v>
      </c>
      <c r="EE26" s="1560">
        <f t="shared" si="121"/>
        <v>22451.339929725222</v>
      </c>
      <c r="EF26" s="1560">
        <f t="shared" si="121"/>
        <v>23582.794217043702</v>
      </c>
      <c r="EG26" s="1560">
        <f t="shared" si="121"/>
        <v>25350.422055998573</v>
      </c>
      <c r="EH26" s="1563">
        <f t="shared" si="121"/>
        <v>25350.422055998573</v>
      </c>
      <c r="EI26" s="1560">
        <f t="shared" si="121"/>
        <v>26141.210222120262</v>
      </c>
      <c r="EJ26" s="1560">
        <f t="shared" si="121"/>
        <v>27519.051875654215</v>
      </c>
      <c r="EK26" s="1560">
        <f t="shared" si="121"/>
        <v>28891.236484557205</v>
      </c>
      <c r="EL26" s="1560">
        <f t="shared" si="121"/>
        <v>31043.858223716285</v>
      </c>
      <c r="EM26" s="1563">
        <f t="shared" si="121"/>
        <v>31043.858223716285</v>
      </c>
      <c r="EN26" s="1560">
        <f t="shared" si="121"/>
        <v>31877.414288204534</v>
      </c>
      <c r="EO26" s="1560">
        <f t="shared" si="121"/>
        <v>33533.117836931488</v>
      </c>
      <c r="EP26" s="1560">
        <f t="shared" si="121"/>
        <v>35182.644522729854</v>
      </c>
      <c r="EQ26" s="1560">
        <f t="shared" si="121"/>
        <v>37758.020750821939</v>
      </c>
      <c r="ER26" s="1563">
        <f t="shared" si="121"/>
        <v>37758.020750821939</v>
      </c>
      <c r="EW26"/>
      <c r="EX26"/>
      <c r="EY26"/>
      <c r="EZ26"/>
      <c r="FA26"/>
    </row>
    <row r="27" spans="1:273" s="93" customFormat="1" ht="12" customHeight="1">
      <c r="A27" s="133"/>
      <c r="B27" s="133"/>
      <c r="C27" s="920" t="s">
        <v>7</v>
      </c>
      <c r="D27" s="374"/>
      <c r="E27" s="374"/>
      <c r="F27" s="374"/>
      <c r="G27" s="374"/>
      <c r="H27" s="374"/>
      <c r="I27" s="373"/>
      <c r="J27" s="373"/>
      <c r="K27" s="373"/>
      <c r="L27" s="373"/>
      <c r="M27" s="374"/>
      <c r="N27" s="373"/>
      <c r="O27" s="373"/>
      <c r="P27" s="373"/>
      <c r="Q27" s="373"/>
      <c r="R27" s="374"/>
      <c r="S27" s="373"/>
      <c r="T27" s="373"/>
      <c r="U27" s="373"/>
      <c r="V27" s="373"/>
      <c r="W27" s="374"/>
      <c r="X27" s="373"/>
      <c r="Y27" s="373"/>
      <c r="Z27" s="373"/>
      <c r="AA27" s="373"/>
      <c r="AB27" s="374"/>
      <c r="AC27" s="373"/>
      <c r="AD27" s="373"/>
      <c r="AE27" s="373"/>
      <c r="AF27" s="373"/>
      <c r="AG27" s="374"/>
      <c r="AH27" s="373"/>
      <c r="AI27" s="373"/>
      <c r="AJ27" s="373"/>
      <c r="AK27" s="373"/>
      <c r="AL27" s="374"/>
      <c r="AM27" s="373"/>
      <c r="AN27" s="373"/>
      <c r="AO27" s="373"/>
      <c r="AP27" s="373"/>
      <c r="AQ27" s="374"/>
      <c r="AR27" s="373"/>
      <c r="AS27" s="373"/>
      <c r="AT27" s="373"/>
      <c r="AU27" s="373"/>
      <c r="AV27" s="374"/>
      <c r="AW27" s="373"/>
      <c r="AX27" s="373"/>
      <c r="AY27" s="373"/>
      <c r="AZ27" s="373"/>
      <c r="BA27" s="374"/>
      <c r="BB27" s="373"/>
      <c r="BC27" s="373"/>
      <c r="BD27" s="373"/>
      <c r="BE27" s="373"/>
      <c r="BF27" s="374"/>
      <c r="BG27" s="373"/>
      <c r="BH27" s="373"/>
      <c r="BI27" s="373"/>
      <c r="BJ27" s="373"/>
      <c r="BK27" s="374"/>
      <c r="BL27" s="373"/>
      <c r="BM27" s="373"/>
      <c r="BN27" s="373"/>
      <c r="BO27" s="373"/>
      <c r="BP27" s="374"/>
      <c r="BQ27" s="921"/>
      <c r="BR27" s="921"/>
      <c r="BS27" s="921"/>
      <c r="BT27" s="921"/>
      <c r="BU27" s="922"/>
      <c r="BV27" s="921"/>
      <c r="BW27" s="921"/>
      <c r="BX27" s="921"/>
      <c r="BY27" s="921"/>
      <c r="BZ27" s="922"/>
      <c r="CA27" s="921"/>
      <c r="CB27" s="921"/>
      <c r="CC27" s="921"/>
      <c r="CD27" s="921"/>
      <c r="CE27" s="922"/>
      <c r="CF27" s="921"/>
      <c r="CG27" s="921"/>
      <c r="CH27" s="921"/>
      <c r="CI27" s="921"/>
      <c r="CJ27" s="922"/>
      <c r="CK27" s="921"/>
      <c r="CL27" s="921"/>
      <c r="CM27" s="921"/>
      <c r="CN27" s="921"/>
      <c r="CO27" s="922"/>
      <c r="CP27" s="921"/>
      <c r="CQ27" s="921"/>
      <c r="CR27" s="921"/>
      <c r="CS27" s="921"/>
      <c r="CT27" s="922"/>
      <c r="CU27" s="921"/>
      <c r="CV27" s="921"/>
      <c r="CW27" s="921"/>
      <c r="CX27" s="921"/>
      <c r="CY27" s="922"/>
      <c r="CZ27" s="921"/>
      <c r="DA27" s="921"/>
      <c r="DB27" s="921"/>
      <c r="DC27" s="921"/>
      <c r="DD27" s="922"/>
      <c r="DE27" s="921"/>
      <c r="DF27" s="921"/>
      <c r="DG27" s="921"/>
      <c r="DH27" s="921"/>
      <c r="DI27" s="922"/>
      <c r="DJ27" s="921"/>
      <c r="DK27" s="921"/>
      <c r="DL27" s="921"/>
      <c r="DM27" s="921"/>
      <c r="DN27" s="922"/>
      <c r="DO27" s="921"/>
      <c r="DP27" s="921"/>
      <c r="DQ27" s="921"/>
      <c r="DR27" s="921"/>
      <c r="DS27" s="922"/>
      <c r="DT27" s="921"/>
      <c r="DU27" s="921"/>
      <c r="DV27" s="921"/>
      <c r="DW27" s="921"/>
      <c r="DX27" s="922"/>
      <c r="DY27" s="921"/>
      <c r="DZ27" s="921"/>
      <c r="EA27" s="921"/>
      <c r="EB27" s="921"/>
      <c r="EC27" s="922"/>
      <c r="ED27" s="921"/>
      <c r="EE27" s="921"/>
      <c r="EF27" s="921"/>
      <c r="EG27" s="921"/>
      <c r="EH27" s="922"/>
      <c r="EI27" s="921"/>
      <c r="EJ27" s="921"/>
      <c r="EK27" s="921"/>
      <c r="EL27" s="921"/>
      <c r="EM27" s="922"/>
      <c r="EN27" s="921"/>
      <c r="EO27" s="921"/>
      <c r="EP27" s="921"/>
      <c r="EQ27" s="921"/>
      <c r="ER27" s="922"/>
      <c r="EW27"/>
      <c r="EX27"/>
      <c r="EY27"/>
      <c r="EZ27"/>
      <c r="FA27"/>
    </row>
    <row r="28" spans="1:273" s="160" customFormat="1" ht="12" customHeight="1">
      <c r="A28" s="133"/>
      <c r="B28" s="133"/>
      <c r="C28" s="265" t="s">
        <v>248</v>
      </c>
      <c r="D28" s="712"/>
      <c r="E28" s="712"/>
      <c r="F28" s="712"/>
      <c r="G28" s="712"/>
      <c r="H28" s="712"/>
      <c r="I28" s="713"/>
      <c r="J28" s="713"/>
      <c r="K28" s="713"/>
      <c r="L28" s="713"/>
      <c r="M28" s="712"/>
      <c r="N28" s="713"/>
      <c r="O28" s="713"/>
      <c r="P28" s="713"/>
      <c r="Q28" s="713"/>
      <c r="R28" s="712"/>
      <c r="S28" s="713"/>
      <c r="T28" s="713"/>
      <c r="U28" s="713"/>
      <c r="V28" s="713"/>
      <c r="W28" s="380"/>
      <c r="X28" s="713"/>
      <c r="Y28" s="713"/>
      <c r="Z28" s="713"/>
      <c r="AA28" s="713"/>
      <c r="AB28" s="712"/>
      <c r="AC28" s="713"/>
      <c r="AD28" s="713"/>
      <c r="AE28" s="713"/>
      <c r="AF28" s="713"/>
      <c r="AG28" s="712"/>
      <c r="AH28" s="713"/>
      <c r="AI28" s="713"/>
      <c r="AJ28" s="713"/>
      <c r="AK28" s="713"/>
      <c r="AL28" s="712"/>
      <c r="AM28" s="713"/>
      <c r="AN28" s="713"/>
      <c r="AO28" s="713"/>
      <c r="AP28" s="713"/>
      <c r="AQ28" s="712"/>
      <c r="AR28" s="713"/>
      <c r="AS28" s="713"/>
      <c r="AT28" s="713"/>
      <c r="AU28" s="713"/>
      <c r="AV28" s="712"/>
      <c r="AW28" s="713"/>
      <c r="AX28" s="713"/>
      <c r="AY28" s="713"/>
      <c r="AZ28" s="713"/>
      <c r="BA28" s="712"/>
      <c r="BB28" s="713"/>
      <c r="BC28" s="713"/>
      <c r="BD28" s="713"/>
      <c r="BE28" s="713"/>
      <c r="BF28" s="712"/>
      <c r="BG28" s="93"/>
      <c r="BH28" s="93"/>
      <c r="BI28" s="93"/>
      <c r="BJ28" s="713"/>
      <c r="BK28" s="399"/>
      <c r="BL28" s="714"/>
      <c r="BM28" s="714"/>
      <c r="BN28" s="714"/>
      <c r="BO28" s="714"/>
      <c r="BP28" s="399"/>
      <c r="BQ28" s="239"/>
      <c r="BR28" s="393">
        <v>17.8</v>
      </c>
      <c r="BS28" s="393">
        <v>12.513999999999999</v>
      </c>
      <c r="BT28" s="393">
        <v>23.689</v>
      </c>
      <c r="BU28" s="304">
        <f t="shared" ref="BU28:BU34" si="123">BT28</f>
        <v>23.689</v>
      </c>
      <c r="BV28" s="393">
        <v>27.07</v>
      </c>
      <c r="BW28" s="393">
        <v>32.258000000000003</v>
      </c>
      <c r="BX28" s="393">
        <v>42.334000000000003</v>
      </c>
      <c r="BY28" s="393">
        <v>45.057000000000002</v>
      </c>
      <c r="BZ28" s="304">
        <f t="shared" ref="BZ28:BZ34" si="124">BY28</f>
        <v>45.057000000000002</v>
      </c>
      <c r="CA28" s="393">
        <v>52.31</v>
      </c>
      <c r="CB28" s="393">
        <v>57.118000000000002</v>
      </c>
      <c r="CC28" s="393">
        <v>65.245999999999995</v>
      </c>
      <c r="CD28" s="393">
        <v>62.576000000000001</v>
      </c>
      <c r="CE28" s="304">
        <f t="shared" ref="CE28:CE34" si="125">CD28</f>
        <v>62.576000000000001</v>
      </c>
      <c r="CF28" s="393">
        <v>79.052999999999997</v>
      </c>
      <c r="CG28" s="393">
        <v>95.728999999999999</v>
      </c>
      <c r="CH28" s="393">
        <v>107.839</v>
      </c>
      <c r="CI28" s="393">
        <v>96.956000000000003</v>
      </c>
      <c r="CJ28" s="304">
        <f t="shared" ref="CJ28:CJ34" si="126">CI28</f>
        <v>96.956000000000003</v>
      </c>
      <c r="CK28" s="393">
        <v>125.02500000000001</v>
      </c>
      <c r="CL28" s="393">
        <v>142</v>
      </c>
      <c r="CM28" s="393">
        <v>139.33000000000001</v>
      </c>
      <c r="CN28" s="393">
        <v>181.19300000000001</v>
      </c>
      <c r="CO28" s="304">
        <f t="shared" ref="CO28:CO34" si="127">CN28</f>
        <v>181.19300000000001</v>
      </c>
      <c r="CP28" s="393">
        <v>214.43100000000001</v>
      </c>
      <c r="CQ28" s="393">
        <v>240.99600000000001</v>
      </c>
      <c r="CR28" s="393">
        <v>261.56099999999998</v>
      </c>
      <c r="CS28" s="393">
        <v>300.79500000000002</v>
      </c>
      <c r="CT28" s="304">
        <f t="shared" ref="CT28:CT34" si="128">CS28</f>
        <v>300.79500000000002</v>
      </c>
      <c r="CU28" s="393">
        <v>338.87599999999998</v>
      </c>
      <c r="CV28" s="393">
        <v>289.53699999999998</v>
      </c>
      <c r="CW28" s="393">
        <v>350.58800000000002</v>
      </c>
      <c r="CX28" s="393">
        <v>456.68799999999999</v>
      </c>
      <c r="CY28" s="304">
        <f t="shared" ref="CY28:CY34" si="129">CX28</f>
        <v>456.68799999999999</v>
      </c>
      <c r="CZ28" s="393">
        <v>406.64699999999999</v>
      </c>
      <c r="DA28" s="393">
        <v>419.40800000000002</v>
      </c>
      <c r="DB28" s="393">
        <v>596.11400000000003</v>
      </c>
      <c r="DC28" s="393">
        <v>532.56899999999996</v>
      </c>
      <c r="DD28" s="304">
        <f t="shared" ref="DD28:DD34" si="130">DC28</f>
        <v>532.56899999999996</v>
      </c>
      <c r="DE28" s="393">
        <v>535</v>
      </c>
      <c r="DF28" s="393">
        <v>554</v>
      </c>
      <c r="DG28" s="393">
        <v>533</v>
      </c>
      <c r="DH28" s="393">
        <v>579</v>
      </c>
      <c r="DI28" s="304">
        <f t="shared" ref="DI28:DI38" si="131">DH28</f>
        <v>579</v>
      </c>
      <c r="DJ28" s="393">
        <v>589</v>
      </c>
      <c r="DK28" s="393">
        <v>559</v>
      </c>
      <c r="DL28" s="393">
        <v>613</v>
      </c>
      <c r="DM28" s="393">
        <v>737</v>
      </c>
      <c r="DN28" s="304">
        <f t="shared" ref="DN28:DN34" si="132">DM28</f>
        <v>737</v>
      </c>
      <c r="DO28" s="393">
        <v>776</v>
      </c>
      <c r="DP28" s="393">
        <v>841</v>
      </c>
      <c r="DQ28" s="393">
        <v>974</v>
      </c>
      <c r="DR28" s="393">
        <v>1075</v>
      </c>
      <c r="DS28" s="304">
        <f t="shared" ref="DS28:DS34" si="133">DR28</f>
        <v>1075</v>
      </c>
      <c r="DT28" s="393">
        <v>1034</v>
      </c>
      <c r="DU28" s="393">
        <v>1115</v>
      </c>
      <c r="DV28" s="425">
        <f>(DV64*-Income!DV18)/90</f>
        <v>1275.0891186846181</v>
      </c>
      <c r="DW28" s="425">
        <f>(DW64*-Income!DW18)/90</f>
        <v>1407.0857254953942</v>
      </c>
      <c r="DX28" s="304">
        <f t="shared" ref="DX28:DX34" si="134">DW28</f>
        <v>1407.0857254953942</v>
      </c>
      <c r="DY28" s="425">
        <f>(DY64*-Income!DY18)/90</f>
        <v>1338.5404181864235</v>
      </c>
      <c r="DZ28" s="425">
        <f>(DZ64*-Income!DZ18)/90</f>
        <v>1462.792950279654</v>
      </c>
      <c r="EA28" s="425">
        <f>(EA64*-Income!EA18)/90</f>
        <v>1606.9217979896109</v>
      </c>
      <c r="EB28" s="425">
        <f>(EB64*-Income!EB18)/90</f>
        <v>1761.0044668305668</v>
      </c>
      <c r="EC28" s="304">
        <f t="shared" ref="EC28:EC34" si="135">EB28</f>
        <v>1761.0044668305668</v>
      </c>
      <c r="ED28" s="425">
        <f>(ED64*-Income!ED18)/90</f>
        <v>1622.3708142892672</v>
      </c>
      <c r="EE28" s="425">
        <f>(EE64*-Income!EE18)/90</f>
        <v>1772.328509179308</v>
      </c>
      <c r="EF28" s="425">
        <f>(EF64*-Income!EF18)/90</f>
        <v>1946.625291358986</v>
      </c>
      <c r="EG28" s="425">
        <f>(EG64*-Income!EG18)/90</f>
        <v>2133.2532417212947</v>
      </c>
      <c r="EH28" s="304">
        <f t="shared" ref="EH28:EH34" si="136">EG28</f>
        <v>2133.2532417212947</v>
      </c>
      <c r="EI28" s="425">
        <f>(EI64*-Income!EI18)/90</f>
        <v>1926.2289411899501</v>
      </c>
      <c r="EJ28" s="425">
        <f>(EJ64*-Income!EJ18)/90</f>
        <v>2104.3030719598642</v>
      </c>
      <c r="EK28" s="425">
        <f>(EK64*-Income!EK18)/90</f>
        <v>2311.6663573960127</v>
      </c>
      <c r="EL28" s="425">
        <f>(EL64*-Income!EL18)/90</f>
        <v>2533.5554326532447</v>
      </c>
      <c r="EM28" s="304">
        <f t="shared" ref="EM28:EM34" si="137">EL28</f>
        <v>2533.5554326532447</v>
      </c>
      <c r="EN28" s="425">
        <f>(EN64*-Income!EN18)/90</f>
        <v>2259.9254294253983</v>
      </c>
      <c r="EO28" s="425">
        <f>(EO64*-Income!EO18)/90</f>
        <v>2468.7733170474949</v>
      </c>
      <c r="EP28" s="425">
        <f>(EP64*-Income!EP18)/90</f>
        <v>2712.4391112118255</v>
      </c>
      <c r="EQ28" s="425">
        <f>(EQ64*-Income!EQ18)/90</f>
        <v>2972.6242883707623</v>
      </c>
      <c r="ER28" s="304">
        <f t="shared" ref="ER28:ER34" si="138">EQ28</f>
        <v>2972.6242883707623</v>
      </c>
      <c r="EW28"/>
      <c r="EX28"/>
      <c r="EY28"/>
      <c r="EZ28"/>
      <c r="FA28"/>
    </row>
    <row r="29" spans="1:273" s="160" customFormat="1" ht="12" customHeight="1">
      <c r="A29" s="133"/>
      <c r="B29" s="133"/>
      <c r="C29" s="265" t="s">
        <v>146</v>
      </c>
      <c r="D29" s="315"/>
      <c r="E29" s="315"/>
      <c r="F29" s="315"/>
      <c r="G29" s="315"/>
      <c r="H29" s="315"/>
      <c r="I29" s="316"/>
      <c r="J29" s="316"/>
      <c r="K29" s="316"/>
      <c r="L29" s="316"/>
      <c r="M29" s="380"/>
      <c r="N29" s="316"/>
      <c r="O29" s="316"/>
      <c r="P29" s="316"/>
      <c r="Q29" s="316"/>
      <c r="R29" s="380"/>
      <c r="S29" s="316"/>
      <c r="T29" s="316"/>
      <c r="U29" s="316"/>
      <c r="V29" s="316"/>
      <c r="W29" s="380"/>
      <c r="X29" s="316"/>
      <c r="Y29" s="316"/>
      <c r="Z29" s="316"/>
      <c r="AA29" s="316"/>
      <c r="AB29" s="380"/>
      <c r="AC29" s="316"/>
      <c r="AD29" s="316"/>
      <c r="AE29" s="316"/>
      <c r="AF29" s="316"/>
      <c r="AG29" s="380"/>
      <c r="AH29" s="316"/>
      <c r="AI29" s="316"/>
      <c r="AJ29" s="316"/>
      <c r="AK29" s="316"/>
      <c r="AL29" s="380"/>
      <c r="AM29" s="316"/>
      <c r="AN29" s="316"/>
      <c r="AO29" s="316"/>
      <c r="AP29" s="316"/>
      <c r="AQ29" s="380"/>
      <c r="AR29" s="316"/>
      <c r="AS29" s="316"/>
      <c r="AT29" s="316"/>
      <c r="AU29" s="316"/>
      <c r="AV29" s="380"/>
      <c r="AW29" s="316"/>
      <c r="AX29" s="316"/>
      <c r="AY29" s="316"/>
      <c r="AZ29" s="316"/>
      <c r="BA29" s="380"/>
      <c r="BB29" s="316"/>
      <c r="BC29" s="316"/>
      <c r="BD29" s="316"/>
      <c r="BE29" s="316"/>
      <c r="BF29" s="315"/>
      <c r="BG29" s="93"/>
      <c r="BH29" s="93"/>
      <c r="BI29" s="93"/>
      <c r="BJ29" s="316"/>
      <c r="BK29" s="315"/>
      <c r="BL29" s="316"/>
      <c r="BM29" s="316"/>
      <c r="BN29" s="316"/>
      <c r="BO29" s="316"/>
      <c r="BP29" s="380"/>
      <c r="BQ29" s="239"/>
      <c r="BR29" s="239">
        <v>0</v>
      </c>
      <c r="BS29" s="239">
        <v>0</v>
      </c>
      <c r="BT29" s="239">
        <v>0</v>
      </c>
      <c r="BU29" s="257">
        <f t="shared" si="123"/>
        <v>0</v>
      </c>
      <c r="BV29" s="239">
        <v>0</v>
      </c>
      <c r="BW29" s="239">
        <v>0</v>
      </c>
      <c r="BX29" s="239">
        <v>0</v>
      </c>
      <c r="BY29" s="239">
        <v>0</v>
      </c>
      <c r="BZ29" s="257">
        <f t="shared" si="124"/>
        <v>0</v>
      </c>
      <c r="CA29" s="239">
        <v>0</v>
      </c>
      <c r="CB29" s="239">
        <v>0</v>
      </c>
      <c r="CC29" s="239">
        <v>0</v>
      </c>
      <c r="CD29" s="239">
        <v>0</v>
      </c>
      <c r="CE29" s="257">
        <f t="shared" si="125"/>
        <v>0</v>
      </c>
      <c r="CF29" s="239">
        <v>0</v>
      </c>
      <c r="CG29" s="239">
        <v>0</v>
      </c>
      <c r="CH29" s="239">
        <v>0</v>
      </c>
      <c r="CI29" s="239">
        <v>0</v>
      </c>
      <c r="CJ29" s="257">
        <f t="shared" si="126"/>
        <v>0</v>
      </c>
      <c r="CK29" s="239">
        <v>0</v>
      </c>
      <c r="CL29" s="239">
        <v>0</v>
      </c>
      <c r="CM29" s="239">
        <v>66.617000000000004</v>
      </c>
      <c r="CN29" s="239">
        <v>69.432000000000002</v>
      </c>
      <c r="CO29" s="257">
        <f t="shared" si="127"/>
        <v>69.432000000000002</v>
      </c>
      <c r="CP29" s="239">
        <v>1.4610000000000001</v>
      </c>
      <c r="CQ29" s="239">
        <v>1.0620000000000001</v>
      </c>
      <c r="CR29" s="239">
        <v>0.79900000000000004</v>
      </c>
      <c r="CS29" s="239">
        <v>19.677</v>
      </c>
      <c r="CT29" s="257">
        <f t="shared" si="128"/>
        <v>19.677</v>
      </c>
      <c r="CU29" s="239">
        <v>25.934999999999999</v>
      </c>
      <c r="CV29" s="239">
        <v>22.544</v>
      </c>
      <c r="CW29" s="239">
        <v>26.498000000000001</v>
      </c>
      <c r="CX29" s="239">
        <v>13.505000000000001</v>
      </c>
      <c r="CY29" s="257">
        <f t="shared" si="129"/>
        <v>13.505000000000001</v>
      </c>
      <c r="CZ29" s="239">
        <v>8.2940000000000005</v>
      </c>
      <c r="DA29" s="239">
        <v>4.125</v>
      </c>
      <c r="DB29" s="239">
        <v>4.4580000000000002</v>
      </c>
      <c r="DC29" s="239">
        <v>9.39</v>
      </c>
      <c r="DD29" s="257">
        <f t="shared" si="130"/>
        <v>9.39</v>
      </c>
      <c r="DE29" s="239">
        <v>0</v>
      </c>
      <c r="DF29" s="239">
        <v>0</v>
      </c>
      <c r="DG29" s="239">
        <v>0</v>
      </c>
      <c r="DH29" s="239">
        <v>0</v>
      </c>
      <c r="DI29" s="257">
        <f t="shared" si="131"/>
        <v>0</v>
      </c>
      <c r="DJ29" s="239">
        <v>0</v>
      </c>
      <c r="DK29" s="239">
        <v>0</v>
      </c>
      <c r="DL29" s="239">
        <v>0</v>
      </c>
      <c r="DM29" s="239">
        <v>0</v>
      </c>
      <c r="DN29" s="257">
        <f t="shared" si="132"/>
        <v>0</v>
      </c>
      <c r="DO29" s="239">
        <v>0</v>
      </c>
      <c r="DP29" s="239">
        <v>0</v>
      </c>
      <c r="DQ29" s="239">
        <v>0</v>
      </c>
      <c r="DR29" s="239">
        <v>0</v>
      </c>
      <c r="DS29" s="257">
        <f t="shared" si="133"/>
        <v>0</v>
      </c>
      <c r="DT29" s="239">
        <v>0</v>
      </c>
      <c r="DU29" s="239">
        <v>0</v>
      </c>
      <c r="DV29" s="120">
        <f>DU29+'Cash Flow'!DV13</f>
        <v>0</v>
      </c>
      <c r="DW29" s="120">
        <f>DV29+'Cash Flow'!DW13</f>
        <v>0</v>
      </c>
      <c r="DX29" s="257">
        <f t="shared" si="134"/>
        <v>0</v>
      </c>
      <c r="DY29" s="120">
        <f>DX29+'Cash Flow'!DY13</f>
        <v>0</v>
      </c>
      <c r="DZ29" s="120">
        <f>DY29+'Cash Flow'!DZ13</f>
        <v>0</v>
      </c>
      <c r="EA29" s="120">
        <f>DZ29+'Cash Flow'!EA13</f>
        <v>0</v>
      </c>
      <c r="EB29" s="120">
        <f>EA29+'Cash Flow'!EB13</f>
        <v>0</v>
      </c>
      <c r="EC29" s="257">
        <f t="shared" si="135"/>
        <v>0</v>
      </c>
      <c r="ED29" s="120">
        <f>EC29+'Cash Flow'!ED13</f>
        <v>0</v>
      </c>
      <c r="EE29" s="120">
        <f>ED29+'Cash Flow'!EE13</f>
        <v>0</v>
      </c>
      <c r="EF29" s="120">
        <f>EE29+'Cash Flow'!EF13</f>
        <v>0</v>
      </c>
      <c r="EG29" s="120">
        <f>EF29+'Cash Flow'!EG13</f>
        <v>0</v>
      </c>
      <c r="EH29" s="257">
        <f t="shared" si="136"/>
        <v>0</v>
      </c>
      <c r="EI29" s="120">
        <f>EH29+'Cash Flow'!EI13</f>
        <v>0</v>
      </c>
      <c r="EJ29" s="120">
        <f>EI29+'Cash Flow'!EJ13</f>
        <v>0</v>
      </c>
      <c r="EK29" s="120">
        <f>EJ29+'Cash Flow'!EK13</f>
        <v>0</v>
      </c>
      <c r="EL29" s="120">
        <f>EK29+'Cash Flow'!EL13</f>
        <v>0</v>
      </c>
      <c r="EM29" s="257">
        <f t="shared" si="137"/>
        <v>0</v>
      </c>
      <c r="EN29" s="120">
        <f>EM29+'Cash Flow'!EN13</f>
        <v>0</v>
      </c>
      <c r="EO29" s="120">
        <f>EN29+'Cash Flow'!EO13</f>
        <v>0</v>
      </c>
      <c r="EP29" s="120">
        <f>EO29+'Cash Flow'!EP13</f>
        <v>0</v>
      </c>
      <c r="EQ29" s="120">
        <f>EP29+'Cash Flow'!EQ13</f>
        <v>0</v>
      </c>
      <c r="ER29" s="257">
        <f t="shared" si="138"/>
        <v>0</v>
      </c>
      <c r="EW29"/>
      <c r="EX29"/>
      <c r="EY29"/>
      <c r="EZ29"/>
      <c r="FA29"/>
    </row>
    <row r="30" spans="1:273" s="160" customFormat="1" ht="12" customHeight="1">
      <c r="A30" s="133"/>
      <c r="B30" s="133"/>
      <c r="C30" s="265" t="s">
        <v>252</v>
      </c>
      <c r="D30" s="315"/>
      <c r="E30" s="315"/>
      <c r="F30" s="315"/>
      <c r="G30" s="315"/>
      <c r="H30" s="315"/>
      <c r="I30" s="316"/>
      <c r="J30" s="316"/>
      <c r="K30" s="316"/>
      <c r="L30" s="316"/>
      <c r="M30" s="380"/>
      <c r="N30" s="316"/>
      <c r="O30" s="316"/>
      <c r="P30" s="316"/>
      <c r="Q30" s="316"/>
      <c r="R30" s="380"/>
      <c r="S30" s="316"/>
      <c r="T30" s="316"/>
      <c r="U30" s="316"/>
      <c r="V30" s="316"/>
      <c r="W30" s="380"/>
      <c r="X30" s="316"/>
      <c r="Y30" s="316"/>
      <c r="Z30" s="316"/>
      <c r="AA30" s="316"/>
      <c r="AB30" s="380"/>
      <c r="AC30" s="316"/>
      <c r="AD30" s="316"/>
      <c r="AE30" s="316"/>
      <c r="AF30" s="316"/>
      <c r="AG30" s="380"/>
      <c r="AH30" s="316"/>
      <c r="AI30" s="316"/>
      <c r="AJ30" s="316"/>
      <c r="AK30" s="316"/>
      <c r="AL30" s="380"/>
      <c r="AM30" s="316"/>
      <c r="AN30" s="316"/>
      <c r="AO30" s="316"/>
      <c r="AP30" s="316"/>
      <c r="AQ30" s="380"/>
      <c r="AR30" s="316"/>
      <c r="AS30" s="316"/>
      <c r="AT30" s="316"/>
      <c r="AU30" s="316"/>
      <c r="AV30" s="380"/>
      <c r="AW30" s="316"/>
      <c r="AX30" s="316"/>
      <c r="AY30" s="316"/>
      <c r="AZ30" s="316"/>
      <c r="BA30" s="380"/>
      <c r="BB30" s="316"/>
      <c r="BC30" s="316"/>
      <c r="BD30" s="316"/>
      <c r="BE30" s="316"/>
      <c r="BF30" s="315"/>
      <c r="BG30" s="93"/>
      <c r="BH30" s="93"/>
      <c r="BI30" s="93"/>
      <c r="BJ30" s="316"/>
      <c r="BK30" s="315"/>
      <c r="BL30" s="316"/>
      <c r="BM30" s="316"/>
      <c r="BN30" s="316"/>
      <c r="BO30" s="316"/>
      <c r="BP30" s="380"/>
      <c r="BQ30" s="239"/>
      <c r="BR30" s="239">
        <v>9.6010000000000009</v>
      </c>
      <c r="BS30" s="239">
        <v>6.7750000000000004</v>
      </c>
      <c r="BT30" s="239">
        <v>12.726000000000001</v>
      </c>
      <c r="BU30" s="257">
        <f t="shared" si="123"/>
        <v>12.726000000000001</v>
      </c>
      <c r="BV30" s="239">
        <v>14.522</v>
      </c>
      <c r="BW30" s="239">
        <v>16.463999999999999</v>
      </c>
      <c r="BX30" s="239">
        <v>18.292999999999999</v>
      </c>
      <c r="BY30" s="239">
        <v>20.164000000000001</v>
      </c>
      <c r="BZ30" s="257">
        <f t="shared" si="124"/>
        <v>20.164000000000001</v>
      </c>
      <c r="CA30" s="239">
        <v>23.193999999999999</v>
      </c>
      <c r="CB30" s="239">
        <v>25.771000000000001</v>
      </c>
      <c r="CC30" s="239">
        <v>28.73</v>
      </c>
      <c r="CD30" s="239">
        <v>30.693999999999999</v>
      </c>
      <c r="CE30" s="257">
        <f t="shared" si="125"/>
        <v>30.693999999999999</v>
      </c>
      <c r="CF30" s="239">
        <v>32.993000000000002</v>
      </c>
      <c r="CG30" s="239">
        <v>35.029000000000003</v>
      </c>
      <c r="CH30" s="239">
        <v>36.987000000000002</v>
      </c>
      <c r="CI30" s="239">
        <v>39.18</v>
      </c>
      <c r="CJ30" s="257">
        <f t="shared" si="126"/>
        <v>39.18</v>
      </c>
      <c r="CK30" s="239">
        <v>42.746000000000002</v>
      </c>
      <c r="CL30" s="239">
        <v>45.707000000000001</v>
      </c>
      <c r="CM30" s="239">
        <v>48.368000000000002</v>
      </c>
      <c r="CN30" s="239">
        <v>56.691000000000003</v>
      </c>
      <c r="CO30" s="257">
        <f t="shared" si="127"/>
        <v>56.691000000000003</v>
      </c>
      <c r="CP30" s="239">
        <v>62.884</v>
      </c>
      <c r="CQ30" s="239">
        <v>67.454999999999998</v>
      </c>
      <c r="CR30" s="239">
        <v>96.777000000000001</v>
      </c>
      <c r="CS30" s="239">
        <v>107.809</v>
      </c>
      <c r="CT30" s="257">
        <f t="shared" si="128"/>
        <v>107.809</v>
      </c>
      <c r="CU30" s="239">
        <v>114.72499999999999</v>
      </c>
      <c r="CV30" s="239">
        <v>183.16</v>
      </c>
      <c r="CW30" s="239">
        <v>203.85300000000001</v>
      </c>
      <c r="CX30" s="239">
        <v>216.792</v>
      </c>
      <c r="CY30" s="257">
        <f t="shared" si="129"/>
        <v>216.792</v>
      </c>
      <c r="CZ30" s="239">
        <v>247.64699999999999</v>
      </c>
      <c r="DA30" s="239">
        <v>254.00700000000001</v>
      </c>
      <c r="DB30" s="239">
        <v>287.625</v>
      </c>
      <c r="DC30" s="239">
        <v>295.88799999999998</v>
      </c>
      <c r="DD30" s="257">
        <f t="shared" si="130"/>
        <v>295.88799999999998</v>
      </c>
      <c r="DE30" s="239">
        <v>324</v>
      </c>
      <c r="DF30" s="239">
        <v>310</v>
      </c>
      <c r="DG30" s="239">
        <v>304</v>
      </c>
      <c r="DH30" s="239">
        <v>302</v>
      </c>
      <c r="DI30" s="257">
        <f t="shared" si="131"/>
        <v>302</v>
      </c>
      <c r="DJ30" s="239">
        <v>296</v>
      </c>
      <c r="DK30" s="239">
        <v>298</v>
      </c>
      <c r="DL30" s="239">
        <v>290</v>
      </c>
      <c r="DM30" s="239">
        <v>283</v>
      </c>
      <c r="DN30" s="257">
        <f t="shared" si="132"/>
        <v>283</v>
      </c>
      <c r="DO30" s="239">
        <v>295</v>
      </c>
      <c r="DP30" s="239">
        <v>298</v>
      </c>
      <c r="DQ30" s="239">
        <v>300</v>
      </c>
      <c r="DR30" s="239">
        <v>300</v>
      </c>
      <c r="DS30" s="257">
        <f t="shared" si="133"/>
        <v>300</v>
      </c>
      <c r="DT30" s="239">
        <v>321</v>
      </c>
      <c r="DU30" s="239">
        <v>335</v>
      </c>
      <c r="DV30" s="120">
        <f>DV65*DV55</f>
        <v>391.23666424495656</v>
      </c>
      <c r="DW30" s="120">
        <f>DW65*DW55</f>
        <v>388.05244662806371</v>
      </c>
      <c r="DX30" s="257">
        <f t="shared" si="134"/>
        <v>388.05244662806371</v>
      </c>
      <c r="DY30" s="120">
        <f>DY65*DY55</f>
        <v>504.3901956171876</v>
      </c>
      <c r="DZ30" s="120">
        <f>DZ65*DZ55</f>
        <v>505.01494658566912</v>
      </c>
      <c r="EA30" s="120">
        <f>EA65*EA55</f>
        <v>464.16759010306197</v>
      </c>
      <c r="EB30" s="120">
        <f>EB65*EB55</f>
        <v>532.41632805695849</v>
      </c>
      <c r="EC30" s="257">
        <f t="shared" si="135"/>
        <v>532.41632805695849</v>
      </c>
      <c r="ED30" s="120">
        <f>ED65*ED55</f>
        <v>658.40933558395682</v>
      </c>
      <c r="EE30" s="120">
        <f>EE65*EE55</f>
        <v>664.75511694500369</v>
      </c>
      <c r="EF30" s="120">
        <f>EF65*EF55</f>
        <v>615.85747480072951</v>
      </c>
      <c r="EG30" s="120">
        <f>EG65*EG55</f>
        <v>713.64533443181267</v>
      </c>
      <c r="EH30" s="257">
        <f t="shared" si="136"/>
        <v>713.64533443181267</v>
      </c>
      <c r="EI30" s="120">
        <f>EI65*EI55</f>
        <v>838.07894844169982</v>
      </c>
      <c r="EJ30" s="120">
        <f>EJ65*EJ55</f>
        <v>852.93928830120922</v>
      </c>
      <c r="EK30" s="120">
        <f>EK65*EK55</f>
        <v>796.28194160573412</v>
      </c>
      <c r="EL30" s="120">
        <f>EL65*EL55</f>
        <v>930.88516896999499</v>
      </c>
      <c r="EM30" s="257">
        <f t="shared" si="137"/>
        <v>930.88516896999499</v>
      </c>
      <c r="EN30" s="120">
        <f>EN65*EN55</f>
        <v>1050.9687122839625</v>
      </c>
      <c r="EO30" s="120">
        <f>EO65*EO55</f>
        <v>1076.8867467046539</v>
      </c>
      <c r="EP30" s="120">
        <f>EP65*EP55</f>
        <v>1012.0599451630713</v>
      </c>
      <c r="EQ30" s="120">
        <f>EQ65*EQ55</f>
        <v>1191.5152676986181</v>
      </c>
      <c r="ER30" s="257">
        <f t="shared" si="138"/>
        <v>1191.5152676986181</v>
      </c>
      <c r="EW30"/>
      <c r="EX30"/>
      <c r="EY30"/>
      <c r="EZ30"/>
      <c r="FA30"/>
    </row>
    <row r="31" spans="1:273" s="160" customFormat="1" ht="12" customHeight="1">
      <c r="A31" s="133"/>
      <c r="B31" s="133"/>
      <c r="C31" s="265" t="s">
        <v>267</v>
      </c>
      <c r="D31" s="315"/>
      <c r="E31" s="315"/>
      <c r="F31" s="315"/>
      <c r="G31" s="315"/>
      <c r="H31" s="315"/>
      <c r="I31" s="316"/>
      <c r="J31" s="316"/>
      <c r="K31" s="316"/>
      <c r="L31" s="316"/>
      <c r="M31" s="380"/>
      <c r="N31" s="316"/>
      <c r="O31" s="316"/>
      <c r="P31" s="316"/>
      <c r="Q31" s="316"/>
      <c r="R31" s="380"/>
      <c r="S31" s="316"/>
      <c r="T31" s="316"/>
      <c r="U31" s="316"/>
      <c r="V31" s="316"/>
      <c r="W31" s="380"/>
      <c r="X31" s="316"/>
      <c r="Y31" s="316"/>
      <c r="Z31" s="316"/>
      <c r="AA31" s="316"/>
      <c r="AB31" s="380"/>
      <c r="AC31" s="316"/>
      <c r="AD31" s="316"/>
      <c r="AE31" s="316"/>
      <c r="AF31" s="316"/>
      <c r="AG31" s="380"/>
      <c r="AH31" s="316"/>
      <c r="AI31" s="316"/>
      <c r="AJ31" s="316"/>
      <c r="AK31" s="316"/>
      <c r="AL31" s="380"/>
      <c r="AM31" s="316"/>
      <c r="AN31" s="316"/>
      <c r="AO31" s="316"/>
      <c r="AP31" s="316"/>
      <c r="AQ31" s="380"/>
      <c r="AR31" s="316"/>
      <c r="AS31" s="316"/>
      <c r="AT31" s="316"/>
      <c r="AU31" s="316"/>
      <c r="AV31" s="380"/>
      <c r="AW31" s="316"/>
      <c r="AX31" s="316"/>
      <c r="AY31" s="316"/>
      <c r="AZ31" s="316"/>
      <c r="BA31" s="380"/>
      <c r="BB31" s="316"/>
      <c r="BC31" s="316"/>
      <c r="BD31" s="316"/>
      <c r="BE31" s="316"/>
      <c r="BF31" s="315"/>
      <c r="BG31" s="93"/>
      <c r="BH31" s="93"/>
      <c r="BI31" s="93"/>
      <c r="BJ31" s="316"/>
      <c r="BK31" s="315"/>
      <c r="BL31" s="316"/>
      <c r="BM31" s="316"/>
      <c r="BN31" s="316"/>
      <c r="BO31" s="316"/>
      <c r="BP31" s="380"/>
      <c r="BQ31" s="239"/>
      <c r="BR31" s="393">
        <v>0.77400000000000002</v>
      </c>
      <c r="BS31" s="393">
        <v>0.48499999999999999</v>
      </c>
      <c r="BT31" s="393">
        <v>0.82199999999999995</v>
      </c>
      <c r="BU31" s="286">
        <f t="shared" si="123"/>
        <v>0.82199999999999995</v>
      </c>
      <c r="BV31" s="393">
        <v>0.93500000000000005</v>
      </c>
      <c r="BW31" s="393">
        <v>1.0549999999999999</v>
      </c>
      <c r="BX31" s="393">
        <v>1.2230000000000001</v>
      </c>
      <c r="BY31" s="393">
        <v>1.3109999999999999</v>
      </c>
      <c r="BZ31" s="286">
        <f t="shared" si="124"/>
        <v>1.3109999999999999</v>
      </c>
      <c r="CA31" s="393">
        <v>1.333</v>
      </c>
      <c r="CB31" s="393">
        <v>1.3540000000000001</v>
      </c>
      <c r="CC31" s="393">
        <v>1.4339999999999999</v>
      </c>
      <c r="CD31" s="393">
        <v>1.484</v>
      </c>
      <c r="CE31" s="286">
        <f t="shared" si="125"/>
        <v>1.484</v>
      </c>
      <c r="CF31" s="393">
        <v>1.53</v>
      </c>
      <c r="CG31" s="393">
        <v>1.6220000000000001</v>
      </c>
      <c r="CH31" s="393">
        <v>2.121</v>
      </c>
      <c r="CI31" s="393">
        <v>2.552</v>
      </c>
      <c r="CJ31" s="286">
        <f t="shared" si="126"/>
        <v>2.552</v>
      </c>
      <c r="CK31" s="393">
        <v>5.2430000000000003</v>
      </c>
      <c r="CL31" s="393">
        <v>5.6440000000000001</v>
      </c>
      <c r="CM31" s="393">
        <v>5.4260000000000002</v>
      </c>
      <c r="CN31" s="393">
        <v>9.0660000000000007</v>
      </c>
      <c r="CO31" s="286">
        <f t="shared" si="127"/>
        <v>9.0660000000000007</v>
      </c>
      <c r="CP31" s="393">
        <v>9.7810000000000006</v>
      </c>
      <c r="CQ31" s="393">
        <v>10.993</v>
      </c>
      <c r="CR31" s="393">
        <v>10.994</v>
      </c>
      <c r="CS31" s="393">
        <v>10.051</v>
      </c>
      <c r="CT31" s="286">
        <f t="shared" si="128"/>
        <v>10.051</v>
      </c>
      <c r="CU31" s="393">
        <v>15.567</v>
      </c>
      <c r="CV31" s="393">
        <v>15.842000000000001</v>
      </c>
      <c r="CW31" s="393">
        <v>15.618</v>
      </c>
      <c r="CX31" s="393">
        <v>15.747999999999999</v>
      </c>
      <c r="CY31" s="286">
        <f t="shared" si="129"/>
        <v>15.747999999999999</v>
      </c>
      <c r="CZ31" s="393">
        <v>19.344000000000001</v>
      </c>
      <c r="DA31" s="393">
        <v>25.667999999999999</v>
      </c>
      <c r="DB31" s="393">
        <v>17.024000000000001</v>
      </c>
      <c r="DC31" s="393">
        <v>18.161000000000001</v>
      </c>
      <c r="DD31" s="286">
        <f t="shared" si="130"/>
        <v>18.161000000000001</v>
      </c>
      <c r="DE31" s="393">
        <v>24</v>
      </c>
      <c r="DF31" s="393">
        <v>16</v>
      </c>
      <c r="DG31" s="393">
        <v>15</v>
      </c>
      <c r="DH31" s="393">
        <v>17</v>
      </c>
      <c r="DI31" s="286">
        <f t="shared" si="131"/>
        <v>17</v>
      </c>
      <c r="DJ31" s="393">
        <v>17</v>
      </c>
      <c r="DK31" s="393">
        <v>17</v>
      </c>
      <c r="DL31" s="393">
        <v>18</v>
      </c>
      <c r="DM31" s="393">
        <v>18</v>
      </c>
      <c r="DN31" s="286">
        <f t="shared" si="132"/>
        <v>18</v>
      </c>
      <c r="DO31" s="393">
        <v>19</v>
      </c>
      <c r="DP31" s="393">
        <v>20</v>
      </c>
      <c r="DQ31" s="393">
        <v>19</v>
      </c>
      <c r="DR31" s="393">
        <v>17</v>
      </c>
      <c r="DS31" s="286">
        <f t="shared" si="133"/>
        <v>17</v>
      </c>
      <c r="DT31" s="393">
        <v>16</v>
      </c>
      <c r="DU31" s="393">
        <v>10</v>
      </c>
      <c r="DV31" s="384">
        <f>DU31</f>
        <v>10</v>
      </c>
      <c r="DW31" s="384">
        <f>DV31</f>
        <v>10</v>
      </c>
      <c r="DX31" s="286">
        <f t="shared" si="134"/>
        <v>10</v>
      </c>
      <c r="DY31" s="384">
        <f>DW31</f>
        <v>10</v>
      </c>
      <c r="DZ31" s="384">
        <f>DY31</f>
        <v>10</v>
      </c>
      <c r="EA31" s="384">
        <f>DZ31</f>
        <v>10</v>
      </c>
      <c r="EB31" s="384">
        <f>EA31</f>
        <v>10</v>
      </c>
      <c r="EC31" s="286">
        <f t="shared" si="135"/>
        <v>10</v>
      </c>
      <c r="ED31" s="384">
        <f>EB31</f>
        <v>10</v>
      </c>
      <c r="EE31" s="384">
        <f>ED31</f>
        <v>10</v>
      </c>
      <c r="EF31" s="384">
        <f>EE31</f>
        <v>10</v>
      </c>
      <c r="EG31" s="384">
        <f>EF31</f>
        <v>10</v>
      </c>
      <c r="EH31" s="286">
        <f t="shared" si="136"/>
        <v>10</v>
      </c>
      <c r="EI31" s="384">
        <f>EG31</f>
        <v>10</v>
      </c>
      <c r="EJ31" s="384">
        <f>EI31</f>
        <v>10</v>
      </c>
      <c r="EK31" s="384">
        <f>EJ31</f>
        <v>10</v>
      </c>
      <c r="EL31" s="384">
        <f>EK31</f>
        <v>10</v>
      </c>
      <c r="EM31" s="286">
        <f t="shared" si="137"/>
        <v>10</v>
      </c>
      <c r="EN31" s="384">
        <f>EL31</f>
        <v>10</v>
      </c>
      <c r="EO31" s="384">
        <f>EN31</f>
        <v>10</v>
      </c>
      <c r="EP31" s="384">
        <f>EO31</f>
        <v>10</v>
      </c>
      <c r="EQ31" s="384">
        <f>EP31</f>
        <v>10</v>
      </c>
      <c r="ER31" s="286">
        <f t="shared" si="138"/>
        <v>10</v>
      </c>
      <c r="EW31"/>
      <c r="EX31"/>
      <c r="EY31"/>
      <c r="EZ31"/>
      <c r="FA31"/>
    </row>
    <row r="32" spans="1:273" s="160" customFormat="1" ht="12" customHeight="1">
      <c r="A32" s="133"/>
      <c r="B32" s="133"/>
      <c r="C32" s="265" t="s">
        <v>700</v>
      </c>
      <c r="D32" s="315"/>
      <c r="E32" s="315"/>
      <c r="F32" s="315"/>
      <c r="G32" s="315"/>
      <c r="H32" s="315"/>
      <c r="I32" s="316"/>
      <c r="J32" s="316"/>
      <c r="K32" s="316"/>
      <c r="L32" s="316"/>
      <c r="M32" s="380"/>
      <c r="N32" s="316"/>
      <c r="O32" s="316"/>
      <c r="P32" s="316"/>
      <c r="Q32" s="316"/>
      <c r="R32" s="380"/>
      <c r="S32" s="316"/>
      <c r="T32" s="316"/>
      <c r="U32" s="316"/>
      <c r="V32" s="316"/>
      <c r="W32" s="380"/>
      <c r="X32" s="316"/>
      <c r="Y32" s="316"/>
      <c r="Z32" s="316"/>
      <c r="AA32" s="316"/>
      <c r="AB32" s="380"/>
      <c r="AC32" s="316"/>
      <c r="AD32" s="316"/>
      <c r="AE32" s="316"/>
      <c r="AF32" s="316"/>
      <c r="AG32" s="380"/>
      <c r="AH32" s="316"/>
      <c r="AI32" s="316"/>
      <c r="AJ32" s="316"/>
      <c r="AK32" s="316"/>
      <c r="AL32" s="380"/>
      <c r="AM32" s="316"/>
      <c r="AN32" s="316"/>
      <c r="AO32" s="316"/>
      <c r="AP32" s="316"/>
      <c r="AQ32" s="380"/>
      <c r="AR32" s="316"/>
      <c r="AS32" s="316"/>
      <c r="AT32" s="316"/>
      <c r="AU32" s="316"/>
      <c r="AV32" s="380"/>
      <c r="AW32" s="316"/>
      <c r="AX32" s="316"/>
      <c r="AY32" s="316"/>
      <c r="AZ32" s="316"/>
      <c r="BA32" s="380"/>
      <c r="BB32" s="316"/>
      <c r="BC32" s="316"/>
      <c r="BD32" s="316"/>
      <c r="BE32" s="316"/>
      <c r="BF32" s="315"/>
      <c r="BG32" s="93"/>
      <c r="BH32" s="93"/>
      <c r="BI32" s="93"/>
      <c r="BJ32" s="316"/>
      <c r="BK32" s="315"/>
      <c r="BL32" s="316"/>
      <c r="BM32" s="316"/>
      <c r="BN32" s="316"/>
      <c r="BO32" s="316"/>
      <c r="BP32" s="380"/>
      <c r="BQ32" s="239"/>
      <c r="BR32" s="393">
        <v>0</v>
      </c>
      <c r="BS32" s="393">
        <v>0</v>
      </c>
      <c r="BT32" s="393">
        <v>0</v>
      </c>
      <c r="BU32" s="286">
        <f t="shared" si="123"/>
        <v>0</v>
      </c>
      <c r="BV32" s="393">
        <v>0</v>
      </c>
      <c r="BW32" s="393">
        <v>0</v>
      </c>
      <c r="BX32" s="393">
        <v>0</v>
      </c>
      <c r="BY32" s="393">
        <v>0</v>
      </c>
      <c r="BZ32" s="286">
        <f t="shared" si="124"/>
        <v>0</v>
      </c>
      <c r="CA32" s="393">
        <v>0</v>
      </c>
      <c r="CB32" s="393">
        <v>0</v>
      </c>
      <c r="CC32" s="393">
        <v>0</v>
      </c>
      <c r="CD32" s="393">
        <v>0</v>
      </c>
      <c r="CE32" s="286">
        <f t="shared" si="125"/>
        <v>0</v>
      </c>
      <c r="CF32" s="393">
        <v>0</v>
      </c>
      <c r="CG32" s="393">
        <v>0</v>
      </c>
      <c r="CH32" s="393">
        <v>0</v>
      </c>
      <c r="CI32" s="393">
        <v>0</v>
      </c>
      <c r="CJ32" s="286">
        <f t="shared" si="126"/>
        <v>0</v>
      </c>
      <c r="CK32" s="393">
        <v>0</v>
      </c>
      <c r="CL32" s="393">
        <v>0</v>
      </c>
      <c r="CM32" s="393">
        <v>0</v>
      </c>
      <c r="CN32" s="393">
        <v>0</v>
      </c>
      <c r="CO32" s="286">
        <f t="shared" si="127"/>
        <v>0</v>
      </c>
      <c r="CP32" s="393">
        <v>0</v>
      </c>
      <c r="CQ32" s="393">
        <v>0</v>
      </c>
      <c r="CR32" s="393">
        <v>0</v>
      </c>
      <c r="CS32" s="393">
        <v>0</v>
      </c>
      <c r="CT32" s="286">
        <f t="shared" si="128"/>
        <v>0</v>
      </c>
      <c r="CU32" s="393">
        <v>0</v>
      </c>
      <c r="CV32" s="393">
        <v>0</v>
      </c>
      <c r="CW32" s="393">
        <v>0</v>
      </c>
      <c r="CX32" s="393">
        <v>0</v>
      </c>
      <c r="CY32" s="286">
        <f t="shared" si="129"/>
        <v>0</v>
      </c>
      <c r="CZ32" s="393">
        <v>0</v>
      </c>
      <c r="DA32" s="393">
        <v>0</v>
      </c>
      <c r="DB32" s="393">
        <v>0</v>
      </c>
      <c r="DC32" s="393">
        <v>0</v>
      </c>
      <c r="DD32" s="286">
        <f t="shared" si="130"/>
        <v>0</v>
      </c>
      <c r="DE32" s="393">
        <v>0</v>
      </c>
      <c r="DF32" s="393">
        <v>0</v>
      </c>
      <c r="DG32" s="393">
        <v>0</v>
      </c>
      <c r="DH32" s="393">
        <v>0</v>
      </c>
      <c r="DI32" s="286">
        <f t="shared" si="131"/>
        <v>0</v>
      </c>
      <c r="DJ32" s="393">
        <v>0</v>
      </c>
      <c r="DK32" s="393">
        <v>0</v>
      </c>
      <c r="DL32" s="393">
        <v>0</v>
      </c>
      <c r="DM32" s="393">
        <v>918</v>
      </c>
      <c r="DN32" s="286">
        <f t="shared" si="132"/>
        <v>918</v>
      </c>
      <c r="DO32" s="393">
        <v>919</v>
      </c>
      <c r="DP32" s="393">
        <v>919</v>
      </c>
      <c r="DQ32" s="393">
        <v>920</v>
      </c>
      <c r="DR32" s="393">
        <v>0</v>
      </c>
      <c r="DS32" s="257">
        <f t="shared" ref="DS32" si="139">DR32</f>
        <v>0</v>
      </c>
      <c r="DT32" s="393">
        <v>0</v>
      </c>
      <c r="DU32" s="393">
        <v>0</v>
      </c>
      <c r="DV32" s="160">
        <f>DU32+'Cash Flow'!DV39</f>
        <v>0</v>
      </c>
      <c r="DW32" s="160">
        <f>DV32+'Cash Flow'!DW39</f>
        <v>0</v>
      </c>
      <c r="DX32" s="380">
        <f t="shared" ref="DX32" si="140">DW32</f>
        <v>0</v>
      </c>
      <c r="DY32" s="160">
        <f>DX32+'Cash Flow'!DY39</f>
        <v>0</v>
      </c>
      <c r="DZ32" s="160">
        <f>DY32+'Cash Flow'!DZ39</f>
        <v>0</v>
      </c>
      <c r="EA32" s="160">
        <f>DZ32+'Cash Flow'!EA39</f>
        <v>0</v>
      </c>
      <c r="EB32" s="160">
        <f>EA32+'Cash Flow'!EB39</f>
        <v>0</v>
      </c>
      <c r="EC32" s="380">
        <f t="shared" ref="EC32" si="141">EB32</f>
        <v>0</v>
      </c>
      <c r="ED32" s="160">
        <f>EC32+'Cash Flow'!ED39</f>
        <v>0</v>
      </c>
      <c r="EE32" s="160">
        <f>ED32+'Cash Flow'!EE39</f>
        <v>0</v>
      </c>
      <c r="EF32" s="160">
        <f>EE32+'Cash Flow'!EF39</f>
        <v>0</v>
      </c>
      <c r="EG32" s="160">
        <f>EF32+'Cash Flow'!EG39</f>
        <v>0</v>
      </c>
      <c r="EH32" s="380">
        <f t="shared" si="136"/>
        <v>0</v>
      </c>
      <c r="EI32" s="160">
        <f>EH32+'Cash Flow'!EI39</f>
        <v>0</v>
      </c>
      <c r="EJ32" s="160">
        <f>EI32+'Cash Flow'!EJ39</f>
        <v>0</v>
      </c>
      <c r="EK32" s="160">
        <f>EJ32+'Cash Flow'!EK39</f>
        <v>0</v>
      </c>
      <c r="EL32" s="160">
        <f>EK32+'Cash Flow'!EL39</f>
        <v>0</v>
      </c>
      <c r="EM32" s="380">
        <f t="shared" si="137"/>
        <v>0</v>
      </c>
      <c r="EN32" s="160">
        <f>EM32+'Cash Flow'!EN39</f>
        <v>0</v>
      </c>
      <c r="EO32" s="160">
        <f>EN32+'Cash Flow'!EO39</f>
        <v>0</v>
      </c>
      <c r="EP32" s="160">
        <f>EO32+'Cash Flow'!EP39</f>
        <v>0</v>
      </c>
      <c r="EQ32" s="160">
        <f>EP32+'Cash Flow'!EQ39</f>
        <v>0</v>
      </c>
      <c r="ER32" s="380">
        <f t="shared" si="138"/>
        <v>0</v>
      </c>
      <c r="EW32"/>
      <c r="EX32"/>
      <c r="EY32"/>
      <c r="EZ32"/>
      <c r="FA32"/>
    </row>
    <row r="33" spans="1:157" s="160" customFormat="1" ht="12" customHeight="1">
      <c r="A33" s="133"/>
      <c r="B33" s="133"/>
      <c r="C33" s="265" t="s">
        <v>68</v>
      </c>
      <c r="D33" s="385"/>
      <c r="E33" s="385"/>
      <c r="F33" s="385"/>
      <c r="G33" s="385"/>
      <c r="H33" s="385"/>
      <c r="I33" s="386"/>
      <c r="J33" s="386"/>
      <c r="K33" s="386"/>
      <c r="L33" s="386"/>
      <c r="M33" s="387"/>
      <c r="N33" s="386"/>
      <c r="O33" s="386"/>
      <c r="P33" s="386"/>
      <c r="Q33" s="386"/>
      <c r="R33" s="387"/>
      <c r="S33" s="386"/>
      <c r="T33" s="386"/>
      <c r="U33" s="386"/>
      <c r="V33" s="386"/>
      <c r="W33" s="387"/>
      <c r="X33" s="386"/>
      <c r="Y33" s="386"/>
      <c r="Z33" s="386"/>
      <c r="AA33" s="386"/>
      <c r="AB33" s="387"/>
      <c r="AC33" s="386"/>
      <c r="AD33" s="386"/>
      <c r="AE33" s="386"/>
      <c r="AF33" s="386"/>
      <c r="AG33" s="387"/>
      <c r="AH33" s="386"/>
      <c r="AI33" s="386"/>
      <c r="AJ33" s="386"/>
      <c r="AK33" s="386"/>
      <c r="AL33" s="387"/>
      <c r="AM33" s="386"/>
      <c r="AN33" s="386"/>
      <c r="AO33" s="386"/>
      <c r="AP33" s="386"/>
      <c r="AQ33" s="387"/>
      <c r="AR33" s="386"/>
      <c r="AS33" s="386"/>
      <c r="AT33" s="386"/>
      <c r="AU33" s="386"/>
      <c r="AV33" s="387"/>
      <c r="AW33" s="386"/>
      <c r="AX33" s="386"/>
      <c r="AY33" s="386"/>
      <c r="AZ33" s="386"/>
      <c r="BA33" s="387"/>
      <c r="BB33" s="386"/>
      <c r="BC33" s="386"/>
      <c r="BD33" s="386"/>
      <c r="BE33" s="386"/>
      <c r="BF33" s="385"/>
      <c r="BG33" s="93"/>
      <c r="BH33" s="93"/>
      <c r="BI33" s="93"/>
      <c r="BJ33" s="386"/>
      <c r="BK33" s="385"/>
      <c r="BL33" s="386"/>
      <c r="BM33" s="386"/>
      <c r="BN33" s="386"/>
      <c r="BO33" s="386"/>
      <c r="BP33" s="387"/>
      <c r="BQ33" s="334"/>
      <c r="BR33" s="239">
        <v>0</v>
      </c>
      <c r="BS33" s="239">
        <v>0</v>
      </c>
      <c r="BT33" s="239">
        <v>0</v>
      </c>
      <c r="BU33" s="257">
        <f t="shared" si="123"/>
        <v>0</v>
      </c>
      <c r="BV33" s="239">
        <v>0</v>
      </c>
      <c r="BW33" s="239">
        <v>0</v>
      </c>
      <c r="BX33" s="239">
        <v>0</v>
      </c>
      <c r="BY33" s="239">
        <v>0</v>
      </c>
      <c r="BZ33" s="257">
        <f t="shared" si="124"/>
        <v>0</v>
      </c>
      <c r="CA33" s="239">
        <v>0</v>
      </c>
      <c r="CB33" s="239">
        <v>0</v>
      </c>
      <c r="CC33" s="239">
        <v>0</v>
      </c>
      <c r="CD33" s="239">
        <v>0</v>
      </c>
      <c r="CE33" s="257">
        <f t="shared" si="125"/>
        <v>0</v>
      </c>
      <c r="CF33" s="239">
        <v>0</v>
      </c>
      <c r="CG33" s="239">
        <v>0</v>
      </c>
      <c r="CH33" s="239">
        <v>0</v>
      </c>
      <c r="CI33" s="239">
        <v>0</v>
      </c>
      <c r="CJ33" s="257">
        <f t="shared" si="126"/>
        <v>0</v>
      </c>
      <c r="CK33" s="239">
        <v>0</v>
      </c>
      <c r="CL33" s="239">
        <v>0</v>
      </c>
      <c r="CM33" s="239">
        <v>0</v>
      </c>
      <c r="CN33" s="239">
        <v>0</v>
      </c>
      <c r="CO33" s="257">
        <f t="shared" si="127"/>
        <v>0</v>
      </c>
      <c r="CP33" s="239">
        <v>0</v>
      </c>
      <c r="CQ33" s="239">
        <v>0</v>
      </c>
      <c r="CR33" s="239">
        <v>0</v>
      </c>
      <c r="CS33" s="239">
        <v>0</v>
      </c>
      <c r="CT33" s="257">
        <f t="shared" si="128"/>
        <v>0</v>
      </c>
      <c r="CU33" s="239">
        <v>0</v>
      </c>
      <c r="CV33" s="239">
        <v>0</v>
      </c>
      <c r="CW33" s="239">
        <v>0</v>
      </c>
      <c r="CX33" s="239">
        <v>0</v>
      </c>
      <c r="CY33" s="257">
        <f t="shared" si="129"/>
        <v>0</v>
      </c>
      <c r="CZ33" s="239">
        <v>0</v>
      </c>
      <c r="DA33" s="239">
        <v>0</v>
      </c>
      <c r="DB33" s="239">
        <v>0</v>
      </c>
      <c r="DC33" s="239">
        <v>0</v>
      </c>
      <c r="DD33" s="257">
        <f t="shared" si="130"/>
        <v>0</v>
      </c>
      <c r="DE33" s="239">
        <v>0</v>
      </c>
      <c r="DF33" s="239">
        <v>0</v>
      </c>
      <c r="DG33" s="239">
        <v>0</v>
      </c>
      <c r="DH33" s="239">
        <v>0</v>
      </c>
      <c r="DI33" s="257">
        <f t="shared" si="131"/>
        <v>0</v>
      </c>
      <c r="DJ33" s="239">
        <v>0</v>
      </c>
      <c r="DK33" s="239">
        <v>0</v>
      </c>
      <c r="DL33" s="239">
        <v>0</v>
      </c>
      <c r="DM33" s="239">
        <v>0</v>
      </c>
      <c r="DN33" s="257">
        <f t="shared" si="132"/>
        <v>0</v>
      </c>
      <c r="DO33" s="239">
        <v>0</v>
      </c>
      <c r="DP33" s="239">
        <v>0</v>
      </c>
      <c r="DQ33" s="239">
        <v>0</v>
      </c>
      <c r="DR33" s="239">
        <v>0</v>
      </c>
      <c r="DS33" s="257">
        <f t="shared" si="133"/>
        <v>0</v>
      </c>
      <c r="DT33" s="239">
        <v>0</v>
      </c>
      <c r="DU33" s="239">
        <v>0</v>
      </c>
      <c r="DV33" s="715">
        <v>0</v>
      </c>
      <c r="DW33" s="715">
        <v>0</v>
      </c>
      <c r="DX33" s="257">
        <f t="shared" si="134"/>
        <v>0</v>
      </c>
      <c r="DY33" s="715">
        <v>0</v>
      </c>
      <c r="DZ33" s="715">
        <v>0</v>
      </c>
      <c r="EA33" s="715">
        <v>0</v>
      </c>
      <c r="EB33" s="715">
        <v>0</v>
      </c>
      <c r="EC33" s="257">
        <f t="shared" si="135"/>
        <v>0</v>
      </c>
      <c r="ED33" s="715">
        <v>0</v>
      </c>
      <c r="EE33" s="715">
        <v>0</v>
      </c>
      <c r="EF33" s="715">
        <v>0</v>
      </c>
      <c r="EG33" s="715">
        <v>0</v>
      </c>
      <c r="EH33" s="257">
        <f t="shared" si="136"/>
        <v>0</v>
      </c>
      <c r="EI33" s="715">
        <v>0</v>
      </c>
      <c r="EJ33" s="715">
        <v>0</v>
      </c>
      <c r="EK33" s="715">
        <v>0</v>
      </c>
      <c r="EL33" s="715">
        <v>0</v>
      </c>
      <c r="EM33" s="257">
        <f t="shared" si="137"/>
        <v>0</v>
      </c>
      <c r="EN33" s="715">
        <v>0</v>
      </c>
      <c r="EO33" s="715">
        <v>0</v>
      </c>
      <c r="EP33" s="715">
        <v>0</v>
      </c>
      <c r="EQ33" s="715">
        <v>0</v>
      </c>
      <c r="ER33" s="257">
        <f t="shared" si="138"/>
        <v>0</v>
      </c>
      <c r="EW33"/>
      <c r="EX33"/>
      <c r="EY33"/>
      <c r="EZ33"/>
      <c r="FA33"/>
    </row>
    <row r="34" spans="1:157" s="231" customFormat="1" ht="12" customHeight="1">
      <c r="A34" s="133"/>
      <c r="B34" s="133"/>
      <c r="C34" s="394" t="s">
        <v>8</v>
      </c>
      <c r="D34" s="395"/>
      <c r="E34" s="395"/>
      <c r="F34" s="395"/>
      <c r="G34" s="395"/>
      <c r="H34" s="395"/>
      <c r="I34" s="396"/>
      <c r="J34" s="396"/>
      <c r="K34" s="396"/>
      <c r="L34" s="396"/>
      <c r="M34" s="395"/>
      <c r="N34" s="396"/>
      <c r="O34" s="396"/>
      <c r="P34" s="396"/>
      <c r="Q34" s="396"/>
      <c r="R34" s="395"/>
      <c r="S34" s="396"/>
      <c r="T34" s="396"/>
      <c r="U34" s="396"/>
      <c r="V34" s="396"/>
      <c r="W34" s="395"/>
      <c r="X34" s="396"/>
      <c r="Y34" s="396"/>
      <c r="Z34" s="396"/>
      <c r="AA34" s="396"/>
      <c r="AB34" s="395"/>
      <c r="AC34" s="396"/>
      <c r="AD34" s="396"/>
      <c r="AE34" s="396"/>
      <c r="AF34" s="396"/>
      <c r="AG34" s="395"/>
      <c r="AH34" s="396"/>
      <c r="AI34" s="396"/>
      <c r="AJ34" s="396"/>
      <c r="AK34" s="396"/>
      <c r="AL34" s="395"/>
      <c r="AM34" s="396"/>
      <c r="AN34" s="396"/>
      <c r="AO34" s="396"/>
      <c r="AP34" s="396"/>
      <c r="AQ34" s="395"/>
      <c r="AR34" s="396"/>
      <c r="AS34" s="396"/>
      <c r="AT34" s="396"/>
      <c r="AU34" s="396"/>
      <c r="AV34" s="395"/>
      <c r="AW34" s="396"/>
      <c r="AX34" s="396"/>
      <c r="AY34" s="396"/>
      <c r="AZ34" s="396"/>
      <c r="BA34" s="395"/>
      <c r="BB34" s="396"/>
      <c r="BC34" s="396"/>
      <c r="BD34" s="396"/>
      <c r="BE34" s="396"/>
      <c r="BF34" s="395"/>
      <c r="BG34" s="132"/>
      <c r="BH34" s="132"/>
      <c r="BI34" s="132"/>
      <c r="BJ34" s="396"/>
      <c r="BK34" s="395"/>
      <c r="BL34" s="396"/>
      <c r="BM34" s="396"/>
      <c r="BN34" s="396"/>
      <c r="BO34" s="396"/>
      <c r="BP34" s="395"/>
      <c r="BQ34" s="396"/>
      <c r="BR34" s="112">
        <f>SUM(BR28:BR33)</f>
        <v>28.175000000000004</v>
      </c>
      <c r="BS34" s="112">
        <f>SUM(BS28:BS33)</f>
        <v>19.774000000000001</v>
      </c>
      <c r="BT34" s="112">
        <f>SUM(BT28:BT33)</f>
        <v>37.237000000000002</v>
      </c>
      <c r="BU34" s="264">
        <f t="shared" si="123"/>
        <v>37.237000000000002</v>
      </c>
      <c r="BV34" s="112">
        <f>SUM(BV28:BV33)</f>
        <v>42.527000000000001</v>
      </c>
      <c r="BW34" s="112">
        <f>SUM(BW28:BW33)</f>
        <v>49.777000000000001</v>
      </c>
      <c r="BX34" s="112">
        <f>SUM(BX28:BX33)</f>
        <v>61.85</v>
      </c>
      <c r="BY34" s="112">
        <f>SUM(BY28:BY33)</f>
        <v>66.532000000000011</v>
      </c>
      <c r="BZ34" s="264">
        <f t="shared" si="124"/>
        <v>66.532000000000011</v>
      </c>
      <c r="CA34" s="112">
        <f>SUM(CA28:CA33)</f>
        <v>76.837000000000003</v>
      </c>
      <c r="CB34" s="112">
        <f>SUM(CB28:CB33)</f>
        <v>84.243000000000009</v>
      </c>
      <c r="CC34" s="112">
        <f>SUM(CC28:CC33)</f>
        <v>95.41</v>
      </c>
      <c r="CD34" s="112">
        <f>SUM(CD28:CD33)</f>
        <v>94.753999999999991</v>
      </c>
      <c r="CE34" s="264">
        <f t="shared" si="125"/>
        <v>94.753999999999991</v>
      </c>
      <c r="CF34" s="112">
        <f>SUM(CF28:CF33)</f>
        <v>113.57599999999999</v>
      </c>
      <c r="CG34" s="112">
        <f>SUM(CG28:CG33)</f>
        <v>132.38000000000002</v>
      </c>
      <c r="CH34" s="112">
        <f>SUM(CH28:CH33)</f>
        <v>146.947</v>
      </c>
      <c r="CI34" s="112">
        <f>SUM(CI28:CI33)</f>
        <v>138.68799999999999</v>
      </c>
      <c r="CJ34" s="264">
        <f t="shared" si="126"/>
        <v>138.68799999999999</v>
      </c>
      <c r="CK34" s="112">
        <f>SUM(CK28:CK33)</f>
        <v>173.01400000000001</v>
      </c>
      <c r="CL34" s="112">
        <f>SUM(CL28:CL33)</f>
        <v>193.351</v>
      </c>
      <c r="CM34" s="112">
        <f>SUM(CM28:CM33)</f>
        <v>259.74099999999999</v>
      </c>
      <c r="CN34" s="112">
        <f>SUM(CN28:CN33)</f>
        <v>316.38200000000001</v>
      </c>
      <c r="CO34" s="264">
        <f t="shared" si="127"/>
        <v>316.38200000000001</v>
      </c>
      <c r="CP34" s="112">
        <f>SUM(CP28:CP33)</f>
        <v>288.55700000000002</v>
      </c>
      <c r="CQ34" s="112">
        <f>SUM(CQ28:CQ33)</f>
        <v>320.50600000000003</v>
      </c>
      <c r="CR34" s="112">
        <f>SUM(CR28:CR33)</f>
        <v>370.13099999999997</v>
      </c>
      <c r="CS34" s="112">
        <f>SUM(CS28:CS33)</f>
        <v>438.33200000000005</v>
      </c>
      <c r="CT34" s="264">
        <f t="shared" si="128"/>
        <v>438.33200000000005</v>
      </c>
      <c r="CU34" s="112">
        <f>SUM(CU28:CU33)</f>
        <v>495.10299999999995</v>
      </c>
      <c r="CV34" s="263">
        <f>SUM(CV28:CV33)</f>
        <v>511.08299999999997</v>
      </c>
      <c r="CW34" s="263">
        <f>SUM(CW28:CW33)</f>
        <v>596.55700000000013</v>
      </c>
      <c r="CX34" s="263">
        <f>SUM(CX28:CX33)</f>
        <v>702.73300000000006</v>
      </c>
      <c r="CY34" s="264">
        <f t="shared" si="129"/>
        <v>702.73300000000006</v>
      </c>
      <c r="CZ34" s="112">
        <f>SUM(CZ28:CZ33)</f>
        <v>681.93200000000002</v>
      </c>
      <c r="DA34" s="112">
        <f>SUM(DA28:DA33)</f>
        <v>703.20799999999997</v>
      </c>
      <c r="DB34" s="112">
        <f>SUM(DB28:DB33)</f>
        <v>905.221</v>
      </c>
      <c r="DC34" s="112">
        <f>SUM(DC28:DC33)</f>
        <v>856.00800000000004</v>
      </c>
      <c r="DD34" s="264">
        <f t="shared" si="130"/>
        <v>856.00800000000004</v>
      </c>
      <c r="DE34" s="112">
        <f>SUM(DE28:DE33)</f>
        <v>883</v>
      </c>
      <c r="DF34" s="112">
        <f>SUM(DF28:DF33)</f>
        <v>880</v>
      </c>
      <c r="DG34" s="112">
        <f>SUM(DG28:DG33)</f>
        <v>852</v>
      </c>
      <c r="DH34" s="112">
        <f>SUM(DH28:DH33)</f>
        <v>898</v>
      </c>
      <c r="DI34" s="264">
        <f t="shared" si="131"/>
        <v>898</v>
      </c>
      <c r="DJ34" s="112">
        <f>SUM(DJ28:DJ33)</f>
        <v>902</v>
      </c>
      <c r="DK34" s="112">
        <f>SUM(DK28:DK33)</f>
        <v>874</v>
      </c>
      <c r="DL34" s="112">
        <f>SUM(DL28:DL33)</f>
        <v>921</v>
      </c>
      <c r="DM34" s="112">
        <f>SUM(DM28:DM33)</f>
        <v>1956</v>
      </c>
      <c r="DN34" s="264">
        <f t="shared" si="132"/>
        <v>1956</v>
      </c>
      <c r="DO34" s="1277">
        <f>SUM(DO28:DO33)</f>
        <v>2009</v>
      </c>
      <c r="DP34" s="112">
        <f>SUM(DP28:DP33)</f>
        <v>2078</v>
      </c>
      <c r="DQ34" s="112">
        <f>SUM(DQ28:DQ33)</f>
        <v>2213</v>
      </c>
      <c r="DR34" s="112">
        <f>SUM(DR28:DR33)</f>
        <v>1392</v>
      </c>
      <c r="DS34" s="264">
        <f t="shared" si="133"/>
        <v>1392</v>
      </c>
      <c r="DT34" s="1277">
        <f>SUM(DT28:DT33)</f>
        <v>1371</v>
      </c>
      <c r="DU34" s="112">
        <f>SUM(DU28:DU33)</f>
        <v>1460</v>
      </c>
      <c r="DV34" s="263">
        <f>SUM(DV28:DV33)</f>
        <v>1676.3257829295746</v>
      </c>
      <c r="DW34" s="263">
        <f>SUM(DW28:DW33)</f>
        <v>1805.1381721234579</v>
      </c>
      <c r="DX34" s="264">
        <f t="shared" si="134"/>
        <v>1805.1381721234579</v>
      </c>
      <c r="DY34" s="263">
        <f>SUM(DY28:DY33)</f>
        <v>1852.9306138036111</v>
      </c>
      <c r="DZ34" s="263">
        <f>SUM(DZ28:DZ33)</f>
        <v>1977.8078968653231</v>
      </c>
      <c r="EA34" s="263">
        <f>SUM(EA28:EA33)</f>
        <v>2081.0893880926728</v>
      </c>
      <c r="EB34" s="263">
        <f>SUM(EB28:EB33)</f>
        <v>2303.4207948875255</v>
      </c>
      <c r="EC34" s="264">
        <f t="shared" si="135"/>
        <v>2303.4207948875255</v>
      </c>
      <c r="ED34" s="263">
        <f>SUM(ED28:ED33)</f>
        <v>2290.7801498732242</v>
      </c>
      <c r="EE34" s="263">
        <f>SUM(EE28:EE33)</f>
        <v>2447.0836261243116</v>
      </c>
      <c r="EF34" s="263">
        <f>SUM(EF28:EF33)</f>
        <v>2572.4827661597155</v>
      </c>
      <c r="EG34" s="263">
        <f>SUM(EG28:EG33)</f>
        <v>2856.8985761531076</v>
      </c>
      <c r="EH34" s="264">
        <f t="shared" si="136"/>
        <v>2856.8985761531076</v>
      </c>
      <c r="EI34" s="263">
        <f>SUM(EI28:EI33)</f>
        <v>2774.3078896316501</v>
      </c>
      <c r="EJ34" s="263">
        <f>SUM(EJ28:EJ33)</f>
        <v>2967.2423602610734</v>
      </c>
      <c r="EK34" s="263">
        <f>SUM(EK28:EK33)</f>
        <v>3117.9482990017468</v>
      </c>
      <c r="EL34" s="263">
        <f>SUM(EL28:EL33)</f>
        <v>3474.4406016232397</v>
      </c>
      <c r="EM34" s="264">
        <f t="shared" si="137"/>
        <v>3474.4406016232397</v>
      </c>
      <c r="EN34" s="263">
        <f>SUM(EN28:EN33)</f>
        <v>3320.8941417093611</v>
      </c>
      <c r="EO34" s="263">
        <f>SUM(EO28:EO33)</f>
        <v>3555.6600637521487</v>
      </c>
      <c r="EP34" s="263">
        <f>SUM(EP28:EP33)</f>
        <v>3734.499056374897</v>
      </c>
      <c r="EQ34" s="263">
        <f>SUM(EQ28:EQ33)</f>
        <v>4174.13955606938</v>
      </c>
      <c r="ER34" s="264">
        <f t="shared" si="138"/>
        <v>4174.13955606938</v>
      </c>
      <c r="EW34"/>
      <c r="EX34"/>
      <c r="EY34"/>
      <c r="EZ34"/>
      <c r="FA34"/>
    </row>
    <row r="35" spans="1:157" s="160" customFormat="1" ht="12" customHeight="1">
      <c r="A35" s="133"/>
      <c r="B35" s="133"/>
      <c r="C35" s="265" t="s">
        <v>253</v>
      </c>
      <c r="D35" s="380"/>
      <c r="E35" s="380"/>
      <c r="F35" s="380"/>
      <c r="G35" s="380"/>
      <c r="H35" s="380"/>
      <c r="M35" s="380"/>
      <c r="R35" s="380"/>
      <c r="W35" s="380"/>
      <c r="AB35" s="380"/>
      <c r="AG35" s="380"/>
      <c r="AL35" s="380"/>
      <c r="AQ35" s="380"/>
      <c r="AV35" s="380"/>
      <c r="BA35" s="380"/>
      <c r="BF35" s="380"/>
      <c r="BG35" s="93"/>
      <c r="BH35" s="93"/>
      <c r="BI35" s="93"/>
      <c r="BK35" s="380"/>
      <c r="BP35" s="380"/>
      <c r="BQ35" s="239"/>
      <c r="BR35" s="393">
        <v>0.55000000000000004</v>
      </c>
      <c r="BS35" s="393">
        <v>0.39400000000000002</v>
      </c>
      <c r="BT35" s="393">
        <v>0.66100000000000003</v>
      </c>
      <c r="BU35" s="304">
        <f>BT35</f>
        <v>0.66100000000000003</v>
      </c>
      <c r="BV35" s="393">
        <v>0.77700000000000002</v>
      </c>
      <c r="BW35" s="393">
        <v>0.83599999999999997</v>
      </c>
      <c r="BX35" s="393">
        <v>0.874</v>
      </c>
      <c r="BY35" s="393">
        <v>0.92200000000000004</v>
      </c>
      <c r="BZ35" s="304">
        <f>BY35</f>
        <v>0.92200000000000004</v>
      </c>
      <c r="CA35" s="393">
        <v>1.014</v>
      </c>
      <c r="CB35" s="393">
        <v>1.125</v>
      </c>
      <c r="CC35" s="393">
        <v>1.218</v>
      </c>
      <c r="CD35" s="393">
        <v>1.3520000000000001</v>
      </c>
      <c r="CE35" s="304">
        <f>CD35</f>
        <v>1.3520000000000001</v>
      </c>
      <c r="CF35" s="393">
        <v>1.48</v>
      </c>
      <c r="CG35" s="393">
        <v>1.6339999999999999</v>
      </c>
      <c r="CH35" s="393">
        <v>1.744</v>
      </c>
      <c r="CI35" s="393">
        <v>1.881</v>
      </c>
      <c r="CJ35" s="304">
        <f>CI35</f>
        <v>1.881</v>
      </c>
      <c r="CK35" s="393">
        <v>2.0110000000000001</v>
      </c>
      <c r="CL35" s="393">
        <v>2.0920000000000001</v>
      </c>
      <c r="CM35" s="393">
        <v>2.1150000000000002</v>
      </c>
      <c r="CN35" s="393">
        <v>5.9690000000000003</v>
      </c>
      <c r="CO35" s="304">
        <f>CN35</f>
        <v>5.9690000000000003</v>
      </c>
      <c r="CP35" s="393">
        <v>5.58</v>
      </c>
      <c r="CQ35" s="393">
        <v>6.8659999999999997</v>
      </c>
      <c r="CR35" s="393">
        <v>23.08</v>
      </c>
      <c r="CS35" s="393">
        <v>21.006</v>
      </c>
      <c r="CT35" s="304">
        <f>CS35</f>
        <v>21.006</v>
      </c>
      <c r="CU35" s="393">
        <v>22.417000000000002</v>
      </c>
      <c r="CV35" s="393">
        <v>135.321</v>
      </c>
      <c r="CW35" s="393">
        <v>174.483</v>
      </c>
      <c r="CX35" s="393">
        <v>162.93199999999999</v>
      </c>
      <c r="CY35" s="304">
        <f>CX35</f>
        <v>162.93199999999999</v>
      </c>
      <c r="CZ35" s="393">
        <v>186.636</v>
      </c>
      <c r="DA35" s="393">
        <v>159.405</v>
      </c>
      <c r="DB35" s="393">
        <v>299.625</v>
      </c>
      <c r="DC35" s="393">
        <v>267.51299999999998</v>
      </c>
      <c r="DD35" s="304">
        <f>DC35</f>
        <v>267.51299999999998</v>
      </c>
      <c r="DE35" s="393">
        <v>232</v>
      </c>
      <c r="DF35" s="393">
        <v>236</v>
      </c>
      <c r="DG35" s="393">
        <v>216</v>
      </c>
      <c r="DH35" s="393">
        <v>196</v>
      </c>
      <c r="DI35" s="304">
        <f t="shared" si="131"/>
        <v>196</v>
      </c>
      <c r="DJ35" s="393">
        <v>183</v>
      </c>
      <c r="DK35" s="393">
        <v>170</v>
      </c>
      <c r="DL35" s="393">
        <v>159</v>
      </c>
      <c r="DM35" s="393">
        <v>147</v>
      </c>
      <c r="DN35" s="304">
        <f>DM35</f>
        <v>147</v>
      </c>
      <c r="DO35" s="393">
        <v>135</v>
      </c>
      <c r="DP35" s="393">
        <v>123</v>
      </c>
      <c r="DQ35" s="393">
        <v>110</v>
      </c>
      <c r="DR35" s="393">
        <v>98</v>
      </c>
      <c r="DS35" s="304">
        <f>DR35</f>
        <v>98</v>
      </c>
      <c r="DT35" s="393">
        <v>86</v>
      </c>
      <c r="DU35" s="393">
        <v>79</v>
      </c>
      <c r="DV35" s="425">
        <f>DV66*DV55</f>
        <v>92.723089426054699</v>
      </c>
      <c r="DW35" s="425">
        <f>DW66*DW55</f>
        <v>109.2445247747325</v>
      </c>
      <c r="DX35" s="304">
        <f>DW35</f>
        <v>109.2445247747325</v>
      </c>
      <c r="DY35" s="425">
        <f>DY66*DY55</f>
        <v>121.05364694812502</v>
      </c>
      <c r="DZ35" s="425">
        <f>DZ66*DZ55</f>
        <v>136.25235471640201</v>
      </c>
      <c r="EA35" s="425">
        <f>EA66*EA55</f>
        <v>139.25027703091857</v>
      </c>
      <c r="EB35" s="425">
        <f>EB66*EB55</f>
        <v>177.47210935231951</v>
      </c>
      <c r="EC35" s="304">
        <f>EB35</f>
        <v>177.47210935231951</v>
      </c>
      <c r="ED35" s="425">
        <f>ED66*ED55</f>
        <v>243.85530947553954</v>
      </c>
      <c r="EE35" s="425">
        <f>EE66*EE55</f>
        <v>274.25241893667027</v>
      </c>
      <c r="EF35" s="425">
        <f>EF66*EF55</f>
        <v>279.93521581851343</v>
      </c>
      <c r="EG35" s="425">
        <f>EG66*EG55</f>
        <v>356.82266721590639</v>
      </c>
      <c r="EH35" s="304">
        <f>EG35</f>
        <v>356.82266721590639</v>
      </c>
      <c r="EI35" s="425">
        <f>EI66*EI55</f>
        <v>288.99274084196543</v>
      </c>
      <c r="EJ35" s="425">
        <f>EJ66*EJ55</f>
        <v>325.06787438100696</v>
      </c>
      <c r="EK35" s="425">
        <f>EK66*EK55</f>
        <v>331.78414233572261</v>
      </c>
      <c r="EL35" s="425">
        <f>EL66*EL55</f>
        <v>423.12962225908871</v>
      </c>
      <c r="EM35" s="304">
        <f>EL35</f>
        <v>423.12962225908871</v>
      </c>
      <c r="EN35" s="425">
        <f>EN66*EN55</f>
        <v>271.2177322023129</v>
      </c>
      <c r="EO35" s="425">
        <f>EO66*EO55</f>
        <v>305.07996629687869</v>
      </c>
      <c r="EP35" s="425">
        <f>EP66*EP55</f>
        <v>311.40306005017578</v>
      </c>
      <c r="EQ35" s="425">
        <f>EQ66*EQ55</f>
        <v>397.17175589953945</v>
      </c>
      <c r="ER35" s="304">
        <f>EQ35</f>
        <v>397.17175589953945</v>
      </c>
      <c r="EW35"/>
      <c r="EX35"/>
      <c r="EY35"/>
      <c r="EZ35"/>
      <c r="FA35"/>
    </row>
    <row r="36" spans="1:157" s="160" customFormat="1" ht="12" customHeight="1">
      <c r="A36" s="133"/>
      <c r="B36" s="133"/>
      <c r="C36" s="265" t="s">
        <v>268</v>
      </c>
      <c r="D36" s="380"/>
      <c r="E36" s="380"/>
      <c r="F36" s="380"/>
      <c r="G36" s="380"/>
      <c r="H36" s="380"/>
      <c r="M36" s="380"/>
      <c r="R36" s="380"/>
      <c r="W36" s="380"/>
      <c r="AB36" s="380"/>
      <c r="AG36" s="380"/>
      <c r="AL36" s="380"/>
      <c r="AQ36" s="380"/>
      <c r="AV36" s="380"/>
      <c r="BA36" s="380"/>
      <c r="BF36" s="315"/>
      <c r="BG36" s="93"/>
      <c r="BH36" s="93"/>
      <c r="BI36" s="93"/>
      <c r="BJ36" s="316"/>
      <c r="BK36" s="315"/>
      <c r="BL36" s="316"/>
      <c r="BM36" s="316"/>
      <c r="BN36" s="316"/>
      <c r="BO36" s="316"/>
      <c r="BP36" s="380"/>
      <c r="BQ36" s="239"/>
      <c r="BR36" s="393">
        <v>8.6039999999999992</v>
      </c>
      <c r="BS36" s="393">
        <v>7.2930000000000001</v>
      </c>
      <c r="BT36" s="393">
        <v>10.497</v>
      </c>
      <c r="BU36" s="304">
        <f>BT36</f>
        <v>10.497</v>
      </c>
      <c r="BV36" s="393">
        <v>10.993</v>
      </c>
      <c r="BW36" s="393">
        <v>11.744999999999999</v>
      </c>
      <c r="BX36" s="393">
        <v>12.097</v>
      </c>
      <c r="BY36" s="393">
        <v>12.628</v>
      </c>
      <c r="BZ36" s="304">
        <f>BY36</f>
        <v>12.628</v>
      </c>
      <c r="CA36" s="393">
        <v>12.622999999999999</v>
      </c>
      <c r="CB36" s="393">
        <v>12.728</v>
      </c>
      <c r="CC36" s="393">
        <v>15.317</v>
      </c>
      <c r="CD36" s="393">
        <v>14.97</v>
      </c>
      <c r="CE36" s="304">
        <f>CD36</f>
        <v>14.97</v>
      </c>
      <c r="CF36" s="393">
        <v>16.355</v>
      </c>
      <c r="CG36" s="393">
        <v>17.332999999999998</v>
      </c>
      <c r="CH36" s="393">
        <v>19.605</v>
      </c>
      <c r="CI36" s="393">
        <v>22.315999999999999</v>
      </c>
      <c r="CJ36" s="304">
        <f>CI36</f>
        <v>22.315999999999999</v>
      </c>
      <c r="CK36" s="393">
        <v>98.863</v>
      </c>
      <c r="CL36" s="393">
        <v>108.873</v>
      </c>
      <c r="CM36" s="393">
        <v>105.595</v>
      </c>
      <c r="CN36" s="393">
        <v>142.64099999999999</v>
      </c>
      <c r="CO36" s="304">
        <f>CN36</f>
        <v>142.64099999999999</v>
      </c>
      <c r="CP36" s="393">
        <v>131.709</v>
      </c>
      <c r="CQ36" s="393">
        <v>142.12799999999999</v>
      </c>
      <c r="CR36" s="393">
        <v>141.53899999999999</v>
      </c>
      <c r="CS36" s="393">
        <v>144.83600000000001</v>
      </c>
      <c r="CT36" s="304">
        <f>CS36</f>
        <v>144.83600000000001</v>
      </c>
      <c r="CU36" s="393">
        <v>153.91800000000001</v>
      </c>
      <c r="CV36" s="393">
        <v>151.16200000000001</v>
      </c>
      <c r="CW36" s="393">
        <v>174.19</v>
      </c>
      <c r="CX36" s="393">
        <v>246.77600000000001</v>
      </c>
      <c r="CY36" s="304">
        <f>CX36</f>
        <v>246.77600000000001</v>
      </c>
      <c r="CZ36" s="393">
        <v>264.53399999999999</v>
      </c>
      <c r="DA36" s="393">
        <v>254.417</v>
      </c>
      <c r="DB36" s="393">
        <v>369.13099999999997</v>
      </c>
      <c r="DC36" s="393">
        <v>465.13499999999999</v>
      </c>
      <c r="DD36" s="304">
        <f>DC36</f>
        <v>465.13499999999999</v>
      </c>
      <c r="DE36" s="393">
        <v>461</v>
      </c>
      <c r="DF36" s="393">
        <v>204</v>
      </c>
      <c r="DG36" s="393">
        <v>192</v>
      </c>
      <c r="DH36" s="393">
        <v>217</v>
      </c>
      <c r="DI36" s="304">
        <f t="shared" si="131"/>
        <v>217</v>
      </c>
      <c r="DJ36" s="393">
        <v>212</v>
      </c>
      <c r="DK36" s="393">
        <v>203</v>
      </c>
      <c r="DL36" s="393">
        <v>206</v>
      </c>
      <c r="DM36" s="393">
        <v>190</v>
      </c>
      <c r="DN36" s="304">
        <f>DM36</f>
        <v>190</v>
      </c>
      <c r="DO36" s="393">
        <v>200</v>
      </c>
      <c r="DP36" s="393">
        <v>200</v>
      </c>
      <c r="DQ36" s="393">
        <v>176</v>
      </c>
      <c r="DR36" s="393">
        <v>171</v>
      </c>
      <c r="DS36" s="304">
        <f>DR36</f>
        <v>171</v>
      </c>
      <c r="DT36" s="393">
        <v>163</v>
      </c>
      <c r="DU36" s="393">
        <v>168</v>
      </c>
      <c r="DV36" s="384">
        <f>DU36</f>
        <v>168</v>
      </c>
      <c r="DW36" s="384">
        <f>DV36</f>
        <v>168</v>
      </c>
      <c r="DX36" s="304">
        <f>DW36</f>
        <v>168</v>
      </c>
      <c r="DY36" s="384">
        <f>DW36</f>
        <v>168</v>
      </c>
      <c r="DZ36" s="384">
        <f>DY36</f>
        <v>168</v>
      </c>
      <c r="EA36" s="384">
        <f>DZ36</f>
        <v>168</v>
      </c>
      <c r="EB36" s="384">
        <f>EA36</f>
        <v>168</v>
      </c>
      <c r="EC36" s="304">
        <f>EB36</f>
        <v>168</v>
      </c>
      <c r="ED36" s="384">
        <f>EB36</f>
        <v>168</v>
      </c>
      <c r="EE36" s="384">
        <f>ED36</f>
        <v>168</v>
      </c>
      <c r="EF36" s="384">
        <f>EE36</f>
        <v>168</v>
      </c>
      <c r="EG36" s="384">
        <f>EF36</f>
        <v>168</v>
      </c>
      <c r="EH36" s="304">
        <f>EG36</f>
        <v>168</v>
      </c>
      <c r="EI36" s="384">
        <f>EG36</f>
        <v>168</v>
      </c>
      <c r="EJ36" s="384">
        <f>EI36</f>
        <v>168</v>
      </c>
      <c r="EK36" s="384">
        <f>EJ36</f>
        <v>168</v>
      </c>
      <c r="EL36" s="384">
        <f>EK36</f>
        <v>168</v>
      </c>
      <c r="EM36" s="304">
        <f>EL36</f>
        <v>168</v>
      </c>
      <c r="EN36" s="384">
        <f>EL36</f>
        <v>168</v>
      </c>
      <c r="EO36" s="384">
        <f>EN36</f>
        <v>168</v>
      </c>
      <c r="EP36" s="384">
        <f>EO36</f>
        <v>168</v>
      </c>
      <c r="EQ36" s="384">
        <f>EP36</f>
        <v>168</v>
      </c>
      <c r="ER36" s="304">
        <f>EQ36</f>
        <v>168</v>
      </c>
      <c r="EW36"/>
      <c r="EX36"/>
      <c r="EY36"/>
      <c r="EZ36"/>
      <c r="FA36"/>
    </row>
    <row r="37" spans="1:157" s="160" customFormat="1" ht="12" customHeight="1">
      <c r="A37" s="133"/>
      <c r="B37" s="133"/>
      <c r="C37" s="265" t="s">
        <v>249</v>
      </c>
      <c r="D37" s="380"/>
      <c r="E37" s="380"/>
      <c r="F37" s="380"/>
      <c r="G37" s="380"/>
      <c r="H37" s="380"/>
      <c r="M37" s="380"/>
      <c r="R37" s="380"/>
      <c r="W37" s="380"/>
      <c r="AB37" s="380"/>
      <c r="AG37" s="380"/>
      <c r="AL37" s="380"/>
      <c r="AQ37" s="380"/>
      <c r="AV37" s="380"/>
      <c r="BA37" s="380"/>
      <c r="BF37" s="315"/>
      <c r="BG37" s="93"/>
      <c r="BH37" s="93"/>
      <c r="BI37" s="93"/>
      <c r="BJ37" s="316"/>
      <c r="BK37" s="315"/>
      <c r="BL37" s="316"/>
      <c r="BM37" s="316"/>
      <c r="BN37" s="316"/>
      <c r="BO37" s="316"/>
      <c r="BP37" s="380"/>
      <c r="BQ37" s="239"/>
      <c r="BR37" s="239">
        <v>0</v>
      </c>
      <c r="BS37" s="239">
        <v>0</v>
      </c>
      <c r="BT37" s="239">
        <v>0</v>
      </c>
      <c r="BU37" s="257">
        <f>BT37</f>
        <v>0</v>
      </c>
      <c r="BV37" s="239">
        <v>0</v>
      </c>
      <c r="BW37" s="239">
        <v>0</v>
      </c>
      <c r="BX37" s="239">
        <v>0</v>
      </c>
      <c r="BY37" s="239">
        <v>0</v>
      </c>
      <c r="BZ37" s="257">
        <f>BY37</f>
        <v>0</v>
      </c>
      <c r="CA37" s="239">
        <v>0</v>
      </c>
      <c r="CB37" s="239">
        <v>0</v>
      </c>
      <c r="CC37" s="239">
        <v>0</v>
      </c>
      <c r="CD37" s="239">
        <v>0</v>
      </c>
      <c r="CE37" s="257">
        <f>CD37</f>
        <v>0</v>
      </c>
      <c r="CF37" s="239">
        <v>0</v>
      </c>
      <c r="CG37" s="239">
        <v>0</v>
      </c>
      <c r="CH37" s="239">
        <v>0</v>
      </c>
      <c r="CI37" s="239">
        <v>0</v>
      </c>
      <c r="CJ37" s="257">
        <f>CI37</f>
        <v>0</v>
      </c>
      <c r="CK37" s="239">
        <v>0</v>
      </c>
      <c r="CL37" s="239">
        <v>0</v>
      </c>
      <c r="CM37" s="239">
        <v>0</v>
      </c>
      <c r="CN37" s="239">
        <v>0</v>
      </c>
      <c r="CO37" s="257">
        <f>CN37</f>
        <v>0</v>
      </c>
      <c r="CP37" s="239">
        <v>0</v>
      </c>
      <c r="CQ37" s="239">
        <v>0</v>
      </c>
      <c r="CR37" s="239">
        <v>750.452</v>
      </c>
      <c r="CS37" s="239">
        <v>758.00800000000004</v>
      </c>
      <c r="CT37" s="257">
        <f>CS37</f>
        <v>758.00800000000004</v>
      </c>
      <c r="CU37" s="239">
        <v>909.20500000000004</v>
      </c>
      <c r="CV37" s="239">
        <v>909.79100000000005</v>
      </c>
      <c r="CW37" s="239">
        <v>910.37599999999998</v>
      </c>
      <c r="CX37" s="239">
        <v>910.96299999999997</v>
      </c>
      <c r="CY37" s="257">
        <f>CX37</f>
        <v>910.96299999999997</v>
      </c>
      <c r="CZ37" s="239">
        <v>911.54899999999998</v>
      </c>
      <c r="DA37" s="239">
        <v>912.13699999999994</v>
      </c>
      <c r="DB37" s="239">
        <v>912.72400000000005</v>
      </c>
      <c r="DC37" s="239">
        <v>913.31200000000001</v>
      </c>
      <c r="DD37" s="257">
        <f>DC37</f>
        <v>913.31200000000001</v>
      </c>
      <c r="DE37" s="239">
        <v>914</v>
      </c>
      <c r="DF37" s="239">
        <v>914</v>
      </c>
      <c r="DG37" s="239">
        <v>915</v>
      </c>
      <c r="DH37" s="239">
        <v>916</v>
      </c>
      <c r="DI37" s="257">
        <f t="shared" si="131"/>
        <v>916</v>
      </c>
      <c r="DJ37" s="239">
        <v>916</v>
      </c>
      <c r="DK37" s="239">
        <v>917</v>
      </c>
      <c r="DL37" s="239">
        <v>917</v>
      </c>
      <c r="DM37" s="239">
        <v>0</v>
      </c>
      <c r="DN37" s="257">
        <f>DM37</f>
        <v>0</v>
      </c>
      <c r="DO37" s="239">
        <v>0</v>
      </c>
      <c r="DP37" s="239">
        <v>0</v>
      </c>
      <c r="DQ37" s="239">
        <v>0</v>
      </c>
      <c r="DR37" s="239">
        <v>0</v>
      </c>
      <c r="DS37" s="257">
        <f>DR37</f>
        <v>0</v>
      </c>
      <c r="DT37" s="239">
        <v>0</v>
      </c>
      <c r="DU37" s="239">
        <v>0</v>
      </c>
      <c r="DV37" s="120">
        <f>DU37+'Cash Flow'!DV39</f>
        <v>0</v>
      </c>
      <c r="DW37" s="120">
        <f>DV37+'Cash Flow'!DW39</f>
        <v>0</v>
      </c>
      <c r="DX37" s="257">
        <f>DW37</f>
        <v>0</v>
      </c>
      <c r="DY37" s="120">
        <f>DX37+'Cash Flow'!DY39</f>
        <v>0</v>
      </c>
      <c r="DZ37" s="120">
        <f>DY37+'Cash Flow'!DZ39</f>
        <v>0</v>
      </c>
      <c r="EA37" s="120">
        <f>DZ37+'Cash Flow'!EA39</f>
        <v>0</v>
      </c>
      <c r="EB37" s="120">
        <f>EA37+'Cash Flow'!EB39</f>
        <v>0</v>
      </c>
      <c r="EC37" s="257">
        <f>EB37</f>
        <v>0</v>
      </c>
      <c r="ED37" s="120">
        <f>EC37+'Cash Flow'!ED39</f>
        <v>0</v>
      </c>
      <c r="EE37" s="120">
        <f>ED37+'Cash Flow'!EE39</f>
        <v>0</v>
      </c>
      <c r="EF37" s="120">
        <f>EE37+'Cash Flow'!EF39</f>
        <v>0</v>
      </c>
      <c r="EG37" s="120">
        <f>EF37+'Cash Flow'!EG39</f>
        <v>0</v>
      </c>
      <c r="EH37" s="257">
        <f>EG37</f>
        <v>0</v>
      </c>
      <c r="EI37" s="120">
        <f>EH37+'Cash Flow'!EI39</f>
        <v>0</v>
      </c>
      <c r="EJ37" s="120">
        <f>EI37+'Cash Flow'!EJ39</f>
        <v>0</v>
      </c>
      <c r="EK37" s="120">
        <f>EJ37+'Cash Flow'!EK39</f>
        <v>0</v>
      </c>
      <c r="EL37" s="120">
        <f>EK37+'Cash Flow'!EL39</f>
        <v>0</v>
      </c>
      <c r="EM37" s="257">
        <f>EL37</f>
        <v>0</v>
      </c>
      <c r="EN37" s="120">
        <f>EM37+'Cash Flow'!EN39</f>
        <v>0</v>
      </c>
      <c r="EO37" s="120">
        <f>EN37+'Cash Flow'!EO39</f>
        <v>0</v>
      </c>
      <c r="EP37" s="120">
        <f>EO37+'Cash Flow'!EP39</f>
        <v>0</v>
      </c>
      <c r="EQ37" s="120">
        <f>EP37+'Cash Flow'!EQ39</f>
        <v>0</v>
      </c>
      <c r="ER37" s="257">
        <f>EQ37</f>
        <v>0</v>
      </c>
      <c r="ES37" s="161"/>
      <c r="EW37"/>
      <c r="EX37"/>
      <c r="EY37"/>
      <c r="EZ37"/>
      <c r="FA37"/>
    </row>
    <row r="38" spans="1:157" s="160" customFormat="1" ht="12" customHeight="1">
      <c r="A38" s="133"/>
      <c r="B38" s="133"/>
      <c r="C38" s="265" t="s">
        <v>250</v>
      </c>
      <c r="D38" s="315"/>
      <c r="E38" s="315"/>
      <c r="F38" s="315"/>
      <c r="G38" s="315"/>
      <c r="H38" s="315"/>
      <c r="I38" s="316"/>
      <c r="J38" s="316"/>
      <c r="K38" s="316"/>
      <c r="L38" s="316"/>
      <c r="M38" s="380"/>
      <c r="N38" s="316"/>
      <c r="O38" s="316"/>
      <c r="P38" s="316"/>
      <c r="Q38" s="316"/>
      <c r="R38" s="380"/>
      <c r="S38" s="316"/>
      <c r="T38" s="316"/>
      <c r="U38" s="316"/>
      <c r="V38" s="316"/>
      <c r="W38" s="380"/>
      <c r="X38" s="316"/>
      <c r="Y38" s="316"/>
      <c r="Z38" s="316"/>
      <c r="AA38" s="316"/>
      <c r="AB38" s="380"/>
      <c r="AC38" s="316"/>
      <c r="AD38" s="316"/>
      <c r="AE38" s="316"/>
      <c r="AF38" s="316"/>
      <c r="AG38" s="380"/>
      <c r="AH38" s="316"/>
      <c r="AI38" s="316"/>
      <c r="AJ38" s="316"/>
      <c r="AK38" s="316"/>
      <c r="AL38" s="380"/>
      <c r="AM38" s="316"/>
      <c r="AN38" s="316"/>
      <c r="AO38" s="316"/>
      <c r="AP38" s="316"/>
      <c r="AQ38" s="380"/>
      <c r="AR38" s="316"/>
      <c r="AS38" s="316"/>
      <c r="AT38" s="316"/>
      <c r="AU38" s="316"/>
      <c r="AV38" s="380"/>
      <c r="AW38" s="316"/>
      <c r="AX38" s="316"/>
      <c r="AY38" s="316"/>
      <c r="AZ38" s="316"/>
      <c r="BA38" s="380"/>
      <c r="BB38" s="316"/>
      <c r="BC38" s="316"/>
      <c r="BD38" s="316"/>
      <c r="BE38" s="316"/>
      <c r="BF38" s="315"/>
      <c r="BG38" s="93"/>
      <c r="BH38" s="93"/>
      <c r="BI38" s="93"/>
      <c r="BJ38" s="316"/>
      <c r="BK38" s="315"/>
      <c r="BL38" s="316"/>
      <c r="BM38" s="316"/>
      <c r="BN38" s="316"/>
      <c r="BO38" s="316"/>
      <c r="BP38" s="380"/>
      <c r="BQ38" s="239"/>
      <c r="BR38" s="239">
        <v>0</v>
      </c>
      <c r="BS38" s="239">
        <v>0</v>
      </c>
      <c r="BT38" s="239">
        <v>0</v>
      </c>
      <c r="BU38" s="257">
        <f>BT38</f>
        <v>0</v>
      </c>
      <c r="BV38" s="239">
        <v>0</v>
      </c>
      <c r="BW38" s="239">
        <v>0</v>
      </c>
      <c r="BX38" s="239">
        <v>0</v>
      </c>
      <c r="BY38" s="239">
        <v>0</v>
      </c>
      <c r="BZ38" s="257">
        <f>BY38</f>
        <v>0</v>
      </c>
      <c r="CA38" s="239">
        <v>0</v>
      </c>
      <c r="CB38" s="239">
        <v>1.6930000000000001</v>
      </c>
      <c r="CC38" s="239">
        <v>1.5409999999999999</v>
      </c>
      <c r="CD38" s="239">
        <v>1.3879999999999999</v>
      </c>
      <c r="CE38" s="257">
        <f>CD38</f>
        <v>1.3879999999999999</v>
      </c>
      <c r="CF38" s="239">
        <v>1.236</v>
      </c>
      <c r="CG38" s="239">
        <v>1.5089999999999999</v>
      </c>
      <c r="CH38" s="239">
        <v>1.32</v>
      </c>
      <c r="CI38" s="239">
        <v>1.1319999999999999</v>
      </c>
      <c r="CJ38" s="257">
        <f>CI38</f>
        <v>1.1319999999999999</v>
      </c>
      <c r="CK38" s="239">
        <v>0.94499999999999995</v>
      </c>
      <c r="CL38" s="239">
        <v>1.798</v>
      </c>
      <c r="CM38" s="239">
        <v>1.425</v>
      </c>
      <c r="CN38" s="239">
        <v>8.7530000000000001</v>
      </c>
      <c r="CO38" s="257">
        <f>CN38</f>
        <v>8.7530000000000001</v>
      </c>
      <c r="CP38" s="239">
        <v>4.2190000000000003</v>
      </c>
      <c r="CQ38" s="239">
        <v>0</v>
      </c>
      <c r="CR38" s="239">
        <v>0</v>
      </c>
      <c r="CS38" s="239">
        <v>0</v>
      </c>
      <c r="CT38" s="257">
        <f>CS38</f>
        <v>0</v>
      </c>
      <c r="CU38" s="239">
        <v>102.374</v>
      </c>
      <c r="CV38" s="239">
        <v>127.777</v>
      </c>
      <c r="CW38" s="239">
        <v>310.63499999999999</v>
      </c>
      <c r="CX38" s="239">
        <v>183.42699999999999</v>
      </c>
      <c r="CY38" s="257">
        <f>CX38</f>
        <v>183.42699999999999</v>
      </c>
      <c r="CZ38" s="239">
        <v>0.21099999999999999</v>
      </c>
      <c r="DA38" s="239">
        <v>1.335</v>
      </c>
      <c r="DB38" s="239">
        <v>23.576000000000001</v>
      </c>
      <c r="DC38" s="239">
        <v>16.294</v>
      </c>
      <c r="DD38" s="257">
        <f>DC38</f>
        <v>16.294</v>
      </c>
      <c r="DE38" s="239">
        <v>17</v>
      </c>
      <c r="DF38" s="239">
        <v>6</v>
      </c>
      <c r="DG38" s="239">
        <v>5</v>
      </c>
      <c r="DH38" s="239">
        <v>6</v>
      </c>
      <c r="DI38" s="257">
        <f t="shared" si="131"/>
        <v>6</v>
      </c>
      <c r="DJ38" s="239">
        <v>6</v>
      </c>
      <c r="DK38" s="239">
        <v>10</v>
      </c>
      <c r="DL38" s="239">
        <v>8</v>
      </c>
      <c r="DM38" s="239">
        <v>73</v>
      </c>
      <c r="DN38" s="257">
        <f>DM38</f>
        <v>73</v>
      </c>
      <c r="DO38" s="239">
        <v>5</v>
      </c>
      <c r="DP38" s="239">
        <v>36</v>
      </c>
      <c r="DQ38" s="239">
        <v>29</v>
      </c>
      <c r="DR38" s="239">
        <v>55</v>
      </c>
      <c r="DS38" s="257">
        <f>DR38</f>
        <v>55</v>
      </c>
      <c r="DT38" s="239">
        <v>0</v>
      </c>
      <c r="DU38" s="239">
        <v>79</v>
      </c>
      <c r="DV38" s="120">
        <f>DU38</f>
        <v>79</v>
      </c>
      <c r="DW38" s="120">
        <f>DV38</f>
        <v>79</v>
      </c>
      <c r="DX38" s="257">
        <f>DW38</f>
        <v>79</v>
      </c>
      <c r="DY38" s="120">
        <f>DX38</f>
        <v>79</v>
      </c>
      <c r="DZ38" s="120">
        <f>DY38</f>
        <v>79</v>
      </c>
      <c r="EA38" s="120">
        <f>DZ38</f>
        <v>79</v>
      </c>
      <c r="EB38" s="120">
        <f>EA38</f>
        <v>79</v>
      </c>
      <c r="EC38" s="257">
        <f>EB38</f>
        <v>79</v>
      </c>
      <c r="ED38" s="120">
        <f>EC38</f>
        <v>79</v>
      </c>
      <c r="EE38" s="120">
        <f>ED38</f>
        <v>79</v>
      </c>
      <c r="EF38" s="120">
        <f>EE38</f>
        <v>79</v>
      </c>
      <c r="EG38" s="120">
        <f>EF38</f>
        <v>79</v>
      </c>
      <c r="EH38" s="257">
        <f>EG38</f>
        <v>79</v>
      </c>
      <c r="EI38" s="120">
        <f>EH38</f>
        <v>79</v>
      </c>
      <c r="EJ38" s="120">
        <f>EI38</f>
        <v>79</v>
      </c>
      <c r="EK38" s="120">
        <f>EJ38</f>
        <v>79</v>
      </c>
      <c r="EL38" s="120">
        <f>EK38</f>
        <v>79</v>
      </c>
      <c r="EM38" s="257">
        <f>EL38</f>
        <v>79</v>
      </c>
      <c r="EN38" s="120">
        <f>EM38</f>
        <v>79</v>
      </c>
      <c r="EO38" s="120">
        <f>EN38</f>
        <v>79</v>
      </c>
      <c r="EP38" s="120">
        <f>EO38</f>
        <v>79</v>
      </c>
      <c r="EQ38" s="120">
        <f>EP38</f>
        <v>79</v>
      </c>
      <c r="ER38" s="257">
        <f>EQ38</f>
        <v>79</v>
      </c>
      <c r="EW38"/>
      <c r="EX38"/>
      <c r="EY38"/>
      <c r="EZ38"/>
      <c r="FA38"/>
    </row>
    <row r="39" spans="1:157" s="160" customFormat="1" ht="12" customHeight="1">
      <c r="A39" s="133"/>
      <c r="B39" s="133"/>
      <c r="C39" s="716" t="s">
        <v>359</v>
      </c>
      <c r="D39" s="717"/>
      <c r="E39" s="717"/>
      <c r="F39" s="717"/>
      <c r="G39" s="717"/>
      <c r="H39" s="717"/>
      <c r="I39" s="717"/>
      <c r="J39" s="717"/>
      <c r="K39" s="717"/>
      <c r="L39" s="717"/>
      <c r="M39" s="112"/>
      <c r="N39" s="717"/>
      <c r="O39" s="717"/>
      <c r="P39" s="717"/>
      <c r="Q39" s="717"/>
      <c r="R39" s="112"/>
      <c r="S39" s="717"/>
      <c r="T39" s="717"/>
      <c r="U39" s="717"/>
      <c r="V39" s="717"/>
      <c r="W39" s="112"/>
      <c r="X39" s="717"/>
      <c r="Y39" s="717"/>
      <c r="Z39" s="717"/>
      <c r="AA39" s="717"/>
      <c r="AB39" s="112"/>
      <c r="AC39" s="717"/>
      <c r="AD39" s="717"/>
      <c r="AE39" s="717"/>
      <c r="AF39" s="717"/>
      <c r="AG39" s="112"/>
      <c r="AH39" s="717"/>
      <c r="AI39" s="717"/>
      <c r="AJ39" s="717"/>
      <c r="AK39" s="717"/>
      <c r="AL39" s="112"/>
      <c r="AM39" s="717"/>
      <c r="AN39" s="717"/>
      <c r="AO39" s="717"/>
      <c r="AP39" s="717"/>
      <c r="AQ39" s="112"/>
      <c r="AR39" s="717"/>
      <c r="AS39" s="717"/>
      <c r="AT39" s="717"/>
      <c r="AU39" s="717"/>
      <c r="AV39" s="112"/>
      <c r="AW39" s="717"/>
      <c r="AX39" s="717"/>
      <c r="AY39" s="717"/>
      <c r="AZ39" s="717"/>
      <c r="BA39" s="112"/>
      <c r="BB39" s="717"/>
      <c r="BC39" s="717"/>
      <c r="BD39" s="717"/>
      <c r="BE39" s="717"/>
      <c r="BF39" s="717"/>
      <c r="BG39" s="718"/>
      <c r="BH39" s="718"/>
      <c r="BI39" s="718"/>
      <c r="BJ39" s="717"/>
      <c r="BK39" s="717"/>
      <c r="BL39" s="717"/>
      <c r="BM39" s="717"/>
      <c r="BN39" s="717"/>
      <c r="BO39" s="717"/>
      <c r="BP39" s="112"/>
      <c r="BQ39" s="719"/>
      <c r="BR39" s="112">
        <f t="shared" ref="BR39:CW39" si="142">+BR40-BR34</f>
        <v>9.1540000000000035</v>
      </c>
      <c r="BS39" s="112">
        <f t="shared" si="142"/>
        <v>7.6869999999999976</v>
      </c>
      <c r="BT39" s="720">
        <f t="shared" si="142"/>
        <v>11.158000000000001</v>
      </c>
      <c r="BU39" s="264">
        <f t="shared" si="142"/>
        <v>11.158000000000001</v>
      </c>
      <c r="BV39" s="721">
        <f t="shared" si="142"/>
        <v>11.770000000000003</v>
      </c>
      <c r="BW39" s="112">
        <f t="shared" si="142"/>
        <v>12.580999999999996</v>
      </c>
      <c r="BX39" s="112">
        <f t="shared" si="142"/>
        <v>12.970999999999997</v>
      </c>
      <c r="BY39" s="720">
        <f t="shared" si="142"/>
        <v>13.549999999999997</v>
      </c>
      <c r="BZ39" s="264">
        <f t="shared" si="142"/>
        <v>13.549999999999997</v>
      </c>
      <c r="CA39" s="721">
        <f t="shared" si="142"/>
        <v>13.637</v>
      </c>
      <c r="CB39" s="112">
        <f t="shared" si="142"/>
        <v>15.545999999999992</v>
      </c>
      <c r="CC39" s="112">
        <f t="shared" si="142"/>
        <v>18.075999999999993</v>
      </c>
      <c r="CD39" s="720">
        <f t="shared" si="142"/>
        <v>17.710000000000008</v>
      </c>
      <c r="CE39" s="264">
        <f t="shared" si="142"/>
        <v>17.710000000000008</v>
      </c>
      <c r="CF39" s="721">
        <f t="shared" si="142"/>
        <v>19.070999999999998</v>
      </c>
      <c r="CG39" s="112">
        <f t="shared" si="142"/>
        <v>20.475999999999971</v>
      </c>
      <c r="CH39" s="112">
        <f t="shared" si="142"/>
        <v>22.668999999999983</v>
      </c>
      <c r="CI39" s="720">
        <f t="shared" si="142"/>
        <v>25.329000000000008</v>
      </c>
      <c r="CJ39" s="264">
        <f t="shared" si="142"/>
        <v>25.329000000000008</v>
      </c>
      <c r="CK39" s="721">
        <f t="shared" si="142"/>
        <v>101.81900000000002</v>
      </c>
      <c r="CL39" s="112">
        <f t="shared" si="142"/>
        <v>112.76300000000003</v>
      </c>
      <c r="CM39" s="112">
        <f t="shared" si="142"/>
        <v>109.13500000000005</v>
      </c>
      <c r="CN39" s="720">
        <f t="shared" si="142"/>
        <v>157.36299999999994</v>
      </c>
      <c r="CO39" s="264">
        <f t="shared" si="142"/>
        <v>157.36299999999994</v>
      </c>
      <c r="CP39" s="721">
        <f t="shared" si="142"/>
        <v>141.50799999999998</v>
      </c>
      <c r="CQ39" s="112">
        <f t="shared" si="142"/>
        <v>148.99399999999997</v>
      </c>
      <c r="CR39" s="112">
        <f t="shared" si="142"/>
        <v>915.07100000000003</v>
      </c>
      <c r="CS39" s="720">
        <f t="shared" si="142"/>
        <v>923.85000000000014</v>
      </c>
      <c r="CT39" s="264">
        <f t="shared" si="142"/>
        <v>923.85000000000014</v>
      </c>
      <c r="CU39" s="721">
        <f t="shared" si="142"/>
        <v>1187.9140000000002</v>
      </c>
      <c r="CV39" s="112">
        <f t="shared" si="142"/>
        <v>1324.0509999999999</v>
      </c>
      <c r="CW39" s="112">
        <f t="shared" si="142"/>
        <v>1569.6839999999997</v>
      </c>
      <c r="CX39" s="720">
        <f t="shared" ref="CX39:EC39" si="143">+CX40-CX34</f>
        <v>1504.098</v>
      </c>
      <c r="CY39" s="264">
        <f t="shared" si="143"/>
        <v>1504.098</v>
      </c>
      <c r="CZ39" s="721">
        <f t="shared" si="143"/>
        <v>1362.9299999999998</v>
      </c>
      <c r="DA39" s="112">
        <f t="shared" si="143"/>
        <v>1327.2939999999999</v>
      </c>
      <c r="DB39" s="112">
        <f t="shared" si="143"/>
        <v>1605.056</v>
      </c>
      <c r="DC39" s="720">
        <f t="shared" si="143"/>
        <v>1662.2539999999997</v>
      </c>
      <c r="DD39" s="264">
        <f t="shared" si="143"/>
        <v>1662.2539999999997</v>
      </c>
      <c r="DE39" s="721">
        <f t="shared" si="143"/>
        <v>1624</v>
      </c>
      <c r="DF39" s="112">
        <f t="shared" si="143"/>
        <v>1360</v>
      </c>
      <c r="DG39" s="112">
        <f t="shared" si="143"/>
        <v>1328</v>
      </c>
      <c r="DH39" s="720">
        <f t="shared" si="143"/>
        <v>1335</v>
      </c>
      <c r="DI39" s="264">
        <f t="shared" si="143"/>
        <v>1335</v>
      </c>
      <c r="DJ39" s="721">
        <f t="shared" si="143"/>
        <v>1317</v>
      </c>
      <c r="DK39" s="720">
        <f t="shared" si="143"/>
        <v>1300</v>
      </c>
      <c r="DL39" s="720">
        <f t="shared" si="143"/>
        <v>1290</v>
      </c>
      <c r="DM39" s="720">
        <f t="shared" si="143"/>
        <v>410</v>
      </c>
      <c r="DN39" s="264">
        <f t="shared" si="143"/>
        <v>410</v>
      </c>
      <c r="DO39" s="721">
        <f>+DO40-DO34</f>
        <v>340</v>
      </c>
      <c r="DP39" s="720">
        <f t="shared" ref="DP39:DR39" si="144">+DP40-DP34</f>
        <v>359</v>
      </c>
      <c r="DQ39" s="720">
        <f t="shared" si="144"/>
        <v>315</v>
      </c>
      <c r="DR39" s="720">
        <f t="shared" si="144"/>
        <v>324</v>
      </c>
      <c r="DS39" s="264">
        <f t="shared" si="143"/>
        <v>324</v>
      </c>
      <c r="DT39" s="721">
        <f>+DT40-DT34</f>
        <v>249</v>
      </c>
      <c r="DU39" s="720">
        <f t="shared" ref="DU39" si="145">+DU40-DU34</f>
        <v>326</v>
      </c>
      <c r="DV39" s="112">
        <f t="shared" si="143"/>
        <v>339.72308942605468</v>
      </c>
      <c r="DW39" s="720">
        <f t="shared" si="143"/>
        <v>356.24452477473233</v>
      </c>
      <c r="DX39" s="264">
        <f t="shared" si="143"/>
        <v>356.24452477473233</v>
      </c>
      <c r="DY39" s="721">
        <f t="shared" si="143"/>
        <v>368.05364694812511</v>
      </c>
      <c r="DZ39" s="112">
        <f t="shared" si="143"/>
        <v>383.2523547164019</v>
      </c>
      <c r="EA39" s="112">
        <f t="shared" si="143"/>
        <v>386.25027703091837</v>
      </c>
      <c r="EB39" s="720">
        <f t="shared" si="143"/>
        <v>424.47210935231942</v>
      </c>
      <c r="EC39" s="264">
        <f t="shared" si="143"/>
        <v>424.47210935231942</v>
      </c>
      <c r="ED39" s="721">
        <f t="shared" ref="ED39:ER39" si="146">+ED40-ED34</f>
        <v>490.85530947553934</v>
      </c>
      <c r="EE39" s="112">
        <f t="shared" si="146"/>
        <v>521.25241893667044</v>
      </c>
      <c r="EF39" s="112">
        <f t="shared" si="146"/>
        <v>526.93521581851337</v>
      </c>
      <c r="EG39" s="720">
        <f t="shared" si="146"/>
        <v>603.82266721590622</v>
      </c>
      <c r="EH39" s="264">
        <f t="shared" si="146"/>
        <v>603.82266721590622</v>
      </c>
      <c r="EI39" s="721">
        <f t="shared" si="146"/>
        <v>535.99274084196531</v>
      </c>
      <c r="EJ39" s="112">
        <f t="shared" si="146"/>
        <v>572.06787438100673</v>
      </c>
      <c r="EK39" s="112">
        <f t="shared" si="146"/>
        <v>578.78414233572266</v>
      </c>
      <c r="EL39" s="720">
        <f t="shared" si="146"/>
        <v>670.12962225908905</v>
      </c>
      <c r="EM39" s="264">
        <f t="shared" si="146"/>
        <v>670.12962225908905</v>
      </c>
      <c r="EN39" s="721">
        <f t="shared" si="146"/>
        <v>518.21773220231307</v>
      </c>
      <c r="EO39" s="112">
        <f t="shared" si="146"/>
        <v>552.07996629687932</v>
      </c>
      <c r="EP39" s="112">
        <f t="shared" si="146"/>
        <v>558.40306005017555</v>
      </c>
      <c r="EQ39" s="720">
        <f t="shared" si="146"/>
        <v>644.17175589953968</v>
      </c>
      <c r="ER39" s="264">
        <f t="shared" si="146"/>
        <v>644.17175589953968</v>
      </c>
      <c r="EW39"/>
      <c r="EX39"/>
      <c r="EY39"/>
      <c r="EZ39"/>
      <c r="FA39"/>
    </row>
    <row r="40" spans="1:157" s="160" customFormat="1" ht="12" customHeight="1">
      <c r="A40" s="133"/>
      <c r="B40" s="133"/>
      <c r="C40" s="394" t="s">
        <v>162</v>
      </c>
      <c r="D40" s="400"/>
      <c r="E40" s="400"/>
      <c r="F40" s="400"/>
      <c r="G40" s="400"/>
      <c r="H40" s="400"/>
      <c r="I40" s="400"/>
      <c r="J40" s="400"/>
      <c r="K40" s="400"/>
      <c r="L40" s="400"/>
      <c r="M40" s="396"/>
      <c r="N40" s="400"/>
      <c r="O40" s="400"/>
      <c r="P40" s="400"/>
      <c r="Q40" s="400"/>
      <c r="R40" s="396"/>
      <c r="S40" s="400"/>
      <c r="T40" s="400"/>
      <c r="U40" s="400"/>
      <c r="V40" s="400"/>
      <c r="W40" s="396"/>
      <c r="X40" s="400"/>
      <c r="Y40" s="400"/>
      <c r="Z40" s="400"/>
      <c r="AA40" s="400"/>
      <c r="AB40" s="396"/>
      <c r="AC40" s="400"/>
      <c r="AD40" s="400"/>
      <c r="AE40" s="400"/>
      <c r="AF40" s="400"/>
      <c r="AG40" s="396"/>
      <c r="AH40" s="400"/>
      <c r="AI40" s="400"/>
      <c r="AJ40" s="400"/>
      <c r="AK40" s="400"/>
      <c r="AL40" s="396"/>
      <c r="AM40" s="400"/>
      <c r="AN40" s="400"/>
      <c r="AO40" s="400"/>
      <c r="AP40" s="400"/>
      <c r="AQ40" s="396"/>
      <c r="AR40" s="400"/>
      <c r="AS40" s="400"/>
      <c r="AT40" s="400"/>
      <c r="AU40" s="400"/>
      <c r="AV40" s="396"/>
      <c r="AW40" s="400"/>
      <c r="AX40" s="400"/>
      <c r="AY40" s="400"/>
      <c r="AZ40" s="400"/>
      <c r="BA40" s="396"/>
      <c r="BB40" s="400"/>
      <c r="BC40" s="400"/>
      <c r="BD40" s="400"/>
      <c r="BE40" s="400"/>
      <c r="BF40" s="400"/>
      <c r="BG40" s="132"/>
      <c r="BH40" s="132"/>
      <c r="BI40" s="132"/>
      <c r="BJ40" s="400"/>
      <c r="BK40" s="400"/>
      <c r="BL40" s="400"/>
      <c r="BM40" s="400"/>
      <c r="BN40" s="400"/>
      <c r="BO40" s="400"/>
      <c r="BP40" s="396"/>
      <c r="BQ40" s="401"/>
      <c r="BR40" s="112">
        <f>+SUM(BR34:BR38)</f>
        <v>37.329000000000008</v>
      </c>
      <c r="BS40" s="112">
        <f t="shared" ref="BS40:DN40" si="147">+SUM(BS34:BS38)</f>
        <v>27.460999999999999</v>
      </c>
      <c r="BT40" s="112">
        <f t="shared" si="147"/>
        <v>48.395000000000003</v>
      </c>
      <c r="BU40" s="722">
        <f t="shared" si="147"/>
        <v>48.395000000000003</v>
      </c>
      <c r="BV40" s="112">
        <f t="shared" si="147"/>
        <v>54.297000000000004</v>
      </c>
      <c r="BW40" s="112">
        <f t="shared" si="147"/>
        <v>62.357999999999997</v>
      </c>
      <c r="BX40" s="112">
        <f t="shared" si="147"/>
        <v>74.820999999999998</v>
      </c>
      <c r="BY40" s="112">
        <f t="shared" si="147"/>
        <v>80.082000000000008</v>
      </c>
      <c r="BZ40" s="722">
        <f t="shared" si="147"/>
        <v>80.082000000000008</v>
      </c>
      <c r="CA40" s="112">
        <f t="shared" si="147"/>
        <v>90.474000000000004</v>
      </c>
      <c r="CB40" s="112">
        <f t="shared" si="147"/>
        <v>99.789000000000001</v>
      </c>
      <c r="CC40" s="112">
        <f t="shared" si="147"/>
        <v>113.48599999999999</v>
      </c>
      <c r="CD40" s="112">
        <f t="shared" si="147"/>
        <v>112.464</v>
      </c>
      <c r="CE40" s="722">
        <f t="shared" si="147"/>
        <v>112.464</v>
      </c>
      <c r="CF40" s="112">
        <f t="shared" si="147"/>
        <v>132.64699999999999</v>
      </c>
      <c r="CG40" s="112">
        <f t="shared" si="147"/>
        <v>152.85599999999999</v>
      </c>
      <c r="CH40" s="112">
        <f t="shared" si="147"/>
        <v>169.61599999999999</v>
      </c>
      <c r="CI40" s="112">
        <f t="shared" si="147"/>
        <v>164.017</v>
      </c>
      <c r="CJ40" s="722">
        <f t="shared" si="147"/>
        <v>164.017</v>
      </c>
      <c r="CK40" s="112">
        <f t="shared" si="147"/>
        <v>274.83300000000003</v>
      </c>
      <c r="CL40" s="112">
        <f t="shared" si="147"/>
        <v>306.11400000000003</v>
      </c>
      <c r="CM40" s="112">
        <f t="shared" si="147"/>
        <v>368.87600000000003</v>
      </c>
      <c r="CN40" s="112">
        <f t="shared" si="147"/>
        <v>473.74499999999995</v>
      </c>
      <c r="CO40" s="722">
        <f t="shared" si="147"/>
        <v>473.74499999999995</v>
      </c>
      <c r="CP40" s="112">
        <f t="shared" si="147"/>
        <v>430.065</v>
      </c>
      <c r="CQ40" s="112">
        <f t="shared" si="147"/>
        <v>469.5</v>
      </c>
      <c r="CR40" s="112">
        <f t="shared" si="147"/>
        <v>1285.202</v>
      </c>
      <c r="CS40" s="112">
        <f t="shared" si="147"/>
        <v>1362.1820000000002</v>
      </c>
      <c r="CT40" s="722">
        <f t="shared" si="147"/>
        <v>1362.1820000000002</v>
      </c>
      <c r="CU40" s="112">
        <f t="shared" si="147"/>
        <v>1683.0170000000001</v>
      </c>
      <c r="CV40" s="263">
        <f t="shared" si="147"/>
        <v>1835.134</v>
      </c>
      <c r="CW40" s="263">
        <f t="shared" si="147"/>
        <v>2166.241</v>
      </c>
      <c r="CX40" s="263">
        <f t="shared" si="147"/>
        <v>2206.8310000000001</v>
      </c>
      <c r="CY40" s="722">
        <f t="shared" si="147"/>
        <v>2206.8310000000001</v>
      </c>
      <c r="CZ40" s="112">
        <f t="shared" si="147"/>
        <v>2044.8619999999999</v>
      </c>
      <c r="DA40" s="112">
        <f t="shared" si="147"/>
        <v>2030.502</v>
      </c>
      <c r="DB40" s="112">
        <f t="shared" si="147"/>
        <v>2510.277</v>
      </c>
      <c r="DC40" s="112">
        <f t="shared" si="147"/>
        <v>2518.2619999999997</v>
      </c>
      <c r="DD40" s="722">
        <f t="shared" si="147"/>
        <v>2518.2619999999997</v>
      </c>
      <c r="DE40" s="112">
        <f t="shared" si="147"/>
        <v>2507</v>
      </c>
      <c r="DF40" s="263">
        <f>+SUM(DF34:DF38)</f>
        <v>2240</v>
      </c>
      <c r="DG40" s="263">
        <f>+SUM(DG34:DG38)</f>
        <v>2180</v>
      </c>
      <c r="DH40" s="263">
        <f>+SUM(DH34:DH38)</f>
        <v>2233</v>
      </c>
      <c r="DI40" s="722">
        <f t="shared" si="147"/>
        <v>2233</v>
      </c>
      <c r="DJ40" s="112">
        <f>+SUM(DJ34:DJ38)</f>
        <v>2219</v>
      </c>
      <c r="DK40" s="396">
        <f>+SUM(DK34:DK38)</f>
        <v>2174</v>
      </c>
      <c r="DL40" s="396">
        <f>+SUM(DL34:DL38)</f>
        <v>2211</v>
      </c>
      <c r="DM40" s="396">
        <f>+SUM(DM34:DM38)</f>
        <v>2366</v>
      </c>
      <c r="DN40" s="722">
        <f t="shared" si="147"/>
        <v>2366</v>
      </c>
      <c r="DO40" s="1277">
        <f>+SUM(DO34:DO38)</f>
        <v>2349</v>
      </c>
      <c r="DP40" s="396">
        <f>+SUM(DP34:DP38)</f>
        <v>2437</v>
      </c>
      <c r="DQ40" s="396">
        <f>+SUM(DQ34:DQ38)</f>
        <v>2528</v>
      </c>
      <c r="DR40" s="396">
        <f>+SUM(DR34:DR38)</f>
        <v>1716</v>
      </c>
      <c r="DS40" s="722">
        <f t="shared" ref="DS40:DV40" si="148">+SUM(DS34:DS38)</f>
        <v>1716</v>
      </c>
      <c r="DT40" s="1277">
        <f>+SUM(DT34:DT38)</f>
        <v>1620</v>
      </c>
      <c r="DU40" s="396">
        <f>+SUM(DU34:DU38)</f>
        <v>1786</v>
      </c>
      <c r="DV40" s="263">
        <f t="shared" si="148"/>
        <v>2016.0488723556293</v>
      </c>
      <c r="DW40" s="263">
        <f t="shared" ref="DW40:EC40" si="149">+SUM(DW34:DW38)</f>
        <v>2161.3826968981903</v>
      </c>
      <c r="DX40" s="722">
        <f t="shared" si="149"/>
        <v>2161.3826968981903</v>
      </c>
      <c r="DY40" s="263">
        <f t="shared" si="149"/>
        <v>2220.9842607517362</v>
      </c>
      <c r="DZ40" s="263">
        <f t="shared" si="149"/>
        <v>2361.060251581725</v>
      </c>
      <c r="EA40" s="263">
        <f t="shared" si="149"/>
        <v>2467.3396651235912</v>
      </c>
      <c r="EB40" s="263">
        <f t="shared" si="149"/>
        <v>2727.8929042398449</v>
      </c>
      <c r="EC40" s="722">
        <f t="shared" si="149"/>
        <v>2727.8929042398449</v>
      </c>
      <c r="ED40" s="263">
        <f t="shared" ref="ED40:ER40" si="150">+SUM(ED34:ED38)</f>
        <v>2781.6354593487636</v>
      </c>
      <c r="EE40" s="263">
        <f t="shared" si="150"/>
        <v>2968.3360450609821</v>
      </c>
      <c r="EF40" s="263">
        <f t="shared" si="150"/>
        <v>3099.4179819782289</v>
      </c>
      <c r="EG40" s="263">
        <f t="shared" si="150"/>
        <v>3460.7212433690138</v>
      </c>
      <c r="EH40" s="722">
        <f t="shared" si="150"/>
        <v>3460.7212433690138</v>
      </c>
      <c r="EI40" s="263">
        <f t="shared" si="150"/>
        <v>3310.3006304736155</v>
      </c>
      <c r="EJ40" s="263">
        <f t="shared" si="150"/>
        <v>3539.3102346420801</v>
      </c>
      <c r="EK40" s="263">
        <f t="shared" si="150"/>
        <v>3696.7324413374695</v>
      </c>
      <c r="EL40" s="263">
        <f t="shared" si="150"/>
        <v>4144.5702238823287</v>
      </c>
      <c r="EM40" s="722">
        <f t="shared" si="150"/>
        <v>4144.5702238823287</v>
      </c>
      <c r="EN40" s="263">
        <f t="shared" si="150"/>
        <v>3839.1118739116741</v>
      </c>
      <c r="EO40" s="263">
        <f t="shared" si="150"/>
        <v>4107.7400300490281</v>
      </c>
      <c r="EP40" s="263">
        <f t="shared" si="150"/>
        <v>4292.9021164250726</v>
      </c>
      <c r="EQ40" s="263">
        <f t="shared" si="150"/>
        <v>4818.3113119689197</v>
      </c>
      <c r="ER40" s="722">
        <f t="shared" si="150"/>
        <v>4818.3113119689197</v>
      </c>
      <c r="EW40"/>
      <c r="EX40"/>
      <c r="EY40"/>
      <c r="EZ40"/>
      <c r="FA40"/>
    </row>
    <row r="41" spans="1:157" s="160" customFormat="1">
      <c r="A41" s="133"/>
      <c r="B41" s="133"/>
      <c r="C41" s="394" t="s">
        <v>194</v>
      </c>
      <c r="D41" s="315"/>
      <c r="E41" s="315"/>
      <c r="F41" s="315"/>
      <c r="G41" s="315"/>
      <c r="H41" s="315"/>
      <c r="I41" s="316"/>
      <c r="J41" s="316"/>
      <c r="K41" s="316"/>
      <c r="L41" s="316"/>
      <c r="M41" s="380"/>
      <c r="N41" s="316"/>
      <c r="O41" s="316"/>
      <c r="P41" s="316"/>
      <c r="Q41" s="316"/>
      <c r="R41" s="380"/>
      <c r="S41" s="316"/>
      <c r="T41" s="316"/>
      <c r="U41" s="316"/>
      <c r="V41" s="316"/>
      <c r="W41" s="380"/>
      <c r="X41" s="316"/>
      <c r="Y41" s="316"/>
      <c r="Z41" s="316"/>
      <c r="AA41" s="316"/>
      <c r="AB41" s="380"/>
      <c r="AC41" s="316"/>
      <c r="AD41" s="316"/>
      <c r="AE41" s="316"/>
      <c r="AF41" s="316"/>
      <c r="AG41" s="380"/>
      <c r="AH41" s="316"/>
      <c r="AI41" s="316"/>
      <c r="AJ41" s="316"/>
      <c r="AK41" s="316"/>
      <c r="AL41" s="380"/>
      <c r="AM41" s="316"/>
      <c r="AN41" s="316"/>
      <c r="AO41" s="316"/>
      <c r="AP41" s="316"/>
      <c r="AQ41" s="380"/>
      <c r="AR41" s="316"/>
      <c r="AS41" s="316"/>
      <c r="AT41" s="316"/>
      <c r="AU41" s="316"/>
      <c r="AV41" s="380"/>
      <c r="AW41" s="316"/>
      <c r="AX41" s="316"/>
      <c r="AY41" s="316"/>
      <c r="AZ41" s="316"/>
      <c r="BA41" s="380"/>
      <c r="BB41" s="316"/>
      <c r="BC41" s="316"/>
      <c r="BD41" s="316"/>
      <c r="BE41" s="316"/>
      <c r="BF41" s="315"/>
      <c r="BG41" s="93"/>
      <c r="BH41" s="93"/>
      <c r="BI41" s="93"/>
      <c r="BJ41" s="316"/>
      <c r="BK41" s="315"/>
      <c r="BL41" s="316"/>
      <c r="BM41" s="316"/>
      <c r="BN41" s="316"/>
      <c r="BO41" s="316"/>
      <c r="BP41" s="380"/>
      <c r="BQ41" s="120"/>
      <c r="BR41" s="239"/>
      <c r="BS41" s="239"/>
      <c r="BT41" s="239"/>
      <c r="BU41" s="257"/>
      <c r="BV41" s="120"/>
      <c r="BW41" s="239"/>
      <c r="BX41" s="239"/>
      <c r="BY41" s="239"/>
      <c r="BZ41" s="257"/>
      <c r="CA41" s="120"/>
      <c r="CB41" s="239"/>
      <c r="CC41" s="239"/>
      <c r="CD41" s="239"/>
      <c r="CE41" s="257"/>
      <c r="CF41" s="120"/>
      <c r="CG41" s="239"/>
      <c r="CH41" s="239"/>
      <c r="CI41" s="239"/>
      <c r="CJ41" s="257"/>
      <c r="CK41" s="120"/>
      <c r="CL41" s="239"/>
      <c r="CM41" s="239"/>
      <c r="CN41" s="239"/>
      <c r="CO41" s="257"/>
      <c r="CP41" s="120"/>
      <c r="CQ41" s="239"/>
      <c r="CR41" s="239"/>
      <c r="CS41" s="239"/>
      <c r="CT41" s="257"/>
      <c r="CU41" s="239"/>
      <c r="CV41" s="120"/>
      <c r="CW41" s="120"/>
      <c r="CX41" s="120"/>
      <c r="CY41" s="257"/>
      <c r="CZ41" s="239"/>
      <c r="DA41" s="239"/>
      <c r="DB41" s="239"/>
      <c r="DC41" s="239"/>
      <c r="DD41" s="257"/>
      <c r="DE41" s="239"/>
      <c r="DF41" s="239"/>
      <c r="DG41" s="239"/>
      <c r="DH41" s="239"/>
      <c r="DI41" s="257"/>
      <c r="DJ41" s="239"/>
      <c r="DK41" s="239"/>
      <c r="DL41" s="239"/>
      <c r="DM41" s="239"/>
      <c r="DN41" s="257"/>
      <c r="DO41" s="239"/>
      <c r="DP41" s="239"/>
      <c r="DQ41" s="239"/>
      <c r="DR41" s="239"/>
      <c r="DS41" s="257"/>
      <c r="DT41" s="239"/>
      <c r="DU41" s="239"/>
      <c r="DV41" s="120"/>
      <c r="DW41" s="120"/>
      <c r="DX41" s="257"/>
      <c r="DY41" s="120"/>
      <c r="DZ41" s="120"/>
      <c r="EA41" s="120"/>
      <c r="EB41" s="120"/>
      <c r="EC41" s="257"/>
      <c r="ED41" s="120"/>
      <c r="EE41" s="120"/>
      <c r="EF41" s="120"/>
      <c r="EG41" s="120"/>
      <c r="EH41" s="257"/>
      <c r="EI41" s="120"/>
      <c r="EJ41" s="120"/>
      <c r="EK41" s="120"/>
      <c r="EL41" s="120"/>
      <c r="EM41" s="257"/>
      <c r="EN41" s="120"/>
      <c r="EO41" s="120"/>
      <c r="EP41" s="120"/>
      <c r="EQ41" s="120"/>
      <c r="ER41" s="257"/>
      <c r="EW41"/>
      <c r="EX41"/>
      <c r="EY41"/>
      <c r="EZ41"/>
      <c r="FA41"/>
    </row>
    <row r="42" spans="1:157" s="160" customFormat="1" ht="12" customHeight="1">
      <c r="A42" s="133"/>
      <c r="B42" s="133"/>
      <c r="C42" s="265" t="s">
        <v>196</v>
      </c>
      <c r="D42" s="315"/>
      <c r="E42" s="315"/>
      <c r="F42" s="315"/>
      <c r="G42" s="315"/>
      <c r="H42" s="315"/>
      <c r="I42" s="316"/>
      <c r="J42" s="316"/>
      <c r="K42" s="316"/>
      <c r="L42" s="316"/>
      <c r="M42" s="380"/>
      <c r="N42" s="316"/>
      <c r="O42" s="316"/>
      <c r="P42" s="316"/>
      <c r="Q42" s="316"/>
      <c r="R42" s="380"/>
      <c r="S42" s="316"/>
      <c r="T42" s="316"/>
      <c r="U42" s="316"/>
      <c r="V42" s="316"/>
      <c r="W42" s="380"/>
      <c r="X42" s="316"/>
      <c r="Y42" s="316"/>
      <c r="Z42" s="316"/>
      <c r="AA42" s="316"/>
      <c r="AB42" s="380"/>
      <c r="AC42" s="316"/>
      <c r="AD42" s="316"/>
      <c r="AE42" s="316"/>
      <c r="AF42" s="316"/>
      <c r="AG42" s="380"/>
      <c r="AH42" s="316"/>
      <c r="AI42" s="316"/>
      <c r="AJ42" s="316"/>
      <c r="AK42" s="316"/>
      <c r="AL42" s="380"/>
      <c r="AM42" s="316"/>
      <c r="AN42" s="316"/>
      <c r="AO42" s="316"/>
      <c r="AP42" s="316"/>
      <c r="AQ42" s="380"/>
      <c r="AR42" s="316"/>
      <c r="AS42" s="316"/>
      <c r="AT42" s="316"/>
      <c r="AU42" s="316"/>
      <c r="AV42" s="380"/>
      <c r="AW42" s="316"/>
      <c r="AX42" s="316"/>
      <c r="AY42" s="316"/>
      <c r="AZ42" s="316"/>
      <c r="BA42" s="380"/>
      <c r="BB42" s="316"/>
      <c r="BC42" s="316"/>
      <c r="BD42" s="316"/>
      <c r="BE42" s="316"/>
      <c r="BF42" s="315"/>
      <c r="BG42" s="93"/>
      <c r="BH42" s="93"/>
      <c r="BI42" s="93"/>
      <c r="BJ42" s="316"/>
      <c r="BK42" s="315"/>
      <c r="BL42" s="316"/>
      <c r="BM42" s="316"/>
      <c r="BN42" s="316"/>
      <c r="BO42" s="316"/>
      <c r="BP42" s="380"/>
      <c r="BQ42" s="239"/>
      <c r="BR42" s="239">
        <f>199.551-SUM(BR43:BR46)</f>
        <v>236.44099999999997</v>
      </c>
      <c r="BS42" s="239">
        <f>67.732-SUM(BS43:BS46)</f>
        <v>96.795999999999992</v>
      </c>
      <c r="BT42" s="239">
        <f>195.317-SUM(BT43:BT46)</f>
        <v>243.17099999999999</v>
      </c>
      <c r="BU42" s="257">
        <f>BT42</f>
        <v>243.17099999999999</v>
      </c>
      <c r="BV42" s="239">
        <f>190.977-SUM(BV43:BV46)</f>
        <v>247.76</v>
      </c>
      <c r="BW42" s="239">
        <f>188.751-SUM(BW43:BW46)</f>
        <v>253.97300000000001</v>
      </c>
      <c r="BX42" s="239">
        <f>411.522-SUM(BX43:BX46)</f>
        <v>485.86399999999998</v>
      </c>
      <c r="BY42" s="239">
        <f>410.476-SUM(BY43:BY46)</f>
        <v>493.685</v>
      </c>
      <c r="BZ42" s="257">
        <f>BY42</f>
        <v>493.685</v>
      </c>
      <c r="CA42" s="239">
        <f>410.864-SUM(CA43:CA46)</f>
        <v>507.67099999999999</v>
      </c>
      <c r="CB42" s="239">
        <f>977.444-SUM(CB43:CB46)</f>
        <v>1088.2809999999999</v>
      </c>
      <c r="CC42" s="239">
        <f>987.922-SUM(CC43:CC46)</f>
        <v>1108.1390000000001</v>
      </c>
      <c r="CD42" s="239">
        <f>1001.1-SUM(CD43:CD46)</f>
        <v>1124.3040000000001</v>
      </c>
      <c r="CE42" s="257">
        <f>CD42</f>
        <v>1124.3040000000001</v>
      </c>
      <c r="CF42" s="239">
        <f>1649.889-SUM(CF43:CF46)</f>
        <v>1788.9949999999999</v>
      </c>
      <c r="CG42" s="239">
        <f>1656.201-SUM(CG43:CG46)</f>
        <v>1819.26</v>
      </c>
      <c r="CH42" s="239">
        <f>1672.078-SUM(CH43:CH46)</f>
        <v>1977.0729999999999</v>
      </c>
      <c r="CI42" s="239">
        <f>2090.768-SUM(CI43:CI46)</f>
        <v>2278.5250000000001</v>
      </c>
      <c r="CJ42" s="257">
        <f>CI42</f>
        <v>2278.5250000000001</v>
      </c>
      <c r="CK42" s="239">
        <f>2127.918-SUM(CK43:CK46)</f>
        <v>2331.451</v>
      </c>
      <c r="CL42" s="239">
        <f>2161.184-SUM(CL43:CL46)</f>
        <v>2393.3950000000004</v>
      </c>
      <c r="CM42" s="239">
        <f>2820.059-SUM(CM43:CM46)</f>
        <v>3125.0540000000001</v>
      </c>
      <c r="CN42" s="239">
        <f>3015.734-SUM(CN43:CN46)</f>
        <v>3319.9580000000001</v>
      </c>
      <c r="CO42" s="257">
        <f>CN42</f>
        <v>3319.9580000000001</v>
      </c>
      <c r="CP42" s="239">
        <f>3040.851-SUM(CP43:CP46)</f>
        <v>3376.5039999999999</v>
      </c>
      <c r="CQ42" s="239">
        <f>4628.939-SUM(CQ43:CQ46)</f>
        <v>4928.5940000000001</v>
      </c>
      <c r="CR42" s="239">
        <f>6176.829-SUM(CR43:CR46)</f>
        <v>6285.4160000000002</v>
      </c>
      <c r="CS42" s="239">
        <f>6400.723-SUM(CS43:CS46)</f>
        <v>6385.4380000000001</v>
      </c>
      <c r="CT42" s="257">
        <f>CS42</f>
        <v>6385.4380000000001</v>
      </c>
      <c r="CU42" s="239">
        <f>9141.871-SUM(CU43:CU46)</f>
        <v>7859.9429999999993</v>
      </c>
      <c r="CV42" s="239">
        <f>10120.544-SUM(CV43:CV46)</f>
        <v>7959.5229999999992</v>
      </c>
      <c r="CW42" s="239">
        <f>11370.277-SUM(CW43:CW46)</f>
        <v>8060.8240000000005</v>
      </c>
      <c r="CX42" s="239">
        <v>8040.0990000000002</v>
      </c>
      <c r="CY42" s="257">
        <f>CX42</f>
        <v>8040.0990000000002</v>
      </c>
      <c r="CZ42" s="239">
        <v>8150.8779999999997</v>
      </c>
      <c r="DA42" s="239">
        <v>8244.56</v>
      </c>
      <c r="DB42" s="239">
        <v>8653.0110000000004</v>
      </c>
      <c r="DC42" s="239">
        <v>8747.4320000000007</v>
      </c>
      <c r="DD42" s="257">
        <f>DC42</f>
        <v>8747.4320000000007</v>
      </c>
      <c r="DE42" s="239">
        <v>8886</v>
      </c>
      <c r="DF42" s="239">
        <v>9019</v>
      </c>
      <c r="DG42" s="239">
        <v>9098</v>
      </c>
      <c r="DH42" s="239">
        <v>9201</v>
      </c>
      <c r="DI42" s="257">
        <f>DH42</f>
        <v>9201</v>
      </c>
      <c r="DJ42" s="239">
        <v>9283</v>
      </c>
      <c r="DK42" s="239">
        <v>9368</v>
      </c>
      <c r="DL42" s="239">
        <v>9474</v>
      </c>
      <c r="DM42" s="239">
        <v>9634</v>
      </c>
      <c r="DN42" s="257">
        <f>DM42</f>
        <v>9634</v>
      </c>
      <c r="DO42" s="239">
        <v>9831</v>
      </c>
      <c r="DP42" s="239">
        <v>9985</v>
      </c>
      <c r="DQ42" s="239">
        <v>10123</v>
      </c>
      <c r="DR42" s="239">
        <v>10376</v>
      </c>
      <c r="DS42" s="257">
        <f>DR42</f>
        <v>10376</v>
      </c>
      <c r="DT42" s="239">
        <v>9971</v>
      </c>
      <c r="DU42" s="239">
        <v>8636</v>
      </c>
      <c r="DV42" s="120">
        <f>DU42+'Cash Flow'!DV42+'Cash Flow'!DV11+'Cash Flow'!DV40</f>
        <v>8783.0648187919087</v>
      </c>
      <c r="DW42" s="120">
        <f>DV42+'Cash Flow'!DW42+'Cash Flow'!DW11+'Cash Flow'!DW40</f>
        <v>8971.0239714537256</v>
      </c>
      <c r="DX42" s="257">
        <f>DW42</f>
        <v>8971.0239714537256</v>
      </c>
      <c r="DY42" s="120">
        <f>DX42+'Cash Flow'!DY42+'Cash Flow'!DY11+'Cash Flow'!DY40</f>
        <v>9123.9162550400215</v>
      </c>
      <c r="DZ42" s="120">
        <f>DY42+'Cash Flow'!DZ42+'Cash Flow'!DZ11+'Cash Flow'!DZ40</f>
        <v>9269.1351656609277</v>
      </c>
      <c r="EA42" s="120">
        <f>DZ42+'Cash Flow'!EA42+'Cash Flow'!EA11+'Cash Flow'!EA40</f>
        <v>9435.7788381412411</v>
      </c>
      <c r="EB42" s="120">
        <f>EA42+'Cash Flow'!EB42+'Cash Flow'!EB11+'Cash Flow'!EB40</f>
        <v>9647.6943272058779</v>
      </c>
      <c r="EC42" s="257">
        <f>EB42</f>
        <v>9647.6943272058779</v>
      </c>
      <c r="ED42" s="120">
        <f>EC42+'Cash Flow'!ED42+'Cash Flow'!ED11+'Cash Flow'!ED40</f>
        <v>9810.0533565372625</v>
      </c>
      <c r="EE42" s="120">
        <f>ED42+'Cash Flow'!EE42+'Cash Flow'!EE11+'Cash Flow'!EE40</f>
        <v>9974.1053269336626</v>
      </c>
      <c r="EF42" s="120">
        <f>EE42+'Cash Flow'!EF42+'Cash Flow'!EF11+'Cash Flow'!EF40</f>
        <v>10116.982528717601</v>
      </c>
      <c r="EG42" s="120">
        <f>EF42+'Cash Flow'!EG42+'Cash Flow'!EG11+'Cash Flow'!EG40</f>
        <v>10272.779545573243</v>
      </c>
      <c r="EH42" s="257">
        <f>EG42</f>
        <v>10272.779545573243</v>
      </c>
      <c r="EI42" s="120">
        <f>EH42+'Cash Flow'!EI42+'Cash Flow'!EI11+'Cash Flow'!EI40</f>
        <v>10465.191107116971</v>
      </c>
      <c r="EJ42" s="120">
        <f>EI42+'Cash Flow'!EJ42+'Cash Flow'!EJ11+'Cash Flow'!EJ40</f>
        <v>10659.639803363796</v>
      </c>
      <c r="EK42" s="120">
        <f>EJ42+'Cash Flow'!EK42+'Cash Flow'!EK11+'Cash Flow'!EK40</f>
        <v>10828.98037637675</v>
      </c>
      <c r="EL42" s="120">
        <f>EK42+'Cash Flow'!EL42+'Cash Flow'!EL11+'Cash Flow'!EL40</f>
        <v>11013.728541075974</v>
      </c>
      <c r="EM42" s="257">
        <f>EL42</f>
        <v>11013.728541075974</v>
      </c>
      <c r="EN42" s="120">
        <f>EM42+'Cash Flow'!EN42+'Cash Flow'!EN11+'Cash Flow'!EN40</f>
        <v>11239.449727096755</v>
      </c>
      <c r="EO42" s="120">
        <f>EN42+'Cash Flow'!EO42+'Cash Flow'!EO11+'Cash Flow'!EO40</f>
        <v>11467.565169950094</v>
      </c>
      <c r="EP42" s="120">
        <f>EO42+'Cash Flow'!EP42+'Cash Flow'!EP11+'Cash Flow'!EP40</f>
        <v>11666.237913377676</v>
      </c>
      <c r="EQ42" s="120">
        <f>EP42+'Cash Flow'!EQ42+'Cash Flow'!EQ11+'Cash Flow'!EQ40</f>
        <v>11883.005864357596</v>
      </c>
      <c r="ER42" s="257">
        <f>EQ42</f>
        <v>11883.005864357596</v>
      </c>
      <c r="EW42"/>
      <c r="EX42"/>
      <c r="EY42"/>
      <c r="EZ42"/>
      <c r="FA42"/>
    </row>
    <row r="43" spans="1:157" s="160" customFormat="1" ht="12" customHeight="1">
      <c r="A43" s="133"/>
      <c r="B43" s="133"/>
      <c r="C43" s="265" t="s">
        <v>78</v>
      </c>
      <c r="D43" s="315"/>
      <c r="E43" s="315"/>
      <c r="F43" s="315"/>
      <c r="G43" s="315"/>
      <c r="H43" s="315"/>
      <c r="I43" s="316"/>
      <c r="J43" s="316"/>
      <c r="K43" s="316"/>
      <c r="L43" s="316"/>
      <c r="M43" s="380"/>
      <c r="N43" s="316"/>
      <c r="O43" s="316"/>
      <c r="P43" s="316"/>
      <c r="Q43" s="316"/>
      <c r="R43" s="380"/>
      <c r="S43" s="316"/>
      <c r="T43" s="316"/>
      <c r="U43" s="316"/>
      <c r="V43" s="316"/>
      <c r="W43" s="380"/>
      <c r="X43" s="316"/>
      <c r="Y43" s="316"/>
      <c r="Z43" s="316"/>
      <c r="AA43" s="316"/>
      <c r="AB43" s="380"/>
      <c r="AC43" s="316"/>
      <c r="AD43" s="316"/>
      <c r="AE43" s="316"/>
      <c r="AF43" s="316"/>
      <c r="AG43" s="380"/>
      <c r="AH43" s="316"/>
      <c r="AI43" s="316"/>
      <c r="AJ43" s="316"/>
      <c r="AK43" s="316"/>
      <c r="AL43" s="380"/>
      <c r="AM43" s="316"/>
      <c r="AN43" s="316"/>
      <c r="AO43" s="316"/>
      <c r="AP43" s="316"/>
      <c r="AQ43" s="380"/>
      <c r="AR43" s="316"/>
      <c r="AS43" s="316"/>
      <c r="AT43" s="316"/>
      <c r="AU43" s="316"/>
      <c r="AV43" s="380"/>
      <c r="AW43" s="316"/>
      <c r="AX43" s="316"/>
      <c r="AY43" s="316"/>
      <c r="AZ43" s="316"/>
      <c r="BA43" s="380"/>
      <c r="BB43" s="316"/>
      <c r="BC43" s="316"/>
      <c r="BD43" s="316"/>
      <c r="BE43" s="316"/>
      <c r="BF43" s="315"/>
      <c r="BG43" s="93"/>
      <c r="BH43" s="93"/>
      <c r="BI43" s="93"/>
      <c r="BJ43" s="316"/>
      <c r="BK43" s="381"/>
      <c r="BL43" s="710"/>
      <c r="BM43" s="710"/>
      <c r="BN43" s="710"/>
      <c r="BO43" s="710"/>
      <c r="BP43" s="382"/>
      <c r="BQ43" s="402"/>
      <c r="BR43" s="391">
        <v>0</v>
      </c>
      <c r="BS43" s="391">
        <v>0</v>
      </c>
      <c r="BT43" s="391">
        <f>BS43</f>
        <v>0</v>
      </c>
      <c r="BU43" s="286">
        <f>BT43</f>
        <v>0</v>
      </c>
      <c r="BV43" s="391">
        <v>0</v>
      </c>
      <c r="BW43" s="391">
        <v>0</v>
      </c>
      <c r="BX43" s="391">
        <v>0</v>
      </c>
      <c r="BY43" s="391">
        <f>BX43</f>
        <v>0</v>
      </c>
      <c r="BZ43" s="286">
        <f>BY43</f>
        <v>0</v>
      </c>
      <c r="CA43" s="391">
        <v>0</v>
      </c>
      <c r="CB43" s="391">
        <v>0</v>
      </c>
      <c r="CC43" s="391">
        <v>0</v>
      </c>
      <c r="CD43" s="391">
        <f>CC43</f>
        <v>0</v>
      </c>
      <c r="CE43" s="286">
        <f>CD43</f>
        <v>0</v>
      </c>
      <c r="CF43" s="391">
        <v>0</v>
      </c>
      <c r="CG43" s="391">
        <v>0</v>
      </c>
      <c r="CH43" s="391">
        <v>0</v>
      </c>
      <c r="CI43" s="391">
        <f>CH43</f>
        <v>0</v>
      </c>
      <c r="CJ43" s="286">
        <f>CI43</f>
        <v>0</v>
      </c>
      <c r="CK43" s="391">
        <v>0</v>
      </c>
      <c r="CL43" s="391">
        <v>0</v>
      </c>
      <c r="CM43" s="391">
        <v>0</v>
      </c>
      <c r="CN43" s="391">
        <f>CM43</f>
        <v>0</v>
      </c>
      <c r="CO43" s="286">
        <f>CN43</f>
        <v>0</v>
      </c>
      <c r="CP43" s="391">
        <v>0</v>
      </c>
      <c r="CQ43" s="391">
        <v>0</v>
      </c>
      <c r="CR43" s="391">
        <v>0</v>
      </c>
      <c r="CS43" s="391">
        <f>CR43</f>
        <v>0</v>
      </c>
      <c r="CT43" s="286">
        <f>CS43</f>
        <v>0</v>
      </c>
      <c r="CU43" s="391">
        <v>0</v>
      </c>
      <c r="CV43" s="383">
        <v>0</v>
      </c>
      <c r="CW43" s="383">
        <v>0</v>
      </c>
      <c r="CX43" s="383">
        <v>0</v>
      </c>
      <c r="CY43" s="286">
        <f>CX43</f>
        <v>0</v>
      </c>
      <c r="CZ43" s="391">
        <v>0</v>
      </c>
      <c r="DA43" s="383">
        <v>0</v>
      </c>
      <c r="DB43" s="383">
        <v>0</v>
      </c>
      <c r="DC43" s="383">
        <v>0</v>
      </c>
      <c r="DD43" s="286">
        <f>DC43</f>
        <v>0</v>
      </c>
      <c r="DE43" s="391">
        <v>0</v>
      </c>
      <c r="DF43" s="391">
        <v>0</v>
      </c>
      <c r="DG43" s="391">
        <v>0</v>
      </c>
      <c r="DH43" s="391">
        <v>0</v>
      </c>
      <c r="DI43" s="286">
        <f>DH43</f>
        <v>0</v>
      </c>
      <c r="DJ43" s="383">
        <v>0</v>
      </c>
      <c r="DK43" s="383">
        <v>0</v>
      </c>
      <c r="DL43" s="383">
        <v>0</v>
      </c>
      <c r="DM43" s="383">
        <v>0</v>
      </c>
      <c r="DN43" s="286">
        <f>DM43</f>
        <v>0</v>
      </c>
      <c r="DO43" s="1278">
        <v>0</v>
      </c>
      <c r="DP43" s="383">
        <v>0</v>
      </c>
      <c r="DQ43" s="383">
        <v>0</v>
      </c>
      <c r="DR43" s="383">
        <v>0</v>
      </c>
      <c r="DS43" s="257">
        <f>DR43</f>
        <v>0</v>
      </c>
      <c r="DT43" s="1278">
        <v>0</v>
      </c>
      <c r="DU43" s="383">
        <v>0</v>
      </c>
      <c r="DV43" s="384">
        <v>0</v>
      </c>
      <c r="DW43" s="384">
        <v>0</v>
      </c>
      <c r="DX43" s="257">
        <f>DW43</f>
        <v>0</v>
      </c>
      <c r="DY43" s="384">
        <v>0</v>
      </c>
      <c r="DZ43" s="384">
        <v>0</v>
      </c>
      <c r="EA43" s="384">
        <v>0</v>
      </c>
      <c r="EB43" s="384">
        <v>0</v>
      </c>
      <c r="EC43" s="257">
        <f>EB43</f>
        <v>0</v>
      </c>
      <c r="ED43" s="384">
        <v>0</v>
      </c>
      <c r="EE43" s="384">
        <v>0</v>
      </c>
      <c r="EF43" s="384">
        <v>0</v>
      </c>
      <c r="EG43" s="384">
        <v>0</v>
      </c>
      <c r="EH43" s="257">
        <f>EG43</f>
        <v>0</v>
      </c>
      <c r="EI43" s="384">
        <v>0</v>
      </c>
      <c r="EJ43" s="384">
        <v>0</v>
      </c>
      <c r="EK43" s="384">
        <v>0</v>
      </c>
      <c r="EL43" s="384">
        <v>0</v>
      </c>
      <c r="EM43" s="257">
        <f>EL43</f>
        <v>0</v>
      </c>
      <c r="EN43" s="384">
        <v>0</v>
      </c>
      <c r="EO43" s="384">
        <v>0</v>
      </c>
      <c r="EP43" s="384">
        <v>0</v>
      </c>
      <c r="EQ43" s="384">
        <v>0</v>
      </c>
      <c r="ER43" s="257">
        <f>EQ43</f>
        <v>0</v>
      </c>
      <c r="EW43"/>
      <c r="EX43"/>
      <c r="EY43"/>
      <c r="EZ43"/>
      <c r="FA43"/>
    </row>
    <row r="44" spans="1:157" s="160" customFormat="1" ht="12" customHeight="1">
      <c r="A44" s="133"/>
      <c r="B44" s="133"/>
      <c r="C44" s="265" t="s">
        <v>749</v>
      </c>
      <c r="D44" s="315"/>
      <c r="E44" s="315"/>
      <c r="F44" s="315"/>
      <c r="G44" s="315"/>
      <c r="H44" s="315"/>
      <c r="I44" s="316"/>
      <c r="J44" s="316"/>
      <c r="K44" s="316"/>
      <c r="L44" s="316"/>
      <c r="M44" s="380"/>
      <c r="N44" s="316"/>
      <c r="O44" s="316"/>
      <c r="P44" s="316"/>
      <c r="Q44" s="316"/>
      <c r="R44" s="380"/>
      <c r="S44" s="316"/>
      <c r="T44" s="316"/>
      <c r="U44" s="316"/>
      <c r="V44" s="316"/>
      <c r="W44" s="380"/>
      <c r="X44" s="316"/>
      <c r="Y44" s="316"/>
      <c r="Z44" s="316"/>
      <c r="AA44" s="316"/>
      <c r="AB44" s="380"/>
      <c r="AC44" s="316"/>
      <c r="AD44" s="316"/>
      <c r="AE44" s="316"/>
      <c r="AF44" s="316"/>
      <c r="AG44" s="380"/>
      <c r="AH44" s="316"/>
      <c r="AI44" s="316"/>
      <c r="AJ44" s="316"/>
      <c r="AK44" s="316"/>
      <c r="AL44" s="380"/>
      <c r="AM44" s="316"/>
      <c r="AN44" s="316"/>
      <c r="AO44" s="316"/>
      <c r="AP44" s="316"/>
      <c r="AQ44" s="380"/>
      <c r="AR44" s="316"/>
      <c r="AS44" s="316"/>
      <c r="AT44" s="316"/>
      <c r="AU44" s="316"/>
      <c r="AV44" s="380"/>
      <c r="AW44" s="316"/>
      <c r="AX44" s="316"/>
      <c r="AY44" s="316"/>
      <c r="AZ44" s="316"/>
      <c r="BA44" s="380"/>
      <c r="BB44" s="316"/>
      <c r="BC44" s="316"/>
      <c r="BD44" s="316"/>
      <c r="BE44" s="316"/>
      <c r="BF44" s="315"/>
      <c r="BG44" s="93"/>
      <c r="BH44" s="93"/>
      <c r="BI44" s="93"/>
      <c r="BJ44" s="316"/>
      <c r="BK44" s="381"/>
      <c r="BL44" s="710"/>
      <c r="BM44" s="710"/>
      <c r="BN44" s="710"/>
      <c r="BO44" s="710"/>
      <c r="BP44" s="382"/>
      <c r="BQ44" s="391"/>
      <c r="BR44" s="391">
        <v>0</v>
      </c>
      <c r="BS44" s="391">
        <v>0</v>
      </c>
      <c r="BT44" s="391">
        <v>0</v>
      </c>
      <c r="BU44" s="286">
        <f t="shared" ref="BU44:BU45" si="151">+BT44</f>
        <v>0</v>
      </c>
      <c r="BV44" s="391">
        <v>0</v>
      </c>
      <c r="BW44" s="391">
        <v>0</v>
      </c>
      <c r="BX44" s="391">
        <v>0</v>
      </c>
      <c r="BY44" s="391">
        <v>0</v>
      </c>
      <c r="BZ44" s="286">
        <f t="shared" ref="BZ44:BZ45" si="152">+BY44</f>
        <v>0</v>
      </c>
      <c r="CA44" s="391">
        <v>0</v>
      </c>
      <c r="CB44" s="391">
        <v>0</v>
      </c>
      <c r="CC44" s="391">
        <v>0</v>
      </c>
      <c r="CD44" s="391">
        <v>0</v>
      </c>
      <c r="CE44" s="286">
        <f t="shared" ref="CE44:CE45" si="153">+CD44</f>
        <v>0</v>
      </c>
      <c r="CF44" s="391">
        <v>0</v>
      </c>
      <c r="CG44" s="391">
        <v>0</v>
      </c>
      <c r="CH44" s="391">
        <v>0</v>
      </c>
      <c r="CI44" s="391">
        <v>0</v>
      </c>
      <c r="CJ44" s="286">
        <f t="shared" ref="CJ44:CJ45" si="154">+CI44</f>
        <v>0</v>
      </c>
      <c r="CK44" s="391">
        <v>0</v>
      </c>
      <c r="CL44" s="391">
        <v>0</v>
      </c>
      <c r="CM44" s="391">
        <v>0</v>
      </c>
      <c r="CN44" s="391">
        <v>0</v>
      </c>
      <c r="CO44" s="286">
        <f t="shared" ref="CO44:CO45" si="155">+CN44</f>
        <v>0</v>
      </c>
      <c r="CP44" s="391">
        <v>0</v>
      </c>
      <c r="CQ44" s="391">
        <v>0</v>
      </c>
      <c r="CR44" s="391">
        <v>0</v>
      </c>
      <c r="CS44" s="391">
        <v>0</v>
      </c>
      <c r="CT44" s="286">
        <f t="shared" ref="CT44:CT45" si="156">+CS44</f>
        <v>0</v>
      </c>
      <c r="CU44" s="391">
        <v>0</v>
      </c>
      <c r="CV44" s="391">
        <v>0</v>
      </c>
      <c r="CW44" s="391">
        <v>0</v>
      </c>
      <c r="CX44" s="391">
        <v>0</v>
      </c>
      <c r="CY44" s="286">
        <f t="shared" ref="CY44:CY45" si="157">+CX44</f>
        <v>0</v>
      </c>
      <c r="CZ44" s="391">
        <v>0</v>
      </c>
      <c r="DA44" s="391">
        <v>0</v>
      </c>
      <c r="DB44" s="391">
        <v>0</v>
      </c>
      <c r="DC44" s="391">
        <v>0</v>
      </c>
      <c r="DD44" s="286">
        <f t="shared" ref="DD44:DD45" si="158">+DC44</f>
        <v>0</v>
      </c>
      <c r="DE44" s="391">
        <v>0</v>
      </c>
      <c r="DF44" s="391">
        <v>0</v>
      </c>
      <c r="DG44" s="391">
        <v>0</v>
      </c>
      <c r="DH44" s="391">
        <v>0</v>
      </c>
      <c r="DI44" s="286">
        <f t="shared" ref="DI44:DI45" si="159">+DH44</f>
        <v>0</v>
      </c>
      <c r="DJ44" s="391">
        <v>0</v>
      </c>
      <c r="DK44" s="391">
        <v>301</v>
      </c>
      <c r="DL44" s="391">
        <v>309</v>
      </c>
      <c r="DM44" s="391">
        <v>305</v>
      </c>
      <c r="DN44" s="286">
        <f t="shared" ref="DN44:DN45" si="160">+DM44</f>
        <v>305</v>
      </c>
      <c r="DO44" s="259">
        <v>279</v>
      </c>
      <c r="DP44" s="391">
        <v>281</v>
      </c>
      <c r="DQ44" s="391">
        <v>272</v>
      </c>
      <c r="DR44" s="391">
        <v>236</v>
      </c>
      <c r="DS44" s="257">
        <f>DR44</f>
        <v>236</v>
      </c>
      <c r="DT44" s="259">
        <v>255</v>
      </c>
      <c r="DU44" s="391">
        <v>274</v>
      </c>
      <c r="DV44" s="392">
        <f t="shared" ref="DV44:DW45" si="161">+DU44</f>
        <v>274</v>
      </c>
      <c r="DW44" s="392">
        <f t="shared" si="161"/>
        <v>274</v>
      </c>
      <c r="DX44" s="257">
        <f>DW44</f>
        <v>274</v>
      </c>
      <c r="DY44" s="392">
        <f t="shared" ref="DY44:EB45" si="162">+DX44</f>
        <v>274</v>
      </c>
      <c r="DZ44" s="392">
        <f t="shared" si="162"/>
        <v>274</v>
      </c>
      <c r="EA44" s="392">
        <f t="shared" si="162"/>
        <v>274</v>
      </c>
      <c r="EB44" s="392">
        <f t="shared" si="162"/>
        <v>274</v>
      </c>
      <c r="EC44" s="257">
        <f>EB44</f>
        <v>274</v>
      </c>
      <c r="ED44" s="392">
        <f t="shared" ref="ED44:ED45" si="163">+EC44</f>
        <v>274</v>
      </c>
      <c r="EE44" s="392">
        <f t="shared" ref="EE44:EE45" si="164">+ED44</f>
        <v>274</v>
      </c>
      <c r="EF44" s="392">
        <f t="shared" ref="EF44:EF45" si="165">+EE44</f>
        <v>274</v>
      </c>
      <c r="EG44" s="392">
        <f t="shared" ref="EG44:EG45" si="166">+EF44</f>
        <v>274</v>
      </c>
      <c r="EH44" s="257">
        <f>EG44</f>
        <v>274</v>
      </c>
      <c r="EI44" s="392">
        <f t="shared" ref="EI44:EI45" si="167">+EH44</f>
        <v>274</v>
      </c>
      <c r="EJ44" s="392">
        <f t="shared" ref="EJ44:EJ45" si="168">+EI44</f>
        <v>274</v>
      </c>
      <c r="EK44" s="392">
        <f t="shared" ref="EK44:EK45" si="169">+EJ44</f>
        <v>274</v>
      </c>
      <c r="EL44" s="392">
        <f t="shared" ref="EL44:EL45" si="170">+EK44</f>
        <v>274</v>
      </c>
      <c r="EM44" s="257">
        <f>EL44</f>
        <v>274</v>
      </c>
      <c r="EN44" s="392">
        <f t="shared" ref="EN44:EN45" si="171">+EM44</f>
        <v>274</v>
      </c>
      <c r="EO44" s="392">
        <f t="shared" ref="EO44:EO45" si="172">+EN44</f>
        <v>274</v>
      </c>
      <c r="EP44" s="392">
        <f t="shared" ref="EP44:EP45" si="173">+EO44</f>
        <v>274</v>
      </c>
      <c r="EQ44" s="392">
        <f t="shared" ref="EQ44:EQ45" si="174">+EP44</f>
        <v>274</v>
      </c>
      <c r="ER44" s="257">
        <f>EQ44</f>
        <v>274</v>
      </c>
      <c r="EW44"/>
      <c r="EX44"/>
      <c r="EY44"/>
      <c r="EZ44"/>
      <c r="FA44"/>
    </row>
    <row r="45" spans="1:157" s="160" customFormat="1" ht="12" customHeight="1">
      <c r="A45" s="133"/>
      <c r="B45" s="133"/>
      <c r="C45" s="265" t="s">
        <v>750</v>
      </c>
      <c r="D45" s="315"/>
      <c r="E45" s="315"/>
      <c r="F45" s="315"/>
      <c r="G45" s="315"/>
      <c r="H45" s="315"/>
      <c r="I45" s="316"/>
      <c r="J45" s="316"/>
      <c r="K45" s="316"/>
      <c r="L45" s="316"/>
      <c r="M45" s="380"/>
      <c r="N45" s="316"/>
      <c r="O45" s="316"/>
      <c r="P45" s="316"/>
      <c r="Q45" s="316"/>
      <c r="R45" s="380"/>
      <c r="S45" s="316"/>
      <c r="T45" s="316"/>
      <c r="U45" s="316"/>
      <c r="V45" s="316"/>
      <c r="W45" s="380"/>
      <c r="X45" s="316"/>
      <c r="Y45" s="316"/>
      <c r="Z45" s="316"/>
      <c r="AA45" s="316"/>
      <c r="AB45" s="380"/>
      <c r="AC45" s="316"/>
      <c r="AD45" s="316"/>
      <c r="AE45" s="316"/>
      <c r="AF45" s="316"/>
      <c r="AG45" s="380"/>
      <c r="AH45" s="316"/>
      <c r="AI45" s="316"/>
      <c r="AJ45" s="316"/>
      <c r="AK45" s="316"/>
      <c r="AL45" s="380"/>
      <c r="AM45" s="316"/>
      <c r="AN45" s="316"/>
      <c r="AO45" s="316"/>
      <c r="AP45" s="316"/>
      <c r="AQ45" s="380"/>
      <c r="AR45" s="316"/>
      <c r="AS45" s="316"/>
      <c r="AT45" s="316"/>
      <c r="AU45" s="316"/>
      <c r="AV45" s="380"/>
      <c r="AW45" s="316"/>
      <c r="AX45" s="316"/>
      <c r="AY45" s="316"/>
      <c r="AZ45" s="316"/>
      <c r="BA45" s="380"/>
      <c r="BB45" s="316"/>
      <c r="BC45" s="316"/>
      <c r="BD45" s="316"/>
      <c r="BE45" s="316"/>
      <c r="BF45" s="315"/>
      <c r="BG45" s="93"/>
      <c r="BH45" s="93"/>
      <c r="BI45" s="93"/>
      <c r="BJ45" s="316"/>
      <c r="BK45" s="381"/>
      <c r="BL45" s="710"/>
      <c r="BM45" s="710"/>
      <c r="BN45" s="710"/>
      <c r="BO45" s="710"/>
      <c r="BP45" s="382"/>
      <c r="BQ45" s="391"/>
      <c r="BR45" s="391">
        <v>0</v>
      </c>
      <c r="BS45" s="391">
        <v>0</v>
      </c>
      <c r="BT45" s="391">
        <v>0</v>
      </c>
      <c r="BU45" s="286">
        <f t="shared" si="151"/>
        <v>0</v>
      </c>
      <c r="BV45" s="391">
        <v>0</v>
      </c>
      <c r="BW45" s="391">
        <v>0</v>
      </c>
      <c r="BX45" s="391">
        <v>0</v>
      </c>
      <c r="BY45" s="391">
        <v>0</v>
      </c>
      <c r="BZ45" s="286">
        <f t="shared" si="152"/>
        <v>0</v>
      </c>
      <c r="CA45" s="391">
        <v>0</v>
      </c>
      <c r="CB45" s="391">
        <v>0</v>
      </c>
      <c r="CC45" s="391">
        <v>0</v>
      </c>
      <c r="CD45" s="391">
        <v>0</v>
      </c>
      <c r="CE45" s="286">
        <f t="shared" si="153"/>
        <v>0</v>
      </c>
      <c r="CF45" s="391">
        <v>0</v>
      </c>
      <c r="CG45" s="391">
        <v>0</v>
      </c>
      <c r="CH45" s="391">
        <v>0</v>
      </c>
      <c r="CI45" s="391">
        <v>0</v>
      </c>
      <c r="CJ45" s="286">
        <f t="shared" si="154"/>
        <v>0</v>
      </c>
      <c r="CK45" s="391">
        <v>0</v>
      </c>
      <c r="CL45" s="391">
        <v>0</v>
      </c>
      <c r="CM45" s="391">
        <v>0</v>
      </c>
      <c r="CN45" s="391">
        <v>0</v>
      </c>
      <c r="CO45" s="286">
        <f t="shared" si="155"/>
        <v>0</v>
      </c>
      <c r="CP45" s="391">
        <v>0</v>
      </c>
      <c r="CQ45" s="391">
        <v>0</v>
      </c>
      <c r="CR45" s="391">
        <v>0</v>
      </c>
      <c r="CS45" s="391">
        <v>0</v>
      </c>
      <c r="CT45" s="286">
        <f t="shared" si="156"/>
        <v>0</v>
      </c>
      <c r="CU45" s="391">
        <v>0</v>
      </c>
      <c r="CV45" s="391">
        <v>0</v>
      </c>
      <c r="CW45" s="391">
        <v>0</v>
      </c>
      <c r="CX45" s="391">
        <v>0</v>
      </c>
      <c r="CY45" s="286">
        <f t="shared" si="157"/>
        <v>0</v>
      </c>
      <c r="CZ45" s="391">
        <v>0</v>
      </c>
      <c r="DA45" s="391">
        <v>0</v>
      </c>
      <c r="DB45" s="391">
        <v>0</v>
      </c>
      <c r="DC45" s="391">
        <v>0</v>
      </c>
      <c r="DD45" s="286">
        <f t="shared" si="158"/>
        <v>0</v>
      </c>
      <c r="DE45" s="391">
        <v>0</v>
      </c>
      <c r="DF45" s="391">
        <v>0</v>
      </c>
      <c r="DG45" s="391">
        <v>0</v>
      </c>
      <c r="DH45" s="391">
        <v>0</v>
      </c>
      <c r="DI45" s="286">
        <f t="shared" si="159"/>
        <v>0</v>
      </c>
      <c r="DJ45" s="391">
        <v>0</v>
      </c>
      <c r="DK45" s="391">
        <v>-5</v>
      </c>
      <c r="DL45" s="456">
        <v>-1</v>
      </c>
      <c r="DM45" s="456">
        <v>-10</v>
      </c>
      <c r="DN45" s="286">
        <f t="shared" si="160"/>
        <v>-10</v>
      </c>
      <c r="DO45" s="259">
        <v>-6</v>
      </c>
      <c r="DP45" s="391">
        <v>5</v>
      </c>
      <c r="DQ45" s="391">
        <v>-1</v>
      </c>
      <c r="DR45" s="391">
        <v>1</v>
      </c>
      <c r="DS45" s="257">
        <f>DR45</f>
        <v>1</v>
      </c>
      <c r="DT45" s="259">
        <v>-4</v>
      </c>
      <c r="DU45" s="391">
        <v>-7</v>
      </c>
      <c r="DV45" s="392">
        <f t="shared" si="161"/>
        <v>-7</v>
      </c>
      <c r="DW45" s="392">
        <f t="shared" si="161"/>
        <v>-7</v>
      </c>
      <c r="DX45" s="257">
        <f>DW45</f>
        <v>-7</v>
      </c>
      <c r="DY45" s="392">
        <f t="shared" si="162"/>
        <v>-7</v>
      </c>
      <c r="DZ45" s="392">
        <f t="shared" si="162"/>
        <v>-7</v>
      </c>
      <c r="EA45" s="392">
        <f t="shared" si="162"/>
        <v>-7</v>
      </c>
      <c r="EB45" s="392">
        <f t="shared" si="162"/>
        <v>-7</v>
      </c>
      <c r="EC45" s="257">
        <f>EB45</f>
        <v>-7</v>
      </c>
      <c r="ED45" s="392">
        <f t="shared" si="163"/>
        <v>-7</v>
      </c>
      <c r="EE45" s="392">
        <f t="shared" si="164"/>
        <v>-7</v>
      </c>
      <c r="EF45" s="392">
        <f t="shared" si="165"/>
        <v>-7</v>
      </c>
      <c r="EG45" s="392">
        <f t="shared" si="166"/>
        <v>-7</v>
      </c>
      <c r="EH45" s="257">
        <f>EG45</f>
        <v>-7</v>
      </c>
      <c r="EI45" s="392">
        <f t="shared" si="167"/>
        <v>-7</v>
      </c>
      <c r="EJ45" s="392">
        <f t="shared" si="168"/>
        <v>-7</v>
      </c>
      <c r="EK45" s="392">
        <f t="shared" si="169"/>
        <v>-7</v>
      </c>
      <c r="EL45" s="392">
        <f t="shared" si="170"/>
        <v>-7</v>
      </c>
      <c r="EM45" s="257">
        <f>EL45</f>
        <v>-7</v>
      </c>
      <c r="EN45" s="392">
        <f t="shared" si="171"/>
        <v>-7</v>
      </c>
      <c r="EO45" s="392">
        <f t="shared" si="172"/>
        <v>-7</v>
      </c>
      <c r="EP45" s="392">
        <f t="shared" si="173"/>
        <v>-7</v>
      </c>
      <c r="EQ45" s="392">
        <f t="shared" si="174"/>
        <v>-7</v>
      </c>
      <c r="ER45" s="257">
        <f>EQ45</f>
        <v>-7</v>
      </c>
      <c r="EW45"/>
      <c r="EX45"/>
      <c r="EY45"/>
      <c r="EZ45"/>
      <c r="FA45"/>
    </row>
    <row r="46" spans="1:157" s="160" customFormat="1" ht="12" customHeight="1">
      <c r="A46" s="133"/>
      <c r="B46" s="133"/>
      <c r="C46" s="265" t="s">
        <v>50</v>
      </c>
      <c r="D46" s="315"/>
      <c r="E46" s="315"/>
      <c r="F46" s="315"/>
      <c r="G46" s="315"/>
      <c r="H46" s="315"/>
      <c r="I46" s="316"/>
      <c r="J46" s="316"/>
      <c r="K46" s="316"/>
      <c r="L46" s="316"/>
      <c r="M46" s="380"/>
      <c r="N46" s="316"/>
      <c r="O46" s="316"/>
      <c r="P46" s="316"/>
      <c r="Q46" s="316"/>
      <c r="R46" s="380"/>
      <c r="S46" s="316"/>
      <c r="T46" s="316"/>
      <c r="U46" s="316"/>
      <c r="V46" s="316"/>
      <c r="W46" s="380"/>
      <c r="X46" s="316"/>
      <c r="Y46" s="316"/>
      <c r="Z46" s="316"/>
      <c r="AA46" s="316"/>
      <c r="AB46" s="380"/>
      <c r="AC46" s="316"/>
      <c r="AD46" s="316"/>
      <c r="AE46" s="316"/>
      <c r="AF46" s="316"/>
      <c r="AG46" s="380"/>
      <c r="AH46" s="316"/>
      <c r="AI46" s="316"/>
      <c r="AJ46" s="316"/>
      <c r="AK46" s="316"/>
      <c r="AL46" s="380"/>
      <c r="AM46" s="316"/>
      <c r="AN46" s="316"/>
      <c r="AO46" s="316"/>
      <c r="AP46" s="316"/>
      <c r="AQ46" s="380"/>
      <c r="AR46" s="316"/>
      <c r="AS46" s="316"/>
      <c r="AT46" s="316"/>
      <c r="AU46" s="316"/>
      <c r="AV46" s="380"/>
      <c r="AW46" s="316"/>
      <c r="AX46" s="316"/>
      <c r="AY46" s="316"/>
      <c r="AZ46" s="316"/>
      <c r="BA46" s="380"/>
      <c r="BB46" s="316"/>
      <c r="BC46" s="316"/>
      <c r="BD46" s="316"/>
      <c r="BE46" s="316"/>
      <c r="BF46" s="315"/>
      <c r="BG46" s="93"/>
      <c r="BH46" s="93"/>
      <c r="BI46" s="93"/>
      <c r="BJ46" s="316"/>
      <c r="BK46" s="381"/>
      <c r="BL46" s="710"/>
      <c r="BM46" s="710"/>
      <c r="BN46" s="710"/>
      <c r="BO46" s="710"/>
      <c r="BP46" s="382"/>
      <c r="BQ46" s="239"/>
      <c r="BR46" s="239">
        <v>-36.89</v>
      </c>
      <c r="BS46" s="239">
        <v>-29.064</v>
      </c>
      <c r="BT46" s="239">
        <v>-47.853999999999999</v>
      </c>
      <c r="BU46" s="257">
        <f>BT46</f>
        <v>-47.853999999999999</v>
      </c>
      <c r="BV46" s="239">
        <v>-56.783000000000001</v>
      </c>
      <c r="BW46" s="239">
        <v>-65.221999999999994</v>
      </c>
      <c r="BX46" s="239">
        <v>-74.341999999999999</v>
      </c>
      <c r="BY46" s="239">
        <v>-83.209000000000003</v>
      </c>
      <c r="BZ46" s="257">
        <f>BY46</f>
        <v>-83.209000000000003</v>
      </c>
      <c r="CA46" s="239">
        <v>-96.807000000000002</v>
      </c>
      <c r="CB46" s="239">
        <v>-110.837</v>
      </c>
      <c r="CC46" s="239">
        <v>-120.217</v>
      </c>
      <c r="CD46" s="239">
        <v>-123.20399999999999</v>
      </c>
      <c r="CE46" s="257">
        <f>CD46</f>
        <v>-123.20399999999999</v>
      </c>
      <c r="CF46" s="239">
        <v>-139.10599999999999</v>
      </c>
      <c r="CG46" s="239">
        <v>-163.059</v>
      </c>
      <c r="CH46" s="239">
        <v>-304.995</v>
      </c>
      <c r="CI46" s="239">
        <v>-187.75700000000001</v>
      </c>
      <c r="CJ46" s="257">
        <f>CI46</f>
        <v>-187.75700000000001</v>
      </c>
      <c r="CK46" s="239">
        <v>-203.53299999999999</v>
      </c>
      <c r="CL46" s="239">
        <v>-232.21100000000001</v>
      </c>
      <c r="CM46" s="239">
        <v>-304.995</v>
      </c>
      <c r="CN46" s="239">
        <v>-304.22399999999999</v>
      </c>
      <c r="CO46" s="257">
        <f>CN46</f>
        <v>-304.22399999999999</v>
      </c>
      <c r="CP46" s="239">
        <v>-335.65300000000002</v>
      </c>
      <c r="CQ46" s="239">
        <v>-299.65499999999997</v>
      </c>
      <c r="CR46" s="239">
        <v>-108.587</v>
      </c>
      <c r="CS46" s="239">
        <v>15.285</v>
      </c>
      <c r="CT46" s="257">
        <f>CS46</f>
        <v>15.285</v>
      </c>
      <c r="CU46" s="239">
        <v>1281.9280000000001</v>
      </c>
      <c r="CV46" s="239">
        <v>2161.0210000000002</v>
      </c>
      <c r="CW46" s="239">
        <v>3309.453</v>
      </c>
      <c r="CX46" s="239">
        <f>161.074-5.974+2938.142</f>
        <v>3093.2419999999997</v>
      </c>
      <c r="CY46" s="257">
        <f>CX46</f>
        <v>3093.2419999999997</v>
      </c>
      <c r="CZ46" s="239">
        <f>1463.734+174.57+0.413</f>
        <v>1638.7169999999999</v>
      </c>
      <c r="DA46" s="259">
        <f>221.858-9.117+259.827</f>
        <v>472.56799999999998</v>
      </c>
      <c r="DB46" s="259">
        <f>101.418-23.409-38.012</f>
        <v>39.997000000000014</v>
      </c>
      <c r="DC46" s="259">
        <f>30.206-16.473-522.276</f>
        <v>-508.54299999999995</v>
      </c>
      <c r="DD46" s="257">
        <f>DC46</f>
        <v>-508.54299999999995</v>
      </c>
      <c r="DE46" s="259">
        <f>32-7-454</f>
        <v>-429</v>
      </c>
      <c r="DF46" s="259">
        <f>205+4-1765</f>
        <v>-1556</v>
      </c>
      <c r="DG46" s="259">
        <f>239-6-1047</f>
        <v>-814</v>
      </c>
      <c r="DH46" s="259">
        <f>251+4-390</f>
        <v>-135</v>
      </c>
      <c r="DI46" s="257">
        <f>DH46</f>
        <v>-135</v>
      </c>
      <c r="DJ46" s="259">
        <f>277-4-663</f>
        <v>-390</v>
      </c>
      <c r="DK46" s="259">
        <v>-492</v>
      </c>
      <c r="DL46" s="259">
        <v>336</v>
      </c>
      <c r="DM46" s="259">
        <v>1629</v>
      </c>
      <c r="DN46" s="257">
        <f>DM46</f>
        <v>1629</v>
      </c>
      <c r="DO46" s="259">
        <v>947</v>
      </c>
      <c r="DP46" s="259">
        <v>1853</v>
      </c>
      <c r="DQ46" s="259">
        <v>2117</v>
      </c>
      <c r="DR46" s="259">
        <v>2860</v>
      </c>
      <c r="DS46" s="257">
        <f>DR46</f>
        <v>2860</v>
      </c>
      <c r="DT46" s="259">
        <v>2279</v>
      </c>
      <c r="DU46" s="259">
        <v>3781</v>
      </c>
      <c r="DV46" s="120">
        <f>DU46+Income!DV62+'Cash Flow'!DV41</f>
        <v>4287.1176933722863</v>
      </c>
      <c r="DW46" s="120">
        <f>DV46+Income!DW62+'Cash Flow'!DW41</f>
        <v>5030.5148321330189</v>
      </c>
      <c r="DX46" s="257">
        <f>DW46</f>
        <v>5030.5148321330189</v>
      </c>
      <c r="DY46" s="120">
        <f>DX46+Income!DY62+'Cash Flow'!DY41</f>
        <v>5515.833323474586</v>
      </c>
      <c r="DZ46" s="120">
        <f>DY46+Income!DZ62+'Cash Flow'!DZ41</f>
        <v>6142.4266391389738</v>
      </c>
      <c r="EA46" s="120">
        <f>DZ46+Income!EA62+'Cash Flow'!EA41</f>
        <v>6836.3081747475253</v>
      </c>
      <c r="EB46" s="120">
        <f>EA46+Income!EB62+'Cash Flow'!EB41</f>
        <v>7853.109376524837</v>
      </c>
      <c r="EC46" s="257">
        <f>EB46</f>
        <v>7853.109376524837</v>
      </c>
      <c r="ED46" s="120">
        <f>EC46+Income!ED62+'Cash Flow'!ED41</f>
        <v>8462.1434589853561</v>
      </c>
      <c r="EE46" s="120">
        <f>ED46+Income!EE62+'Cash Flow'!EE41</f>
        <v>9242.226557730577</v>
      </c>
      <c r="EF46" s="120">
        <f>EE46+Income!EF62+'Cash Flow'!EF41</f>
        <v>10099.721706347873</v>
      </c>
      <c r="EG46" s="120">
        <f>EF46+Income!EG62+'Cash Flow'!EG41</f>
        <v>11350.249267056315</v>
      </c>
      <c r="EH46" s="257">
        <f>EG46</f>
        <v>11350.249267056315</v>
      </c>
      <c r="EI46" s="120">
        <f>EH46+Income!EI62+'Cash Flow'!EI41</f>
        <v>12099.046484529672</v>
      </c>
      <c r="EJ46" s="120">
        <f>EI46+Income!EJ62+'Cash Flow'!EJ41</f>
        <v>13053.429837648335</v>
      </c>
      <c r="EK46" s="120">
        <f>EJ46+Income!EK62+'Cash Flow'!EK41</f>
        <v>14098.851666842984</v>
      </c>
      <c r="EL46" s="120">
        <f>EK46+Income!EL62+'Cash Flow'!EL41</f>
        <v>15618.887458757978</v>
      </c>
      <c r="EM46" s="257">
        <f>EL46</f>
        <v>15618.887458757978</v>
      </c>
      <c r="EN46" s="120">
        <f>EM46+Income!EN62+'Cash Flow'!EN41</f>
        <v>16532.180687196102</v>
      </c>
      <c r="EO46" s="120">
        <f>EN46+Income!EO62+'Cash Flow'!EO41</f>
        <v>17691.140636932363</v>
      </c>
      <c r="EP46" s="120">
        <f>EO46+Income!EP62+'Cash Flow'!EP41</f>
        <v>18956.832492927111</v>
      </c>
      <c r="EQ46" s="120">
        <f>EP46+Income!EQ62+'Cash Flow'!EQ41</f>
        <v>20790.031574495424</v>
      </c>
      <c r="ER46" s="257">
        <f>EQ46</f>
        <v>20790.031574495424</v>
      </c>
      <c r="EW46"/>
      <c r="EX46"/>
      <c r="EY46"/>
      <c r="EZ46"/>
      <c r="FA46"/>
    </row>
    <row r="47" spans="1:157" s="160" customFormat="1" ht="12" customHeight="1">
      <c r="A47" s="133"/>
      <c r="B47" s="133"/>
      <c r="C47" s="394" t="s">
        <v>360</v>
      </c>
      <c r="D47" s="315"/>
      <c r="E47" s="315"/>
      <c r="F47" s="315"/>
      <c r="G47" s="315"/>
      <c r="H47" s="315"/>
      <c r="I47" s="316"/>
      <c r="J47" s="316"/>
      <c r="K47" s="316"/>
      <c r="L47" s="316"/>
      <c r="M47" s="380"/>
      <c r="N47" s="316"/>
      <c r="O47" s="316"/>
      <c r="P47" s="316"/>
      <c r="Q47" s="316"/>
      <c r="R47" s="380"/>
      <c r="S47" s="316"/>
      <c r="T47" s="316"/>
      <c r="U47" s="316"/>
      <c r="V47" s="316"/>
      <c r="W47" s="380"/>
      <c r="X47" s="316"/>
      <c r="Y47" s="316"/>
      <c r="Z47" s="316"/>
      <c r="AA47" s="316"/>
      <c r="AB47" s="380"/>
      <c r="AC47" s="316"/>
      <c r="AD47" s="316"/>
      <c r="AE47" s="316"/>
      <c r="AF47" s="316"/>
      <c r="AG47" s="380"/>
      <c r="AH47" s="316"/>
      <c r="AI47" s="316"/>
      <c r="AJ47" s="316"/>
      <c r="AK47" s="316"/>
      <c r="AL47" s="380"/>
      <c r="AM47" s="316"/>
      <c r="AN47" s="316"/>
      <c r="AO47" s="316"/>
      <c r="AP47" s="316"/>
      <c r="AQ47" s="380"/>
      <c r="AR47" s="316"/>
      <c r="AS47" s="316"/>
      <c r="AT47" s="316"/>
      <c r="AU47" s="316"/>
      <c r="AV47" s="380"/>
      <c r="AW47" s="316"/>
      <c r="AX47" s="316"/>
      <c r="AY47" s="316"/>
      <c r="AZ47" s="316"/>
      <c r="BA47" s="380"/>
      <c r="BB47" s="316"/>
      <c r="BC47" s="316"/>
      <c r="BD47" s="316"/>
      <c r="BE47" s="316"/>
      <c r="BF47" s="315"/>
      <c r="BG47" s="93"/>
      <c r="BH47" s="93"/>
      <c r="BI47" s="93"/>
      <c r="BJ47" s="316"/>
      <c r="BK47" s="381"/>
      <c r="BL47" s="710"/>
      <c r="BM47" s="710"/>
      <c r="BN47" s="710"/>
      <c r="BO47" s="710"/>
      <c r="BP47" s="382"/>
      <c r="BQ47" s="239"/>
      <c r="BR47" s="723">
        <f t="shared" ref="BR47:DN47" si="175">+SUM(BR42:BR46)</f>
        <v>199.55099999999999</v>
      </c>
      <c r="BS47" s="723">
        <f t="shared" si="175"/>
        <v>67.731999999999999</v>
      </c>
      <c r="BT47" s="723">
        <f t="shared" si="175"/>
        <v>195.31700000000001</v>
      </c>
      <c r="BU47" s="724">
        <f t="shared" si="175"/>
        <v>195.31700000000001</v>
      </c>
      <c r="BV47" s="723">
        <f t="shared" si="175"/>
        <v>190.97699999999998</v>
      </c>
      <c r="BW47" s="723">
        <f t="shared" si="175"/>
        <v>188.75100000000003</v>
      </c>
      <c r="BX47" s="723">
        <f t="shared" si="175"/>
        <v>411.52199999999999</v>
      </c>
      <c r="BY47" s="723">
        <f t="shared" si="175"/>
        <v>410.476</v>
      </c>
      <c r="BZ47" s="724">
        <f t="shared" si="175"/>
        <v>410.476</v>
      </c>
      <c r="CA47" s="723">
        <f t="shared" si="175"/>
        <v>410.86399999999998</v>
      </c>
      <c r="CB47" s="723">
        <f t="shared" si="175"/>
        <v>977.44399999999996</v>
      </c>
      <c r="CC47" s="723">
        <f t="shared" si="175"/>
        <v>987.92200000000014</v>
      </c>
      <c r="CD47" s="723">
        <f t="shared" si="175"/>
        <v>1001.1000000000001</v>
      </c>
      <c r="CE47" s="724">
        <f t="shared" si="175"/>
        <v>1001.1000000000001</v>
      </c>
      <c r="CF47" s="723">
        <f t="shared" si="175"/>
        <v>1649.8889999999999</v>
      </c>
      <c r="CG47" s="723">
        <f t="shared" si="175"/>
        <v>1656.201</v>
      </c>
      <c r="CH47" s="723">
        <f t="shared" si="175"/>
        <v>1672.078</v>
      </c>
      <c r="CI47" s="723">
        <f t="shared" si="175"/>
        <v>2090.768</v>
      </c>
      <c r="CJ47" s="724">
        <f t="shared" si="175"/>
        <v>2090.768</v>
      </c>
      <c r="CK47" s="723">
        <f t="shared" si="175"/>
        <v>2127.9180000000001</v>
      </c>
      <c r="CL47" s="723">
        <f t="shared" si="175"/>
        <v>2161.1840000000002</v>
      </c>
      <c r="CM47" s="723">
        <f t="shared" si="175"/>
        <v>2820.0590000000002</v>
      </c>
      <c r="CN47" s="723">
        <f t="shared" si="175"/>
        <v>3015.7339999999999</v>
      </c>
      <c r="CO47" s="724">
        <f t="shared" si="175"/>
        <v>3015.7339999999999</v>
      </c>
      <c r="CP47" s="723">
        <f t="shared" si="175"/>
        <v>3040.8509999999997</v>
      </c>
      <c r="CQ47" s="723">
        <f t="shared" si="175"/>
        <v>4628.9390000000003</v>
      </c>
      <c r="CR47" s="723">
        <f t="shared" si="175"/>
        <v>6176.8289999999997</v>
      </c>
      <c r="CS47" s="723">
        <f t="shared" si="175"/>
        <v>6400.723</v>
      </c>
      <c r="CT47" s="724">
        <f t="shared" si="175"/>
        <v>6400.723</v>
      </c>
      <c r="CU47" s="723">
        <f t="shared" si="175"/>
        <v>9141.8709999999992</v>
      </c>
      <c r="CV47" s="723">
        <f t="shared" si="175"/>
        <v>10120.544</v>
      </c>
      <c r="CW47" s="723">
        <f t="shared" si="175"/>
        <v>11370.277</v>
      </c>
      <c r="CX47" s="723">
        <f t="shared" si="175"/>
        <v>11133.341</v>
      </c>
      <c r="CY47" s="724">
        <f t="shared" si="175"/>
        <v>11133.341</v>
      </c>
      <c r="CZ47" s="723">
        <f t="shared" si="175"/>
        <v>9789.5949999999993</v>
      </c>
      <c r="DA47" s="723">
        <f t="shared" si="175"/>
        <v>8717.1279999999988</v>
      </c>
      <c r="DB47" s="723">
        <f t="shared" si="175"/>
        <v>8693.0079999999998</v>
      </c>
      <c r="DC47" s="723">
        <f t="shared" si="175"/>
        <v>8238.889000000001</v>
      </c>
      <c r="DD47" s="724">
        <f t="shared" si="175"/>
        <v>8238.889000000001</v>
      </c>
      <c r="DE47" s="723">
        <f t="shared" si="175"/>
        <v>8457</v>
      </c>
      <c r="DF47" s="723">
        <f t="shared" si="175"/>
        <v>7463</v>
      </c>
      <c r="DG47" s="723">
        <f t="shared" si="175"/>
        <v>8284</v>
      </c>
      <c r="DH47" s="723">
        <f t="shared" si="175"/>
        <v>9066</v>
      </c>
      <c r="DI47" s="724">
        <f t="shared" si="175"/>
        <v>9066</v>
      </c>
      <c r="DJ47" s="723">
        <f t="shared" si="175"/>
        <v>8893</v>
      </c>
      <c r="DK47" s="723">
        <f>+SUM(DK42:DK46)</f>
        <v>9172</v>
      </c>
      <c r="DL47" s="723">
        <f>+SUM(DL42:DL46)</f>
        <v>10118</v>
      </c>
      <c r="DM47" s="723">
        <f>+SUM(DM42:DM46)</f>
        <v>11558</v>
      </c>
      <c r="DN47" s="724">
        <f t="shared" si="175"/>
        <v>11558</v>
      </c>
      <c r="DO47" s="723">
        <f>+SUM(DO42:DO46)</f>
        <v>11051</v>
      </c>
      <c r="DP47" s="723">
        <f>+SUM(DP42:DP46)</f>
        <v>12124</v>
      </c>
      <c r="DQ47" s="723">
        <f>+SUM(DQ42:DQ46)</f>
        <v>12511</v>
      </c>
      <c r="DR47" s="723">
        <f>+SUM(DR42:DR46)</f>
        <v>13473</v>
      </c>
      <c r="DS47" s="724">
        <f t="shared" ref="DS47:EC47" si="176">+SUM(DS42:DS46)</f>
        <v>13473</v>
      </c>
      <c r="DT47" s="723">
        <f>+SUM(DT42:DT46)</f>
        <v>12501</v>
      </c>
      <c r="DU47" s="723">
        <f>+SUM(DU42:DU46)</f>
        <v>12684</v>
      </c>
      <c r="DV47" s="723">
        <f t="shared" si="176"/>
        <v>13337.182512164196</v>
      </c>
      <c r="DW47" s="723">
        <f t="shared" si="176"/>
        <v>14268.538803586744</v>
      </c>
      <c r="DX47" s="724">
        <f t="shared" si="176"/>
        <v>14268.538803586744</v>
      </c>
      <c r="DY47" s="723">
        <f t="shared" si="176"/>
        <v>14906.749578514607</v>
      </c>
      <c r="DZ47" s="723">
        <f t="shared" si="176"/>
        <v>15678.561804799901</v>
      </c>
      <c r="EA47" s="723">
        <f t="shared" si="176"/>
        <v>16539.087012888765</v>
      </c>
      <c r="EB47" s="723">
        <f t="shared" si="176"/>
        <v>17767.803703730715</v>
      </c>
      <c r="EC47" s="724">
        <f t="shared" si="176"/>
        <v>17767.803703730715</v>
      </c>
      <c r="ED47" s="723">
        <f t="shared" ref="ED47:ER47" si="177">+SUM(ED42:ED46)</f>
        <v>18539.19681552262</v>
      </c>
      <c r="EE47" s="723">
        <f t="shared" si="177"/>
        <v>19483.33188466424</v>
      </c>
      <c r="EF47" s="723">
        <f t="shared" si="177"/>
        <v>20483.704235065474</v>
      </c>
      <c r="EG47" s="723">
        <f t="shared" si="177"/>
        <v>21890.028812629556</v>
      </c>
      <c r="EH47" s="724">
        <f t="shared" si="177"/>
        <v>21890.028812629556</v>
      </c>
      <c r="EI47" s="723">
        <f t="shared" si="177"/>
        <v>22831.237591646641</v>
      </c>
      <c r="EJ47" s="723">
        <f t="shared" si="177"/>
        <v>23980.069641012131</v>
      </c>
      <c r="EK47" s="723">
        <f t="shared" si="177"/>
        <v>25194.832043219736</v>
      </c>
      <c r="EL47" s="723">
        <f t="shared" si="177"/>
        <v>26899.61599983395</v>
      </c>
      <c r="EM47" s="724">
        <f t="shared" si="177"/>
        <v>26899.61599983395</v>
      </c>
      <c r="EN47" s="723">
        <f t="shared" si="177"/>
        <v>28038.630414292857</v>
      </c>
      <c r="EO47" s="723">
        <f t="shared" si="177"/>
        <v>29425.705806882455</v>
      </c>
      <c r="EP47" s="723">
        <f t="shared" si="177"/>
        <v>30890.070406304789</v>
      </c>
      <c r="EQ47" s="723">
        <f t="shared" si="177"/>
        <v>32940.037438853018</v>
      </c>
      <c r="ER47" s="724">
        <f t="shared" si="177"/>
        <v>32940.037438853018</v>
      </c>
      <c r="EW47"/>
      <c r="EX47"/>
      <c r="EY47"/>
      <c r="EZ47"/>
      <c r="FA47"/>
    </row>
    <row r="48" spans="1:157" s="396" customFormat="1" ht="12" customHeight="1">
      <c r="A48" s="133"/>
      <c r="B48" s="133"/>
      <c r="C48" s="394" t="s">
        <v>77</v>
      </c>
      <c r="D48" s="395"/>
      <c r="E48" s="395"/>
      <c r="F48" s="395"/>
      <c r="G48" s="395"/>
      <c r="H48" s="395"/>
      <c r="M48" s="395"/>
      <c r="R48" s="395"/>
      <c r="W48" s="395"/>
      <c r="AB48" s="395"/>
      <c r="AG48" s="395"/>
      <c r="AL48" s="395"/>
      <c r="AQ48" s="395"/>
      <c r="AV48" s="395"/>
      <c r="BA48" s="395"/>
      <c r="BF48" s="395"/>
      <c r="BK48" s="395"/>
      <c r="BP48" s="395"/>
      <c r="BQ48" s="397"/>
      <c r="BR48" s="263">
        <f t="shared" ref="BR48:CW48" si="178">SUM(BR40:BR46)</f>
        <v>236.88</v>
      </c>
      <c r="BS48" s="263">
        <f t="shared" si="178"/>
        <v>95.192999999999984</v>
      </c>
      <c r="BT48" s="263">
        <f t="shared" si="178"/>
        <v>243.71199999999999</v>
      </c>
      <c r="BU48" s="264">
        <f t="shared" si="178"/>
        <v>243.71199999999999</v>
      </c>
      <c r="BV48" s="263">
        <f t="shared" si="178"/>
        <v>245.274</v>
      </c>
      <c r="BW48" s="263">
        <f t="shared" si="178"/>
        <v>251.10900000000004</v>
      </c>
      <c r="BX48" s="263">
        <f t="shared" si="178"/>
        <v>486.34299999999996</v>
      </c>
      <c r="BY48" s="263">
        <f t="shared" si="178"/>
        <v>490.55800000000005</v>
      </c>
      <c r="BZ48" s="264">
        <f t="shared" si="178"/>
        <v>490.55800000000005</v>
      </c>
      <c r="CA48" s="263">
        <f t="shared" si="178"/>
        <v>501.33799999999997</v>
      </c>
      <c r="CB48" s="263">
        <f t="shared" si="178"/>
        <v>1077.2329999999999</v>
      </c>
      <c r="CC48" s="263">
        <f t="shared" si="178"/>
        <v>1101.4079999999999</v>
      </c>
      <c r="CD48" s="263">
        <f t="shared" si="178"/>
        <v>1113.5640000000001</v>
      </c>
      <c r="CE48" s="264">
        <f t="shared" si="178"/>
        <v>1113.5640000000001</v>
      </c>
      <c r="CF48" s="263">
        <f t="shared" si="178"/>
        <v>1782.5359999999998</v>
      </c>
      <c r="CG48" s="263">
        <f t="shared" si="178"/>
        <v>1809.057</v>
      </c>
      <c r="CH48" s="263">
        <f t="shared" si="178"/>
        <v>1841.694</v>
      </c>
      <c r="CI48" s="263">
        <f t="shared" si="178"/>
        <v>2254.7849999999999</v>
      </c>
      <c r="CJ48" s="264">
        <f t="shared" si="178"/>
        <v>2254.7849999999999</v>
      </c>
      <c r="CK48" s="263">
        <f t="shared" si="178"/>
        <v>2402.7510000000002</v>
      </c>
      <c r="CL48" s="263">
        <f t="shared" si="178"/>
        <v>2467.2980000000007</v>
      </c>
      <c r="CM48" s="263">
        <f t="shared" si="178"/>
        <v>3188.9350000000004</v>
      </c>
      <c r="CN48" s="263">
        <f t="shared" si="178"/>
        <v>3489.4789999999998</v>
      </c>
      <c r="CO48" s="264">
        <f t="shared" si="178"/>
        <v>3489.4789999999998</v>
      </c>
      <c r="CP48" s="263">
        <f t="shared" si="178"/>
        <v>3470.9160000000002</v>
      </c>
      <c r="CQ48" s="263">
        <f t="shared" si="178"/>
        <v>5098.4390000000003</v>
      </c>
      <c r="CR48" s="263">
        <f t="shared" si="178"/>
        <v>7462.0309999999999</v>
      </c>
      <c r="CS48" s="263">
        <f t="shared" si="178"/>
        <v>7762.9050000000007</v>
      </c>
      <c r="CT48" s="264">
        <f t="shared" si="178"/>
        <v>7762.9050000000007</v>
      </c>
      <c r="CU48" s="263">
        <f t="shared" si="178"/>
        <v>10824.887999999999</v>
      </c>
      <c r="CV48" s="263">
        <f t="shared" si="178"/>
        <v>11955.678</v>
      </c>
      <c r="CW48" s="263">
        <f t="shared" si="178"/>
        <v>13536.518</v>
      </c>
      <c r="CX48" s="263">
        <f t="shared" ref="CX48:DS48" si="179">SUM(CX40:CX46)</f>
        <v>13340.172</v>
      </c>
      <c r="CY48" s="264">
        <f t="shared" si="179"/>
        <v>13340.172</v>
      </c>
      <c r="CZ48" s="263">
        <f t="shared" si="179"/>
        <v>11834.457</v>
      </c>
      <c r="DA48" s="263">
        <f t="shared" si="179"/>
        <v>10747.63</v>
      </c>
      <c r="DB48" s="263">
        <f t="shared" si="179"/>
        <v>11203.285</v>
      </c>
      <c r="DC48" s="263">
        <f t="shared" si="179"/>
        <v>10757.151</v>
      </c>
      <c r="DD48" s="264">
        <f t="shared" si="179"/>
        <v>10757.151</v>
      </c>
      <c r="DE48" s="263">
        <f t="shared" si="179"/>
        <v>10964</v>
      </c>
      <c r="DF48" s="263">
        <f t="shared" si="179"/>
        <v>9703</v>
      </c>
      <c r="DG48" s="263">
        <f t="shared" si="179"/>
        <v>10464</v>
      </c>
      <c r="DH48" s="263">
        <f t="shared" si="179"/>
        <v>11299</v>
      </c>
      <c r="DI48" s="264">
        <f t="shared" si="179"/>
        <v>11299</v>
      </c>
      <c r="DJ48" s="263">
        <f t="shared" si="179"/>
        <v>11112</v>
      </c>
      <c r="DK48" s="263">
        <f>SUM(DK40:DK46)</f>
        <v>11346</v>
      </c>
      <c r="DL48" s="263">
        <f>SUM(DL40:DL46)</f>
        <v>12329</v>
      </c>
      <c r="DM48" s="263">
        <f>SUM(DM40:DM46)</f>
        <v>13924</v>
      </c>
      <c r="DN48" s="264">
        <f t="shared" si="179"/>
        <v>13924</v>
      </c>
      <c r="DO48" s="263">
        <f>SUM(DO40:DO46)</f>
        <v>13400</v>
      </c>
      <c r="DP48" s="263">
        <f>SUM(DP40:DP46)</f>
        <v>14561</v>
      </c>
      <c r="DQ48" s="263">
        <f>SUM(DQ40:DQ46)</f>
        <v>15039</v>
      </c>
      <c r="DR48" s="263">
        <f>SUM(DR40:DR46)</f>
        <v>15189</v>
      </c>
      <c r="DS48" s="264">
        <f t="shared" si="179"/>
        <v>15189</v>
      </c>
      <c r="DT48" s="263">
        <f>SUM(DT40:DT46)</f>
        <v>14121</v>
      </c>
      <c r="DU48" s="263">
        <f>SUM(DU40:DU46)</f>
        <v>14470</v>
      </c>
      <c r="DV48" s="263">
        <f t="shared" ref="DV48:EC48" si="180">SUM(DV40:DV46)</f>
        <v>15353.231384519826</v>
      </c>
      <c r="DW48" s="263">
        <f t="shared" si="180"/>
        <v>16429.921500484936</v>
      </c>
      <c r="DX48" s="264">
        <f t="shared" si="180"/>
        <v>16429.921500484936</v>
      </c>
      <c r="DY48" s="263">
        <f t="shared" si="180"/>
        <v>17127.733839266344</v>
      </c>
      <c r="DZ48" s="263">
        <f t="shared" si="180"/>
        <v>18039.622056381624</v>
      </c>
      <c r="EA48" s="263">
        <f t="shared" si="180"/>
        <v>19006.426678012358</v>
      </c>
      <c r="EB48" s="263">
        <f t="shared" si="180"/>
        <v>20495.69660797056</v>
      </c>
      <c r="EC48" s="264">
        <f t="shared" si="180"/>
        <v>20495.69660797056</v>
      </c>
      <c r="ED48" s="263">
        <f t="shared" ref="ED48:ER48" si="181">SUM(ED40:ED46)</f>
        <v>21320.832274871384</v>
      </c>
      <c r="EE48" s="263">
        <f t="shared" si="181"/>
        <v>22451.667929725219</v>
      </c>
      <c r="EF48" s="263">
        <f t="shared" si="181"/>
        <v>23583.122217043703</v>
      </c>
      <c r="EG48" s="263">
        <f t="shared" si="181"/>
        <v>25350.750055998571</v>
      </c>
      <c r="EH48" s="264">
        <f t="shared" si="181"/>
        <v>25350.750055998571</v>
      </c>
      <c r="EI48" s="263">
        <f t="shared" si="181"/>
        <v>26141.53822212026</v>
      </c>
      <c r="EJ48" s="263">
        <f t="shared" si="181"/>
        <v>27519.379875654209</v>
      </c>
      <c r="EK48" s="263">
        <f t="shared" si="181"/>
        <v>28891.564484557202</v>
      </c>
      <c r="EL48" s="263">
        <f t="shared" si="181"/>
        <v>31044.186223716279</v>
      </c>
      <c r="EM48" s="264">
        <f t="shared" si="181"/>
        <v>31044.186223716279</v>
      </c>
      <c r="EN48" s="263">
        <f t="shared" si="181"/>
        <v>31877.742288204528</v>
      </c>
      <c r="EO48" s="263">
        <f t="shared" si="181"/>
        <v>33533.445836931482</v>
      </c>
      <c r="EP48" s="263">
        <f t="shared" si="181"/>
        <v>35182.972522729862</v>
      </c>
      <c r="EQ48" s="263">
        <f t="shared" si="181"/>
        <v>37758.34875082194</v>
      </c>
      <c r="ER48" s="264">
        <f t="shared" si="181"/>
        <v>37758.34875082194</v>
      </c>
      <c r="EW48"/>
      <c r="EX48"/>
      <c r="EY48"/>
      <c r="EZ48"/>
      <c r="FA48"/>
    </row>
    <row r="49" spans="1:157" s="160" customFormat="1">
      <c r="A49" s="133"/>
      <c r="B49" s="133"/>
      <c r="C49" s="778" t="s">
        <v>148</v>
      </c>
      <c r="D49" s="779"/>
      <c r="E49" s="779"/>
      <c r="F49" s="779"/>
      <c r="G49" s="779"/>
      <c r="H49" s="779"/>
      <c r="I49" s="780"/>
      <c r="J49" s="780"/>
      <c r="K49" s="780"/>
      <c r="L49" s="780"/>
      <c r="M49" s="779"/>
      <c r="N49" s="780"/>
      <c r="O49" s="780"/>
      <c r="P49" s="780"/>
      <c r="Q49" s="780"/>
      <c r="R49" s="779"/>
      <c r="S49" s="780"/>
      <c r="T49" s="780"/>
      <c r="U49" s="780"/>
      <c r="V49" s="780"/>
      <c r="W49" s="779"/>
      <c r="X49" s="780"/>
      <c r="Y49" s="780"/>
      <c r="Z49" s="780"/>
      <c r="AA49" s="780"/>
      <c r="AB49" s="779"/>
      <c r="AC49" s="780"/>
      <c r="AD49" s="780"/>
      <c r="AE49" s="780"/>
      <c r="AF49" s="780"/>
      <c r="AG49" s="779"/>
      <c r="AH49" s="780"/>
      <c r="AI49" s="780"/>
      <c r="AJ49" s="780"/>
      <c r="AK49" s="780"/>
      <c r="AL49" s="779"/>
      <c r="AM49" s="780"/>
      <c r="AN49" s="780"/>
      <c r="AO49" s="780"/>
      <c r="AP49" s="780"/>
      <c r="AQ49" s="779"/>
      <c r="AR49" s="780"/>
      <c r="AS49" s="780"/>
      <c r="AT49" s="780"/>
      <c r="AU49" s="780"/>
      <c r="AV49" s="779"/>
      <c r="AW49" s="780"/>
      <c r="AX49" s="780"/>
      <c r="AY49" s="780"/>
      <c r="AZ49" s="780"/>
      <c r="BA49" s="779"/>
      <c r="BB49" s="780"/>
      <c r="BC49" s="780"/>
      <c r="BD49" s="780"/>
      <c r="BE49" s="780"/>
      <c r="BF49" s="781"/>
      <c r="BG49" s="780"/>
      <c r="BH49" s="780"/>
      <c r="BI49" s="780"/>
      <c r="BJ49" s="780"/>
      <c r="BK49" s="781"/>
      <c r="BL49" s="782"/>
      <c r="BM49" s="782"/>
      <c r="BN49" s="782"/>
      <c r="BO49" s="782"/>
      <c r="BP49" s="781"/>
      <c r="BQ49" s="782"/>
      <c r="BR49" s="782"/>
      <c r="BS49" s="782"/>
      <c r="BT49" s="782"/>
      <c r="BU49" s="781"/>
      <c r="BV49" s="782">
        <f>ROUND(BV48-BV26,2)</f>
        <v>0</v>
      </c>
      <c r="BW49" s="782">
        <f>ROUND(BW48-BW26,2)</f>
        <v>0</v>
      </c>
      <c r="BX49" s="782">
        <f>ROUND(BX48-BX26,2)</f>
        <v>0</v>
      </c>
      <c r="BY49" s="782">
        <f>ROUND(BY48-BY26,2)</f>
        <v>0</v>
      </c>
      <c r="BZ49" s="781">
        <f>BZ48-BZ26</f>
        <v>0</v>
      </c>
      <c r="CA49" s="782">
        <f>ROUND(CA48-CA26,2)</f>
        <v>0</v>
      </c>
      <c r="CB49" s="782">
        <f>ROUND(CB48-CB26,2)</f>
        <v>0</v>
      </c>
      <c r="CC49" s="782">
        <f>ROUND(CC48-CC26,2)</f>
        <v>0</v>
      </c>
      <c r="CD49" s="782">
        <f>ROUND(CD48-CD26,2)</f>
        <v>0</v>
      </c>
      <c r="CE49" s="781">
        <f>CE48-CE26</f>
        <v>0</v>
      </c>
      <c r="CF49" s="782">
        <f>ROUND(CF48-CF26,2)</f>
        <v>0</v>
      </c>
      <c r="CG49" s="782">
        <f>ROUND(CG48-CG26,2)</f>
        <v>0</v>
      </c>
      <c r="CH49" s="782">
        <f>ROUND(CH48-CH26,2)</f>
        <v>0</v>
      </c>
      <c r="CI49" s="782">
        <f>ROUND(CI48-CI26,2)</f>
        <v>0</v>
      </c>
      <c r="CJ49" s="781">
        <f>CJ48-CJ26</f>
        <v>0</v>
      </c>
      <c r="CK49" s="782">
        <f>ROUND(CK48-CK26,2)</f>
        <v>0</v>
      </c>
      <c r="CL49" s="782">
        <f>ROUND(CL48-CL26,2)</f>
        <v>0</v>
      </c>
      <c r="CM49" s="782">
        <f>ROUND(CM48-CM26,2)</f>
        <v>0</v>
      </c>
      <c r="CN49" s="782">
        <f>ROUND(CN48-CN26,2)</f>
        <v>0</v>
      </c>
      <c r="CO49" s="781">
        <f>ROUND(CO48-CO26,0)</f>
        <v>0</v>
      </c>
      <c r="CP49" s="782">
        <f t="shared" ref="CP49:DD49" si="182">ROUND(CP48-CP26,2)</f>
        <v>0</v>
      </c>
      <c r="CQ49" s="782">
        <f t="shared" si="182"/>
        <v>0</v>
      </c>
      <c r="CR49" s="782">
        <f t="shared" si="182"/>
        <v>0</v>
      </c>
      <c r="CS49" s="782">
        <f t="shared" si="182"/>
        <v>0</v>
      </c>
      <c r="CT49" s="781">
        <f t="shared" si="182"/>
        <v>0</v>
      </c>
      <c r="CU49" s="782">
        <f t="shared" si="182"/>
        <v>0</v>
      </c>
      <c r="CV49" s="782">
        <f t="shared" si="182"/>
        <v>0</v>
      </c>
      <c r="CW49" s="782">
        <f t="shared" si="182"/>
        <v>0</v>
      </c>
      <c r="CX49" s="782">
        <f t="shared" si="182"/>
        <v>0</v>
      </c>
      <c r="CY49" s="781">
        <f t="shared" si="182"/>
        <v>0</v>
      </c>
      <c r="CZ49" s="782">
        <f t="shared" si="182"/>
        <v>0</v>
      </c>
      <c r="DA49" s="782">
        <f t="shared" si="182"/>
        <v>0</v>
      </c>
      <c r="DB49" s="782">
        <f t="shared" si="182"/>
        <v>0</v>
      </c>
      <c r="DC49" s="782">
        <f t="shared" si="182"/>
        <v>0</v>
      </c>
      <c r="DD49" s="781">
        <f t="shared" si="182"/>
        <v>0</v>
      </c>
      <c r="DE49" s="782">
        <f>ROUND(DE48-DE26,0)</f>
        <v>0</v>
      </c>
      <c r="DF49" s="782">
        <f>ROUND(DF48-DF26,0)</f>
        <v>0</v>
      </c>
      <c r="DG49" s="782">
        <f>ROUND(DG48-DG26,0)</f>
        <v>0</v>
      </c>
      <c r="DH49" s="782">
        <f>ROUND(DH48-DH26,0)</f>
        <v>0</v>
      </c>
      <c r="DI49" s="781">
        <f>ROUND(DI48-DI26,0)</f>
        <v>0</v>
      </c>
      <c r="DJ49" s="782">
        <f t="shared" ref="DJ49:DN49" si="183">ROUND(DJ48-DJ26,2)</f>
        <v>0</v>
      </c>
      <c r="DK49" s="782">
        <f t="shared" si="183"/>
        <v>0</v>
      </c>
      <c r="DL49" s="782">
        <f t="shared" si="183"/>
        <v>0</v>
      </c>
      <c r="DM49" s="782">
        <f>ROUND(DM48-DM26,2)</f>
        <v>0</v>
      </c>
      <c r="DN49" s="781">
        <f t="shared" si="183"/>
        <v>0</v>
      </c>
      <c r="DO49" s="782">
        <f>ROUND(DO48-DO26,2)</f>
        <v>0</v>
      </c>
      <c r="DP49" s="782">
        <f t="shared" ref="DP49:DQ49" si="184">ROUND(DP48-DP26,2)</f>
        <v>0</v>
      </c>
      <c r="DQ49" s="782">
        <f t="shared" si="184"/>
        <v>0</v>
      </c>
      <c r="DR49" s="782">
        <f>ROUND(DR48-DR26,0)</f>
        <v>0</v>
      </c>
      <c r="DS49" s="781">
        <f t="shared" ref="DS49:EC49" si="185">ROUND(DS48-DS26,0)</f>
        <v>0</v>
      </c>
      <c r="DT49" s="782">
        <f t="shared" si="185"/>
        <v>0</v>
      </c>
      <c r="DU49" s="782">
        <f t="shared" si="185"/>
        <v>0</v>
      </c>
      <c r="DV49" s="782">
        <f t="shared" si="185"/>
        <v>0</v>
      </c>
      <c r="DW49" s="782">
        <f t="shared" si="185"/>
        <v>0</v>
      </c>
      <c r="DX49" s="781">
        <f t="shared" si="185"/>
        <v>0</v>
      </c>
      <c r="DY49" s="782">
        <f t="shared" si="185"/>
        <v>0</v>
      </c>
      <c r="DZ49" s="782">
        <f t="shared" si="185"/>
        <v>0</v>
      </c>
      <c r="EA49" s="782">
        <f t="shared" si="185"/>
        <v>0</v>
      </c>
      <c r="EB49" s="782">
        <f t="shared" si="185"/>
        <v>0</v>
      </c>
      <c r="EC49" s="781">
        <f t="shared" si="185"/>
        <v>0</v>
      </c>
      <c r="ED49" s="782">
        <f t="shared" ref="ED49" si="186">ROUND(ED48-ED26,0)</f>
        <v>0</v>
      </c>
      <c r="EE49" s="782">
        <f t="shared" ref="EE49" si="187">ROUND(EE48-EE26,0)</f>
        <v>0</v>
      </c>
      <c r="EF49" s="782">
        <f t="shared" ref="EF49" si="188">ROUND(EF48-EF26,0)</f>
        <v>0</v>
      </c>
      <c r="EG49" s="782">
        <f t="shared" ref="EG49" si="189">ROUND(EG48-EG26,0)</f>
        <v>0</v>
      </c>
      <c r="EH49" s="781">
        <f t="shared" ref="EH49" si="190">ROUND(EH48-EH26,0)</f>
        <v>0</v>
      </c>
      <c r="EI49" s="782">
        <f t="shared" ref="EI49" si="191">ROUND(EI48-EI26,0)</f>
        <v>0</v>
      </c>
      <c r="EJ49" s="782">
        <f t="shared" ref="EJ49" si="192">ROUND(EJ48-EJ26,0)</f>
        <v>0</v>
      </c>
      <c r="EK49" s="782">
        <f t="shared" ref="EK49" si="193">ROUND(EK48-EK26,0)</f>
        <v>0</v>
      </c>
      <c r="EL49" s="782">
        <f t="shared" ref="EL49" si="194">ROUND(EL48-EL26,0)</f>
        <v>0</v>
      </c>
      <c r="EM49" s="781">
        <f t="shared" ref="EM49" si="195">ROUND(EM48-EM26,0)</f>
        <v>0</v>
      </c>
      <c r="EN49" s="782">
        <f t="shared" ref="EN49" si="196">ROUND(EN48-EN26,0)</f>
        <v>0</v>
      </c>
      <c r="EO49" s="782">
        <f t="shared" ref="EO49" si="197">ROUND(EO48-EO26,0)</f>
        <v>0</v>
      </c>
      <c r="EP49" s="782">
        <f t="shared" ref="EP49" si="198">ROUND(EP48-EP26,0)</f>
        <v>0</v>
      </c>
      <c r="EQ49" s="782">
        <f t="shared" ref="EQ49" si="199">ROUND(EQ48-EQ26,0)</f>
        <v>0</v>
      </c>
      <c r="ER49" s="781">
        <f t="shared" ref="ER49" si="200">ROUND(ER48-ER26,0)</f>
        <v>0</v>
      </c>
      <c r="EW49"/>
      <c r="EX49"/>
      <c r="EY49"/>
      <c r="EZ49"/>
      <c r="FA49"/>
    </row>
    <row r="50" spans="1:157" s="160" customFormat="1">
      <c r="A50" s="133"/>
      <c r="B50" s="133"/>
      <c r="C50" s="394" t="s">
        <v>47</v>
      </c>
      <c r="D50" s="380"/>
      <c r="E50" s="380"/>
      <c r="F50" s="380"/>
      <c r="G50" s="380"/>
      <c r="H50" s="380"/>
      <c r="M50" s="380"/>
      <c r="R50" s="380"/>
      <c r="W50" s="380"/>
      <c r="AB50" s="380"/>
      <c r="AG50" s="380"/>
      <c r="AL50" s="380"/>
      <c r="AQ50" s="380"/>
      <c r="AV50" s="380"/>
      <c r="BA50" s="380"/>
      <c r="BF50" s="380"/>
      <c r="BG50" s="93"/>
      <c r="BH50" s="93"/>
      <c r="BI50" s="93"/>
      <c r="BK50" s="380"/>
      <c r="BP50" s="380"/>
      <c r="BU50" s="380"/>
      <c r="BV50" s="120"/>
      <c r="BW50" s="120"/>
      <c r="BX50" s="120"/>
      <c r="BY50" s="120"/>
      <c r="BZ50" s="257"/>
      <c r="CA50" s="120"/>
      <c r="CB50" s="120"/>
      <c r="CC50" s="120"/>
      <c r="CD50" s="120"/>
      <c r="CE50" s="257"/>
      <c r="CF50" s="120"/>
      <c r="CG50" s="120"/>
      <c r="CH50" s="120"/>
      <c r="CI50" s="120"/>
      <c r="CJ50" s="257"/>
      <c r="CK50" s="120"/>
      <c r="CL50" s="120"/>
      <c r="CM50" s="120"/>
      <c r="CN50" s="120"/>
      <c r="CO50" s="257"/>
      <c r="CP50" s="120"/>
      <c r="CQ50" s="120"/>
      <c r="CR50" s="120"/>
      <c r="CS50" s="120"/>
      <c r="CT50" s="257"/>
      <c r="CU50" s="120"/>
      <c r="CV50" s="120"/>
      <c r="CW50" s="120"/>
      <c r="CX50" s="120"/>
      <c r="CY50" s="257"/>
      <c r="CZ50" s="120"/>
      <c r="DA50" s="120"/>
      <c r="DB50" s="120"/>
      <c r="DC50" s="120"/>
      <c r="DD50" s="257"/>
      <c r="DE50" s="120"/>
      <c r="DF50" s="120"/>
      <c r="DG50" s="120"/>
      <c r="DH50" s="120"/>
      <c r="DI50" s="257"/>
      <c r="DJ50" s="120"/>
      <c r="DK50" s="120"/>
      <c r="DL50" s="120"/>
      <c r="DM50" s="120"/>
      <c r="DN50" s="257"/>
      <c r="DO50" s="120"/>
      <c r="DP50" s="120"/>
      <c r="DQ50" s="120"/>
      <c r="DR50" s="120"/>
      <c r="DS50" s="257"/>
      <c r="DT50" s="120"/>
      <c r="DU50" s="120"/>
      <c r="DV50" s="120"/>
      <c r="DW50" s="120"/>
      <c r="DX50" s="257"/>
      <c r="DY50" s="120"/>
      <c r="DZ50" s="120"/>
      <c r="EA50" s="120"/>
      <c r="EB50" s="120"/>
      <c r="EC50" s="257"/>
      <c r="ED50" s="120"/>
      <c r="EE50" s="120"/>
      <c r="EF50" s="120"/>
      <c r="EG50" s="120"/>
      <c r="EH50" s="257"/>
      <c r="EI50" s="120"/>
      <c r="EJ50" s="120"/>
      <c r="EK50" s="120"/>
      <c r="EL50" s="120"/>
      <c r="EM50" s="257"/>
      <c r="EN50" s="120"/>
      <c r="EO50" s="120"/>
      <c r="EP50" s="120"/>
      <c r="EQ50" s="120"/>
      <c r="ER50" s="257"/>
      <c r="EW50"/>
      <c r="EX50"/>
      <c r="EY50"/>
      <c r="EZ50"/>
      <c r="FA50"/>
    </row>
    <row r="51" spans="1:157" s="160" customFormat="1">
      <c r="A51" s="133"/>
      <c r="B51" s="133"/>
      <c r="C51" s="265" t="s">
        <v>22</v>
      </c>
      <c r="D51" s="380"/>
      <c r="E51" s="380"/>
      <c r="F51" s="380"/>
      <c r="G51" s="380"/>
      <c r="H51" s="380"/>
      <c r="M51" s="380"/>
      <c r="R51" s="380"/>
      <c r="W51" s="380"/>
      <c r="AB51" s="380"/>
      <c r="AG51" s="380"/>
      <c r="AL51" s="380"/>
      <c r="AQ51" s="380"/>
      <c r="AV51" s="380"/>
      <c r="BA51" s="380"/>
      <c r="BF51" s="380"/>
      <c r="BG51" s="93"/>
      <c r="BH51" s="93"/>
      <c r="BI51" s="93"/>
      <c r="BK51" s="380"/>
      <c r="BP51" s="380"/>
      <c r="BQ51" s="120"/>
      <c r="BR51" s="120">
        <f>BR8</f>
        <v>146.66800000000001</v>
      </c>
      <c r="BS51" s="120">
        <f>BS8</f>
        <v>115.315</v>
      </c>
      <c r="BT51" s="120">
        <f>BT8</f>
        <v>110.07000000000001</v>
      </c>
      <c r="BU51" s="257">
        <f>BT51</f>
        <v>110.07000000000001</v>
      </c>
      <c r="BV51" s="120">
        <f>BV8</f>
        <v>83.864000000000019</v>
      </c>
      <c r="BW51" s="120">
        <f>BW8</f>
        <v>68.140000000000015</v>
      </c>
      <c r="BX51" s="120">
        <f>BX8</f>
        <v>187.36</v>
      </c>
      <c r="BY51" s="120">
        <f>BY8</f>
        <v>84.013000000000034</v>
      </c>
      <c r="BZ51" s="257">
        <f>BY51</f>
        <v>84.013000000000034</v>
      </c>
      <c r="CA51" s="120">
        <f>CA8</f>
        <v>101.26800000000003</v>
      </c>
      <c r="CB51" s="120">
        <f>CB8</f>
        <v>199.39699999999993</v>
      </c>
      <c r="CC51" s="120">
        <f>CC8</f>
        <v>119.84899999999996</v>
      </c>
      <c r="CD51" s="120">
        <f>CD8</f>
        <v>141.67700000000005</v>
      </c>
      <c r="CE51" s="257">
        <f>CD51</f>
        <v>141.67700000000005</v>
      </c>
      <c r="CF51" s="120">
        <f>CF8</f>
        <v>196.57800000000012</v>
      </c>
      <c r="CG51" s="120">
        <f>CG8</f>
        <v>219.80100000000002</v>
      </c>
      <c r="CH51" s="120">
        <f>CH8</f>
        <v>243.42099999999996</v>
      </c>
      <c r="CI51" s="120">
        <f>CI8</f>
        <v>410.68299999999999</v>
      </c>
      <c r="CJ51" s="257">
        <f>CI51</f>
        <v>410.68299999999999</v>
      </c>
      <c r="CK51" s="120">
        <f>CK8</f>
        <v>410.44600000000003</v>
      </c>
      <c r="CL51" s="120">
        <f>CL8</f>
        <v>668.99</v>
      </c>
      <c r="CM51" s="120">
        <f>CM8</f>
        <v>1124.529</v>
      </c>
      <c r="CN51" s="120">
        <f>CN8</f>
        <v>649.91600000000017</v>
      </c>
      <c r="CO51" s="257">
        <f>CN51</f>
        <v>649.91600000000017</v>
      </c>
      <c r="CP51" s="120">
        <f>CP8</f>
        <v>969.36300000000028</v>
      </c>
      <c r="CQ51" s="120">
        <f>CQ8</f>
        <v>1882.3620000000001</v>
      </c>
      <c r="CR51" s="120">
        <f>CR8</f>
        <v>3089.884</v>
      </c>
      <c r="CS51" s="120">
        <f>CS8</f>
        <v>2703.5970000000002</v>
      </c>
      <c r="CT51" s="257">
        <f>CS51</f>
        <v>2703.5970000000002</v>
      </c>
      <c r="CU51" s="120">
        <f>CU8</f>
        <v>2785.5709999999999</v>
      </c>
      <c r="CV51" s="120">
        <f>CV8</f>
        <v>2364.67</v>
      </c>
      <c r="CW51" s="120">
        <f>CW8</f>
        <v>2189.6130000000007</v>
      </c>
      <c r="CX51" s="120">
        <f>CX8</f>
        <v>2502.9920000000002</v>
      </c>
      <c r="CY51" s="257">
        <f>CX51</f>
        <v>2502.9920000000002</v>
      </c>
      <c r="CZ51" s="120">
        <f>CZ8</f>
        <v>2451.5400000000004</v>
      </c>
      <c r="DA51" s="120">
        <f>DA8</f>
        <v>3350.7810000000004</v>
      </c>
      <c r="DB51" s="120">
        <f>DB8</f>
        <v>1378.2510000000009</v>
      </c>
      <c r="DC51" s="120">
        <f>DC8</f>
        <v>1649.3280000000018</v>
      </c>
      <c r="DD51" s="257">
        <f>DC51</f>
        <v>1649.3280000000018</v>
      </c>
      <c r="DE51" s="120">
        <f>DE8</f>
        <v>1738.3280000000018</v>
      </c>
      <c r="DF51" s="120">
        <f>DF8</f>
        <v>1611.3280000000018</v>
      </c>
      <c r="DG51" s="120">
        <f>DG8</f>
        <v>1287.0000000000018</v>
      </c>
      <c r="DH51" s="120">
        <f>DH8</f>
        <v>1413.0000000000018</v>
      </c>
      <c r="DI51" s="257">
        <f>DH51</f>
        <v>1413.0000000000018</v>
      </c>
      <c r="DJ51" s="120">
        <f>DJ8</f>
        <v>1623.0000000000018</v>
      </c>
      <c r="DK51" s="120">
        <f>DK8</f>
        <v>1541.0000000000018</v>
      </c>
      <c r="DL51" s="120">
        <f>DL8</f>
        <v>1507.0000000000018</v>
      </c>
      <c r="DM51" s="120">
        <f>DM8</f>
        <v>1498.0000000000018</v>
      </c>
      <c r="DN51" s="257">
        <f>DM51</f>
        <v>1498.0000000000018</v>
      </c>
      <c r="DO51" s="120">
        <f>DO8</f>
        <v>1309.0000000000018</v>
      </c>
      <c r="DP51" s="120">
        <f>DP8</f>
        <v>1542.0000000000018</v>
      </c>
      <c r="DQ51" s="120">
        <f>DQ8</f>
        <v>2414.0000000000018</v>
      </c>
      <c r="DR51" s="120">
        <f>DR8</f>
        <v>1544.6720000000018</v>
      </c>
      <c r="DS51" s="257">
        <f>DR51</f>
        <v>1544.6720000000018</v>
      </c>
      <c r="DT51" s="120">
        <f>DT8</f>
        <v>1847.6720000000018</v>
      </c>
      <c r="DU51" s="120">
        <f>DU8</f>
        <v>1655.6720000000018</v>
      </c>
      <c r="DV51" s="120">
        <f>DV8</f>
        <v>2377.938201351446</v>
      </c>
      <c r="DW51" s="120">
        <f>DW8</f>
        <v>3332.7043701727989</v>
      </c>
      <c r="DX51" s="257">
        <f>DW51</f>
        <v>3332.7043701727989</v>
      </c>
      <c r="DY51" s="120">
        <f>DY8</f>
        <v>3795.9810220955724</v>
      </c>
      <c r="DZ51" s="120">
        <f>DZ8</f>
        <v>4554.4112828808393</v>
      </c>
      <c r="EA51" s="120">
        <f>EA8</f>
        <v>5403.475245280144</v>
      </c>
      <c r="EB51" s="120">
        <f>EB8</f>
        <v>6735.7605411722161</v>
      </c>
      <c r="EC51" s="257">
        <f>EB51</f>
        <v>6735.7605411722161</v>
      </c>
      <c r="ED51" s="120">
        <f>ED8</f>
        <v>7277.912962281518</v>
      </c>
      <c r="EE51" s="120">
        <f>EE8</f>
        <v>8213.054960092697</v>
      </c>
      <c r="EF51" s="120">
        <f>EF8</f>
        <v>9205.6091110389771</v>
      </c>
      <c r="EG51" s="120">
        <f>EG8</f>
        <v>10767.166740377632</v>
      </c>
      <c r="EH51" s="257">
        <f>EG51</f>
        <v>10767.166740377632</v>
      </c>
      <c r="EI51" s="120">
        <f>EI8</f>
        <v>11303.677482281695</v>
      </c>
      <c r="EJ51" s="120">
        <f>EJ8</f>
        <v>12448.561662472563</v>
      </c>
      <c r="EK51" s="120">
        <f>EK8</f>
        <v>13654.164586805528</v>
      </c>
      <c r="EL51" s="120">
        <f>EL8</f>
        <v>15540.612023527461</v>
      </c>
      <c r="EM51" s="257">
        <f>EL51</f>
        <v>15540.612023527461</v>
      </c>
      <c r="EN51" s="120">
        <f>EN8</f>
        <v>16147.60014613919</v>
      </c>
      <c r="EO51" s="120">
        <f>EO8</f>
        <v>17520.561747313986</v>
      </c>
      <c r="EP51" s="120">
        <f>EP8</f>
        <v>18971.681654591277</v>
      </c>
      <c r="EQ51" s="120">
        <f>EQ8</f>
        <v>21211.549585228455</v>
      </c>
      <c r="ER51" s="257">
        <f>EQ51</f>
        <v>21211.549585228455</v>
      </c>
      <c r="EW51"/>
      <c r="EX51"/>
      <c r="EY51"/>
      <c r="EZ51"/>
      <c r="FA51"/>
    </row>
    <row r="52" spans="1:157" s="160" customFormat="1">
      <c r="A52" s="133"/>
      <c r="B52" s="133"/>
      <c r="C52" s="265" t="s">
        <v>46</v>
      </c>
      <c r="D52" s="380"/>
      <c r="E52" s="380"/>
      <c r="F52" s="380"/>
      <c r="G52" s="380"/>
      <c r="H52" s="380"/>
      <c r="M52" s="380"/>
      <c r="R52" s="380"/>
      <c r="W52" s="380"/>
      <c r="AB52" s="380"/>
      <c r="AG52" s="380"/>
      <c r="AL52" s="380"/>
      <c r="AQ52" s="380"/>
      <c r="AV52" s="380"/>
      <c r="BA52" s="380"/>
      <c r="BF52" s="380"/>
      <c r="BG52" s="93"/>
      <c r="BH52" s="93"/>
      <c r="BI52" s="93"/>
      <c r="BK52" s="380"/>
      <c r="BP52" s="380"/>
      <c r="BQ52" s="120"/>
      <c r="BR52" s="120">
        <f t="shared" ref="BR52:CW52" si="201">BR37</f>
        <v>0</v>
      </c>
      <c r="BS52" s="120">
        <f t="shared" si="201"/>
        <v>0</v>
      </c>
      <c r="BT52" s="120">
        <f t="shared" si="201"/>
        <v>0</v>
      </c>
      <c r="BU52" s="257">
        <f t="shared" si="201"/>
        <v>0</v>
      </c>
      <c r="BV52" s="120">
        <f t="shared" si="201"/>
        <v>0</v>
      </c>
      <c r="BW52" s="120">
        <f t="shared" si="201"/>
        <v>0</v>
      </c>
      <c r="BX52" s="120">
        <f t="shared" si="201"/>
        <v>0</v>
      </c>
      <c r="BY52" s="120">
        <f t="shared" si="201"/>
        <v>0</v>
      </c>
      <c r="BZ52" s="257">
        <f t="shared" si="201"/>
        <v>0</v>
      </c>
      <c r="CA52" s="120">
        <f t="shared" si="201"/>
        <v>0</v>
      </c>
      <c r="CB52" s="120">
        <f t="shared" si="201"/>
        <v>0</v>
      </c>
      <c r="CC52" s="120">
        <f t="shared" si="201"/>
        <v>0</v>
      </c>
      <c r="CD52" s="120">
        <f t="shared" si="201"/>
        <v>0</v>
      </c>
      <c r="CE52" s="257">
        <f t="shared" si="201"/>
        <v>0</v>
      </c>
      <c r="CF52" s="120">
        <f t="shared" si="201"/>
        <v>0</v>
      </c>
      <c r="CG52" s="120">
        <f t="shared" si="201"/>
        <v>0</v>
      </c>
      <c r="CH52" s="120">
        <f t="shared" si="201"/>
        <v>0</v>
      </c>
      <c r="CI52" s="120">
        <f t="shared" si="201"/>
        <v>0</v>
      </c>
      <c r="CJ52" s="257">
        <f t="shared" si="201"/>
        <v>0</v>
      </c>
      <c r="CK52" s="120">
        <f t="shared" si="201"/>
        <v>0</v>
      </c>
      <c r="CL52" s="120">
        <f t="shared" si="201"/>
        <v>0</v>
      </c>
      <c r="CM52" s="120">
        <f t="shared" si="201"/>
        <v>0</v>
      </c>
      <c r="CN52" s="120">
        <f t="shared" si="201"/>
        <v>0</v>
      </c>
      <c r="CO52" s="257">
        <f t="shared" si="201"/>
        <v>0</v>
      </c>
      <c r="CP52" s="120">
        <f t="shared" si="201"/>
        <v>0</v>
      </c>
      <c r="CQ52" s="120">
        <f t="shared" si="201"/>
        <v>0</v>
      </c>
      <c r="CR52" s="120">
        <f t="shared" si="201"/>
        <v>750.452</v>
      </c>
      <c r="CS52" s="120">
        <f t="shared" si="201"/>
        <v>758.00800000000004</v>
      </c>
      <c r="CT52" s="257">
        <f t="shared" si="201"/>
        <v>758.00800000000004</v>
      </c>
      <c r="CU52" s="120">
        <f t="shared" si="201"/>
        <v>909.20500000000004</v>
      </c>
      <c r="CV52" s="120">
        <f t="shared" si="201"/>
        <v>909.79100000000005</v>
      </c>
      <c r="CW52" s="120">
        <f t="shared" si="201"/>
        <v>910.37599999999998</v>
      </c>
      <c r="CX52" s="120">
        <f t="shared" ref="CX52:DS52" si="202">CX37</f>
        <v>910.96299999999997</v>
      </c>
      <c r="CY52" s="257">
        <f t="shared" si="202"/>
        <v>910.96299999999997</v>
      </c>
      <c r="CZ52" s="120">
        <f t="shared" si="202"/>
        <v>911.54899999999998</v>
      </c>
      <c r="DA52" s="120">
        <f t="shared" si="202"/>
        <v>912.13699999999994</v>
      </c>
      <c r="DB52" s="120">
        <f t="shared" si="202"/>
        <v>912.72400000000005</v>
      </c>
      <c r="DC52" s="120">
        <f t="shared" si="202"/>
        <v>913.31200000000001</v>
      </c>
      <c r="DD52" s="257">
        <f t="shared" si="202"/>
        <v>913.31200000000001</v>
      </c>
      <c r="DE52" s="120">
        <f t="shared" si="202"/>
        <v>914</v>
      </c>
      <c r="DF52" s="120">
        <f t="shared" si="202"/>
        <v>914</v>
      </c>
      <c r="DG52" s="120">
        <f t="shared" si="202"/>
        <v>915</v>
      </c>
      <c r="DH52" s="120">
        <f t="shared" si="202"/>
        <v>916</v>
      </c>
      <c r="DI52" s="257">
        <f t="shared" si="202"/>
        <v>916</v>
      </c>
      <c r="DJ52" s="120">
        <f t="shared" si="202"/>
        <v>916</v>
      </c>
      <c r="DK52" s="120">
        <f>DK37</f>
        <v>917</v>
      </c>
      <c r="DL52" s="120">
        <f>DL37</f>
        <v>917</v>
      </c>
      <c r="DM52" s="120">
        <f>DM37</f>
        <v>0</v>
      </c>
      <c r="DN52" s="257">
        <f t="shared" si="202"/>
        <v>0</v>
      </c>
      <c r="DO52" s="120">
        <f>DO37</f>
        <v>0</v>
      </c>
      <c r="DP52" s="120">
        <f>DP37</f>
        <v>0</v>
      </c>
      <c r="DQ52" s="120">
        <f>DQ37</f>
        <v>0</v>
      </c>
      <c r="DR52" s="120">
        <f>DR37</f>
        <v>0</v>
      </c>
      <c r="DS52" s="257">
        <f t="shared" si="202"/>
        <v>0</v>
      </c>
      <c r="DT52" s="120">
        <f>DT37</f>
        <v>0</v>
      </c>
      <c r="DU52" s="120">
        <f>DU37</f>
        <v>0</v>
      </c>
      <c r="DV52" s="120">
        <f t="shared" ref="DV52:EC52" si="203">DV37</f>
        <v>0</v>
      </c>
      <c r="DW52" s="120">
        <f t="shared" si="203"/>
        <v>0</v>
      </c>
      <c r="DX52" s="257">
        <f t="shared" si="203"/>
        <v>0</v>
      </c>
      <c r="DY52" s="120">
        <f t="shared" si="203"/>
        <v>0</v>
      </c>
      <c r="DZ52" s="120">
        <f t="shared" si="203"/>
        <v>0</v>
      </c>
      <c r="EA52" s="120">
        <f t="shared" si="203"/>
        <v>0</v>
      </c>
      <c r="EB52" s="120">
        <f t="shared" si="203"/>
        <v>0</v>
      </c>
      <c r="EC52" s="257">
        <f t="shared" si="203"/>
        <v>0</v>
      </c>
      <c r="ED52" s="120">
        <f t="shared" ref="ED52:ER52" si="204">ED37</f>
        <v>0</v>
      </c>
      <c r="EE52" s="120">
        <f t="shared" si="204"/>
        <v>0</v>
      </c>
      <c r="EF52" s="120">
        <f t="shared" si="204"/>
        <v>0</v>
      </c>
      <c r="EG52" s="120">
        <f t="shared" si="204"/>
        <v>0</v>
      </c>
      <c r="EH52" s="257">
        <f t="shared" si="204"/>
        <v>0</v>
      </c>
      <c r="EI52" s="120">
        <f t="shared" si="204"/>
        <v>0</v>
      </c>
      <c r="EJ52" s="120">
        <f t="shared" si="204"/>
        <v>0</v>
      </c>
      <c r="EK52" s="120">
        <f t="shared" si="204"/>
        <v>0</v>
      </c>
      <c r="EL52" s="120">
        <f t="shared" si="204"/>
        <v>0</v>
      </c>
      <c r="EM52" s="257">
        <f t="shared" si="204"/>
        <v>0</v>
      </c>
      <c r="EN52" s="120">
        <f t="shared" si="204"/>
        <v>0</v>
      </c>
      <c r="EO52" s="120">
        <f t="shared" si="204"/>
        <v>0</v>
      </c>
      <c r="EP52" s="120">
        <f t="shared" si="204"/>
        <v>0</v>
      </c>
      <c r="EQ52" s="120">
        <f t="shared" si="204"/>
        <v>0</v>
      </c>
      <c r="ER52" s="257">
        <f t="shared" si="204"/>
        <v>0</v>
      </c>
      <c r="EW52"/>
      <c r="EX52"/>
      <c r="EY52"/>
      <c r="EZ52"/>
      <c r="FA52"/>
    </row>
    <row r="53" spans="1:157" s="160" customFormat="1">
      <c r="A53" s="133"/>
      <c r="B53" s="133"/>
      <c r="C53" s="394" t="s">
        <v>12</v>
      </c>
      <c r="D53" s="395"/>
      <c r="E53" s="395"/>
      <c r="F53" s="395"/>
      <c r="G53" s="395"/>
      <c r="H53" s="395"/>
      <c r="I53" s="396"/>
      <c r="J53" s="396"/>
      <c r="K53" s="396"/>
      <c r="L53" s="396"/>
      <c r="M53" s="395"/>
      <c r="N53" s="396"/>
      <c r="O53" s="396"/>
      <c r="P53" s="396"/>
      <c r="Q53" s="396"/>
      <c r="R53" s="395"/>
      <c r="S53" s="396"/>
      <c r="T53" s="396"/>
      <c r="U53" s="396"/>
      <c r="V53" s="396"/>
      <c r="W53" s="395"/>
      <c r="X53" s="396"/>
      <c r="Y53" s="396"/>
      <c r="Z53" s="396"/>
      <c r="AA53" s="396"/>
      <c r="AB53" s="395"/>
      <c r="AC53" s="396"/>
      <c r="AD53" s="396"/>
      <c r="AE53" s="396"/>
      <c r="AF53" s="396"/>
      <c r="AG53" s="395"/>
      <c r="AH53" s="396"/>
      <c r="AI53" s="396"/>
      <c r="AJ53" s="396"/>
      <c r="AK53" s="396"/>
      <c r="AL53" s="395"/>
      <c r="AM53" s="396"/>
      <c r="AN53" s="396"/>
      <c r="AO53" s="396"/>
      <c r="AP53" s="396"/>
      <c r="AQ53" s="395"/>
      <c r="AR53" s="396"/>
      <c r="AS53" s="396"/>
      <c r="AT53" s="396"/>
      <c r="AU53" s="396"/>
      <c r="AV53" s="395"/>
      <c r="AW53" s="396"/>
      <c r="AX53" s="396"/>
      <c r="AY53" s="396"/>
      <c r="AZ53" s="396"/>
      <c r="BA53" s="395"/>
      <c r="BB53" s="396"/>
      <c r="BC53" s="396"/>
      <c r="BD53" s="396"/>
      <c r="BE53" s="396"/>
      <c r="BF53" s="395"/>
      <c r="BG53" s="396"/>
      <c r="BH53" s="396"/>
      <c r="BI53" s="396"/>
      <c r="BJ53" s="396"/>
      <c r="BK53" s="395"/>
      <c r="BL53" s="396"/>
      <c r="BM53" s="396"/>
      <c r="BN53" s="396"/>
      <c r="BO53" s="396"/>
      <c r="BP53" s="395"/>
      <c r="BQ53" s="397"/>
      <c r="BR53" s="397">
        <f>+BR51-BR52</f>
        <v>146.66800000000001</v>
      </c>
      <c r="BS53" s="397">
        <f>+BS51-BS52</f>
        <v>115.315</v>
      </c>
      <c r="BT53" s="397">
        <f>+BT51-BT52</f>
        <v>110.07000000000001</v>
      </c>
      <c r="BU53" s="398">
        <f>BT53</f>
        <v>110.07000000000001</v>
      </c>
      <c r="BV53" s="397">
        <f>+BV51-BV52</f>
        <v>83.864000000000019</v>
      </c>
      <c r="BW53" s="397">
        <f>+BW51-BW52</f>
        <v>68.140000000000015</v>
      </c>
      <c r="BX53" s="397">
        <f>+BX51-BX52</f>
        <v>187.36</v>
      </c>
      <c r="BY53" s="397">
        <f>+BY51-BY52</f>
        <v>84.013000000000034</v>
      </c>
      <c r="BZ53" s="398">
        <f>BY53</f>
        <v>84.013000000000034</v>
      </c>
      <c r="CA53" s="397">
        <f>+CA51-CA52</f>
        <v>101.26800000000003</v>
      </c>
      <c r="CB53" s="397">
        <f>+CB51-CB52</f>
        <v>199.39699999999993</v>
      </c>
      <c r="CC53" s="397">
        <f>+CC51-CC52</f>
        <v>119.84899999999996</v>
      </c>
      <c r="CD53" s="397">
        <f>+CD51-CD52</f>
        <v>141.67700000000005</v>
      </c>
      <c r="CE53" s="398">
        <f>CD53</f>
        <v>141.67700000000005</v>
      </c>
      <c r="CF53" s="397">
        <f>+CF51-CF52</f>
        <v>196.57800000000012</v>
      </c>
      <c r="CG53" s="397">
        <f>+CG51-CG52</f>
        <v>219.80100000000002</v>
      </c>
      <c r="CH53" s="397">
        <f>+CH51-CH52</f>
        <v>243.42099999999996</v>
      </c>
      <c r="CI53" s="397">
        <f>+CI51-CI52</f>
        <v>410.68299999999999</v>
      </c>
      <c r="CJ53" s="398">
        <f>CI53</f>
        <v>410.68299999999999</v>
      </c>
      <c r="CK53" s="397">
        <f>+CK51-CK52</f>
        <v>410.44600000000003</v>
      </c>
      <c r="CL53" s="397">
        <f>+CL51-CL52</f>
        <v>668.99</v>
      </c>
      <c r="CM53" s="397">
        <f>+CM51-CM52</f>
        <v>1124.529</v>
      </c>
      <c r="CN53" s="397">
        <f>+CN51-CN52</f>
        <v>649.91600000000017</v>
      </c>
      <c r="CO53" s="398">
        <f>CN53</f>
        <v>649.91600000000017</v>
      </c>
      <c r="CP53" s="397">
        <f>+CP51-CP52</f>
        <v>969.36300000000028</v>
      </c>
      <c r="CQ53" s="397">
        <f>+CQ51-CQ52</f>
        <v>1882.3620000000001</v>
      </c>
      <c r="CR53" s="397">
        <f>+CR51-CR52</f>
        <v>2339.4319999999998</v>
      </c>
      <c r="CS53" s="397">
        <f>+CS51-CS52</f>
        <v>1945.5890000000002</v>
      </c>
      <c r="CT53" s="398">
        <f>CS53</f>
        <v>1945.5890000000002</v>
      </c>
      <c r="CU53" s="397">
        <f>+CU51-CU52</f>
        <v>1876.366</v>
      </c>
      <c r="CV53" s="397">
        <f>+CV51-CV52</f>
        <v>1454.8789999999999</v>
      </c>
      <c r="CW53" s="397">
        <f>+CW51-CW52</f>
        <v>1279.2370000000008</v>
      </c>
      <c r="CX53" s="397">
        <f>+CX51-CX52</f>
        <v>1592.0290000000002</v>
      </c>
      <c r="CY53" s="398">
        <f>CX53</f>
        <v>1592.0290000000002</v>
      </c>
      <c r="CZ53" s="397">
        <f>+CZ51-CZ52</f>
        <v>1539.9910000000004</v>
      </c>
      <c r="DA53" s="397">
        <f>+DA51-DA52</f>
        <v>2438.6440000000002</v>
      </c>
      <c r="DB53" s="397">
        <f>+DB51-DB52</f>
        <v>465.52700000000084</v>
      </c>
      <c r="DC53" s="397">
        <f>+DC51-DC52</f>
        <v>736.01600000000178</v>
      </c>
      <c r="DD53" s="398">
        <f>DC53</f>
        <v>736.01600000000178</v>
      </c>
      <c r="DE53" s="397">
        <f>+DE51-DE52</f>
        <v>824.32800000000179</v>
      </c>
      <c r="DF53" s="397">
        <f>+DF51-DF52</f>
        <v>697.32800000000179</v>
      </c>
      <c r="DG53" s="397">
        <f>+DG51-DG52</f>
        <v>372.00000000000182</v>
      </c>
      <c r="DH53" s="397">
        <f>+DH51-DH52</f>
        <v>497.00000000000182</v>
      </c>
      <c r="DI53" s="398">
        <f>DH53</f>
        <v>497.00000000000182</v>
      </c>
      <c r="DJ53" s="397">
        <f>+DJ51-DJ52</f>
        <v>707.00000000000182</v>
      </c>
      <c r="DK53" s="397">
        <f>+DK51-DK52</f>
        <v>624.00000000000182</v>
      </c>
      <c r="DL53" s="397">
        <f>+DL51-DL52</f>
        <v>590.00000000000182</v>
      </c>
      <c r="DM53" s="397">
        <f>+DM51-DM52</f>
        <v>1498.0000000000018</v>
      </c>
      <c r="DN53" s="398">
        <f>DM53</f>
        <v>1498.0000000000018</v>
      </c>
      <c r="DO53" s="397">
        <f>+DO51-DO52</f>
        <v>1309.0000000000018</v>
      </c>
      <c r="DP53" s="397">
        <f>+DP51-DP52</f>
        <v>1542.0000000000018</v>
      </c>
      <c r="DQ53" s="397">
        <f>+DQ51-DQ52</f>
        <v>2414.0000000000018</v>
      </c>
      <c r="DR53" s="397">
        <f>+DR51-DR52</f>
        <v>1544.6720000000018</v>
      </c>
      <c r="DS53" s="398">
        <f>DR53</f>
        <v>1544.6720000000018</v>
      </c>
      <c r="DT53" s="397">
        <f>+DT51-DT52</f>
        <v>1847.6720000000018</v>
      </c>
      <c r="DU53" s="397">
        <f>+DU51-DU52</f>
        <v>1655.6720000000018</v>
      </c>
      <c r="DV53" s="397">
        <f>+DV51-DV52</f>
        <v>2377.938201351446</v>
      </c>
      <c r="DW53" s="397">
        <f>+DW51-DW52</f>
        <v>3332.7043701727989</v>
      </c>
      <c r="DX53" s="398">
        <f>DW53</f>
        <v>3332.7043701727989</v>
      </c>
      <c r="DY53" s="397">
        <f>+DY51-DY52</f>
        <v>3795.9810220955724</v>
      </c>
      <c r="DZ53" s="397">
        <f>+DZ51-DZ52</f>
        <v>4554.4112828808393</v>
      </c>
      <c r="EA53" s="397">
        <f>+EA51-EA52</f>
        <v>5403.475245280144</v>
      </c>
      <c r="EB53" s="397">
        <f>+EB51-EB52</f>
        <v>6735.7605411722161</v>
      </c>
      <c r="EC53" s="398">
        <f>EB53</f>
        <v>6735.7605411722161</v>
      </c>
      <c r="ED53" s="397">
        <f>+ED51-ED52</f>
        <v>7277.912962281518</v>
      </c>
      <c r="EE53" s="397">
        <f>+EE51-EE52</f>
        <v>8213.054960092697</v>
      </c>
      <c r="EF53" s="397">
        <f>+EF51-EF52</f>
        <v>9205.6091110389771</v>
      </c>
      <c r="EG53" s="397">
        <f>+EG51-EG52</f>
        <v>10767.166740377632</v>
      </c>
      <c r="EH53" s="398">
        <f>EG53</f>
        <v>10767.166740377632</v>
      </c>
      <c r="EI53" s="397">
        <f>+EI51-EI52</f>
        <v>11303.677482281695</v>
      </c>
      <c r="EJ53" s="397">
        <f>+EJ51-EJ52</f>
        <v>12448.561662472563</v>
      </c>
      <c r="EK53" s="397">
        <f>+EK51-EK52</f>
        <v>13654.164586805528</v>
      </c>
      <c r="EL53" s="397">
        <f>+EL51-EL52</f>
        <v>15540.612023527461</v>
      </c>
      <c r="EM53" s="398">
        <f>EL53</f>
        <v>15540.612023527461</v>
      </c>
      <c r="EN53" s="397">
        <f>+EN51-EN52</f>
        <v>16147.60014613919</v>
      </c>
      <c r="EO53" s="397">
        <f>+EO51-EO52</f>
        <v>17520.561747313986</v>
      </c>
      <c r="EP53" s="397">
        <f>+EP51-EP52</f>
        <v>18971.681654591277</v>
      </c>
      <c r="EQ53" s="397">
        <f>+EQ51-EQ52</f>
        <v>21211.549585228455</v>
      </c>
      <c r="ER53" s="398">
        <f>EQ53</f>
        <v>21211.549585228455</v>
      </c>
      <c r="EW53"/>
      <c r="EX53"/>
      <c r="EY53"/>
      <c r="EZ53"/>
      <c r="FA53"/>
    </row>
    <row r="54" spans="1:157" s="93" customFormat="1" ht="12" customHeight="1">
      <c r="A54" s="133"/>
      <c r="B54" s="133"/>
      <c r="C54" s="726" t="s">
        <v>198</v>
      </c>
      <c r="D54" s="372"/>
      <c r="E54" s="372"/>
      <c r="F54" s="372"/>
      <c r="G54" s="372"/>
      <c r="H54" s="372"/>
      <c r="M54" s="372"/>
      <c r="R54" s="372"/>
      <c r="W54" s="372"/>
      <c r="AB54" s="372"/>
      <c r="AG54" s="372"/>
      <c r="AL54" s="372"/>
      <c r="AQ54" s="372"/>
      <c r="AV54" s="372"/>
      <c r="BA54" s="372"/>
      <c r="BF54" s="372"/>
      <c r="BK54" s="372"/>
      <c r="BP54" s="372"/>
      <c r="BU54" s="278"/>
      <c r="BZ54" s="278"/>
      <c r="CE54" s="278"/>
      <c r="CJ54" s="278"/>
      <c r="CK54" s="326"/>
      <c r="CL54" s="326"/>
      <c r="CM54" s="326"/>
      <c r="CN54" s="326"/>
      <c r="CO54" s="278"/>
      <c r="CP54" s="326"/>
      <c r="CQ54" s="326"/>
      <c r="CR54" s="326"/>
      <c r="CS54" s="326"/>
      <c r="CT54" s="278"/>
      <c r="CU54" s="326"/>
      <c r="CV54" s="326"/>
      <c r="CW54" s="326"/>
      <c r="CX54" s="326"/>
      <c r="CY54" s="278"/>
      <c r="CZ54" s="326"/>
      <c r="DA54" s="326"/>
      <c r="DB54" s="326"/>
      <c r="DC54" s="326"/>
      <c r="DD54" s="278"/>
      <c r="DE54" s="326"/>
      <c r="DF54" s="326"/>
      <c r="DG54" s="326"/>
      <c r="DH54" s="326"/>
      <c r="DI54" s="278"/>
      <c r="DJ54" s="326"/>
      <c r="DK54" s="326"/>
      <c r="DL54" s="326"/>
      <c r="DM54" s="326"/>
      <c r="DN54" s="278"/>
      <c r="DO54" s="326"/>
      <c r="DP54" s="326"/>
      <c r="DQ54" s="326"/>
      <c r="DR54" s="326"/>
      <c r="DS54" s="278"/>
      <c r="DT54" s="326"/>
      <c r="DU54" s="326"/>
      <c r="DV54" s="326"/>
      <c r="DW54" s="326"/>
      <c r="DX54" s="278"/>
      <c r="DY54" s="326"/>
      <c r="DZ54" s="326"/>
      <c r="EA54" s="326"/>
      <c r="EB54" s="326"/>
      <c r="EC54" s="278"/>
      <c r="ED54" s="326"/>
      <c r="EE54" s="326"/>
      <c r="EF54" s="326"/>
      <c r="EG54" s="326"/>
      <c r="EH54" s="278"/>
      <c r="EI54" s="326"/>
      <c r="EJ54" s="326"/>
      <c r="EK54" s="326"/>
      <c r="EL54" s="326"/>
      <c r="EM54" s="278"/>
      <c r="EN54" s="326"/>
      <c r="EO54" s="326"/>
      <c r="EP54" s="326"/>
      <c r="EQ54" s="326"/>
      <c r="ER54" s="278"/>
      <c r="EW54"/>
      <c r="EX54"/>
      <c r="EY54"/>
      <c r="EZ54"/>
      <c r="FA54"/>
    </row>
    <row r="55" spans="1:157" s="93" customFormat="1" ht="12" customHeight="1">
      <c r="A55" s="133"/>
      <c r="B55" s="133"/>
      <c r="C55" s="726" t="s">
        <v>178</v>
      </c>
      <c r="D55" s="372"/>
      <c r="E55" s="372"/>
      <c r="F55" s="372"/>
      <c r="G55" s="372"/>
      <c r="H55" s="372"/>
      <c r="M55" s="372"/>
      <c r="R55" s="372"/>
      <c r="W55" s="372"/>
      <c r="AB55" s="372"/>
      <c r="AG55" s="372"/>
      <c r="AL55" s="372"/>
      <c r="AQ55" s="372"/>
      <c r="AV55" s="372"/>
      <c r="BA55" s="372"/>
      <c r="BF55" s="372"/>
      <c r="BK55" s="372"/>
      <c r="BP55" s="372"/>
      <c r="BU55" s="278"/>
      <c r="BZ55" s="278"/>
      <c r="CE55" s="278">
        <f>Income!CE10</f>
        <v>673.30399999999997</v>
      </c>
      <c r="CF55" s="326">
        <f>Income!CF10</f>
        <v>214.33999999999997</v>
      </c>
      <c r="CG55" s="326">
        <f>Income!CG10</f>
        <v>244.96299999999999</v>
      </c>
      <c r="CH55" s="326">
        <f>Income!CH10</f>
        <v>270.06399999999996</v>
      </c>
      <c r="CI55" s="326">
        <f>Income!CI10</f>
        <v>343.86199999999997</v>
      </c>
      <c r="CJ55" s="278">
        <f>Income!CJ10</f>
        <v>1073.2289999999998</v>
      </c>
      <c r="CK55" s="326">
        <f>Income!CK10</f>
        <v>320.48199999999997</v>
      </c>
      <c r="CL55" s="326">
        <f>Income!CL10</f>
        <v>361.97899999999998</v>
      </c>
      <c r="CM55" s="326">
        <f>Income!CM10</f>
        <v>390.55200000000002</v>
      </c>
      <c r="CN55" s="326">
        <f>Income!CN10</f>
        <v>505.16</v>
      </c>
      <c r="CO55" s="278">
        <f>Income!CO10</f>
        <v>1578.173</v>
      </c>
      <c r="CP55" s="326">
        <f>Income!CP10</f>
        <v>470.00099999999998</v>
      </c>
      <c r="CQ55" s="326">
        <f>Income!CQ10</f>
        <v>714.34100000000001</v>
      </c>
      <c r="CR55" s="326">
        <f>Income!CR10</f>
        <v>767.40499999999997</v>
      </c>
      <c r="CS55" s="326">
        <f>Income!CS10</f>
        <v>977.74399999999991</v>
      </c>
      <c r="CT55" s="278">
        <f>Income!CT10</f>
        <v>2929.491</v>
      </c>
      <c r="CU55" s="326">
        <f>Income!CU10</f>
        <v>988.64699999999993</v>
      </c>
      <c r="CV55" s="326">
        <f>Income!CV10</f>
        <v>1119.4449999999999</v>
      </c>
      <c r="CW55" s="326">
        <f>Income!CW10</f>
        <v>1123.74</v>
      </c>
      <c r="CX55" s="326">
        <f>Income!CX10</f>
        <v>1380.0240000000001</v>
      </c>
      <c r="CY55" s="278">
        <f>Income!CY10</f>
        <v>4611.8559999999998</v>
      </c>
      <c r="CZ55" s="326">
        <f>Income!CZ10</f>
        <v>1203.623</v>
      </c>
      <c r="DA55" s="326">
        <f>Income!DA10</f>
        <v>1295.0630000000001</v>
      </c>
      <c r="DB55" s="326">
        <f>Income!DB10</f>
        <v>1366.2</v>
      </c>
      <c r="DC55" s="326">
        <f>Income!DC10</f>
        <v>1734.9780000000001</v>
      </c>
      <c r="DD55" s="278">
        <f>Income!DD10</f>
        <v>5599.8640000000005</v>
      </c>
      <c r="DE55" s="326">
        <f>Income!DE10</f>
        <v>1508</v>
      </c>
      <c r="DF55" s="326">
        <f>Income!DF10</f>
        <v>1694</v>
      </c>
      <c r="DG55" s="326">
        <f>Income!DG10</f>
        <v>1714</v>
      </c>
      <c r="DH55" s="326">
        <f>Income!DH10</f>
        <v>2144</v>
      </c>
      <c r="DI55" s="775">
        <f>Income!DI10</f>
        <v>7060</v>
      </c>
      <c r="DJ55" s="776">
        <f>Income!DJ10</f>
        <v>1861</v>
      </c>
      <c r="DK55" s="776">
        <f>Income!DK10</f>
        <v>2045</v>
      </c>
      <c r="DL55" s="776">
        <f>Income!DL10</f>
        <v>2162</v>
      </c>
      <c r="DM55" s="776">
        <f>Income!DM10</f>
        <v>2812</v>
      </c>
      <c r="DN55" s="775">
        <f>Income!DN10</f>
        <v>8880</v>
      </c>
      <c r="DO55" s="776">
        <f>Income!DO10</f>
        <v>2360</v>
      </c>
      <c r="DP55" s="776">
        <f>Income!DP10</f>
        <v>2680</v>
      </c>
      <c r="DQ55" s="776">
        <f>Income!DQ10</f>
        <v>2844</v>
      </c>
      <c r="DR55" s="776">
        <f>Income!DR10</f>
        <v>3672</v>
      </c>
      <c r="DS55" s="775">
        <f>Income!DS10</f>
        <v>11556</v>
      </c>
      <c r="DT55" s="776">
        <f>Income!DT10</f>
        <v>3170</v>
      </c>
      <c r="DU55" s="776">
        <f>Income!DU10</f>
        <v>3583</v>
      </c>
      <c r="DV55" s="776">
        <f>Income!DV10</f>
        <v>3708.9235770421878</v>
      </c>
      <c r="DW55" s="776">
        <f>Income!DW10</f>
        <v>4749.7619467274999</v>
      </c>
      <c r="DX55" s="775">
        <f>Income!DX10</f>
        <v>15211.685523769687</v>
      </c>
      <c r="DY55" s="776">
        <f>Income!DY10</f>
        <v>4035.1215649375008</v>
      </c>
      <c r="DZ55" s="776">
        <f>Income!DZ10</f>
        <v>4541.7451572134005</v>
      </c>
      <c r="EA55" s="776">
        <f>Income!EA10</f>
        <v>4641.6759010306196</v>
      </c>
      <c r="EB55" s="776">
        <f>Income!EB10</f>
        <v>5915.7369784106504</v>
      </c>
      <c r="EC55" s="775">
        <f>Income!EC10</f>
        <v>19134.27960159217</v>
      </c>
      <c r="ED55" s="776">
        <f>Income!ED10</f>
        <v>4877.1061895107905</v>
      </c>
      <c r="EE55" s="776">
        <f>Income!EE10</f>
        <v>5485.0483787334051</v>
      </c>
      <c r="EF55" s="776">
        <f>Income!EF10</f>
        <v>5598.7043163702683</v>
      </c>
      <c r="EG55" s="776">
        <f>Income!EG10</f>
        <v>7136.4533443181272</v>
      </c>
      <c r="EH55" s="775">
        <f>Income!EH10</f>
        <v>23097.312228932591</v>
      </c>
      <c r="EI55" s="776">
        <f>Income!EI10</f>
        <v>5779.8548168393081</v>
      </c>
      <c r="EJ55" s="776">
        <f>Income!EJ10</f>
        <v>6501.3574876201383</v>
      </c>
      <c r="EK55" s="776">
        <f>Income!EK10</f>
        <v>6635.6828467144514</v>
      </c>
      <c r="EL55" s="776">
        <f>Income!EL10</f>
        <v>8462.5924451817737</v>
      </c>
      <c r="EM55" s="775">
        <f>Income!EM10</f>
        <v>27379.487596355673</v>
      </c>
      <c r="EN55" s="776">
        <f>Income!EN10</f>
        <v>6780.4433050578218</v>
      </c>
      <c r="EO55" s="776">
        <f>Income!EO10</f>
        <v>7626.9991574219666</v>
      </c>
      <c r="EP55" s="776">
        <f>Income!EP10</f>
        <v>7785.0765012543943</v>
      </c>
      <c r="EQ55" s="776">
        <f>Income!EQ10</f>
        <v>9929.2938974884855</v>
      </c>
      <c r="ER55" s="775">
        <f>Income!ER10</f>
        <v>32121.812861222668</v>
      </c>
      <c r="EW55"/>
      <c r="EX55"/>
      <c r="EY55"/>
      <c r="EZ55"/>
      <c r="FA55"/>
    </row>
    <row r="56" spans="1:157" s="93" customFormat="1" ht="12" customHeight="1">
      <c r="A56" s="133"/>
      <c r="B56" s="133"/>
      <c r="C56" s="118" t="s">
        <v>199</v>
      </c>
      <c r="D56" s="372"/>
      <c r="E56" s="372"/>
      <c r="F56" s="372"/>
      <c r="G56" s="372"/>
      <c r="H56" s="372"/>
      <c r="M56" s="372"/>
      <c r="R56" s="372"/>
      <c r="W56" s="372"/>
      <c r="AB56" s="372"/>
      <c r="AG56" s="372"/>
      <c r="AL56" s="372"/>
      <c r="AQ56" s="372"/>
      <c r="AV56" s="372"/>
      <c r="BA56" s="372"/>
      <c r="BF56" s="372"/>
      <c r="BK56" s="372"/>
      <c r="BP56" s="372"/>
      <c r="BQ56" s="326"/>
      <c r="BR56" s="326">
        <f>BR10/Income!BR10*(90)</f>
        <v>6.5968481502915903</v>
      </c>
      <c r="BS56" s="326">
        <f>BS10/Income!BS10*(90)</f>
        <v>6.5403705527980902</v>
      </c>
      <c r="BT56" s="326">
        <f>BT10/Income!BT10*(90)</f>
        <v>7.8094138771322301</v>
      </c>
      <c r="BU56" s="278"/>
      <c r="BV56" s="326">
        <f>BV10/Income!BV10*(90)</f>
        <v>8.1037375209702702</v>
      </c>
      <c r="BW56" s="326">
        <f>BW10/Income!BW10*(90)</f>
        <v>9.443835331863772</v>
      </c>
      <c r="BX56" s="326">
        <f>BX10/Income!BX10*(90)</f>
        <v>6.9449075096908954</v>
      </c>
      <c r="BY56" s="326">
        <f>BY10/Income!BY10*(90)</f>
        <v>6.6259404983778571</v>
      </c>
      <c r="BZ56" s="278"/>
      <c r="CA56" s="326">
        <f>CA10/Income!CA10*(90)</f>
        <v>6.472730983914146</v>
      </c>
      <c r="CB56" s="326">
        <f>CB10/Income!CB10*(90)</f>
        <v>7.4769048168540442</v>
      </c>
      <c r="CC56" s="326">
        <f>CC10/Income!CC10*(90)</f>
        <v>9.3377309630459138</v>
      </c>
      <c r="CD56" s="326">
        <f>CD10/Income!CD10*(90)</f>
        <v>8.8616963027457878</v>
      </c>
      <c r="CE56" s="278"/>
      <c r="CF56" s="326">
        <f>CF10/Income!CF10*(90)</f>
        <v>11.910282728375478</v>
      </c>
      <c r="CG56" s="326">
        <f>CG10/Income!CG10*(90)</f>
        <v>11.94425280552573</v>
      </c>
      <c r="CH56" s="326">
        <f>CH10/Income!CH10*(90)</f>
        <v>11.930172107352334</v>
      </c>
      <c r="CI56" s="326">
        <f>CI10/Income!CI10*(90)</f>
        <v>10.821870401498277</v>
      </c>
      <c r="CJ56" s="278"/>
      <c r="CK56" s="326">
        <f>CK10/Income!CK10*(90)</f>
        <v>11.349061725775551</v>
      </c>
      <c r="CL56" s="326">
        <f>CL10/Income!CL10*(90)</f>
        <v>11.397346254893241</v>
      </c>
      <c r="CM56" s="326">
        <f>CM10/Income!CM10*(90)</f>
        <v>10.759617157254349</v>
      </c>
      <c r="CN56" s="326">
        <f>CN10/Income!CN10*(90)</f>
        <v>16.128771082429328</v>
      </c>
      <c r="CO56" s="278"/>
      <c r="CP56" s="326">
        <f>CP10/Income!CP10*(90)</f>
        <v>16.877644941180975</v>
      </c>
      <c r="CQ56" s="326">
        <f>CQ10/Income!CQ10*(90)</f>
        <v>13.406496337183501</v>
      </c>
      <c r="CR56" s="326">
        <f>CR10/Income!CR10*(90)</f>
        <v>12.865436112613288</v>
      </c>
      <c r="CS56" s="326">
        <f>CS10/Income!CS10*(90)</f>
        <v>11.115056701958796</v>
      </c>
      <c r="CT56" s="727"/>
      <c r="CU56" s="326">
        <f>CU10/Income!CU10*(90)</f>
        <v>14.880427493331799</v>
      </c>
      <c r="CV56" s="326">
        <f>CV10/Income!CV10*(90)</f>
        <v>12.332897105261983</v>
      </c>
      <c r="CW56" s="326">
        <f>CW10/Income!CW10*(90)</f>
        <v>12.155454108601633</v>
      </c>
      <c r="CX56" s="326">
        <f>CX10/Income!CX10*(90)</f>
        <v>12.53515156258152</v>
      </c>
      <c r="CY56" s="727"/>
      <c r="CZ56" s="326">
        <f>CZ10/Income!CZ10*(90)</f>
        <v>16.843048030820281</v>
      </c>
      <c r="DA56" s="326">
        <f>DA10/Income!DA10*(90)</f>
        <v>16.589980564652066</v>
      </c>
      <c r="DB56" s="326">
        <f>DB10/Income!DB10*(90)</f>
        <v>15.888208168642949</v>
      </c>
      <c r="DC56" s="326">
        <f>DC10/Income!DC10*(90)</f>
        <v>14.164415917665814</v>
      </c>
      <c r="DD56" s="727"/>
      <c r="DE56" s="326">
        <f>DE10/Income!DE10*(90)</f>
        <v>16.472148541114059</v>
      </c>
      <c r="DF56" s="326">
        <f>DF10/Income!DF10*(90)</f>
        <v>13.919716646989373</v>
      </c>
      <c r="DG56" s="326">
        <f>DG10/Income!DG10*(90)</f>
        <v>13.022170361726953</v>
      </c>
      <c r="DH56" s="326">
        <f>DH10/Income!DH10*(90)</f>
        <v>11.83768656716418</v>
      </c>
      <c r="DI56" s="727"/>
      <c r="DJ56" s="326">
        <f>DJ10/Income!DJ10*(90)</f>
        <v>12.815690488984417</v>
      </c>
      <c r="DK56" s="326">
        <f>DK10/Income!DK10*(90)</f>
        <v>12.102689486552569</v>
      </c>
      <c r="DL56" s="326">
        <f>DL10/Income!DL10*(90)</f>
        <v>11.697502312673452</v>
      </c>
      <c r="DM56" s="326">
        <f>DM10/Income!DM10*(90)</f>
        <v>10.945945945945947</v>
      </c>
      <c r="DN56" s="727"/>
      <c r="DO56" s="326">
        <f>DO10/Income!DO10*(90)</f>
        <v>11.326271186440676</v>
      </c>
      <c r="DP56" s="326">
        <f>DP10/Income!DP10*(90)</f>
        <v>11.753731343283581</v>
      </c>
      <c r="DQ56" s="326">
        <f>DQ10/Income!DQ10*(90)</f>
        <v>12.531645569620252</v>
      </c>
      <c r="DR56" s="326">
        <f>DR10/Income!DR10*(90)</f>
        <v>12.254901960784313</v>
      </c>
      <c r="DS56" s="727"/>
      <c r="DT56" s="326">
        <f>DT10/Income!DT10*(90)</f>
        <v>12.747634069400632</v>
      </c>
      <c r="DU56" s="326">
        <f>DU10/Income!DU10*(90)</f>
        <v>11.705274909293887</v>
      </c>
      <c r="DV56" s="728">
        <v>13</v>
      </c>
      <c r="DW56" s="728">
        <v>12</v>
      </c>
      <c r="DX56" s="727"/>
      <c r="DY56" s="728">
        <v>11</v>
      </c>
      <c r="DZ56" s="728">
        <v>11</v>
      </c>
      <c r="EA56" s="728">
        <v>11</v>
      </c>
      <c r="EB56" s="728">
        <v>11</v>
      </c>
      <c r="EC56" s="727"/>
      <c r="ED56" s="728">
        <v>11</v>
      </c>
      <c r="EE56" s="728">
        <v>11</v>
      </c>
      <c r="EF56" s="728">
        <v>11</v>
      </c>
      <c r="EG56" s="728">
        <v>11</v>
      </c>
      <c r="EH56" s="727"/>
      <c r="EI56" s="728">
        <v>11</v>
      </c>
      <c r="EJ56" s="728">
        <v>11</v>
      </c>
      <c r="EK56" s="728">
        <v>11</v>
      </c>
      <c r="EL56" s="728">
        <v>11</v>
      </c>
      <c r="EM56" s="727"/>
      <c r="EN56" s="728">
        <v>11</v>
      </c>
      <c r="EO56" s="728">
        <v>11</v>
      </c>
      <c r="EP56" s="728">
        <v>11</v>
      </c>
      <c r="EQ56" s="728">
        <v>11</v>
      </c>
      <c r="ER56" s="727"/>
      <c r="EW56"/>
      <c r="EX56"/>
      <c r="EY56"/>
      <c r="EZ56"/>
      <c r="FA56"/>
    </row>
    <row r="57" spans="1:157" s="93" customFormat="1" ht="12" customHeight="1">
      <c r="A57" s="133"/>
      <c r="B57" s="133"/>
      <c r="C57" s="118" t="s">
        <v>280</v>
      </c>
      <c r="D57" s="729"/>
      <c r="E57" s="729"/>
      <c r="F57" s="729"/>
      <c r="G57" s="729"/>
      <c r="H57" s="729"/>
      <c r="I57" s="91"/>
      <c r="J57" s="91"/>
      <c r="K57" s="91"/>
      <c r="L57" s="91"/>
      <c r="M57" s="729"/>
      <c r="N57" s="91"/>
      <c r="O57" s="91"/>
      <c r="P57" s="91"/>
      <c r="Q57" s="91"/>
      <c r="R57" s="729"/>
      <c r="S57" s="91"/>
      <c r="T57" s="91"/>
      <c r="U57" s="91"/>
      <c r="V57" s="91"/>
      <c r="W57" s="729"/>
      <c r="X57" s="91"/>
      <c r="Y57" s="91"/>
      <c r="Z57" s="91"/>
      <c r="AA57" s="91"/>
      <c r="AB57" s="729"/>
      <c r="AC57" s="91"/>
      <c r="AD57" s="91"/>
      <c r="AE57" s="91"/>
      <c r="AF57" s="91"/>
      <c r="AG57" s="729"/>
      <c r="AH57" s="91"/>
      <c r="AI57" s="91"/>
      <c r="AJ57" s="91"/>
      <c r="AK57" s="91"/>
      <c r="AL57" s="729"/>
      <c r="AM57" s="91"/>
      <c r="AN57" s="91"/>
      <c r="AO57" s="91"/>
      <c r="AP57" s="91"/>
      <c r="AQ57" s="729"/>
      <c r="AR57" s="91"/>
      <c r="AS57" s="91"/>
      <c r="AT57" s="91"/>
      <c r="AU57" s="91"/>
      <c r="AV57" s="729"/>
      <c r="AW57" s="91"/>
      <c r="AX57" s="91"/>
      <c r="AY57" s="91"/>
      <c r="AZ57" s="91"/>
      <c r="BA57" s="729"/>
      <c r="BB57" s="91"/>
      <c r="BC57" s="91"/>
      <c r="BD57" s="91"/>
      <c r="BE57" s="91"/>
      <c r="BF57" s="729"/>
      <c r="BG57" s="91"/>
      <c r="BH57" s="91"/>
      <c r="BI57" s="91"/>
      <c r="BJ57" s="91"/>
      <c r="BK57" s="729"/>
      <c r="BL57" s="91"/>
      <c r="BM57" s="91"/>
      <c r="BN57" s="91"/>
      <c r="BO57" s="91"/>
      <c r="BP57" s="729"/>
      <c r="BQ57" s="730"/>
      <c r="BR57" s="730"/>
      <c r="BS57" s="730"/>
      <c r="BT57" s="730"/>
      <c r="BU57" s="731"/>
      <c r="BV57" s="730"/>
      <c r="BW57" s="730"/>
      <c r="BX57" s="730"/>
      <c r="BY57" s="730"/>
      <c r="BZ57" s="731"/>
      <c r="CA57" s="730"/>
      <c r="CB57" s="730"/>
      <c r="CC57" s="730"/>
      <c r="CD57" s="730"/>
      <c r="CE57" s="404"/>
      <c r="CF57" s="405">
        <f>CF9/CF55</f>
        <v>6.4544881963235987</v>
      </c>
      <c r="CG57" s="405">
        <f>CG9/CG55</f>
        <v>5.5288635426574624</v>
      </c>
      <c r="CH57" s="405">
        <f>CH9/CH55</f>
        <v>4.9425469518336405</v>
      </c>
      <c r="CI57" s="405">
        <f>CI9/CI55</f>
        <v>4.5337577283910413</v>
      </c>
      <c r="CJ57" s="404"/>
      <c r="CK57" s="405">
        <f>CK9/CK55</f>
        <v>4.9505682066387511</v>
      </c>
      <c r="CL57" s="405">
        <f>CL9/CL55</f>
        <v>3.7138646164556506</v>
      </c>
      <c r="CM57" s="405">
        <f>CM9/CM55</f>
        <v>3.949929842889039</v>
      </c>
      <c r="CN57" s="405">
        <f>CN9/CN55</f>
        <v>3.5736756671153693</v>
      </c>
      <c r="CO57" s="404"/>
      <c r="CP57" s="405">
        <f>CP9/CP55</f>
        <v>2.9600128510364874</v>
      </c>
      <c r="CQ57" s="405">
        <f>CQ9/CQ55</f>
        <v>2.9658006470299196</v>
      </c>
      <c r="CR57" s="405">
        <f>CR9/CR55</f>
        <v>3.9500355092812791</v>
      </c>
      <c r="CS57" s="405">
        <f>CS9/CS55</f>
        <v>3.7682358572387047</v>
      </c>
      <c r="CT57" s="404"/>
      <c r="CU57" s="405">
        <f t="shared" ref="CU57:DZ57" si="205">CU9/CU55</f>
        <v>5.1452914943351882</v>
      </c>
      <c r="CV57" s="405">
        <f t="shared" si="205"/>
        <v>4.8155264439074719</v>
      </c>
      <c r="CW57" s="405">
        <f t="shared" si="205"/>
        <v>4.7422722337907341</v>
      </c>
      <c r="CX57" s="405">
        <f t="shared" si="205"/>
        <v>3.8152242279844404</v>
      </c>
      <c r="CY57" s="404">
        <f t="shared" si="205"/>
        <v>1.1416447087680102</v>
      </c>
      <c r="CZ57" s="405">
        <f t="shared" si="205"/>
        <v>3.9839260299944419</v>
      </c>
      <c r="DA57" s="405">
        <f t="shared" si="205"/>
        <v>2.782883921477179</v>
      </c>
      <c r="DB57" s="405">
        <f t="shared" si="205"/>
        <v>2.6080961791831356</v>
      </c>
      <c r="DC57" s="405">
        <f t="shared" si="205"/>
        <v>1.9617666621709322</v>
      </c>
      <c r="DD57" s="404">
        <f t="shared" si="205"/>
        <v>0.60780440382123557</v>
      </c>
      <c r="DE57" s="405">
        <f t="shared" si="205"/>
        <v>2.0722811671087533</v>
      </c>
      <c r="DF57" s="405">
        <f t="shared" si="205"/>
        <v>1.8707201889020071</v>
      </c>
      <c r="DG57" s="405">
        <f t="shared" si="205"/>
        <v>2.1184364060676781</v>
      </c>
      <c r="DH57" s="405">
        <f t="shared" si="205"/>
        <v>1.6767723880597014</v>
      </c>
      <c r="DI57" s="404">
        <f t="shared" si="205"/>
        <v>0.50920679886685549</v>
      </c>
      <c r="DJ57" s="405">
        <f t="shared" si="205"/>
        <v>1.9097259537882858</v>
      </c>
      <c r="DK57" s="405">
        <f t="shared" si="205"/>
        <v>1.7017114914425429</v>
      </c>
      <c r="DL57" s="405">
        <f t="shared" si="205"/>
        <v>1.567067530064755</v>
      </c>
      <c r="DM57" s="405">
        <f t="shared" si="205"/>
        <v>1.4157183499288764</v>
      </c>
      <c r="DN57" s="404">
        <f t="shared" si="205"/>
        <v>0.44831081081081081</v>
      </c>
      <c r="DO57" s="1279">
        <f t="shared" si="205"/>
        <v>1.7817796610169492</v>
      </c>
      <c r="DP57" s="405">
        <f t="shared" si="205"/>
        <v>1.5962686567164179</v>
      </c>
      <c r="DQ57" s="405">
        <f t="shared" si="205"/>
        <v>1.3836146272855134</v>
      </c>
      <c r="DR57" s="405">
        <f t="shared" si="205"/>
        <v>1.1527777777777777</v>
      </c>
      <c r="DS57" s="404">
        <f t="shared" si="205"/>
        <v>0.3663032191069574</v>
      </c>
      <c r="DT57" s="1279">
        <f t="shared" ref="DT57:DU57" si="206">DT9/DT55</f>
        <v>1.2287066246056781</v>
      </c>
      <c r="DU57" s="405">
        <f t="shared" si="206"/>
        <v>0.91850404688808263</v>
      </c>
      <c r="DV57" s="1279">
        <f t="shared" si="205"/>
        <v>0.8873194423230808</v>
      </c>
      <c r="DW57" s="1279">
        <f t="shared" si="205"/>
        <v>0.69287682980984755</v>
      </c>
      <c r="DX57" s="404">
        <f t="shared" si="205"/>
        <v>0.21634683381125014</v>
      </c>
      <c r="DY57" s="1279">
        <f t="shared" si="205"/>
        <v>0.815588811151709</v>
      </c>
      <c r="DZ57" s="1279">
        <f t="shared" si="205"/>
        <v>0.72461133024451807</v>
      </c>
      <c r="EA57" s="1279">
        <f t="shared" ref="EA57:ER57" si="207">EA9/EA55</f>
        <v>0.70901115678267823</v>
      </c>
      <c r="EB57" s="1279">
        <f t="shared" si="207"/>
        <v>0.55631276576535282</v>
      </c>
      <c r="EC57" s="404">
        <f t="shared" si="207"/>
        <v>0.17199497804590222</v>
      </c>
      <c r="ED57" s="1279">
        <f t="shared" si="207"/>
        <v>0.67478538955702161</v>
      </c>
      <c r="EE57" s="1279">
        <f t="shared" si="207"/>
        <v>0.59999470793363363</v>
      </c>
      <c r="EF57" s="1279">
        <f t="shared" si="207"/>
        <v>0.58781457530759706</v>
      </c>
      <c r="EG57" s="1279">
        <f t="shared" si="207"/>
        <v>0.46115343872039954</v>
      </c>
      <c r="EH57" s="404">
        <f t="shared" si="207"/>
        <v>0.1424841110247263</v>
      </c>
      <c r="EI57" s="1279">
        <f t="shared" si="207"/>
        <v>0.5693914647149686</v>
      </c>
      <c r="EJ57" s="1279">
        <f t="shared" si="207"/>
        <v>0.50620197493626684</v>
      </c>
      <c r="EK57" s="1279">
        <f t="shared" si="207"/>
        <v>0.4959549870032568</v>
      </c>
      <c r="EL57" s="1279">
        <f t="shared" si="207"/>
        <v>0.38888792309427</v>
      </c>
      <c r="EM57" s="404">
        <f t="shared" si="207"/>
        <v>0.12019947372711409</v>
      </c>
      <c r="EN57" s="1279">
        <f t="shared" si="207"/>
        <v>0.48536649477551164</v>
      </c>
      <c r="EO57" s="1279">
        <f t="shared" si="207"/>
        <v>0.43149342645429167</v>
      </c>
      <c r="EP57" s="1279">
        <f t="shared" si="207"/>
        <v>0.42273187674774004</v>
      </c>
      <c r="EQ57" s="1279">
        <f t="shared" si="207"/>
        <v>0.33144350786438348</v>
      </c>
      <c r="ER57" s="404">
        <f t="shared" si="207"/>
        <v>0.10245374425840338</v>
      </c>
      <c r="EW57"/>
      <c r="EX57"/>
      <c r="EY57"/>
      <c r="EZ57"/>
      <c r="FA57"/>
    </row>
    <row r="58" spans="1:157" s="93" customFormat="1" ht="12" customHeight="1">
      <c r="A58" s="133"/>
      <c r="B58" s="133"/>
      <c r="C58" s="265" t="s">
        <v>281</v>
      </c>
      <c r="D58" s="729"/>
      <c r="E58" s="729"/>
      <c r="F58" s="729"/>
      <c r="G58" s="729"/>
      <c r="H58" s="729"/>
      <c r="I58" s="91"/>
      <c r="J58" s="91"/>
      <c r="K58" s="91"/>
      <c r="L58" s="91"/>
      <c r="M58" s="729"/>
      <c r="N58" s="91"/>
      <c r="O58" s="91"/>
      <c r="P58" s="91"/>
      <c r="Q58" s="91"/>
      <c r="R58" s="729"/>
      <c r="S58" s="91"/>
      <c r="T58" s="91"/>
      <c r="U58" s="91"/>
      <c r="V58" s="91"/>
      <c r="W58" s="729"/>
      <c r="X58" s="91"/>
      <c r="Y58" s="91"/>
      <c r="Z58" s="91"/>
      <c r="AA58" s="91"/>
      <c r="AB58" s="729"/>
      <c r="AC58" s="91"/>
      <c r="AD58" s="91"/>
      <c r="AE58" s="91"/>
      <c r="AF58" s="91"/>
      <c r="AG58" s="729"/>
      <c r="AH58" s="91"/>
      <c r="AI58" s="91"/>
      <c r="AJ58" s="91"/>
      <c r="AK58" s="91"/>
      <c r="AL58" s="729"/>
      <c r="AM58" s="91"/>
      <c r="AN58" s="91"/>
      <c r="AO58" s="91"/>
      <c r="AP58" s="91"/>
      <c r="AQ58" s="729"/>
      <c r="AR58" s="91"/>
      <c r="AS58" s="91"/>
      <c r="AT58" s="91"/>
      <c r="AU58" s="91"/>
      <c r="AV58" s="729"/>
      <c r="AW58" s="91"/>
      <c r="AX58" s="91"/>
      <c r="AY58" s="91"/>
      <c r="AZ58" s="91"/>
      <c r="BA58" s="729"/>
      <c r="BB58" s="91"/>
      <c r="BC58" s="91"/>
      <c r="BD58" s="91"/>
      <c r="BE58" s="91"/>
      <c r="BF58" s="729"/>
      <c r="BG58" s="91"/>
      <c r="BH58" s="91"/>
      <c r="BI58" s="91"/>
      <c r="BJ58" s="91"/>
      <c r="BK58" s="729"/>
      <c r="BL58" s="91"/>
      <c r="BM58" s="91"/>
      <c r="BN58" s="91"/>
      <c r="BO58" s="91"/>
      <c r="BP58" s="729"/>
      <c r="BQ58" s="730"/>
      <c r="BR58" s="730"/>
      <c r="BS58" s="730"/>
      <c r="BT58" s="730"/>
      <c r="BU58" s="731"/>
      <c r="BV58" s="730"/>
      <c r="BW58" s="730"/>
      <c r="BX58" s="730"/>
      <c r="BY58" s="730"/>
      <c r="BZ58" s="731"/>
      <c r="CA58" s="730"/>
      <c r="CB58" s="730"/>
      <c r="CC58" s="730"/>
      <c r="CD58" s="730"/>
      <c r="CE58" s="404"/>
      <c r="CF58" s="405"/>
      <c r="CG58" s="405"/>
      <c r="CH58" s="405"/>
      <c r="CI58" s="405"/>
      <c r="CJ58" s="404"/>
      <c r="CK58" s="405">
        <f>CK11/CK55</f>
        <v>0.33335413533365371</v>
      </c>
      <c r="CL58" s="405">
        <f>CL11/CL55</f>
        <v>0.31923398871205239</v>
      </c>
      <c r="CM58" s="405">
        <f>CM11/CM55</f>
        <v>0.42446332370593415</v>
      </c>
      <c r="CN58" s="405">
        <f>CN11/CN55</f>
        <v>0.29727611053923508</v>
      </c>
      <c r="CO58" s="404"/>
      <c r="CP58" s="405">
        <f>CP11/CP55</f>
        <v>0.40821828038663749</v>
      </c>
      <c r="CQ58" s="405">
        <f>CQ11/CQ55</f>
        <v>0.23307495999809616</v>
      </c>
      <c r="CR58" s="405">
        <f>CR11/CR55</f>
        <v>0.32313706582573742</v>
      </c>
      <c r="CS58" s="405">
        <f>CS11/CS55</f>
        <v>0.25029353286749911</v>
      </c>
      <c r="CT58" s="404"/>
      <c r="CU58" s="405">
        <f>CU11/CU55</f>
        <v>0.3163626653396005</v>
      </c>
      <c r="CV58" s="405">
        <f>CV11/CV55</f>
        <v>0.37103564712871112</v>
      </c>
      <c r="CW58" s="405">
        <f>CW11/CW55</f>
        <v>0.46631783152686562</v>
      </c>
      <c r="CX58" s="405">
        <f>CX11/CX55</f>
        <v>0.34109696642956927</v>
      </c>
      <c r="CY58" s="404"/>
      <c r="CZ58" s="405">
        <f>CZ11/CZ55</f>
        <v>0.40420214635313551</v>
      </c>
      <c r="DA58" s="405">
        <f>DA11/DA55</f>
        <v>0.41526165136367876</v>
      </c>
      <c r="DB58" s="405">
        <f>DB11/DB55</f>
        <v>0.48752232469623774</v>
      </c>
      <c r="DC58" s="405">
        <f>DC11/DC55</f>
        <v>0.33436389395139304</v>
      </c>
      <c r="DD58" s="404"/>
      <c r="DE58" s="405">
        <f>DE11/DE55</f>
        <v>0.41710875331564989</v>
      </c>
      <c r="DF58" s="405">
        <f>DF11/DF55</f>
        <v>0.42443919716646988</v>
      </c>
      <c r="DG58" s="405">
        <f>DG11/DG55</f>
        <v>0.48599766627771296</v>
      </c>
      <c r="DH58" s="405">
        <f>DH11/DH55</f>
        <v>0.38059701492537312</v>
      </c>
      <c r="DI58" s="404"/>
      <c r="DJ58" s="405">
        <f>DJ11/DJ55</f>
        <v>0.43793659322944656</v>
      </c>
      <c r="DK58" s="405">
        <f>DK11/DK55</f>
        <v>0.44889975550122252</v>
      </c>
      <c r="DL58" s="405">
        <f>DL11/DL55</f>
        <v>0.53376503237742834</v>
      </c>
      <c r="DM58" s="405">
        <f>DM11/DM55</f>
        <v>0.43527738264580368</v>
      </c>
      <c r="DN58" s="404"/>
      <c r="DO58" s="1279">
        <f>DO11/DO55</f>
        <v>0.5898305084745763</v>
      </c>
      <c r="DP58" s="405">
        <f>DP11/DP55</f>
        <v>0.59589552238805965</v>
      </c>
      <c r="DQ58" s="405">
        <f>DQ11/DQ55</f>
        <v>0.60935302390998591</v>
      </c>
      <c r="DR58" s="405">
        <f>DR11/DR55</f>
        <v>0.48583877995642699</v>
      </c>
      <c r="DS58" s="404"/>
      <c r="DT58" s="1279">
        <f>DT11/DT55</f>
        <v>0.66151419558359625</v>
      </c>
      <c r="DU58" s="405">
        <f>DU11/DU55</f>
        <v>0.60954507396036839</v>
      </c>
      <c r="DV58" s="406">
        <v>0.62</v>
      </c>
      <c r="DW58" s="406">
        <v>0.48599999999999999</v>
      </c>
      <c r="DX58" s="404"/>
      <c r="DY58" s="406">
        <f>+DT58</f>
        <v>0.66151419558359625</v>
      </c>
      <c r="DZ58" s="406">
        <f t="shared" ref="DZ58:EB58" si="208">+DU58</f>
        <v>0.60954507396036839</v>
      </c>
      <c r="EA58" s="406">
        <f t="shared" si="208"/>
        <v>0.62</v>
      </c>
      <c r="EB58" s="406">
        <f t="shared" si="208"/>
        <v>0.48599999999999999</v>
      </c>
      <c r="EC58" s="404"/>
      <c r="ED58" s="406">
        <f t="shared" ref="ED58" si="209">+DY58+1%</f>
        <v>0.67151419558359626</v>
      </c>
      <c r="EE58" s="406">
        <f t="shared" ref="EE58" si="210">+DZ58+1%</f>
        <v>0.6195450739603684</v>
      </c>
      <c r="EF58" s="406">
        <f t="shared" ref="EF58" si="211">+EA58+1%</f>
        <v>0.63</v>
      </c>
      <c r="EG58" s="406">
        <f t="shared" ref="EG58" si="212">+EB58+1%</f>
        <v>0.496</v>
      </c>
      <c r="EH58" s="404"/>
      <c r="EI58" s="406">
        <f t="shared" ref="EI58" si="213">+ED58+1%</f>
        <v>0.68151419558359627</v>
      </c>
      <c r="EJ58" s="406">
        <f t="shared" ref="EJ58" si="214">+EE58+1%</f>
        <v>0.62954507396036841</v>
      </c>
      <c r="EK58" s="406">
        <f t="shared" ref="EK58" si="215">+EF58+1%</f>
        <v>0.64</v>
      </c>
      <c r="EL58" s="406">
        <f t="shared" ref="EL58" si="216">+EG58+1%</f>
        <v>0.50600000000000001</v>
      </c>
      <c r="EM58" s="404"/>
      <c r="EN58" s="406">
        <f t="shared" ref="EN58" si="217">+EI58+1%</f>
        <v>0.69151419558359628</v>
      </c>
      <c r="EO58" s="406">
        <f t="shared" ref="EO58" si="218">+EJ58+1%</f>
        <v>0.63954507396036842</v>
      </c>
      <c r="EP58" s="406">
        <f t="shared" ref="EP58" si="219">+EK58+1%</f>
        <v>0.65</v>
      </c>
      <c r="EQ58" s="406">
        <f t="shared" ref="EQ58" si="220">+EL58+1%</f>
        <v>0.51600000000000001</v>
      </c>
      <c r="ER58" s="404"/>
      <c r="EW58"/>
      <c r="EX58"/>
      <c r="EY58"/>
      <c r="EZ58"/>
      <c r="FA58"/>
    </row>
    <row r="59" spans="1:157" s="93" customFormat="1" ht="12" customHeight="1">
      <c r="A59" s="133"/>
      <c r="B59" s="133"/>
      <c r="C59" s="118" t="s">
        <v>201</v>
      </c>
      <c r="D59" s="729"/>
      <c r="E59" s="729"/>
      <c r="F59" s="729"/>
      <c r="G59" s="729"/>
      <c r="H59" s="729"/>
      <c r="I59" s="91"/>
      <c r="J59" s="91"/>
      <c r="K59" s="91"/>
      <c r="L59" s="91"/>
      <c r="M59" s="729"/>
      <c r="N59" s="91"/>
      <c r="O59" s="91"/>
      <c r="P59" s="91"/>
      <c r="Q59" s="91"/>
      <c r="R59" s="729"/>
      <c r="S59" s="91"/>
      <c r="T59" s="91"/>
      <c r="U59" s="91"/>
      <c r="V59" s="91"/>
      <c r="W59" s="729"/>
      <c r="X59" s="91"/>
      <c r="Y59" s="91"/>
      <c r="Z59" s="91"/>
      <c r="AA59" s="91"/>
      <c r="AB59" s="729"/>
      <c r="AC59" s="91"/>
      <c r="AD59" s="91"/>
      <c r="AE59" s="91"/>
      <c r="AF59" s="91"/>
      <c r="AG59" s="729"/>
      <c r="AH59" s="91"/>
      <c r="AI59" s="91"/>
      <c r="AJ59" s="91"/>
      <c r="AK59" s="91"/>
      <c r="AL59" s="729"/>
      <c r="AM59" s="91"/>
      <c r="AN59" s="91"/>
      <c r="AO59" s="91"/>
      <c r="AP59" s="91"/>
      <c r="AQ59" s="729"/>
      <c r="AR59" s="91"/>
      <c r="AS59" s="91"/>
      <c r="AT59" s="91"/>
      <c r="AU59" s="91"/>
      <c r="AV59" s="729"/>
      <c r="AW59" s="91"/>
      <c r="AX59" s="91"/>
      <c r="AY59" s="91"/>
      <c r="AZ59" s="91"/>
      <c r="BA59" s="729"/>
      <c r="BB59" s="91"/>
      <c r="BC59" s="91"/>
      <c r="BD59" s="91"/>
      <c r="BE59" s="91"/>
      <c r="BF59" s="729"/>
      <c r="BG59" s="91"/>
      <c r="BH59" s="91"/>
      <c r="BI59" s="91"/>
      <c r="BJ59" s="91"/>
      <c r="BK59" s="729"/>
      <c r="BL59" s="91"/>
      <c r="BM59" s="91"/>
      <c r="BN59" s="91"/>
      <c r="BO59" s="91"/>
      <c r="BP59" s="729"/>
      <c r="BQ59" s="405"/>
      <c r="BR59" s="405">
        <f>BR13/Income!BR10</f>
        <v>6.575257089435961E-2</v>
      </c>
      <c r="BS59" s="405">
        <f>BS13/Income!BS10</f>
        <v>8.9114537945667399E-2</v>
      </c>
      <c r="BT59" s="405">
        <f>BT13/Income!BT10</f>
        <v>8.8395821754805981E-2</v>
      </c>
      <c r="BU59" s="731"/>
      <c r="BV59" s="405">
        <f>BV13/Income!BV10</f>
        <v>9.8305877176095249E-2</v>
      </c>
      <c r="BW59" s="405">
        <f>BW13/Income!BW10</f>
        <v>8.2345609195932923E-2</v>
      </c>
      <c r="BX59" s="405">
        <f>BX13/Income!BX10</f>
        <v>0.10348671393279639</v>
      </c>
      <c r="BY59" s="405">
        <f>BY13/Income!BY10</f>
        <v>6.8943037052376477E-2</v>
      </c>
      <c r="BZ59" s="731"/>
      <c r="CA59" s="405">
        <f>CA13/Income!CA10</f>
        <v>9.5094167798459708E-2</v>
      </c>
      <c r="CB59" s="405">
        <f>CB13/Income!CB10</f>
        <v>0.10802149615904522</v>
      </c>
      <c r="CC59" s="405">
        <f>CC13/Income!CC10</f>
        <v>0.11840938783128031</v>
      </c>
      <c r="CD59" s="405">
        <f>CD13/Income!CD10</f>
        <v>8.3468722791207012E-2</v>
      </c>
      <c r="CE59" s="731"/>
      <c r="CF59" s="405">
        <f>CF13/Income!CF10</f>
        <v>8.1883922739572637E-2</v>
      </c>
      <c r="CG59" s="405">
        <f>CG13/Income!CG10</f>
        <v>8.1812355335295545E-2</v>
      </c>
      <c r="CH59" s="405">
        <f>CH13/Income!CH10</f>
        <v>8.680905266899698E-2</v>
      </c>
      <c r="CI59" s="405">
        <f>CI13/Income!CI10</f>
        <v>7.6170091490190842E-2</v>
      </c>
      <c r="CJ59" s="731"/>
      <c r="CK59" s="405">
        <f>CK13/Income!CK10</f>
        <v>9.2676031727210895E-2</v>
      </c>
      <c r="CL59" s="405">
        <f>CL13/Income!CL10</f>
        <v>0.1006632981471301</v>
      </c>
      <c r="CM59" s="405">
        <f>CM13/Income!CM10</f>
        <v>7.9845961613306288E-2</v>
      </c>
      <c r="CN59" s="405">
        <f>CN13/Income!CN10</f>
        <v>9.1719455222107837E-2</v>
      </c>
      <c r="CO59" s="731"/>
      <c r="CP59" s="405">
        <f>CP13/Income!CP10</f>
        <v>0.12534441416082093</v>
      </c>
      <c r="CQ59" s="405">
        <f>CQ13/Income!CQ10</f>
        <v>9.2619631240541983E-2</v>
      </c>
      <c r="CR59" s="405">
        <f>CR13/Income!CR10</f>
        <v>8.2193887191248427E-2</v>
      </c>
      <c r="CS59" s="405">
        <f>CS13/Income!CS10</f>
        <v>6.9800479471109012E-2</v>
      </c>
      <c r="CT59" s="732"/>
      <c r="CU59" s="405">
        <f>CU13/Income!CU10</f>
        <v>7.8748026343072916E-2</v>
      </c>
      <c r="CV59" s="405">
        <f>CV13/Income!CV10</f>
        <v>7.0643935164300162E-2</v>
      </c>
      <c r="CW59" s="405">
        <f>CW13/Income!CW10</f>
        <v>7.1984622777510804E-2</v>
      </c>
      <c r="CX59" s="405">
        <f>CX13/Income!CX10</f>
        <v>7.4834205781928426E-2</v>
      </c>
      <c r="CY59" s="732"/>
      <c r="CZ59" s="405">
        <f>CZ13/Income!CZ10</f>
        <v>9.3935559556439188E-2</v>
      </c>
      <c r="DA59" s="405">
        <f>DA13/Income!DA10</f>
        <v>8.7445166760227108E-2</v>
      </c>
      <c r="DB59" s="405">
        <f>DB13/Income!DB10</f>
        <v>0.11149319279754062</v>
      </c>
      <c r="DC59" s="405">
        <f>DC13/Income!DC10</f>
        <v>8.0496121564653841E-2</v>
      </c>
      <c r="DD59" s="732"/>
      <c r="DE59" s="405">
        <f>DE13/Income!DE10</f>
        <v>0</v>
      </c>
      <c r="DF59" s="405">
        <f>DF13/Income!DF10</f>
        <v>0</v>
      </c>
      <c r="DG59" s="405">
        <f>DG13/Income!DG10</f>
        <v>0</v>
      </c>
      <c r="DH59" s="405">
        <f>DH13/Income!DH10</f>
        <v>7.882462686567164E-2</v>
      </c>
      <c r="DI59" s="732"/>
      <c r="DJ59" s="405">
        <f>DJ13/Income!DJ10</f>
        <v>9.8334228909188609E-2</v>
      </c>
      <c r="DK59" s="405">
        <f>DK13/Income!DK10</f>
        <v>9.1931540342298293E-2</v>
      </c>
      <c r="DL59" s="405">
        <f>DL13/Income!DL10</f>
        <v>9.7594819611470859E-2</v>
      </c>
      <c r="DM59" s="405">
        <f>DM13/Income!DM10</f>
        <v>7.4324324324324328E-2</v>
      </c>
      <c r="DN59" s="732"/>
      <c r="DO59" s="1279">
        <f>DO13/Income!DO10</f>
        <v>0.10254237288135593</v>
      </c>
      <c r="DP59" s="405">
        <f>DP13/Income!DP10</f>
        <v>8.7313432835820895E-2</v>
      </c>
      <c r="DQ59" s="405">
        <f>DQ13/Income!DQ10</f>
        <v>7.9817158931082988E-2</v>
      </c>
      <c r="DR59" s="405">
        <f>DR13/Income!DR10</f>
        <v>6.3725490196078427E-2</v>
      </c>
      <c r="DS59" s="727"/>
      <c r="DT59" s="1279">
        <f>DT13/Income!DT10</f>
        <v>6.4984227129337546E-2</v>
      </c>
      <c r="DU59" s="405">
        <f>DU13/Income!DU10</f>
        <v>6.1121964833938038E-2</v>
      </c>
      <c r="DV59" s="1279">
        <f>DV13/Income!DV10</f>
        <v>5.5541721397312255E-2</v>
      </c>
      <c r="DW59" s="1279">
        <f>DW13/Income!DW10</f>
        <v>4.6107573907127504E-2</v>
      </c>
      <c r="DX59" s="727"/>
      <c r="DY59" s="1279">
        <f>DY13/Income!DY10</f>
        <v>5.4273457806813821E-2</v>
      </c>
      <c r="DZ59" s="1279">
        <f>DZ13/Income!DZ10</f>
        <v>4.8219350143892267E-2</v>
      </c>
      <c r="EA59" s="1279">
        <f>EA13/Income!EA10</f>
        <v>4.718123468107157E-2</v>
      </c>
      <c r="EB59" s="1279">
        <f>EB13/Income!EB10</f>
        <v>3.7019901459317002E-2</v>
      </c>
      <c r="EC59" s="727"/>
      <c r="ED59" s="1279">
        <f>ED13/Income!ED10</f>
        <v>4.4903676789118122E-2</v>
      </c>
      <c r="EE59" s="1279">
        <f>EE13/Income!EE10</f>
        <v>3.9926721676531683E-2</v>
      </c>
      <c r="EF59" s="1279">
        <f>EF13/Income!EF10</f>
        <v>3.911619325200965E-2</v>
      </c>
      <c r="EG59" s="1279">
        <f>EG13/Income!EG10</f>
        <v>3.0687512330527956E-2</v>
      </c>
      <c r="EH59" s="727"/>
      <c r="EI59" s="1279">
        <f>EI13/Income!EI10</f>
        <v>3.7890225090421795E-2</v>
      </c>
      <c r="EJ59" s="1279">
        <f>EJ13/Income!EJ10</f>
        <v>3.3685272716816296E-2</v>
      </c>
      <c r="EK59" s="1279">
        <f>EK13/Income!EK10</f>
        <v>3.3003385643790108E-2</v>
      </c>
      <c r="EL59" s="1279">
        <f>EL13/Income!EL10</f>
        <v>2.587859469998333E-2</v>
      </c>
      <c r="EM59" s="727"/>
      <c r="EN59" s="1279">
        <f>EN13/Income!EN10</f>
        <v>3.2298773125444255E-2</v>
      </c>
      <c r="EO59" s="1279">
        <f>EO13/Income!EO10</f>
        <v>2.8713783164232721E-2</v>
      </c>
      <c r="EP59" s="1279">
        <f>EP13/Income!EP10</f>
        <v>2.8130744760788536E-2</v>
      </c>
      <c r="EQ59" s="1279">
        <f>EQ13/Income!EQ10</f>
        <v>2.2055949019234272E-2</v>
      </c>
      <c r="ER59" s="727"/>
      <c r="EW59"/>
      <c r="EX59"/>
      <c r="EY59"/>
      <c r="EZ59"/>
      <c r="FA59"/>
    </row>
    <row r="60" spans="1:157" s="93" customFormat="1" ht="12" customHeight="1">
      <c r="A60" s="133"/>
      <c r="B60" s="133"/>
      <c r="C60" s="118"/>
      <c r="D60" s="372"/>
      <c r="E60" s="372"/>
      <c r="F60" s="372"/>
      <c r="G60" s="372"/>
      <c r="H60" s="372"/>
      <c r="M60" s="372"/>
      <c r="R60" s="372"/>
      <c r="W60" s="372"/>
      <c r="AB60" s="372"/>
      <c r="AG60" s="372"/>
      <c r="AL60" s="372"/>
      <c r="AQ60" s="372"/>
      <c r="AV60" s="372"/>
      <c r="BA60" s="372"/>
      <c r="BF60" s="372"/>
      <c r="BK60" s="372"/>
      <c r="BP60" s="372"/>
      <c r="BQ60" s="405"/>
      <c r="BR60" s="405"/>
      <c r="BS60" s="405"/>
      <c r="BT60" s="405"/>
      <c r="BU60" s="278"/>
      <c r="BV60" s="405"/>
      <c r="BW60" s="405"/>
      <c r="BX60" s="405"/>
      <c r="BY60" s="405"/>
      <c r="BZ60" s="278"/>
      <c r="CA60" s="405"/>
      <c r="CB60" s="405"/>
      <c r="CC60" s="405"/>
      <c r="CD60" s="405"/>
      <c r="CE60" s="278"/>
      <c r="CF60" s="405"/>
      <c r="CG60" s="405"/>
      <c r="CH60" s="405"/>
      <c r="CI60" s="405"/>
      <c r="CJ60" s="278"/>
      <c r="CK60" s="405"/>
      <c r="CL60" s="405"/>
      <c r="CM60" s="405"/>
      <c r="CN60" s="405"/>
      <c r="CO60" s="278"/>
      <c r="CP60" s="405"/>
      <c r="CQ60" s="405"/>
      <c r="CR60" s="405"/>
      <c r="CS60" s="405"/>
      <c r="CT60" s="727"/>
      <c r="CU60" s="405"/>
      <c r="CV60" s="405"/>
      <c r="CW60" s="405"/>
      <c r="CX60" s="406"/>
      <c r="CY60" s="727"/>
      <c r="CZ60" s="405"/>
      <c r="DA60" s="405"/>
      <c r="DB60" s="405"/>
      <c r="DC60" s="405"/>
      <c r="DD60" s="727"/>
      <c r="DE60" s="405"/>
      <c r="DF60" s="405"/>
      <c r="DG60" s="405"/>
      <c r="DH60" s="405"/>
      <c r="DI60" s="727"/>
      <c r="DJ60" s="405"/>
      <c r="DK60" s="405"/>
      <c r="DL60" s="405"/>
      <c r="DM60" s="405"/>
      <c r="DN60" s="727"/>
      <c r="DO60" s="1279"/>
      <c r="DP60" s="405"/>
      <c r="DQ60" s="405"/>
      <c r="DR60" s="405"/>
      <c r="DS60" s="727"/>
      <c r="DT60" s="1279"/>
      <c r="DU60" s="405"/>
      <c r="DV60" s="406"/>
      <c r="DW60" s="406"/>
      <c r="DX60" s="727"/>
      <c r="DY60" s="406"/>
      <c r="DZ60" s="406"/>
      <c r="EA60" s="406"/>
      <c r="EB60" s="406"/>
      <c r="EC60" s="727"/>
      <c r="ED60" s="406"/>
      <c r="EE60" s="406"/>
      <c r="EF60" s="406"/>
      <c r="EG60" s="406"/>
      <c r="EH60" s="727"/>
      <c r="EI60" s="406"/>
      <c r="EJ60" s="406"/>
      <c r="EK60" s="406"/>
      <c r="EL60" s="406"/>
      <c r="EM60" s="727"/>
      <c r="EN60" s="406"/>
      <c r="EO60" s="406"/>
      <c r="EP60" s="406"/>
      <c r="EQ60" s="406"/>
      <c r="ER60" s="727"/>
      <c r="EW60"/>
      <c r="EX60"/>
      <c r="EY60"/>
      <c r="EZ60"/>
      <c r="FA60"/>
    </row>
    <row r="61" spans="1:157" s="93" customFormat="1" ht="12" customHeight="1">
      <c r="A61" s="133"/>
      <c r="B61" s="133"/>
      <c r="C61" s="998" t="str">
        <f>Income!C10</f>
        <v>Total revenue</v>
      </c>
      <c r="D61" s="999">
        <f>Income!D10</f>
        <v>0</v>
      </c>
      <c r="E61" s="999">
        <f>Income!E10</f>
        <v>0</v>
      </c>
      <c r="F61" s="999">
        <f>Income!F10</f>
        <v>0</v>
      </c>
      <c r="G61" s="999">
        <f>Income!G10</f>
        <v>0</v>
      </c>
      <c r="H61" s="999">
        <f>Income!H10</f>
        <v>0</v>
      </c>
      <c r="I61" s="1000">
        <f>Income!I10</f>
        <v>0</v>
      </c>
      <c r="J61" s="1000">
        <f>Income!J10</f>
        <v>0</v>
      </c>
      <c r="K61" s="1000">
        <f>Income!K10</f>
        <v>0</v>
      </c>
      <c r="L61" s="1000">
        <f>Income!L10</f>
        <v>0</v>
      </c>
      <c r="M61" s="999">
        <f>Income!M10</f>
        <v>0</v>
      </c>
      <c r="N61" s="1000">
        <f>Income!N10</f>
        <v>0</v>
      </c>
      <c r="O61" s="1000">
        <f>Income!O10</f>
        <v>0</v>
      </c>
      <c r="P61" s="1000">
        <f>Income!P10</f>
        <v>0</v>
      </c>
      <c r="Q61" s="1000">
        <f>Income!Q10</f>
        <v>0</v>
      </c>
      <c r="R61" s="999">
        <f>Income!R10</f>
        <v>0</v>
      </c>
      <c r="S61" s="1000">
        <f>Income!S10</f>
        <v>0</v>
      </c>
      <c r="T61" s="1000">
        <f>Income!T10</f>
        <v>0</v>
      </c>
      <c r="U61" s="1000">
        <f>Income!U10</f>
        <v>0</v>
      </c>
      <c r="V61" s="1000">
        <f>Income!V10</f>
        <v>0</v>
      </c>
      <c r="W61" s="999">
        <f>Income!W10</f>
        <v>0</v>
      </c>
      <c r="X61" s="1000">
        <f>Income!X10</f>
        <v>0</v>
      </c>
      <c r="Y61" s="1000">
        <f>Income!Y10</f>
        <v>0</v>
      </c>
      <c r="Z61" s="1000">
        <f>Income!Z10</f>
        <v>0</v>
      </c>
      <c r="AA61" s="1000">
        <f>Income!AA10</f>
        <v>0</v>
      </c>
      <c r="AB61" s="999">
        <f>Income!AB10</f>
        <v>0</v>
      </c>
      <c r="AC61" s="1000">
        <f>Income!AC10</f>
        <v>0</v>
      </c>
      <c r="AD61" s="1000">
        <f>Income!AD10</f>
        <v>0</v>
      </c>
      <c r="AE61" s="1000">
        <f>Income!AE10</f>
        <v>0</v>
      </c>
      <c r="AF61" s="1000">
        <f>Income!AF10</f>
        <v>0</v>
      </c>
      <c r="AG61" s="999">
        <f>Income!AG10</f>
        <v>0</v>
      </c>
      <c r="AH61" s="1000">
        <f>Income!AH10</f>
        <v>0</v>
      </c>
      <c r="AI61" s="1000">
        <f>Income!AI10</f>
        <v>0</v>
      </c>
      <c r="AJ61" s="1000">
        <f>Income!AJ10</f>
        <v>0</v>
      </c>
      <c r="AK61" s="1000">
        <f>Income!AK10</f>
        <v>0</v>
      </c>
      <c r="AL61" s="999">
        <f>Income!AL10</f>
        <v>0</v>
      </c>
      <c r="AM61" s="1000">
        <f>Income!AM10</f>
        <v>0</v>
      </c>
      <c r="AN61" s="1000">
        <f>Income!AN10</f>
        <v>0</v>
      </c>
      <c r="AO61" s="1000">
        <f>Income!AO10</f>
        <v>0</v>
      </c>
      <c r="AP61" s="1000">
        <f>Income!AP10</f>
        <v>0</v>
      </c>
      <c r="AQ61" s="999">
        <f>Income!AQ10</f>
        <v>0</v>
      </c>
      <c r="AR61" s="1000">
        <f>Income!AR10</f>
        <v>0</v>
      </c>
      <c r="AS61" s="1000">
        <f>Income!AS10</f>
        <v>0</v>
      </c>
      <c r="AT61" s="1000">
        <f>Income!AT10</f>
        <v>0</v>
      </c>
      <c r="AU61" s="1000">
        <f>Income!AU10</f>
        <v>0</v>
      </c>
      <c r="AV61" s="999">
        <f>Income!AV10</f>
        <v>0</v>
      </c>
      <c r="AW61" s="1000">
        <f>Income!AW10</f>
        <v>0</v>
      </c>
      <c r="AX61" s="1000">
        <f>Income!AX10</f>
        <v>0</v>
      </c>
      <c r="AY61" s="1000">
        <f>Income!AY10</f>
        <v>0</v>
      </c>
      <c r="AZ61" s="1000">
        <f>Income!AZ10</f>
        <v>0</v>
      </c>
      <c r="BA61" s="999">
        <f>Income!BA10</f>
        <v>0</v>
      </c>
      <c r="BB61" s="1000">
        <f>Income!BB10</f>
        <v>0</v>
      </c>
      <c r="BC61" s="1000">
        <f>Income!BC10</f>
        <v>0</v>
      </c>
      <c r="BD61" s="1000">
        <f>Income!BD10</f>
        <v>0</v>
      </c>
      <c r="BE61" s="1000">
        <f>Income!BE10</f>
        <v>0</v>
      </c>
      <c r="BF61" s="999">
        <f>Income!BF10</f>
        <v>0</v>
      </c>
      <c r="BG61" s="1000">
        <f>Income!BG10</f>
        <v>0</v>
      </c>
      <c r="BH61" s="1000">
        <f>Income!BH10</f>
        <v>0</v>
      </c>
      <c r="BI61" s="1000">
        <f>Income!BI10</f>
        <v>0</v>
      </c>
      <c r="BJ61" s="1000">
        <f>Income!BJ10</f>
        <v>0</v>
      </c>
      <c r="BK61" s="999">
        <f>Income!BK10</f>
        <v>0</v>
      </c>
      <c r="BL61" s="1000">
        <f>Income!BL10</f>
        <v>0</v>
      </c>
      <c r="BM61" s="1000">
        <f>Income!BM10</f>
        <v>0</v>
      </c>
      <c r="BN61" s="1000">
        <f>Income!BN10</f>
        <v>0</v>
      </c>
      <c r="BO61" s="1000">
        <f>Income!BO10</f>
        <v>0</v>
      </c>
      <c r="BP61" s="999">
        <f>Income!BP10</f>
        <v>0</v>
      </c>
      <c r="BQ61" s="1001">
        <f>Income!BQ10</f>
        <v>37.347999999999999</v>
      </c>
      <c r="BR61" s="1001">
        <f>Income!BR10</f>
        <v>44.926000000000002</v>
      </c>
      <c r="BS61" s="1001">
        <f>Income!BS10</f>
        <v>52.786000000000001</v>
      </c>
      <c r="BT61" s="1001">
        <f>Income!BT10</f>
        <v>70.173000000000002</v>
      </c>
      <c r="BU61" s="1002">
        <f>Income!BU10</f>
        <v>205.233</v>
      </c>
      <c r="BV61" s="1003">
        <f>Income!BV10</f>
        <v>72.722000000000008</v>
      </c>
      <c r="BW61" s="1003">
        <f>Income!BW10</f>
        <v>86.646999999999991</v>
      </c>
      <c r="BX61" s="1003">
        <f>Income!BX10</f>
        <v>99.578000000000003</v>
      </c>
      <c r="BY61" s="1003">
        <f>Income!BY10</f>
        <v>130.38299999999998</v>
      </c>
      <c r="BZ61" s="1002">
        <f>Income!BZ10</f>
        <v>389.33</v>
      </c>
      <c r="CA61" s="1003">
        <f>Income!CA10</f>
        <v>127.379</v>
      </c>
      <c r="CB61" s="1003">
        <f>Income!CB10</f>
        <v>151.655</v>
      </c>
      <c r="CC61" s="1003">
        <f>Income!CC10</f>
        <v>171.45600000000002</v>
      </c>
      <c r="CD61" s="1003">
        <f>Income!CD10</f>
        <v>222.81399999999999</v>
      </c>
      <c r="CE61" s="1002">
        <f>Income!CE10</f>
        <v>673.30399999999997</v>
      </c>
      <c r="CF61" s="1003">
        <f>Income!CF10</f>
        <v>214.33999999999997</v>
      </c>
      <c r="CG61" s="1003">
        <f>Income!CG10</f>
        <v>244.96299999999999</v>
      </c>
      <c r="CH61" s="1003">
        <f>Income!CH10</f>
        <v>270.06399999999996</v>
      </c>
      <c r="CI61" s="1003">
        <f>Income!CI10</f>
        <v>343.86199999999997</v>
      </c>
      <c r="CJ61" s="1002">
        <f>Income!CJ10</f>
        <v>1073.2289999999998</v>
      </c>
      <c r="CK61" s="1003">
        <f>Income!CK10</f>
        <v>320.48199999999997</v>
      </c>
      <c r="CL61" s="1003">
        <f>Income!CL10</f>
        <v>361.97899999999998</v>
      </c>
      <c r="CM61" s="1003">
        <f>Income!CM10</f>
        <v>390.55200000000002</v>
      </c>
      <c r="CN61" s="1003">
        <f>Income!CN10</f>
        <v>505.16</v>
      </c>
      <c r="CO61" s="1002">
        <f>Income!CO10</f>
        <v>1578.173</v>
      </c>
      <c r="CP61" s="1003">
        <f>Income!CP10</f>
        <v>470.00099999999998</v>
      </c>
      <c r="CQ61" s="1003">
        <f>Income!CQ10</f>
        <v>714.34100000000001</v>
      </c>
      <c r="CR61" s="1003">
        <f>Income!CR10</f>
        <v>767.40499999999997</v>
      </c>
      <c r="CS61" s="1003">
        <f>Income!CS10</f>
        <v>977.74399999999991</v>
      </c>
      <c r="CT61" s="1002">
        <f>Income!CT10</f>
        <v>2929.491</v>
      </c>
      <c r="CU61" s="1003">
        <f>Income!CU10</f>
        <v>988.64699999999993</v>
      </c>
      <c r="CV61" s="1003">
        <f>Income!CV10</f>
        <v>1119.4449999999999</v>
      </c>
      <c r="CW61" s="1003">
        <f>Income!CW10</f>
        <v>1123.74</v>
      </c>
      <c r="CX61" s="1003">
        <f>Income!CX10</f>
        <v>1380.0240000000001</v>
      </c>
      <c r="CY61" s="1002">
        <f>Income!CY10</f>
        <v>4611.8559999999998</v>
      </c>
      <c r="CZ61" s="1003">
        <f>Income!CZ10</f>
        <v>1203.623</v>
      </c>
      <c r="DA61" s="1003">
        <f>Income!DA10</f>
        <v>1295.0630000000001</v>
      </c>
      <c r="DB61" s="1003">
        <f>Income!DB10</f>
        <v>1366.2</v>
      </c>
      <c r="DC61" s="1003">
        <f>Income!DC10</f>
        <v>1734.9780000000001</v>
      </c>
      <c r="DD61" s="1002">
        <f>Income!DD10</f>
        <v>5599.8640000000005</v>
      </c>
      <c r="DE61" s="1003">
        <f>Income!DE10</f>
        <v>1508</v>
      </c>
      <c r="DF61" s="1003">
        <f>Income!DF10</f>
        <v>1694</v>
      </c>
      <c r="DG61" s="1003">
        <f>Income!DG10</f>
        <v>1714</v>
      </c>
      <c r="DH61" s="1003">
        <f>Income!DH10</f>
        <v>2144</v>
      </c>
      <c r="DI61" s="1002">
        <f>Income!DI10</f>
        <v>7060</v>
      </c>
      <c r="DJ61" s="1003">
        <f>Income!DJ10</f>
        <v>1861</v>
      </c>
      <c r="DK61" s="1003">
        <f>Income!DK10</f>
        <v>2045</v>
      </c>
      <c r="DL61" s="1003">
        <f>Income!DL10</f>
        <v>2162</v>
      </c>
      <c r="DM61" s="1003">
        <f>Income!DM10</f>
        <v>2812</v>
      </c>
      <c r="DN61" s="1002">
        <f>Income!DN10</f>
        <v>8880</v>
      </c>
      <c r="DO61" s="1003">
        <f>Income!DO10</f>
        <v>2360</v>
      </c>
      <c r="DP61" s="1003">
        <f>Income!DP10</f>
        <v>2680</v>
      </c>
      <c r="DQ61" s="1003">
        <f>Income!DQ10</f>
        <v>2844</v>
      </c>
      <c r="DR61" s="1003">
        <f>Income!DR10</f>
        <v>3672</v>
      </c>
      <c r="DS61" s="1002">
        <f>Income!DS10</f>
        <v>11556</v>
      </c>
      <c r="DT61" s="1003">
        <f>Income!DT10</f>
        <v>3170</v>
      </c>
      <c r="DU61" s="1003">
        <f>Income!DU10</f>
        <v>3583</v>
      </c>
      <c r="DV61" s="1003">
        <f>Income!DV10</f>
        <v>3708.9235770421878</v>
      </c>
      <c r="DW61" s="1003">
        <f>Income!DW10</f>
        <v>4749.7619467274999</v>
      </c>
      <c r="DX61" s="1002">
        <f>Income!DX10</f>
        <v>15211.685523769687</v>
      </c>
      <c r="DY61" s="1003">
        <f>Income!DY10</f>
        <v>4035.1215649375008</v>
      </c>
      <c r="DZ61" s="1003">
        <f>Income!DZ10</f>
        <v>4541.7451572134005</v>
      </c>
      <c r="EA61" s="1003">
        <f>Income!EA10</f>
        <v>4641.6759010306196</v>
      </c>
      <c r="EB61" s="1003">
        <f>Income!EB10</f>
        <v>5915.7369784106504</v>
      </c>
      <c r="EC61" s="1002">
        <f>Income!EC10</f>
        <v>19134.27960159217</v>
      </c>
      <c r="ED61" s="1003">
        <f>Income!ED10</f>
        <v>4877.1061895107905</v>
      </c>
      <c r="EE61" s="1003">
        <f>Income!EE10</f>
        <v>5485.0483787334051</v>
      </c>
      <c r="EF61" s="1003">
        <f>Income!EF10</f>
        <v>5598.7043163702683</v>
      </c>
      <c r="EG61" s="1003">
        <f>Income!EG10</f>
        <v>7136.4533443181272</v>
      </c>
      <c r="EH61" s="1002">
        <f>Income!EH10</f>
        <v>23097.312228932591</v>
      </c>
      <c r="EI61" s="1003">
        <f>Income!EI10</f>
        <v>5779.8548168393081</v>
      </c>
      <c r="EJ61" s="1003">
        <f>Income!EJ10</f>
        <v>6501.3574876201383</v>
      </c>
      <c r="EK61" s="1003">
        <f>Income!EK10</f>
        <v>6635.6828467144514</v>
      </c>
      <c r="EL61" s="1003">
        <f>Income!EL10</f>
        <v>8462.5924451817737</v>
      </c>
      <c r="EM61" s="1002">
        <f>Income!EM10</f>
        <v>27379.487596355673</v>
      </c>
      <c r="EN61" s="1003">
        <f>Income!EN10</f>
        <v>6780.4433050578218</v>
      </c>
      <c r="EO61" s="1003">
        <f>Income!EO10</f>
        <v>7626.9991574219666</v>
      </c>
      <c r="EP61" s="1003">
        <f>Income!EP10</f>
        <v>7785.0765012543943</v>
      </c>
      <c r="EQ61" s="1003">
        <f>Income!EQ10</f>
        <v>9929.2938974884855</v>
      </c>
      <c r="ER61" s="1002">
        <f>Income!ER10</f>
        <v>32121.812861222668</v>
      </c>
      <c r="EW61"/>
      <c r="EX61"/>
      <c r="EY61"/>
      <c r="EZ61"/>
      <c r="FA61"/>
    </row>
    <row r="62" spans="1:157" s="93" customFormat="1" ht="12" customHeight="1">
      <c r="A62" s="133"/>
      <c r="B62" s="133"/>
      <c r="C62" s="998" t="str">
        <f>Income!C41</f>
        <v>Total operating costs</v>
      </c>
      <c r="D62" s="999">
        <f>Income!D41</f>
        <v>0</v>
      </c>
      <c r="E62" s="999">
        <f>Income!E41</f>
        <v>0</v>
      </c>
      <c r="F62" s="999">
        <f>Income!F41</f>
        <v>0</v>
      </c>
      <c r="G62" s="999">
        <f>Income!G41</f>
        <v>0</v>
      </c>
      <c r="H62" s="999">
        <f>Income!H41</f>
        <v>0</v>
      </c>
      <c r="I62" s="1000">
        <f>Income!I41</f>
        <v>0</v>
      </c>
      <c r="J62" s="1000">
        <f>Income!J41</f>
        <v>0</v>
      </c>
      <c r="K62" s="1000">
        <f>Income!K41</f>
        <v>0</v>
      </c>
      <c r="L62" s="1000">
        <f>Income!L41</f>
        <v>0</v>
      </c>
      <c r="M62" s="999">
        <f>Income!M41</f>
        <v>0</v>
      </c>
      <c r="N62" s="1000">
        <f>Income!N41</f>
        <v>0</v>
      </c>
      <c r="O62" s="1000">
        <f>Income!O41</f>
        <v>0</v>
      </c>
      <c r="P62" s="1000">
        <f>Income!P41</f>
        <v>0</v>
      </c>
      <c r="Q62" s="1000">
        <f>Income!Q41</f>
        <v>0</v>
      </c>
      <c r="R62" s="999">
        <f>Income!R41</f>
        <v>0</v>
      </c>
      <c r="S62" s="1000">
        <f>Income!S41</f>
        <v>0</v>
      </c>
      <c r="T62" s="1000">
        <f>Income!T41</f>
        <v>0</v>
      </c>
      <c r="U62" s="1000">
        <f>Income!U41</f>
        <v>0</v>
      </c>
      <c r="V62" s="1000">
        <f>Income!V41</f>
        <v>0</v>
      </c>
      <c r="W62" s="999">
        <f>Income!W41</f>
        <v>0</v>
      </c>
      <c r="X62" s="1000">
        <f>Income!X41</f>
        <v>0</v>
      </c>
      <c r="Y62" s="1000">
        <f>Income!Y41</f>
        <v>0</v>
      </c>
      <c r="Z62" s="1000">
        <f>Income!Z41</f>
        <v>0</v>
      </c>
      <c r="AA62" s="1000">
        <f>Income!AA41</f>
        <v>0</v>
      </c>
      <c r="AB62" s="999">
        <f>Income!AB41</f>
        <v>0</v>
      </c>
      <c r="AC62" s="1000">
        <f>Income!AC41</f>
        <v>0</v>
      </c>
      <c r="AD62" s="1000">
        <f>Income!AD41</f>
        <v>0</v>
      </c>
      <c r="AE62" s="1000">
        <f>Income!AE41</f>
        <v>0</v>
      </c>
      <c r="AF62" s="1000">
        <f>Income!AF41</f>
        <v>0</v>
      </c>
      <c r="AG62" s="999">
        <f>Income!AG41</f>
        <v>0</v>
      </c>
      <c r="AH62" s="1000">
        <f>Income!AH41</f>
        <v>0</v>
      </c>
      <c r="AI62" s="1000">
        <f>Income!AI41</f>
        <v>0</v>
      </c>
      <c r="AJ62" s="1000">
        <f>Income!AJ41</f>
        <v>0</v>
      </c>
      <c r="AK62" s="1000">
        <f>Income!AK41</f>
        <v>0</v>
      </c>
      <c r="AL62" s="999">
        <f>Income!AL41</f>
        <v>0</v>
      </c>
      <c r="AM62" s="1000">
        <f>Income!AM41</f>
        <v>0</v>
      </c>
      <c r="AN62" s="1000">
        <f>Income!AN41</f>
        <v>0</v>
      </c>
      <c r="AO62" s="1000">
        <f>Income!AO41</f>
        <v>0</v>
      </c>
      <c r="AP62" s="1000">
        <f>Income!AP41</f>
        <v>0</v>
      </c>
      <c r="AQ62" s="999">
        <f>Income!AQ41</f>
        <v>0</v>
      </c>
      <c r="AR62" s="1000">
        <f>Income!AR41</f>
        <v>0</v>
      </c>
      <c r="AS62" s="1000">
        <f>Income!AS41</f>
        <v>0</v>
      </c>
      <c r="AT62" s="1000">
        <f>Income!AT41</f>
        <v>0</v>
      </c>
      <c r="AU62" s="1000">
        <f>Income!AU41</f>
        <v>0</v>
      </c>
      <c r="AV62" s="999">
        <f>Income!AV41</f>
        <v>0</v>
      </c>
      <c r="AW62" s="1000">
        <f>Income!AW41</f>
        <v>0</v>
      </c>
      <c r="AX62" s="1000">
        <f>Income!AX41</f>
        <v>0</v>
      </c>
      <c r="AY62" s="1000">
        <f>Income!AY41</f>
        <v>0</v>
      </c>
      <c r="AZ62" s="1000">
        <f>Income!AZ41</f>
        <v>0</v>
      </c>
      <c r="BA62" s="999">
        <f>Income!BA41</f>
        <v>0</v>
      </c>
      <c r="BB62" s="1000">
        <f>Income!BB41</f>
        <v>0</v>
      </c>
      <c r="BC62" s="1000">
        <f>Income!BC41</f>
        <v>0</v>
      </c>
      <c r="BD62" s="1000">
        <f>Income!BD41</f>
        <v>0</v>
      </c>
      <c r="BE62" s="1000">
        <f>Income!BE41</f>
        <v>0</v>
      </c>
      <c r="BF62" s="999">
        <f>Income!BF41</f>
        <v>0</v>
      </c>
      <c r="BG62" s="1000">
        <f>Income!BG41</f>
        <v>0</v>
      </c>
      <c r="BH62" s="1000">
        <f>Income!BH41</f>
        <v>0</v>
      </c>
      <c r="BI62" s="1000">
        <f>Income!BI41</f>
        <v>0</v>
      </c>
      <c r="BJ62" s="1000">
        <f>Income!BJ41</f>
        <v>0</v>
      </c>
      <c r="BK62" s="999">
        <f>Income!BK41</f>
        <v>0</v>
      </c>
      <c r="BL62" s="1000">
        <f>Income!BL41</f>
        <v>0</v>
      </c>
      <c r="BM62" s="1000">
        <f>Income!BM41</f>
        <v>0</v>
      </c>
      <c r="BN62" s="1000">
        <f>Income!BN41</f>
        <v>0</v>
      </c>
      <c r="BO62" s="1000">
        <f>Income!BO41</f>
        <v>0</v>
      </c>
      <c r="BP62" s="999">
        <f>Income!BP41</f>
        <v>0</v>
      </c>
      <c r="BQ62" s="1001">
        <f>Income!BQ41</f>
        <v>-25.041999999999998</v>
      </c>
      <c r="BR62" s="1001">
        <f>Income!BR41</f>
        <v>-28.713000000000001</v>
      </c>
      <c r="BS62" s="1001">
        <f>Income!BS41</f>
        <v>-33.042999999999999</v>
      </c>
      <c r="BT62" s="1001">
        <f>Income!BT41</f>
        <v>-42.985999999999997</v>
      </c>
      <c r="BU62" s="1002">
        <f>Income!BU41</f>
        <v>-129.78399999999999</v>
      </c>
      <c r="BV62" s="1003">
        <f>Income!BV41</f>
        <v>-49.796999999999997</v>
      </c>
      <c r="BW62" s="1003">
        <f>Income!BW41</f>
        <v>-56.181999999999995</v>
      </c>
      <c r="BX62" s="1003">
        <f>Income!BX41</f>
        <v>-63.241000000000007</v>
      </c>
      <c r="BY62" s="1003">
        <f>Income!BY41</f>
        <v>-77.44</v>
      </c>
      <c r="BZ62" s="1002">
        <f>Income!BZ41</f>
        <v>-246.66</v>
      </c>
      <c r="CA62" s="1003">
        <f>Income!CA41</f>
        <v>-86.701999999999998</v>
      </c>
      <c r="CB62" s="1003">
        <f>Income!CB41</f>
        <v>-102.747</v>
      </c>
      <c r="CC62" s="1003">
        <f>Income!CC41</f>
        <v>-112.703</v>
      </c>
      <c r="CD62" s="1003">
        <f>Income!CD41</f>
        <v>-127.25800000000001</v>
      </c>
      <c r="CE62" s="1002">
        <f>Income!CE41</f>
        <v>-429.41000000000008</v>
      </c>
      <c r="CF62" s="1003">
        <f>Income!CF41</f>
        <v>-144.17500000000001</v>
      </c>
      <c r="CG62" s="1003">
        <f>Income!CG41</f>
        <v>-167.71600000000001</v>
      </c>
      <c r="CH62" s="1003">
        <f>Income!CH41</f>
        <v>-181.095</v>
      </c>
      <c r="CI62" s="1003">
        <f>Income!CI41</f>
        <v>-195.20100000000002</v>
      </c>
      <c r="CJ62" s="1002">
        <f>Income!CJ41</f>
        <v>-688.18700000000001</v>
      </c>
      <c r="CK62" s="1003">
        <f>Income!CK41</f>
        <v>-216.08100000000002</v>
      </c>
      <c r="CL62" s="1003">
        <f>Income!CL41</f>
        <v>-244.38499999999999</v>
      </c>
      <c r="CM62" s="1003">
        <f>Income!CM41</f>
        <v>-252.35399999999998</v>
      </c>
      <c r="CN62" s="1003">
        <f>Income!CN41</f>
        <v>-293.96999999999997</v>
      </c>
      <c r="CO62" s="1002">
        <f>Income!CO41</f>
        <v>-1006.79</v>
      </c>
      <c r="CP62" s="1003">
        <f>Income!CP41</f>
        <v>-330.18299999999999</v>
      </c>
      <c r="CQ62" s="1003">
        <f>Income!CQ41</f>
        <v>-374.75</v>
      </c>
      <c r="CR62" s="1003">
        <f>Income!CR41</f>
        <v>-354.58699999999993</v>
      </c>
      <c r="CS62" s="1003">
        <f>Income!CS41</f>
        <v>-391.84699999999998</v>
      </c>
      <c r="CT62" s="1002">
        <f>Income!CT41</f>
        <v>-1451.367</v>
      </c>
      <c r="CU62" s="1003">
        <f>Income!CU41</f>
        <v>-439.81700000000001</v>
      </c>
      <c r="CV62" s="1003">
        <f>Income!CV41</f>
        <v>-481.41899999999998</v>
      </c>
      <c r="CW62" s="1003">
        <f>Income!CW41</f>
        <v>-613.01</v>
      </c>
      <c r="CX62" s="1003">
        <f>Income!CX41</f>
        <v>-678.25499999999988</v>
      </c>
      <c r="CY62" s="1002">
        <f>Income!CY41</f>
        <v>-2212.5010000000002</v>
      </c>
      <c r="CZ62" s="1003">
        <f>Income!CZ41</f>
        <v>-735.61299999999994</v>
      </c>
      <c r="DA62" s="1003">
        <f>Income!DA41</f>
        <v>-845.85</v>
      </c>
      <c r="DB62" s="1003">
        <f>Income!DB41</f>
        <v>-1007.6980000000001</v>
      </c>
      <c r="DC62" s="1003">
        <f>Income!DC41</f>
        <v>-987.25700000000006</v>
      </c>
      <c r="DD62" s="1002">
        <f>Income!DD41</f>
        <v>-3576.4180000000001</v>
      </c>
      <c r="DE62" s="1003">
        <f>Income!DE41</f>
        <v>-910</v>
      </c>
      <c r="DF62" s="1003">
        <f>Income!DF41</f>
        <v>-2471</v>
      </c>
      <c r="DG62" s="1003">
        <f>Income!DG41</f>
        <v>-779</v>
      </c>
      <c r="DH62" s="1003">
        <f>Income!DH41</f>
        <v>-773</v>
      </c>
      <c r="DI62" s="1002">
        <f>Income!DI41</f>
        <v>-4933</v>
      </c>
      <c r="DJ62" s="1003">
        <f>Income!DJ41</f>
        <v>-871</v>
      </c>
      <c r="DK62" s="1003">
        <f>Income!DK41</f>
        <v>-804</v>
      </c>
      <c r="DL62" s="1003">
        <f>Income!DL41</f>
        <v>-835</v>
      </c>
      <c r="DM62" s="1003">
        <f>Income!DM41</f>
        <v>-887</v>
      </c>
      <c r="DN62" s="1002">
        <f>Income!DN41</f>
        <v>-3397</v>
      </c>
      <c r="DO62" s="1003">
        <f>Income!DO41</f>
        <v>-966</v>
      </c>
      <c r="DP62" s="1003">
        <f>Income!DP41</f>
        <v>-1011</v>
      </c>
      <c r="DQ62" s="1003">
        <f>Income!DQ41</f>
        <v>-1048</v>
      </c>
      <c r="DR62" s="1003">
        <f>Income!DR41</f>
        <v>-1062</v>
      </c>
      <c r="DS62" s="1002">
        <f>Income!DS41</f>
        <v>-4087</v>
      </c>
      <c r="DT62" s="1003">
        <f>Income!DT41</f>
        <v>-1164</v>
      </c>
      <c r="DU62" s="1003">
        <f>Income!DU41</f>
        <v>-1220</v>
      </c>
      <c r="DV62" s="1003">
        <f>Income!DV41</f>
        <v>-1246.0190103593661</v>
      </c>
      <c r="DW62" s="1003">
        <f>Income!DW41</f>
        <v>-1326.6715991065253</v>
      </c>
      <c r="DX62" s="1002">
        <f>Income!DX41</f>
        <v>-4956.6906094658916</v>
      </c>
      <c r="DY62" s="1003">
        <f>Income!DY41</f>
        <v>-1412.0983251893795</v>
      </c>
      <c r="DZ62" s="1003">
        <f>Income!DZ41</f>
        <v>-1455.6147456975818</v>
      </c>
      <c r="EA62" s="1003">
        <f>Income!EA41</f>
        <v>-1466.5451783782603</v>
      </c>
      <c r="EB62" s="1003">
        <f>Income!EB41</f>
        <v>-1534.0291726248934</v>
      </c>
      <c r="EC62" s="1002">
        <f>Income!EC41</f>
        <v>-5868.2874218901152</v>
      </c>
      <c r="ED62" s="1003">
        <f>Income!ED41</f>
        <v>-1677.4897794002584</v>
      </c>
      <c r="EE62" s="1003">
        <f>Income!EE41</f>
        <v>-1725.0301102954807</v>
      </c>
      <c r="EF62" s="1003">
        <f>Income!EF41</f>
        <v>-1735.3276632554544</v>
      </c>
      <c r="EG62" s="1003">
        <f>Income!EG41</f>
        <v>-1807.7584200627425</v>
      </c>
      <c r="EH62" s="1002">
        <f>Income!EH41</f>
        <v>-6945.6059730139359</v>
      </c>
      <c r="EI62" s="1003">
        <f>Income!EI41</f>
        <v>-1953.312726293291</v>
      </c>
      <c r="EJ62" s="1003">
        <f>Income!EJ41</f>
        <v>-2005.6479181680138</v>
      </c>
      <c r="EK62" s="1003">
        <f>Income!EK41</f>
        <v>-2016.9267768436835</v>
      </c>
      <c r="EL62" s="1003">
        <f>Income!EL41</f>
        <v>-2092.9115137123745</v>
      </c>
      <c r="EM62" s="1002">
        <f>Income!EM41</f>
        <v>-8068.7989350173621</v>
      </c>
      <c r="EN62" s="1003">
        <f>Income!EN41</f>
        <v>-2250.7808141470487</v>
      </c>
      <c r="EO62" s="1003">
        <f>Income!EO41</f>
        <v>-2307.1427654968375</v>
      </c>
      <c r="EP62" s="1003">
        <f>Income!EP41</f>
        <v>-2319.5764202593264</v>
      </c>
      <c r="EQ62" s="1003">
        <f>Income!EQ41</f>
        <v>-2396.0705005350019</v>
      </c>
      <c r="ER62" s="1002">
        <f>Income!ER41</f>
        <v>-9273.5705004382144</v>
      </c>
      <c r="EW62"/>
      <c r="EX62"/>
      <c r="EY62"/>
      <c r="EZ62"/>
      <c r="FA62"/>
    </row>
    <row r="63" spans="1:157" s="93" customFormat="1" ht="12" customHeight="1">
      <c r="A63" s="133"/>
      <c r="B63" s="133"/>
      <c r="C63" s="118" t="s">
        <v>282</v>
      </c>
      <c r="D63" s="729"/>
      <c r="E63" s="729"/>
      <c r="F63" s="729"/>
      <c r="G63" s="729"/>
      <c r="H63" s="729"/>
      <c r="I63" s="91"/>
      <c r="J63" s="91"/>
      <c r="K63" s="91"/>
      <c r="L63" s="91"/>
      <c r="M63" s="729"/>
      <c r="N63" s="91"/>
      <c r="O63" s="91"/>
      <c r="P63" s="91"/>
      <c r="Q63" s="91"/>
      <c r="R63" s="729"/>
      <c r="S63" s="91"/>
      <c r="T63" s="91"/>
      <c r="U63" s="91"/>
      <c r="V63" s="91"/>
      <c r="W63" s="729"/>
      <c r="X63" s="91"/>
      <c r="Y63" s="91"/>
      <c r="Z63" s="91"/>
      <c r="AA63" s="91"/>
      <c r="AB63" s="729"/>
      <c r="AC63" s="91"/>
      <c r="AD63" s="91"/>
      <c r="AE63" s="91"/>
      <c r="AF63" s="91"/>
      <c r="AG63" s="729"/>
      <c r="AH63" s="91"/>
      <c r="AI63" s="91"/>
      <c r="AJ63" s="91"/>
      <c r="AK63" s="91"/>
      <c r="AL63" s="729"/>
      <c r="AM63" s="91"/>
      <c r="AN63" s="91"/>
      <c r="AO63" s="91"/>
      <c r="AP63" s="91"/>
      <c r="AQ63" s="729"/>
      <c r="AR63" s="91"/>
      <c r="AS63" s="91"/>
      <c r="AT63" s="91"/>
      <c r="AU63" s="91"/>
      <c r="AV63" s="729"/>
      <c r="AW63" s="91"/>
      <c r="AX63" s="91"/>
      <c r="AY63" s="91"/>
      <c r="AZ63" s="91"/>
      <c r="BA63" s="729"/>
      <c r="BB63" s="91"/>
      <c r="BC63" s="91"/>
      <c r="BD63" s="91"/>
      <c r="BE63" s="91"/>
      <c r="BF63" s="729"/>
      <c r="BG63" s="91"/>
      <c r="BH63" s="91"/>
      <c r="BI63" s="91"/>
      <c r="BJ63" s="91"/>
      <c r="BK63" s="729"/>
      <c r="BL63" s="91"/>
      <c r="BM63" s="91"/>
      <c r="BN63" s="91"/>
      <c r="BO63" s="91"/>
      <c r="BP63" s="729"/>
      <c r="BQ63" s="405"/>
      <c r="BR63" s="405"/>
      <c r="BS63" s="405"/>
      <c r="BT63" s="405"/>
      <c r="BU63" s="731"/>
      <c r="BV63" s="405"/>
      <c r="BW63" s="405"/>
      <c r="BX63" s="405"/>
      <c r="BY63" s="405"/>
      <c r="BZ63" s="731"/>
      <c r="CA63" s="405"/>
      <c r="CB63" s="405"/>
      <c r="CC63" s="405"/>
      <c r="CD63" s="405"/>
      <c r="CE63" s="731"/>
      <c r="CF63" s="405"/>
      <c r="CG63" s="405"/>
      <c r="CH63" s="405"/>
      <c r="CI63" s="405"/>
      <c r="CJ63" s="731"/>
      <c r="CK63" s="405">
        <f>CK29/-CK62</f>
        <v>0</v>
      </c>
      <c r="CL63" s="405">
        <f>CL29/-CL62</f>
        <v>0</v>
      </c>
      <c r="CM63" s="405">
        <f>CM29/-CM62</f>
        <v>0.2639823422652306</v>
      </c>
      <c r="CN63" s="405">
        <f>CN29/-CN62</f>
        <v>0.23618736605776103</v>
      </c>
      <c r="CO63" s="731"/>
      <c r="CP63" s="405">
        <f>CP29/-CP62</f>
        <v>4.4248189640290385E-3</v>
      </c>
      <c r="CQ63" s="405">
        <f>CQ29/-CQ62</f>
        <v>2.8338892595063379E-3</v>
      </c>
      <c r="CR63" s="405">
        <f>CR29/-CR62</f>
        <v>2.2533257000397653E-3</v>
      </c>
      <c r="CS63" s="405">
        <f>CS29/-CS62</f>
        <v>5.0216028194678027E-2</v>
      </c>
      <c r="CT63" s="732"/>
      <c r="CU63" s="405">
        <f>CU29/-CU62</f>
        <v>5.8967707023602996E-2</v>
      </c>
      <c r="CV63" s="405">
        <f>CV29/-CV62</f>
        <v>4.6828230709631324E-2</v>
      </c>
      <c r="CW63" s="405">
        <f>CW29/-CW62</f>
        <v>4.3226048514706128E-2</v>
      </c>
      <c r="CX63" s="405">
        <f>CX29/-CX62</f>
        <v>1.9911390258825962E-2</v>
      </c>
      <c r="CY63" s="732"/>
      <c r="CZ63" s="405">
        <f>CZ29/-CZ62</f>
        <v>1.1274950279562761E-2</v>
      </c>
      <c r="DA63" s="405">
        <f>DA29/-DA62</f>
        <v>4.8767511970207482E-3</v>
      </c>
      <c r="DB63" s="405">
        <f>DB29/-DB62</f>
        <v>4.4239444754281543E-3</v>
      </c>
      <c r="DC63" s="405">
        <f>DC29/-DC62</f>
        <v>9.5112012373677769E-3</v>
      </c>
      <c r="DD63" s="732"/>
      <c r="DE63" s="405">
        <f>DE29/-DE62</f>
        <v>0</v>
      </c>
      <c r="DF63" s="405">
        <f>DF29/-DF62</f>
        <v>0</v>
      </c>
      <c r="DG63" s="405">
        <f>DG29/-DG62</f>
        <v>0</v>
      </c>
      <c r="DH63" s="405">
        <f>DH29/-DH62</f>
        <v>0</v>
      </c>
      <c r="DI63" s="732"/>
      <c r="DJ63" s="405">
        <f>DJ29/-DJ62</f>
        <v>0</v>
      </c>
      <c r="DK63" s="405">
        <f>DK29/-DK62</f>
        <v>0</v>
      </c>
      <c r="DL63" s="405">
        <f>DL29/-DL62</f>
        <v>0</v>
      </c>
      <c r="DM63" s="405">
        <f>DM29/-DM62</f>
        <v>0</v>
      </c>
      <c r="DN63" s="732"/>
      <c r="DO63" s="1279">
        <f>DO29/-DO62</f>
        <v>0</v>
      </c>
      <c r="DP63" s="405">
        <f>DP29/-DP62</f>
        <v>0</v>
      </c>
      <c r="DQ63" s="405">
        <f>DQ29/-DQ62</f>
        <v>0</v>
      </c>
      <c r="DR63" s="405">
        <f>DR29/-DR62</f>
        <v>0</v>
      </c>
      <c r="DS63" s="727"/>
      <c r="DT63" s="1279">
        <f>DT29/-DT62</f>
        <v>0</v>
      </c>
      <c r="DU63" s="405">
        <f>DU29/-DU62</f>
        <v>0</v>
      </c>
      <c r="DV63" s="406">
        <v>0</v>
      </c>
      <c r="DW63" s="406">
        <v>0</v>
      </c>
      <c r="DX63" s="727"/>
      <c r="DY63" s="406">
        <v>2.1999999999999999E-2</v>
      </c>
      <c r="DZ63" s="406">
        <v>2.1999999999999999E-2</v>
      </c>
      <c r="EA63" s="406">
        <v>2.1999999999999999E-2</v>
      </c>
      <c r="EB63" s="406">
        <v>2.1999999999999999E-2</v>
      </c>
      <c r="EC63" s="727"/>
      <c r="ED63" s="406">
        <v>2.1999999999999999E-2</v>
      </c>
      <c r="EE63" s="406">
        <v>2.1999999999999999E-2</v>
      </c>
      <c r="EF63" s="406">
        <v>2.1999999999999999E-2</v>
      </c>
      <c r="EG63" s="406">
        <v>2.1999999999999999E-2</v>
      </c>
      <c r="EH63" s="727"/>
      <c r="EI63" s="406">
        <v>2.1999999999999999E-2</v>
      </c>
      <c r="EJ63" s="406">
        <v>2.1999999999999999E-2</v>
      </c>
      <c r="EK63" s="406">
        <v>2.1999999999999999E-2</v>
      </c>
      <c r="EL63" s="406">
        <v>2.1999999999999999E-2</v>
      </c>
      <c r="EM63" s="727"/>
      <c r="EN63" s="406">
        <v>2.1999999999999999E-2</v>
      </c>
      <c r="EO63" s="406">
        <v>2.1999999999999999E-2</v>
      </c>
      <c r="EP63" s="406">
        <v>2.1999999999999999E-2</v>
      </c>
      <c r="EQ63" s="406">
        <v>2.1999999999999999E-2</v>
      </c>
      <c r="ER63" s="727"/>
      <c r="EW63"/>
      <c r="EX63"/>
      <c r="EY63"/>
      <c r="EZ63"/>
      <c r="FA63"/>
    </row>
    <row r="64" spans="1:157" s="93" customFormat="1" ht="12" customHeight="1">
      <c r="A64" s="133"/>
      <c r="B64" s="133"/>
      <c r="C64" s="118" t="s">
        <v>200</v>
      </c>
      <c r="D64" s="372"/>
      <c r="E64" s="372"/>
      <c r="F64" s="372"/>
      <c r="G64" s="372"/>
      <c r="H64" s="372"/>
      <c r="M64" s="372"/>
      <c r="R64" s="372"/>
      <c r="W64" s="372"/>
      <c r="AB64" s="372"/>
      <c r="AG64" s="372"/>
      <c r="AL64" s="372"/>
      <c r="AQ64" s="372"/>
      <c r="AV64" s="372"/>
      <c r="BA64" s="372"/>
      <c r="BF64" s="372"/>
      <c r="BK64" s="372"/>
      <c r="BP64" s="372"/>
      <c r="BQ64" s="326"/>
      <c r="BR64" s="326">
        <f>BR28/-Income!BR18*(90)</f>
        <v>81.427264409881076</v>
      </c>
      <c r="BS64" s="326">
        <f>BS28/-Income!BS18*(90)</f>
        <v>46.843571933618925</v>
      </c>
      <c r="BT64" s="326">
        <f>BT28/-Income!BT18*(90)</f>
        <v>63.253130006527016</v>
      </c>
      <c r="BU64" s="278"/>
      <c r="BV64" s="326">
        <f>BV28/-Income!BV18*(90)</f>
        <v>74.648405184300032</v>
      </c>
      <c r="BW64" s="326">
        <f>BW28/-Income!BW18*(90)</f>
        <v>74.205602699110514</v>
      </c>
      <c r="BX64" s="326">
        <f>BX28/-Income!BX18*(90)</f>
        <v>83.141884519704973</v>
      </c>
      <c r="BY64" s="326">
        <f>BY28/-Income!BY18*(90)</f>
        <v>65.144743606220288</v>
      </c>
      <c r="BZ64" s="278"/>
      <c r="CA64" s="326">
        <f>CA28/-Income!CA18*(90)</f>
        <v>85.383945736152924</v>
      </c>
      <c r="CB64" s="326">
        <f>CB28/-Income!CB18*(90)</f>
        <v>79.312196250867856</v>
      </c>
      <c r="CC64" s="326">
        <f>CC28/-Income!CC18*(90)</f>
        <v>82.209466743199528</v>
      </c>
      <c r="CD64" s="326">
        <f>CD28/-Income!CD18*(90)</f>
        <v>55.393876206119849</v>
      </c>
      <c r="CE64" s="278"/>
      <c r="CF64" s="326">
        <f>CF28/-Income!CF18*(90)</f>
        <v>78.617980507856529</v>
      </c>
      <c r="CG64" s="326">
        <f>CG28/-Income!CG18*(90)</f>
        <v>79.768257906821717</v>
      </c>
      <c r="CH64" s="326">
        <f>CH28/-Income!CH18*(90)</f>
        <v>80.65275019320741</v>
      </c>
      <c r="CI64" s="326">
        <f>CI28/-Income!CI18*(90)</f>
        <v>55.186536722342034</v>
      </c>
      <c r="CJ64" s="278"/>
      <c r="CK64" s="326">
        <f>CK28/-Income!CK18*(90)</f>
        <v>80.263711650533907</v>
      </c>
      <c r="CL64" s="326">
        <f>CL28/-Income!CL18*(90)</f>
        <v>81.290470314348596</v>
      </c>
      <c r="CM64" s="326">
        <f>CM28/-Income!CM18*(90)</f>
        <v>72.12693263390392</v>
      </c>
      <c r="CN64" s="326">
        <f>CN28/-Income!CN18*(90)</f>
        <v>67.589992912475296</v>
      </c>
      <c r="CO64" s="278"/>
      <c r="CP64" s="326">
        <f>CP28/-Income!CP18*(90)</f>
        <v>90.582959009814559</v>
      </c>
      <c r="CQ64" s="326">
        <f>CQ28/-Income!CQ18*(90)</f>
        <v>63.923349650906125</v>
      </c>
      <c r="CR64" s="326">
        <f>CR28/-Income!CR18*(90)</f>
        <v>64.982843671757891</v>
      </c>
      <c r="CS64" s="326">
        <f>CS28/-Income!CS18*(90)</f>
        <v>57.190676784492013</v>
      </c>
      <c r="CT64" s="727"/>
      <c r="CU64" s="326">
        <f>CU28/-Income!CU18*(90)</f>
        <v>70.938918105463429</v>
      </c>
      <c r="CV64" s="326">
        <f>CV28/-Income!CV18*(90)</f>
        <v>52.264568729504497</v>
      </c>
      <c r="CW64" s="326">
        <f>CW28/-Income!CW18*(90)</f>
        <v>61.287917782728698</v>
      </c>
      <c r="CX64" s="326">
        <f>CX28/-Income!CX18*(90)</f>
        <v>59.796352738355893</v>
      </c>
      <c r="CY64" s="727"/>
      <c r="CZ64" s="326">
        <f>CZ28/-Income!CZ18*(90)</f>
        <v>64.662783178382497</v>
      </c>
      <c r="DA64" s="326">
        <f>DA28/-Income!DA18*(90)</f>
        <v>59.032656106070966</v>
      </c>
      <c r="DB64" s="326">
        <f>DB28/-Income!DB18*(90)</f>
        <v>76.222047315689878</v>
      </c>
      <c r="DC64" s="326">
        <f>DC28/-Income!DC18*(90)</f>
        <v>51.182856898779455</v>
      </c>
      <c r="DD64" s="727"/>
      <c r="DE64" s="326">
        <f>DE28/-Income!DE18*(90)</f>
        <v>60.872313527180779</v>
      </c>
      <c r="DF64" s="326">
        <f>DF28/-Income!DF18*(90)</f>
        <v>58.0442374854482</v>
      </c>
      <c r="DG64" s="326">
        <f>DG28/-Income!DG18*(90)</f>
        <v>59.003690036900366</v>
      </c>
      <c r="DH64" s="326">
        <f>DH28/-Income!DH18*(90)</f>
        <v>48.160813308687615</v>
      </c>
      <c r="DI64" s="727"/>
      <c r="DJ64" s="326">
        <f>DJ28/-Income!DJ18*(90)</f>
        <v>58.639380530973455</v>
      </c>
      <c r="DK64" s="326">
        <f>DK28/-Income!DK18*(90)</f>
        <v>50.31</v>
      </c>
      <c r="DL64" s="326">
        <f>DL28/-Income!DL18*(90)</f>
        <v>52.84482758620689</v>
      </c>
      <c r="DM64" s="326">
        <f>DM28/-Income!DM18*(90)</f>
        <v>45.431506849315063</v>
      </c>
      <c r="DN64" s="727"/>
      <c r="DO64" s="326">
        <f>DO28/-Income!DO18*(90)</f>
        <v>58.639798488664994</v>
      </c>
      <c r="DP64" s="326">
        <f>DP28/-Income!DP18*(90)</f>
        <v>54.927431059506532</v>
      </c>
      <c r="DQ64" s="326">
        <f>DQ28/-Income!DQ18*(90)</f>
        <v>60.330350997935305</v>
      </c>
      <c r="DR64" s="326">
        <f>DR28/-Income!DR18*(90)</f>
        <v>48.888327438100056</v>
      </c>
      <c r="DS64" s="727"/>
      <c r="DT64" s="326">
        <f>DT28/-Income!DT18*(90)</f>
        <v>57.302955665024633</v>
      </c>
      <c r="DU64" s="326">
        <f>DU28/-Income!DU18*(90)</f>
        <v>53.52</v>
      </c>
      <c r="DV64" s="728">
        <v>60</v>
      </c>
      <c r="DW64" s="728">
        <v>49</v>
      </c>
      <c r="DX64" s="727"/>
      <c r="DY64" s="728">
        <v>57.639798488664994</v>
      </c>
      <c r="DZ64" s="728">
        <v>54.927431059506532</v>
      </c>
      <c r="EA64" s="728">
        <f>DV64</f>
        <v>60</v>
      </c>
      <c r="EB64" s="728">
        <v>49</v>
      </c>
      <c r="EC64" s="727"/>
      <c r="ED64" s="728">
        <v>57.639798488664994</v>
      </c>
      <c r="EE64" s="728">
        <v>54.927431059506532</v>
      </c>
      <c r="EF64" s="728">
        <f t="shared" ref="EF64" si="221">EA64</f>
        <v>60</v>
      </c>
      <c r="EG64" s="728">
        <v>49</v>
      </c>
      <c r="EH64" s="727"/>
      <c r="EI64" s="728">
        <v>57.639798488664994</v>
      </c>
      <c r="EJ64" s="728">
        <v>54.927431059506532</v>
      </c>
      <c r="EK64" s="728">
        <f t="shared" ref="EK64" si="222">EF64</f>
        <v>60</v>
      </c>
      <c r="EL64" s="728">
        <v>49</v>
      </c>
      <c r="EM64" s="727"/>
      <c r="EN64" s="728">
        <v>57.639798488664994</v>
      </c>
      <c r="EO64" s="728">
        <v>54.927431059506532</v>
      </c>
      <c r="EP64" s="728">
        <f t="shared" ref="EP64" si="223">EK64</f>
        <v>60</v>
      </c>
      <c r="EQ64" s="728">
        <v>49</v>
      </c>
      <c r="ER64" s="727"/>
      <c r="EW64"/>
      <c r="EX64"/>
      <c r="EY64"/>
      <c r="EZ64"/>
      <c r="FA64"/>
    </row>
    <row r="65" spans="1:273" s="93" customFormat="1" ht="12" customHeight="1">
      <c r="A65" s="133"/>
      <c r="B65" s="133"/>
      <c r="C65" s="118" t="s">
        <v>283</v>
      </c>
      <c r="D65" s="729"/>
      <c r="E65" s="729"/>
      <c r="F65" s="729"/>
      <c r="G65" s="729"/>
      <c r="H65" s="729"/>
      <c r="I65" s="91"/>
      <c r="J65" s="91"/>
      <c r="K65" s="91"/>
      <c r="L65" s="91"/>
      <c r="M65" s="729"/>
      <c r="N65" s="91"/>
      <c r="O65" s="91"/>
      <c r="P65" s="91"/>
      <c r="Q65" s="91"/>
      <c r="R65" s="729"/>
      <c r="S65" s="91"/>
      <c r="T65" s="91"/>
      <c r="U65" s="91"/>
      <c r="V65" s="91"/>
      <c r="W65" s="729"/>
      <c r="X65" s="91"/>
      <c r="Y65" s="91"/>
      <c r="Z65" s="91"/>
      <c r="AA65" s="91"/>
      <c r="AB65" s="729"/>
      <c r="AC65" s="91"/>
      <c r="AD65" s="91"/>
      <c r="AE65" s="91"/>
      <c r="AF65" s="91"/>
      <c r="AG65" s="729"/>
      <c r="AH65" s="91"/>
      <c r="AI65" s="91"/>
      <c r="AJ65" s="91"/>
      <c r="AK65" s="91"/>
      <c r="AL65" s="729"/>
      <c r="AM65" s="91"/>
      <c r="AN65" s="91"/>
      <c r="AO65" s="91"/>
      <c r="AP65" s="91"/>
      <c r="AQ65" s="729"/>
      <c r="AR65" s="91"/>
      <c r="AS65" s="91"/>
      <c r="AT65" s="91"/>
      <c r="AU65" s="91"/>
      <c r="AV65" s="729"/>
      <c r="AW65" s="91"/>
      <c r="AX65" s="91"/>
      <c r="AY65" s="91"/>
      <c r="AZ65" s="91"/>
      <c r="BA65" s="729"/>
      <c r="BB65" s="91"/>
      <c r="BC65" s="91"/>
      <c r="BD65" s="91"/>
      <c r="BE65" s="91"/>
      <c r="BF65" s="729"/>
      <c r="BG65" s="91"/>
      <c r="BH65" s="91"/>
      <c r="BI65" s="91"/>
      <c r="BJ65" s="91"/>
      <c r="BK65" s="729"/>
      <c r="BL65" s="91"/>
      <c r="BM65" s="91"/>
      <c r="BN65" s="91"/>
      <c r="BO65" s="91"/>
      <c r="BP65" s="729"/>
      <c r="BQ65" s="405"/>
      <c r="BR65" s="405">
        <f>(BR30+BR35)/Income!BR10</f>
        <v>0.22594933891287899</v>
      </c>
      <c r="BS65" s="405">
        <f>(BS30+BS35)/Income!BS10</f>
        <v>0.1358125260485735</v>
      </c>
      <c r="BT65" s="405">
        <f>(BT30+BT35)/Income!BT10</f>
        <v>0.19077137930543087</v>
      </c>
      <c r="BU65" s="731"/>
      <c r="BV65" s="405">
        <f>(BV30+BV35)/Income!BV10</f>
        <v>0.21037650229641647</v>
      </c>
      <c r="BW65" s="405">
        <f>(BW30+BW35)/Income!BW10</f>
        <v>0.19966069223400693</v>
      </c>
      <c r="BX65" s="405">
        <f>(BX30+BX35)/Income!BX10</f>
        <v>0.19248227520134967</v>
      </c>
      <c r="BY65" s="405">
        <f>(BY30+BY35)/Income!BY10</f>
        <v>0.16172353757775174</v>
      </c>
      <c r="BZ65" s="731"/>
      <c r="CA65" s="405">
        <f>(CA30+CA35)/Income!CA10</f>
        <v>0.19004702501982271</v>
      </c>
      <c r="CB65" s="405">
        <f>(CB30+CB35)/Income!CB10</f>
        <v>0.17734990603672809</v>
      </c>
      <c r="CC65" s="405">
        <f>(CC30+CC35)/Income!CC10</f>
        <v>0.1746687196715192</v>
      </c>
      <c r="CD65" s="405">
        <f>(CD30+CD35)/Income!CD10</f>
        <v>0.14382399669679644</v>
      </c>
      <c r="CE65" s="731"/>
      <c r="CF65" s="405">
        <f>(CF30+CF35)/Income!CF10</f>
        <v>0.16083325557525427</v>
      </c>
      <c r="CG65" s="405">
        <f>(CG30+CG35)/Income!CG10</f>
        <v>0.14966750080624422</v>
      </c>
      <c r="CH65" s="405">
        <f>(CH30+CH35)/Income!CH10</f>
        <v>0.14341415368209021</v>
      </c>
      <c r="CI65" s="405">
        <f>(CI30+CI35)/Income!CI10</f>
        <v>0.11941127545352498</v>
      </c>
      <c r="CJ65" s="731"/>
      <c r="CK65" s="405">
        <f>CK30/CK55</f>
        <v>0.13338034585405734</v>
      </c>
      <c r="CL65" s="405">
        <f>CL30/CL55</f>
        <v>0.12626975598031931</v>
      </c>
      <c r="CM65" s="405">
        <f>CM30/CM55</f>
        <v>0.12384522419549765</v>
      </c>
      <c r="CN65" s="405">
        <f>CN30/CN55</f>
        <v>0.11222384986934833</v>
      </c>
      <c r="CO65" s="731"/>
      <c r="CP65" s="405">
        <f>CP30/CP55</f>
        <v>0.13379546000965956</v>
      </c>
      <c r="CQ65" s="405">
        <f>CQ30/CQ55</f>
        <v>9.4429691141905608E-2</v>
      </c>
      <c r="CR65" s="405">
        <f>CR30/CR55</f>
        <v>0.12610942071005532</v>
      </c>
      <c r="CS65" s="405">
        <f>CS30/CS55</f>
        <v>0.11026301363138</v>
      </c>
      <c r="CT65" s="732"/>
      <c r="CU65" s="405">
        <f>CU30/CU55</f>
        <v>0.11604242970443444</v>
      </c>
      <c r="CV65" s="405">
        <f>CV30/CV55</f>
        <v>0.16361679224973091</v>
      </c>
      <c r="CW65" s="405">
        <f>CW30/CW55</f>
        <v>0.18140584120882056</v>
      </c>
      <c r="CX65" s="405">
        <f>CX30/CX55</f>
        <v>0.15709292012312828</v>
      </c>
      <c r="CY65" s="732"/>
      <c r="CZ65" s="405">
        <f>CZ30/CZ55</f>
        <v>0.20575130252579088</v>
      </c>
      <c r="DA65" s="405">
        <f>DA30/DA55</f>
        <v>0.196134859848517</v>
      </c>
      <c r="DB65" s="405">
        <f>DB30/DB55</f>
        <v>0.21052920509442247</v>
      </c>
      <c r="DC65" s="405">
        <f>DC30/DC55</f>
        <v>0.17054279650808252</v>
      </c>
      <c r="DD65" s="732"/>
      <c r="DE65" s="405">
        <f>DE30/DE55</f>
        <v>0.21485411140583555</v>
      </c>
      <c r="DF65" s="405">
        <f>DF30/DF55</f>
        <v>0.18299881936245574</v>
      </c>
      <c r="DG65" s="405">
        <f>DG30/DG55</f>
        <v>0.17736289381563594</v>
      </c>
      <c r="DH65" s="405">
        <f>DH30/DH55</f>
        <v>0.14085820895522388</v>
      </c>
      <c r="DI65" s="732"/>
      <c r="DJ65" s="405">
        <f>DJ30/DJ55</f>
        <v>0.15905427189682966</v>
      </c>
      <c r="DK65" s="405">
        <f>DK30/DK55</f>
        <v>0.14572127139364302</v>
      </c>
      <c r="DL65" s="405">
        <f>DL30/DL55</f>
        <v>0.13413506012950971</v>
      </c>
      <c r="DM65" s="405">
        <f>DM30/DM55</f>
        <v>0.10064011379800854</v>
      </c>
      <c r="DN65" s="732"/>
      <c r="DO65" s="1279">
        <f>DO30/DO55</f>
        <v>0.125</v>
      </c>
      <c r="DP65" s="405">
        <f>DP30/DP55</f>
        <v>0.11119402985074626</v>
      </c>
      <c r="DQ65" s="405">
        <f>DQ30/DQ55</f>
        <v>0.10548523206751055</v>
      </c>
      <c r="DR65" s="405">
        <f>DR30/DR55</f>
        <v>8.1699346405228759E-2</v>
      </c>
      <c r="DS65" s="727"/>
      <c r="DT65" s="1279">
        <f>DT30/DT55</f>
        <v>0.10126182965299685</v>
      </c>
      <c r="DU65" s="405">
        <f>DU30/DU55</f>
        <v>9.3497069494836729E-2</v>
      </c>
      <c r="DV65" s="406">
        <f t="shared" ref="DV65:DV66" si="224">+DQ65</f>
        <v>0.10548523206751055</v>
      </c>
      <c r="DW65" s="406">
        <f t="shared" ref="DW65:DW66" si="225">+DR65</f>
        <v>8.1699346405228759E-2</v>
      </c>
      <c r="DX65" s="727"/>
      <c r="DY65" s="406">
        <v>0.125</v>
      </c>
      <c r="DZ65" s="406">
        <v>0.11119402985074626</v>
      </c>
      <c r="EA65" s="406">
        <v>0.1</v>
      </c>
      <c r="EB65" s="406">
        <v>0.09</v>
      </c>
      <c r="EC65" s="727"/>
      <c r="ED65" s="406">
        <f>DY65+1%</f>
        <v>0.13500000000000001</v>
      </c>
      <c r="EE65" s="406">
        <f t="shared" ref="EE65:EG65" si="226">DZ65+1%</f>
        <v>0.12119402985074626</v>
      </c>
      <c r="EF65" s="406">
        <f t="shared" si="226"/>
        <v>0.11</v>
      </c>
      <c r="EG65" s="406">
        <f t="shared" si="226"/>
        <v>9.9999999999999992E-2</v>
      </c>
      <c r="EH65" s="727"/>
      <c r="EI65" s="406">
        <f t="shared" ref="EI65" si="227">ED65+1%</f>
        <v>0.14500000000000002</v>
      </c>
      <c r="EJ65" s="406">
        <f t="shared" ref="EJ65" si="228">EE65+1%</f>
        <v>0.13119402985074627</v>
      </c>
      <c r="EK65" s="406">
        <f t="shared" ref="EK65" si="229">EF65+1%</f>
        <v>0.12</v>
      </c>
      <c r="EL65" s="406">
        <f t="shared" ref="EL65" si="230">EG65+1%</f>
        <v>0.10999999999999999</v>
      </c>
      <c r="EM65" s="727"/>
      <c r="EN65" s="406">
        <f t="shared" ref="EN65" si="231">EI65+1%</f>
        <v>0.15500000000000003</v>
      </c>
      <c r="EO65" s="406">
        <f t="shared" ref="EO65" si="232">EJ65+1%</f>
        <v>0.14119402985074628</v>
      </c>
      <c r="EP65" s="406">
        <f t="shared" ref="EP65" si="233">EK65+1%</f>
        <v>0.13</v>
      </c>
      <c r="EQ65" s="406">
        <f t="shared" ref="EQ65" si="234">EL65+1%</f>
        <v>0.11999999999999998</v>
      </c>
      <c r="ER65" s="727"/>
      <c r="EW65"/>
      <c r="EX65"/>
      <c r="EY65"/>
      <c r="EZ65"/>
      <c r="FA65"/>
    </row>
    <row r="66" spans="1:273" s="93" customFormat="1" ht="12" customHeight="1">
      <c r="A66" s="133"/>
      <c r="B66" s="133"/>
      <c r="C66" s="118" t="s">
        <v>284</v>
      </c>
      <c r="D66" s="729"/>
      <c r="E66" s="729"/>
      <c r="F66" s="729"/>
      <c r="G66" s="729"/>
      <c r="H66" s="729"/>
      <c r="I66" s="91"/>
      <c r="J66" s="91"/>
      <c r="K66" s="91"/>
      <c r="L66" s="91"/>
      <c r="M66" s="729"/>
      <c r="N66" s="91"/>
      <c r="O66" s="91"/>
      <c r="P66" s="91"/>
      <c r="Q66" s="91"/>
      <c r="R66" s="729"/>
      <c r="S66" s="91"/>
      <c r="T66" s="91"/>
      <c r="U66" s="91"/>
      <c r="V66" s="91"/>
      <c r="W66" s="729"/>
      <c r="X66" s="91"/>
      <c r="Y66" s="91"/>
      <c r="Z66" s="91"/>
      <c r="AA66" s="91"/>
      <c r="AB66" s="729"/>
      <c r="AC66" s="91"/>
      <c r="AD66" s="91"/>
      <c r="AE66" s="91"/>
      <c r="AF66" s="91"/>
      <c r="AG66" s="729"/>
      <c r="AH66" s="91"/>
      <c r="AI66" s="91"/>
      <c r="AJ66" s="91"/>
      <c r="AK66" s="91"/>
      <c r="AL66" s="729"/>
      <c r="AM66" s="91"/>
      <c r="AN66" s="91"/>
      <c r="AO66" s="91"/>
      <c r="AP66" s="91"/>
      <c r="AQ66" s="729"/>
      <c r="AR66" s="91"/>
      <c r="AS66" s="91"/>
      <c r="AT66" s="91"/>
      <c r="AU66" s="91"/>
      <c r="AV66" s="729"/>
      <c r="AW66" s="91"/>
      <c r="AX66" s="91"/>
      <c r="AY66" s="91"/>
      <c r="AZ66" s="91"/>
      <c r="BA66" s="729"/>
      <c r="BB66" s="91"/>
      <c r="BC66" s="91"/>
      <c r="BD66" s="91"/>
      <c r="BE66" s="91"/>
      <c r="BF66" s="729"/>
      <c r="BG66" s="91"/>
      <c r="BH66" s="91"/>
      <c r="BI66" s="91"/>
      <c r="BJ66" s="91"/>
      <c r="BK66" s="729"/>
      <c r="BL66" s="91"/>
      <c r="BM66" s="91"/>
      <c r="BN66" s="91"/>
      <c r="BO66" s="91"/>
      <c r="BP66" s="729"/>
      <c r="BQ66" s="405"/>
      <c r="BR66" s="405"/>
      <c r="BS66" s="405"/>
      <c r="BT66" s="405"/>
      <c r="BU66" s="731"/>
      <c r="BV66" s="405"/>
      <c r="BW66" s="405"/>
      <c r="BX66" s="405"/>
      <c r="BY66" s="405"/>
      <c r="BZ66" s="731"/>
      <c r="CA66" s="405"/>
      <c r="CB66" s="405"/>
      <c r="CC66" s="405"/>
      <c r="CD66" s="405"/>
      <c r="CE66" s="731"/>
      <c r="CF66" s="405"/>
      <c r="CG66" s="405"/>
      <c r="CH66" s="405"/>
      <c r="CI66" s="405"/>
      <c r="CJ66" s="731"/>
      <c r="CK66" s="405">
        <f>CK35/CK55</f>
        <v>6.2749233966338212E-3</v>
      </c>
      <c r="CL66" s="405">
        <f>CL35/CL55</f>
        <v>5.7793407904878462E-3</v>
      </c>
      <c r="CM66" s="405">
        <f>CM35/CM55</f>
        <v>5.4154120322005778E-3</v>
      </c>
      <c r="CN66" s="405">
        <f>CN35/CN55</f>
        <v>1.1816058278565206E-2</v>
      </c>
      <c r="CO66" s="731"/>
      <c r="CP66" s="405">
        <f>CP35/CP55</f>
        <v>1.1872315165286883E-2</v>
      </c>
      <c r="CQ66" s="405">
        <f>CQ35/CQ55</f>
        <v>9.6116560578211243E-3</v>
      </c>
      <c r="CR66" s="405">
        <f>CR35/CR55</f>
        <v>3.0075383923743003E-2</v>
      </c>
      <c r="CS66" s="405">
        <f>CS35/CS55</f>
        <v>2.1484151270680263E-2</v>
      </c>
      <c r="CT66" s="732"/>
      <c r="CU66" s="405">
        <f>CU35/CU55</f>
        <v>2.2674422721153255E-2</v>
      </c>
      <c r="CV66" s="405">
        <f>CV35/CV55</f>
        <v>0.1208822228872343</v>
      </c>
      <c r="CW66" s="405">
        <f>CW35/CW55</f>
        <v>0.15526990229056545</v>
      </c>
      <c r="CX66" s="405">
        <f>CX35/CX55</f>
        <v>0.11806461336904284</v>
      </c>
      <c r="CY66" s="732"/>
      <c r="CZ66" s="405">
        <f>CZ35/CZ55</f>
        <v>0.15506184245399099</v>
      </c>
      <c r="DA66" s="405">
        <f>DA35/DA55</f>
        <v>0.12308667609220554</v>
      </c>
      <c r="DB66" s="405">
        <f>DB35/DB55</f>
        <v>0.21931269213877908</v>
      </c>
      <c r="DC66" s="405">
        <f>DC35/DC55</f>
        <v>0.15418812227013828</v>
      </c>
      <c r="DD66" s="732"/>
      <c r="DE66" s="405">
        <f>DE35/DE55</f>
        <v>0.15384615384615385</v>
      </c>
      <c r="DF66" s="405">
        <f>DF35/DF55</f>
        <v>0.13931523022432113</v>
      </c>
      <c r="DG66" s="405">
        <f>DG35/DG55</f>
        <v>0.12602100350058343</v>
      </c>
      <c r="DH66" s="405">
        <f>DH35/DH55</f>
        <v>9.1417910447761194E-2</v>
      </c>
      <c r="DI66" s="732"/>
      <c r="DJ66" s="405">
        <f>DJ35/DJ55</f>
        <v>9.8334228909188609E-2</v>
      </c>
      <c r="DK66" s="405">
        <f>DK35/DK55</f>
        <v>8.3129584352078234E-2</v>
      </c>
      <c r="DL66" s="405">
        <f>DL35/DL55</f>
        <v>7.3543015726179467E-2</v>
      </c>
      <c r="DM66" s="405">
        <f>DM35/DM55</f>
        <v>5.2275960170697015E-2</v>
      </c>
      <c r="DN66" s="732"/>
      <c r="DO66" s="1279">
        <f>DO35/DO55</f>
        <v>5.7203389830508475E-2</v>
      </c>
      <c r="DP66" s="405">
        <f>DP35/DP55</f>
        <v>4.5895522388059704E-2</v>
      </c>
      <c r="DQ66" s="405">
        <f>DQ35/DQ55</f>
        <v>3.867791842475387E-2</v>
      </c>
      <c r="DR66" s="405">
        <f>DR35/DR55</f>
        <v>2.6688453159041396E-2</v>
      </c>
      <c r="DS66" s="727"/>
      <c r="DT66" s="1279">
        <f>DT35/DT55</f>
        <v>2.7129337539432176E-2</v>
      </c>
      <c r="DU66" s="405">
        <f>DU35/DU55</f>
        <v>2.2048562656991347E-2</v>
      </c>
      <c r="DV66" s="406">
        <v>2.5000000000000001E-2</v>
      </c>
      <c r="DW66" s="406">
        <v>2.3E-2</v>
      </c>
      <c r="DX66" s="727"/>
      <c r="DY66" s="406">
        <v>0.03</v>
      </c>
      <c r="DZ66" s="406">
        <v>0.03</v>
      </c>
      <c r="EA66" s="406">
        <v>0.03</v>
      </c>
      <c r="EB66" s="406">
        <v>0.03</v>
      </c>
      <c r="EC66" s="727"/>
      <c r="ED66" s="406">
        <v>0.05</v>
      </c>
      <c r="EE66" s="406">
        <v>0.05</v>
      </c>
      <c r="EF66" s="406">
        <v>0.05</v>
      </c>
      <c r="EG66" s="406">
        <v>0.05</v>
      </c>
      <c r="EH66" s="727"/>
      <c r="EI66" s="406">
        <v>0.05</v>
      </c>
      <c r="EJ66" s="406">
        <v>0.05</v>
      </c>
      <c r="EK66" s="406">
        <v>0.05</v>
      </c>
      <c r="EL66" s="406">
        <v>0.05</v>
      </c>
      <c r="EM66" s="727"/>
      <c r="EN66" s="406">
        <v>0.04</v>
      </c>
      <c r="EO66" s="406">
        <v>0.04</v>
      </c>
      <c r="EP66" s="406">
        <v>0.04</v>
      </c>
      <c r="EQ66" s="406">
        <v>0.04</v>
      </c>
      <c r="ER66" s="727"/>
      <c r="EW66"/>
      <c r="EX66"/>
      <c r="EY66"/>
      <c r="EZ66"/>
      <c r="FA66"/>
    </row>
    <row r="67" spans="1:273" s="93" customFormat="1" ht="12" hidden="1" customHeight="1">
      <c r="A67" s="133"/>
      <c r="B67" s="133"/>
      <c r="C67" s="118" t="s">
        <v>202</v>
      </c>
      <c r="D67" s="372"/>
      <c r="E67" s="372"/>
      <c r="F67" s="372"/>
      <c r="G67" s="372"/>
      <c r="H67" s="372"/>
      <c r="M67" s="372"/>
      <c r="R67" s="372"/>
      <c r="W67" s="372"/>
      <c r="AB67" s="372"/>
      <c r="AG67" s="372"/>
      <c r="AL67" s="372"/>
      <c r="AQ67" s="372"/>
      <c r="AV67" s="372"/>
      <c r="BA67" s="372"/>
      <c r="BF67" s="372"/>
      <c r="BK67" s="372"/>
      <c r="BP67" s="372"/>
      <c r="BQ67" s="405"/>
      <c r="BR67" s="405">
        <f>BR33/Income!BR10</f>
        <v>0</v>
      </c>
      <c r="BS67" s="405">
        <f>BS33/Income!BS10</f>
        <v>0</v>
      </c>
      <c r="BT67" s="405">
        <f>BT33/Income!BT10</f>
        <v>0</v>
      </c>
      <c r="BU67" s="278"/>
      <c r="BV67" s="405">
        <f>BV33/Income!BV10</f>
        <v>0</v>
      </c>
      <c r="BW67" s="405">
        <f>BW33/Income!BW10</f>
        <v>0</v>
      </c>
      <c r="BX67" s="405">
        <f>BX33/Income!BX10</f>
        <v>0</v>
      </c>
      <c r="BY67" s="405">
        <f>BY33/Income!BY10</f>
        <v>0</v>
      </c>
      <c r="BZ67" s="278"/>
      <c r="CA67" s="405">
        <f>CA33/Income!CA10</f>
        <v>0</v>
      </c>
      <c r="CB67" s="405">
        <f>CB33/Income!CB10</f>
        <v>0</v>
      </c>
      <c r="CC67" s="405">
        <f>CC33/Income!CC10</f>
        <v>0</v>
      </c>
      <c r="CD67" s="405">
        <f>CD33/Income!CD10</f>
        <v>0</v>
      </c>
      <c r="CE67" s="278"/>
      <c r="CF67" s="405">
        <f>CF33/Income!CF10</f>
        <v>0</v>
      </c>
      <c r="CG67" s="405">
        <f>CG33/Income!CG10</f>
        <v>0</v>
      </c>
      <c r="CH67" s="405">
        <f>CH33/Income!CH10</f>
        <v>0</v>
      </c>
      <c r="CI67" s="405">
        <f>CI33/Income!CI10</f>
        <v>0</v>
      </c>
      <c r="CJ67" s="278"/>
      <c r="CK67" s="405">
        <f>CK33/Income!CK10</f>
        <v>0</v>
      </c>
      <c r="CL67" s="405">
        <f>CL33/Income!CL10</f>
        <v>0</v>
      </c>
      <c r="CM67" s="405">
        <f>CM33/Income!CM10</f>
        <v>0</v>
      </c>
      <c r="CN67" s="405">
        <f>CN33/Income!CN10</f>
        <v>0</v>
      </c>
      <c r="CO67" s="278"/>
      <c r="CP67" s="405">
        <f>CP33/Income!CP10</f>
        <v>0</v>
      </c>
      <c r="CQ67" s="405">
        <f>CQ33/Income!CQ10</f>
        <v>0</v>
      </c>
      <c r="CR67" s="405">
        <f>CR33/Income!CR10</f>
        <v>0</v>
      </c>
      <c r="CS67" s="405">
        <f>CS33/Income!CS10</f>
        <v>0</v>
      </c>
      <c r="CT67" s="727"/>
      <c r="CU67" s="405">
        <f>CU33/Income!CU10</f>
        <v>0</v>
      </c>
      <c r="CV67" s="405">
        <f>CV33/Income!CV10</f>
        <v>0</v>
      </c>
      <c r="CW67" s="405">
        <f>CW33/Income!CW10</f>
        <v>0</v>
      </c>
      <c r="CX67" s="405">
        <f>CX33/Income!CX10</f>
        <v>0</v>
      </c>
      <c r="CY67" s="727"/>
      <c r="CZ67" s="405">
        <f>CZ33/Income!CZ10</f>
        <v>0</v>
      </c>
      <c r="DA67" s="405">
        <f>DA33/Income!DA10</f>
        <v>0</v>
      </c>
      <c r="DB67" s="405">
        <f>DB33/Income!DB10</f>
        <v>0</v>
      </c>
      <c r="DC67" s="405">
        <f>DC33/Income!DC10</f>
        <v>0</v>
      </c>
      <c r="DD67" s="727"/>
      <c r="DE67" s="405">
        <f>DE33/Income!DE10</f>
        <v>0</v>
      </c>
      <c r="DF67" s="405">
        <f>DF33/Income!DF10</f>
        <v>0</v>
      </c>
      <c r="DG67" s="405">
        <f>DG33/Income!DG10</f>
        <v>0</v>
      </c>
      <c r="DH67" s="405">
        <f>DH33/Income!DH10</f>
        <v>0</v>
      </c>
      <c r="DI67" s="727"/>
      <c r="DJ67" s="405">
        <f>DJ33/Income!DJ10</f>
        <v>0</v>
      </c>
      <c r="DK67" s="406">
        <v>0.346262226611389</v>
      </c>
      <c r="DL67" s="406">
        <v>0.346262226611389</v>
      </c>
      <c r="DM67" s="406">
        <v>0.346262226611389</v>
      </c>
      <c r="DN67" s="727"/>
      <c r="DO67" s="406">
        <v>0.346262226611389</v>
      </c>
      <c r="DP67" s="406">
        <v>0.346262226611389</v>
      </c>
      <c r="DQ67" s="406">
        <v>0.346262226611389</v>
      </c>
      <c r="DR67" s="406">
        <v>0.346262226611389</v>
      </c>
      <c r="DS67" s="727"/>
      <c r="DT67" s="406">
        <v>0.346262226611389</v>
      </c>
      <c r="DU67" s="406">
        <v>0.346262226611389</v>
      </c>
      <c r="DV67" s="406">
        <v>0.346262226611389</v>
      </c>
      <c r="DW67" s="406">
        <v>0.346262226611389</v>
      </c>
      <c r="DX67" s="727"/>
      <c r="DY67" s="406">
        <v>0.346262226611389</v>
      </c>
      <c r="DZ67" s="406">
        <v>0.346262226611389</v>
      </c>
      <c r="EA67" s="406">
        <v>0.346262226611389</v>
      </c>
      <c r="EB67" s="406">
        <v>0.346262226611389</v>
      </c>
      <c r="EC67" s="727"/>
      <c r="ED67" s="406">
        <v>0.346262226611389</v>
      </c>
      <c r="EE67" s="406">
        <v>0.346262226611389</v>
      </c>
      <c r="EF67" s="406">
        <v>0.346262226611389</v>
      </c>
      <c r="EG67" s="406">
        <v>0.346262226611389</v>
      </c>
      <c r="EH67" s="727"/>
      <c r="EI67" s="406">
        <v>0.346262226611389</v>
      </c>
      <c r="EJ67" s="406">
        <v>0.346262226611389</v>
      </c>
      <c r="EK67" s="406">
        <v>0.346262226611389</v>
      </c>
      <c r="EL67" s="406">
        <v>0.346262226611389</v>
      </c>
      <c r="EM67" s="727"/>
      <c r="EN67" s="406">
        <v>0.346262226611389</v>
      </c>
      <c r="EO67" s="406">
        <v>0.346262226611389</v>
      </c>
      <c r="EP67" s="406">
        <v>0.346262226611389</v>
      </c>
      <c r="EQ67" s="406">
        <v>0.346262226611389</v>
      </c>
      <c r="ER67" s="727"/>
      <c r="EW67"/>
      <c r="EX67"/>
      <c r="EY67"/>
      <c r="EZ67"/>
      <c r="FA67"/>
    </row>
    <row r="68" spans="1:273" s="93" customFormat="1" ht="12" customHeight="1">
      <c r="A68" s="133"/>
      <c r="B68" s="133"/>
      <c r="C68" s="726"/>
      <c r="D68" s="372"/>
      <c r="E68" s="372"/>
      <c r="F68" s="372"/>
      <c r="G68" s="372"/>
      <c r="H68" s="372"/>
      <c r="M68" s="372"/>
      <c r="R68" s="372"/>
      <c r="W68" s="372"/>
      <c r="AB68" s="372"/>
      <c r="AG68" s="372"/>
      <c r="AL68" s="372"/>
      <c r="AQ68" s="372"/>
      <c r="AV68" s="372"/>
      <c r="BA68" s="372"/>
      <c r="BF68" s="372"/>
      <c r="BK68" s="372"/>
      <c r="BP68" s="372"/>
      <c r="BU68" s="278"/>
      <c r="BZ68" s="278"/>
      <c r="CE68" s="278"/>
      <c r="CJ68" s="278"/>
      <c r="CK68" s="326"/>
      <c r="CL68" s="326"/>
      <c r="CM68" s="326"/>
      <c r="CO68" s="278"/>
      <c r="CP68" s="326"/>
      <c r="CQ68" s="326"/>
      <c r="CR68" s="326"/>
      <c r="CS68" s="326"/>
      <c r="CT68" s="278"/>
      <c r="CU68" s="326"/>
      <c r="CV68" s="326"/>
      <c r="CW68" s="326"/>
      <c r="CX68" s="326"/>
      <c r="CY68" s="278"/>
      <c r="CZ68" s="326"/>
      <c r="DA68" s="326"/>
      <c r="DB68" s="326"/>
      <c r="DC68" s="326"/>
      <c r="DD68" s="278"/>
      <c r="DE68" s="326"/>
      <c r="DF68" s="326"/>
      <c r="DG68" s="326"/>
      <c r="DH68" s="326"/>
      <c r="DI68" s="278"/>
      <c r="DJ68" s="326"/>
      <c r="DK68" s="326"/>
      <c r="DL68" s="326"/>
      <c r="DM68" s="326"/>
      <c r="DN68" s="278"/>
      <c r="DO68" s="326"/>
      <c r="DP68" s="326"/>
      <c r="DQ68" s="326"/>
      <c r="DR68" s="326"/>
      <c r="DS68" s="278"/>
      <c r="DT68" s="326"/>
      <c r="DU68" s="326"/>
      <c r="DV68" s="326"/>
      <c r="DW68" s="326"/>
      <c r="DX68" s="278"/>
      <c r="DY68" s="326"/>
      <c r="DZ68" s="326"/>
      <c r="EA68" s="326"/>
      <c r="EB68" s="326"/>
      <c r="EC68" s="278"/>
      <c r="ED68" s="326"/>
      <c r="EE68" s="326"/>
      <c r="EF68" s="326"/>
      <c r="EG68" s="326"/>
      <c r="EH68" s="278"/>
      <c r="EI68" s="326"/>
      <c r="EJ68" s="326"/>
      <c r="EK68" s="326"/>
      <c r="EL68" s="326"/>
      <c r="EM68" s="278"/>
      <c r="EN68" s="326"/>
      <c r="EO68" s="326"/>
      <c r="EP68" s="326"/>
      <c r="EQ68" s="326"/>
      <c r="ER68" s="278"/>
      <c r="EW68"/>
      <c r="EX68"/>
      <c r="EY68"/>
      <c r="EZ68"/>
      <c r="FA68"/>
    </row>
    <row r="69" spans="1:273" s="93" customFormat="1" ht="12" customHeight="1">
      <c r="A69" s="133"/>
      <c r="B69" s="133"/>
      <c r="C69" s="726" t="s">
        <v>81</v>
      </c>
      <c r="D69" s="372"/>
      <c r="E69" s="372"/>
      <c r="F69" s="372"/>
      <c r="G69" s="372"/>
      <c r="H69" s="372"/>
      <c r="M69" s="372"/>
      <c r="R69" s="372"/>
      <c r="W69" s="372"/>
      <c r="AB69" s="372"/>
      <c r="AG69" s="372"/>
      <c r="AL69" s="372"/>
      <c r="AQ69" s="372"/>
      <c r="AV69" s="372"/>
      <c r="BA69" s="372"/>
      <c r="BF69" s="372"/>
      <c r="BK69" s="372"/>
      <c r="BP69" s="372"/>
      <c r="BU69" s="278"/>
      <c r="BZ69" s="278"/>
      <c r="CE69" s="278"/>
      <c r="CJ69" s="278"/>
      <c r="CO69" s="278"/>
      <c r="CP69" s="326"/>
      <c r="CQ69" s="326"/>
      <c r="CR69" s="326"/>
      <c r="CS69" s="326"/>
      <c r="CT69" s="278"/>
      <c r="CU69" s="326"/>
      <c r="CV69" s="326"/>
      <c r="CW69" s="326"/>
      <c r="CX69" s="326"/>
      <c r="CY69" s="278"/>
      <c r="CZ69" s="326"/>
      <c r="DA69" s="326"/>
      <c r="DB69" s="326"/>
      <c r="DC69" s="326"/>
      <c r="DD69" s="278"/>
      <c r="DE69" s="326"/>
      <c r="DF69" s="326"/>
      <c r="DG69" s="326"/>
      <c r="DH69" s="326"/>
      <c r="DI69" s="278"/>
      <c r="DJ69" s="326"/>
      <c r="DK69" s="326"/>
      <c r="DL69" s="326"/>
      <c r="DM69" s="326"/>
      <c r="DN69" s="278"/>
      <c r="DO69" s="326"/>
      <c r="DP69" s="326"/>
      <c r="DQ69" s="326"/>
      <c r="DR69" s="326"/>
      <c r="DS69" s="278"/>
      <c r="DT69" s="326"/>
      <c r="DU69" s="326"/>
      <c r="DV69" s="326"/>
      <c r="DW69" s="326"/>
      <c r="DX69" s="278"/>
      <c r="DY69" s="326"/>
      <c r="DZ69" s="326"/>
      <c r="EA69" s="326"/>
      <c r="EB69" s="326"/>
      <c r="EC69" s="278"/>
      <c r="ED69" s="326"/>
      <c r="EE69" s="326"/>
      <c r="EF69" s="326"/>
      <c r="EG69" s="326"/>
      <c r="EH69" s="278"/>
      <c r="EI69" s="326"/>
      <c r="EJ69" s="326"/>
      <c r="EK69" s="326"/>
      <c r="EL69" s="326"/>
      <c r="EM69" s="278"/>
      <c r="EN69" s="326"/>
      <c r="EO69" s="326"/>
      <c r="EP69" s="326"/>
      <c r="EQ69" s="326"/>
      <c r="ER69" s="278"/>
      <c r="EW69"/>
      <c r="EX69"/>
      <c r="EY69"/>
      <c r="EZ69"/>
      <c r="FA69"/>
    </row>
    <row r="70" spans="1:273" s="93" customFormat="1">
      <c r="A70" s="133"/>
      <c r="B70" s="133"/>
      <c r="C70" s="733" t="s">
        <v>63</v>
      </c>
      <c r="D70" s="372"/>
      <c r="E70" s="734"/>
      <c r="F70" s="734"/>
      <c r="G70" s="734"/>
      <c r="H70" s="734"/>
      <c r="M70" s="734"/>
      <c r="R70" s="734"/>
      <c r="W70" s="734"/>
      <c r="AB70" s="734"/>
      <c r="AG70" s="734"/>
      <c r="AL70" s="734"/>
      <c r="AQ70" s="734"/>
      <c r="AV70" s="734"/>
      <c r="BA70" s="734"/>
      <c r="BF70" s="734"/>
      <c r="BK70" s="734"/>
      <c r="BP70" s="734"/>
      <c r="BQ70" s="709"/>
      <c r="BR70" s="709"/>
      <c r="BS70" s="709"/>
      <c r="BT70" s="709"/>
      <c r="BU70" s="735">
        <f>-BU53/Income!BU115</f>
        <v>-206.12359550561575</v>
      </c>
      <c r="BV70" s="709"/>
      <c r="BW70" s="709"/>
      <c r="BX70" s="709"/>
      <c r="BY70" s="709"/>
      <c r="BZ70" s="735">
        <f>-BZ53/Income!BZ115</f>
        <v>-46.08502468458633</v>
      </c>
      <c r="CA70" s="709"/>
      <c r="CB70" s="709"/>
      <c r="CC70" s="709"/>
      <c r="CD70" s="709"/>
      <c r="CE70" s="735">
        <f>-CE53/Income!CE115</f>
        <v>-4.8145240765283592</v>
      </c>
      <c r="CF70" s="709"/>
      <c r="CG70" s="709"/>
      <c r="CH70" s="709"/>
      <c r="CI70" s="709"/>
      <c r="CJ70" s="735">
        <f>-CJ53/Income!CJ115</f>
        <v>-10.559032241476867</v>
      </c>
      <c r="CK70" s="709"/>
      <c r="CL70" s="709"/>
      <c r="CM70" s="709"/>
      <c r="CN70" s="709"/>
      <c r="CO70" s="735">
        <f>-CO53/Income!CO115</f>
        <v>-9.1194522008783849</v>
      </c>
      <c r="CP70" s="736"/>
      <c r="CQ70" s="737">
        <f>-CQ53/(Income!CQ115+Income!CP115+Income!CO115+Income!CM115)</f>
        <v>-8.6253900611725864</v>
      </c>
      <c r="CR70" s="737">
        <f>-CR53/(Income!CR115+Income!CQ115+Income!CP115+Income!CN115)</f>
        <v>-7.5645878400444904</v>
      </c>
      <c r="CS70" s="736"/>
      <c r="CT70" s="735">
        <f>-CT53/Income!CT115</f>
        <v>-4.0021002094038369</v>
      </c>
      <c r="CU70" s="738">
        <f>-CU53/(Income!CU115+Income!CS115+Income!CR115+Income!CQ115)</f>
        <v>-2.6549969578198178</v>
      </c>
      <c r="CV70" s="738">
        <f>-CV53/(Income!CV115+Income!CU115+Income!CS115+Income!CR115)</f>
        <v>-1.7633293942974884</v>
      </c>
      <c r="CW70" s="738">
        <f>-CW53/(Income!CW115+Income!CV115+Income!CU115+Income!CS115)</f>
        <v>-1.5430564468268877</v>
      </c>
      <c r="CX70" s="738">
        <f>-CX53/(Income!CX115+Income!CW115+Income!CV115+Income!CU115)</f>
        <v>-2.0888648866240689</v>
      </c>
      <c r="CY70" s="735">
        <f>-CY53/Income!CY115</f>
        <v>-2.0888648866240689</v>
      </c>
      <c r="CZ70" s="738">
        <f>-CZ53/(Income!CZ115+Income!CX115+Income!CW115+Income!CV115)</f>
        <v>-2.6443456262353586</v>
      </c>
      <c r="DA70" s="738">
        <f>-DA53/(Income!DA115+Income!CY115+Income!CX115+Income!CW115)</f>
        <v>-2.3831415857250962</v>
      </c>
      <c r="DB70" s="738">
        <f>-DB53/(Income!DB115+Income!CZ115+Income!CY115+Income!CX115)</f>
        <v>-0.50962115504655581</v>
      </c>
      <c r="DC70" s="738">
        <f>-DC53/(Income!DC115+Income!DA115+Income!CZ115+Income!CY115)</f>
        <v>-0.87450600692959846</v>
      </c>
      <c r="DD70" s="735">
        <f>-DD53/Income!DD115</f>
        <v>-17.165753201016816</v>
      </c>
      <c r="DE70" s="738">
        <f>-DE53/(Income!DE115+Income!DC115+Income!DB115+Income!DA115)</f>
        <v>51.485103991006675</v>
      </c>
      <c r="DF70" s="738">
        <f>-DF53/(Income!DF115+Income!DD115+Income!DC115+Income!DB115)</f>
        <v>-1.7628880574375601</v>
      </c>
      <c r="DG70" s="738">
        <f>-DG53/(Income!DG115+Income!DE115+Income!DD115+Income!DC115)</f>
        <v>-0.97851218800060369</v>
      </c>
      <c r="DH70" s="738">
        <f>-DH53/(Income!DH115+Income!DF115+Income!DE115+Income!DD115)</f>
        <v>-0.66543754861911897</v>
      </c>
      <c r="DI70" s="735">
        <f>-DI53/Income!DI115</f>
        <v>-0.50303643724696545</v>
      </c>
      <c r="DJ70" s="738">
        <f>-DJ53/(Income!DJ115+Income!DH115+Income!DH115+Income!DG115)</f>
        <v>-0.54594594594594736</v>
      </c>
      <c r="DK70" s="738">
        <f>-DK53/(Income!DK115+Income!DJ115+Income!DI115+Income!DH115)</f>
        <v>-0.32807570977918077</v>
      </c>
      <c r="DL70" s="738">
        <f>-DL53/(Income!DL115+Income!DK115+Income!DJ115+Income!DI115)</f>
        <v>-0.30954879328436613</v>
      </c>
      <c r="DM70" s="738">
        <f ca="1">-DM53/(Income!DM115+Income!DL115+Income!DK115+Income!DJ115)</f>
        <v>-0.99336870026525315</v>
      </c>
      <c r="DN70" s="735">
        <f ca="1">-DN53/Income!DN115</f>
        <v>-0.99336870026525315</v>
      </c>
      <c r="DO70" s="738">
        <f ca="1">-DO53/(Income!DO115+Income!DM115+Income!DM115+Income!DL115)</f>
        <v>-0.68177083333333433</v>
      </c>
      <c r="DP70" s="738">
        <f ca="1">-DP53/(Income!DP115+Income!DO115+Income!DN115+Income!DM115)</f>
        <v>-0.53897238727717645</v>
      </c>
      <c r="DQ70" s="738">
        <f ca="1">-DQ53/(Income!DQ115+Income!DP115+Income!DO115+Income!DN115)</f>
        <v>-0.88070047427946074</v>
      </c>
      <c r="DR70" s="738">
        <f ca="1">-DR53/(Income!DR115+Income!DQ115+Income!DP115+Income!DO115)</f>
        <v>-0.77388376753507104</v>
      </c>
      <c r="DS70" s="735">
        <f ca="1">-DS53/Income!DS115</f>
        <v>-0.77388376753507104</v>
      </c>
      <c r="DT70" s="738">
        <f>-DT53/(Income!DT115+Income!DR115+Income!DR115+Income!DQ115)</f>
        <v>-0.73233135156559725</v>
      </c>
      <c r="DU70" s="738">
        <f ca="1">-DU53/(Income!DU115+Income!DT115+Income!DS115+Income!DR115)</f>
        <v>-0.4230127746550848</v>
      </c>
      <c r="DV70" s="738">
        <f ca="1">-DV53/(Income!DV115+Income!DU115+Income!DT115+Income!DS115)</f>
        <v>-0.61537815097267734</v>
      </c>
      <c r="DW70" s="738">
        <f>-DW53/(Income!DW115+Income!DV115+Income!DU115+Income!DT115)</f>
        <v>-1.1444053024043144</v>
      </c>
      <c r="DX70" s="735">
        <f>-DX53/Income!DX115</f>
        <v>-1.1444053024043144</v>
      </c>
      <c r="DY70" s="738">
        <f>-DY53/(Income!DY115+Income!DW115+Income!DW115+Income!DV115)</f>
        <v>-1.0848572537592609</v>
      </c>
      <c r="DZ70" s="738">
        <f>-DZ53/(Income!DZ115+Income!DY115+Income!DX115+Income!DW115)</f>
        <v>-0.82809632153276824</v>
      </c>
      <c r="EA70" s="738">
        <f>-EA53/(Income!EA115+Income!DZ115+Income!DY115+Income!DX115)</f>
        <v>-1.0001641811230715</v>
      </c>
      <c r="EB70" s="738">
        <f>-EB53/(Income!EB115+Income!EA115+Income!DZ115+Income!DY115)</f>
        <v>-1.7420821153991672</v>
      </c>
      <c r="EC70" s="735">
        <f>-EC53/Income!EC115</f>
        <v>-1.7420821153991672</v>
      </c>
      <c r="ED70" s="738">
        <f>-ED53/(Income!ED115+Income!EB115+Income!EB115+Income!EA115)</f>
        <v>-1.6030331871624643</v>
      </c>
      <c r="EE70" s="738">
        <f>-EE53/(Income!EE115+Income!ED115+Income!EC115+Income!EB115)</f>
        <v>-1.1542321990704232</v>
      </c>
      <c r="EF70" s="738">
        <f>-EF53/(Income!EF115+Income!EE115+Income!ED115+Income!EC115)</f>
        <v>-1.3455281706097606</v>
      </c>
      <c r="EG70" s="738">
        <f>-EG53/(Income!EG115+Income!EF115+Income!EE115+Income!ED115)</f>
        <v>-2.3617530555560475</v>
      </c>
      <c r="EH70" s="735">
        <f>-EH53/Income!EH115</f>
        <v>-2.3617530555560475</v>
      </c>
      <c r="EI70" s="738">
        <f>-EI53/(Income!EI115+Income!EG115+Income!EG115+Income!EF115)</f>
        <v>-2.1351929367590148</v>
      </c>
      <c r="EJ70" s="738">
        <f>-EJ53/(Income!EJ115+Income!EI115+Income!EH115+Income!EG115)</f>
        <v>-1.478195932138366</v>
      </c>
      <c r="EK70" s="738">
        <f>-EK53/(Income!EK115+Income!EJ115+Income!EI115+Income!EH115)</f>
        <v>-1.6703300698694419</v>
      </c>
      <c r="EL70" s="738">
        <f>-EL53/(Income!EL115+Income!EK115+Income!EJ115+Income!EI115)</f>
        <v>-2.807825607960758</v>
      </c>
      <c r="EM70" s="735">
        <f>-EM53/Income!EM115</f>
        <v>-2.807825607960758</v>
      </c>
      <c r="EN70" s="738">
        <f>-EN53/(Income!EN115+Income!EL115+Income!EL115+Income!EK115)</f>
        <v>-2.5170154082814595</v>
      </c>
      <c r="EO70" s="738">
        <f>-EO53/(Income!EO115+Income!EN115+Income!EM115+Income!EL115)</f>
        <v>-1.7160774688378921</v>
      </c>
      <c r="EP70" s="738">
        <f>-EP53/(Income!EP115+Income!EO115+Income!EN115+Income!EM115)</f>
        <v>-1.9157756888120725</v>
      </c>
      <c r="EQ70" s="738">
        <f>-EQ53/(Income!EQ115+Income!EP115+Income!EO115+Income!EN115)</f>
        <v>-3.1767340585944024</v>
      </c>
      <c r="ER70" s="735">
        <f>-ER53/Income!ER115</f>
        <v>-3.1767340585944024</v>
      </c>
      <c r="EW70"/>
      <c r="EX70"/>
      <c r="EY70"/>
      <c r="EZ70"/>
      <c r="FA70"/>
    </row>
    <row r="71" spans="1:273" s="93" customFormat="1">
      <c r="A71" s="133"/>
      <c r="B71" s="133"/>
      <c r="C71" s="733" t="s">
        <v>64</v>
      </c>
      <c r="D71" s="372"/>
      <c r="E71" s="734"/>
      <c r="F71" s="734"/>
      <c r="G71" s="734"/>
      <c r="H71" s="734"/>
      <c r="M71" s="734"/>
      <c r="R71" s="734"/>
      <c r="W71" s="734"/>
      <c r="AB71" s="734"/>
      <c r="AG71" s="734"/>
      <c r="AL71" s="734"/>
      <c r="AQ71" s="734"/>
      <c r="AV71" s="734"/>
      <c r="BA71" s="734"/>
      <c r="BF71" s="734"/>
      <c r="BK71" s="734"/>
      <c r="BP71" s="734"/>
      <c r="BU71" s="735">
        <f>Income!BU115/-Income!BU50</f>
        <v>-2.6700000000000288</v>
      </c>
      <c r="BZ71" s="735">
        <f>Income!BZ115/-Income!BZ50</f>
        <v>-1.1868489583333215</v>
      </c>
      <c r="CC71" s="100"/>
      <c r="CE71" s="735" t="str">
        <f>IFERROR(Income!CE115/-Income!CE51,"nm")</f>
        <v>nm</v>
      </c>
      <c r="CH71" s="100"/>
      <c r="CJ71" s="735" t="str">
        <f>IFERROR(Income!CJ115/-Income!CJ51,"nm")</f>
        <v>nm</v>
      </c>
      <c r="CO71" s="735" t="str">
        <f>IFERROR(Income!CO115/-Income!CO51,"nm")</f>
        <v>nm</v>
      </c>
      <c r="CP71" s="326"/>
      <c r="CQ71" s="737">
        <f>(Income!CQ115+Income!CP115+Income!CO115+Income!CM115)/-(Income!CQ50+Income!CP50+Income!CO50+Income!CM50)</f>
        <v>-2.8622860515443649</v>
      </c>
      <c r="CR71" s="737">
        <f>(Income!CR115+Income!CQ115+Income!CP115+Income!CN115)/-(Income!CR50+Income!CQ50+Income!CP50+Income!CN50)</f>
        <v>-9.5177730588126668</v>
      </c>
      <c r="CS71" s="736"/>
      <c r="CT71" s="735">
        <f>IFERROR(Income!CT115/-Income!CT51,"nm")</f>
        <v>53.510401761144742</v>
      </c>
      <c r="CU71" s="738">
        <f>(Income!CU115+Income!CS115+Income!CR115+Income!CQ115)/-(Income!CU50+Income!CS50+Income!CR50+Income!CQ50)</f>
        <v>-44.738241438247769</v>
      </c>
      <c r="CV71" s="738">
        <f>(Income!CV115+Income!CU115+Income!CS115+Income!CR115)/-(Income!CV50+Income!CU50+Income!CS50+Income!CR50)</f>
        <v>-63.776377831027268</v>
      </c>
      <c r="CW71" s="738">
        <f>(Income!CW115+Income!CV115+Income!CU115+Income!CS115)/-(Income!CW50+Income!CV50+Income!CU50+Income!CS50)</f>
        <v>-60.667983900475647</v>
      </c>
      <c r="CX71" s="738">
        <f>(Income!CX115+Income!CW115+Income!CV115+Income!CU115)/-(Income!CX50+Income!CW50+Income!CV50+Income!CU50)</f>
        <v>-49.632085178431886</v>
      </c>
      <c r="CY71" s="735">
        <f>Income!CY115/-Income!CY50</f>
        <v>-49.632085178431886</v>
      </c>
      <c r="CZ71" s="738">
        <f>(Income!CZ115+Income!CX115+Income!CW115+Income!CV115)/-(Income!CZ50+Income!CX50+Income!CW50+Income!CV50)</f>
        <v>-31.117889393534611</v>
      </c>
      <c r="DA71" s="738">
        <f>(Income!DA115+Income!CY115+Income!CX115+Income!CW115)/-(Income!DA50+Income!CY50+Income!CX50+Income!CW50)</f>
        <v>-27.437715511462674</v>
      </c>
      <c r="DB71" s="738">
        <f>(Income!DB115+Income!CZ115+Income!CY115+Income!CX115)/-(Income!DB50+Income!CZ50+Income!CY50+Income!CX50)</f>
        <v>-19.293230827718766</v>
      </c>
      <c r="DC71" s="738">
        <f>(Income!DC115+Income!DA115+Income!CZ115+Income!CY115)/-(Income!DC50+Income!DA50+Income!CZ50+Income!CY50)</f>
        <v>-11.433256354176576</v>
      </c>
      <c r="DD71" s="735">
        <f>Income!DD115/-Income!DD50</f>
        <v>-0.5417798612602851</v>
      </c>
      <c r="DE71" s="738">
        <f>(Income!DE115+Income!DC115+Income!DB115+Income!DA115)/-(Income!DE50+Income!DC50+Income!DB50+Income!DA50)</f>
        <v>0.1281372046865987</v>
      </c>
      <c r="DF71" s="738">
        <f>(Income!DF115+Income!DD115+Income!DC115+Income!DB115)/-(Income!DF50+Income!DD50+Income!DC50+Income!DB50)</f>
        <v>-2.0019434378606</v>
      </c>
      <c r="DG71" s="738">
        <f>(Income!DG115+Income!DE115+Income!DD115+Income!DC115)/-(Income!DG50+Income!DE50+Income!DD50+Income!DC50)</f>
        <v>-1.626711566768221</v>
      </c>
      <c r="DH71" s="738">
        <f>(Income!DH115+Income!DF115+Income!DE115+Income!DD115)/-(Income!DH50+Income!DF50+Income!DE50+Income!DD50)</f>
        <v>-2.9045426439190956</v>
      </c>
      <c r="DI71" s="735">
        <f>Income!DI115/-Income!DI50</f>
        <v>-4.0995850622406635</v>
      </c>
      <c r="DJ71" s="738">
        <f>(Income!DJ115+Income!DH115+Income!DH115+Income!DG115)/-(Income!DJ50+Income!DH50+Income!DH50+Income!DG50)</f>
        <v>-4.6582733812949639</v>
      </c>
      <c r="DK71" s="738">
        <f>(Income!DK115+Income!DJ115+Income!DI115+Income!DH115)/-(Income!DK50+Income!DJ50+Income!DI50+Income!DH50)</f>
        <v>-4.0641025641025639</v>
      </c>
      <c r="DL71" s="738">
        <f>(Income!DL115+Income!DK115+Income!DJ115+Income!DI115)/-(Income!DL50+Income!DK50+Income!DJ50+Income!DI50)</f>
        <v>-3.9958071278825997</v>
      </c>
      <c r="DM71" s="738">
        <f ca="1">(Income!DM115+Income!DL115+Income!DK115+Income!DJ115)/-(Income!DM50+Income!DL50+Income!DK50+Income!DJ50)</f>
        <v>-4.8961038961038961</v>
      </c>
      <c r="DN71" s="735">
        <f ca="1">Income!DN115/-Income!DN50</f>
        <v>-4.8961038961038961</v>
      </c>
      <c r="DO71" s="738">
        <f ca="1">(Income!DO115+Income!DM115+Income!DM115+Income!DL115)/-(Income!DO50+Income!DM50+Income!DM50+Income!DL50)</f>
        <v>-6.7132867132867133</v>
      </c>
      <c r="DP71" s="738">
        <f ca="1">(Income!DP115+Income!DO115+Income!DN115+Income!DM115)/-(Income!DP50+Income!DO50+Income!DN50+Income!DM50)</f>
        <v>-5.1923774954627948</v>
      </c>
      <c r="DQ71" s="738">
        <f ca="1">(Income!DQ115+Income!DP115+Income!DO115+Income!DN115)/-(Income!DQ50+Income!DP50+Income!DO50+Income!DN50)</f>
        <v>-4.8946428571428573</v>
      </c>
      <c r="DR71" s="738">
        <f ca="1">(Income!DR115+Income!DQ115+Income!DP115+Income!DO115)/-(Income!DR50+Income!DQ50+Income!DP50+Income!DO50)</f>
        <v>-6.0302114803625377</v>
      </c>
      <c r="DS71" s="735">
        <f ca="1">Income!DS115/-Income!DS50</f>
        <v>-6.0302114803625377</v>
      </c>
      <c r="DT71" s="738">
        <f>(Income!DT115+Income!DR115+Income!DR115+Income!DQ115)/-(Income!DT50+Income!DR50+Income!DR50+Income!DQ50)</f>
        <v>-8.0350318471337587</v>
      </c>
      <c r="DU71" s="738">
        <f ca="1">(Income!DU115+Income!DT115+Income!DS115+Income!DR115)/-(Income!DU50+Income!DT50+Income!DS50+Income!DR50)</f>
        <v>-7.1034482758620694</v>
      </c>
      <c r="DV71" s="738">
        <f ca="1">(Income!DV115+Income!DU115+Income!DT115+Income!DS115)/-(Income!DV50+Income!DU50+Income!DT50+Income!DS50)</f>
        <v>-7.2694082266859112</v>
      </c>
      <c r="DW71" s="738">
        <f>(Income!DW115+Income!DV115+Income!DU115+Income!DT115)/-(Income!DW50+Income!DV50+Income!DU50+Income!DT50)</f>
        <v>-11.227750917570077</v>
      </c>
      <c r="DX71" s="735">
        <f>Income!DX115/-Income!DX50</f>
        <v>-11.227750917570077</v>
      </c>
      <c r="DY71" s="738">
        <f>(Income!DY115+Income!DW115+Income!DW115+Income!DV115)/-(Income!DY50+Income!DW50+Income!DW50+Income!DV50)</f>
        <v>-14.827756149543765</v>
      </c>
      <c r="DZ71" s="738">
        <f>(Income!DZ115+Income!DY115+Income!DX115+Income!DW115)/-(Income!DZ50+Income!DY50+Income!DX50+Income!DW50)</f>
        <v>-12.502595555454205</v>
      </c>
      <c r="EA71" s="738">
        <f>(Income!EA115+Income!DZ115+Income!DY115+Income!DX115)/-(Income!EA50+Income!DZ50+Income!DY50+Income!DX50)</f>
        <v>-11.985954142751297</v>
      </c>
      <c r="EB71" s="738">
        <f>(Income!EB115+Income!EA115+Income!DZ115+Income!DY115)/-(Income!EB50+Income!EA50+Income!DZ50+Income!DY50)</f>
        <v>-14.397240039081261</v>
      </c>
      <c r="EC71" s="735">
        <f>Income!EC115/-Income!EC50</f>
        <v>-14.397240039081259</v>
      </c>
      <c r="ED71" s="738">
        <f>(Income!ED115+Income!EB115+Income!EB115+Income!EA115)/-(Income!ED50+Income!EB50+Income!EB50+Income!EA50)</f>
        <v>-15.072669921680001</v>
      </c>
      <c r="EE71" s="738">
        <f>(Income!EE115+Income!ED115+Income!EC115+Income!EB115)/-(Income!EE50+Income!ED50+Income!EC50+Income!EB50)</f>
        <v>-14.109985956525387</v>
      </c>
      <c r="EF71" s="738">
        <f>(Income!EF115+Income!EE115+Income!ED115+Income!EC115)/-(Income!EF50+Income!EE50+Income!ED50+Income!EC50)</f>
        <v>-13.267518520847348</v>
      </c>
      <c r="EG71" s="738">
        <f>(Income!EG115+Income!EF115+Income!EE115+Income!ED115)/-(Income!EG50+Income!EF50+Income!EE50+Income!ED50)</f>
        <v>-13.279442555652201</v>
      </c>
      <c r="EH71" s="735">
        <f>Income!EH115/-Income!EH50</f>
        <v>-13.279442555652199</v>
      </c>
      <c r="EI71" s="738">
        <f>(Income!EI115+Income!EG115+Income!EG115+Income!EF115)/-(Income!EI50+Income!EG50+Income!EG50+Income!EF50)</f>
        <v>-14.036307217840395</v>
      </c>
      <c r="EJ71" s="738">
        <f>(Income!EJ115+Income!EI115+Income!EH115+Income!EG115)/-(Income!EJ50+Income!EI50+Income!EH50+Income!EG50)</f>
        <v>-13.249923396300202</v>
      </c>
      <c r="EK71" s="738">
        <f>(Income!EK115+Income!EJ115+Income!EI115+Income!EH115)/-(Income!EK50+Income!EJ50+Income!EI50+Income!EH50)</f>
        <v>-12.632734518471031</v>
      </c>
      <c r="EL71" s="738">
        <f>(Income!EL115+Income!EK115+Income!EJ115+Income!EI115)/-(Income!EL50+Income!EK50+Income!EJ50+Income!EI50)</f>
        <v>-13.186210623900784</v>
      </c>
      <c r="EM71" s="735">
        <f>Income!EM115/-Income!EM50</f>
        <v>-13.186210623900786</v>
      </c>
      <c r="EN71" s="738">
        <f>(Income!EN115+Income!EL115+Income!EL115+Income!EK115)/-(Income!EN50+Income!EL50+Income!EL50+Income!EK50)</f>
        <v>-14.081832254078961</v>
      </c>
      <c r="EO71" s="738">
        <f>(Income!EO115+Income!EN115+Income!EM115+Income!EL115)/-(Income!EO50+Income!EN50+Income!EM50+Income!EL50)</f>
        <v>-13.236148976971768</v>
      </c>
      <c r="EP71" s="738">
        <f>(Income!EP115+Income!EO115+Income!EN115+Income!EM115)/-(Income!EP50+Income!EO50+Income!EN50+Income!EM50)</f>
        <v>-12.638659826678106</v>
      </c>
      <c r="EQ71" s="738">
        <f>(Income!EQ115+Income!EP115+Income!EO115+Income!EN115)/-(Income!EQ50+Income!EP50+Income!EO50+Income!EN50)</f>
        <v>-13.330728327803515</v>
      </c>
      <c r="ER71" s="735">
        <f>Income!ER115/-Income!ER50</f>
        <v>-13.330728327803516</v>
      </c>
      <c r="EW71"/>
      <c r="EX71"/>
      <c r="EY71"/>
      <c r="EZ71"/>
      <c r="FA71"/>
    </row>
    <row r="72" spans="1:273" s="741" customFormat="1">
      <c r="A72" s="133"/>
      <c r="B72" s="133"/>
      <c r="C72" s="733" t="s">
        <v>203</v>
      </c>
      <c r="D72" s="729"/>
      <c r="E72" s="407"/>
      <c r="F72" s="407"/>
      <c r="G72" s="407"/>
      <c r="H72" s="407"/>
      <c r="I72" s="91"/>
      <c r="J72" s="91"/>
      <c r="K72" s="91"/>
      <c r="L72" s="91"/>
      <c r="M72" s="407"/>
      <c r="N72" s="91"/>
      <c r="O72" s="91"/>
      <c r="P72" s="91"/>
      <c r="Q72" s="91"/>
      <c r="R72" s="407"/>
      <c r="S72" s="91"/>
      <c r="T72" s="91"/>
      <c r="U72" s="91"/>
      <c r="V72" s="91"/>
      <c r="W72" s="407"/>
      <c r="X72" s="91"/>
      <c r="Y72" s="91"/>
      <c r="Z72" s="91"/>
      <c r="AA72" s="91"/>
      <c r="AB72" s="407"/>
      <c r="AC72" s="91"/>
      <c r="AD72" s="91"/>
      <c r="AE72" s="91"/>
      <c r="AF72" s="91"/>
      <c r="AG72" s="407"/>
      <c r="AH72" s="91"/>
      <c r="AI72" s="91"/>
      <c r="AJ72" s="91"/>
      <c r="AK72" s="91"/>
      <c r="AL72" s="407"/>
      <c r="AM72" s="91"/>
      <c r="AN72" s="91"/>
      <c r="AO72" s="91"/>
      <c r="AP72" s="91"/>
      <c r="AQ72" s="407"/>
      <c r="AR72" s="91"/>
      <c r="AS72" s="91"/>
      <c r="AT72" s="91"/>
      <c r="AU72" s="91"/>
      <c r="AV72" s="407"/>
      <c r="AW72" s="91"/>
      <c r="AX72" s="91"/>
      <c r="AY72" s="91"/>
      <c r="AZ72" s="91"/>
      <c r="BA72" s="407"/>
      <c r="BB72" s="91"/>
      <c r="BC72" s="91"/>
      <c r="BD72" s="91"/>
      <c r="BE72" s="91"/>
      <c r="BF72" s="407"/>
      <c r="BG72" s="91"/>
      <c r="BH72" s="91"/>
      <c r="BI72" s="91"/>
      <c r="BJ72" s="91"/>
      <c r="BK72" s="407"/>
      <c r="BL72" s="91"/>
      <c r="BM72" s="91"/>
      <c r="BN72" s="91"/>
      <c r="BO72" s="91"/>
      <c r="BP72" s="407"/>
      <c r="BQ72" s="91"/>
      <c r="BR72" s="91"/>
      <c r="BS72" s="91"/>
      <c r="BT72" s="91"/>
      <c r="BU72" s="404">
        <f>-BU53/(-BU53+BU42+BU43+BU46)</f>
        <v>-1.291189132755405</v>
      </c>
      <c r="BV72" s="91"/>
      <c r="BW72" s="91"/>
      <c r="BX72" s="91"/>
      <c r="BY72" s="91"/>
      <c r="BZ72" s="404">
        <f>-BZ53/(-BZ53+BZ42+BZ43+BZ46)</f>
        <v>-0.25734309860535509</v>
      </c>
      <c r="CA72" s="91"/>
      <c r="CB72" s="91"/>
      <c r="CC72" s="91"/>
      <c r="CD72" s="91"/>
      <c r="CE72" s="404">
        <f>-CE53/(-CE53+CE42+CE43+CE46)</f>
        <v>-0.16485130139640203</v>
      </c>
      <c r="CF72" s="91"/>
      <c r="CG72" s="91"/>
      <c r="CH72" s="91"/>
      <c r="CI72" s="91"/>
      <c r="CJ72" s="404">
        <f>-CJ53/(-CJ53+CJ42+CJ43+CJ46)</f>
        <v>-0.24444179907564201</v>
      </c>
      <c r="CK72" s="91"/>
      <c r="CL72" s="91"/>
      <c r="CM72" s="91"/>
      <c r="CN72" s="91"/>
      <c r="CO72" s="404">
        <f>-CO53/(-CO53+CO42+CO43+CO46)</f>
        <v>-0.27471090337464682</v>
      </c>
      <c r="CP72" s="730"/>
      <c r="CQ72" s="739">
        <f>-CQ53/(-CQ53+CQ42+CQ43+CQ46)</f>
        <v>-0.68534834450299409</v>
      </c>
      <c r="CR72" s="739">
        <f t="shared" ref="CR72:CX72" si="235">-CR53/(-CR53+CR42+CR43+CR46)</f>
        <v>-0.60964033692630692</v>
      </c>
      <c r="CS72" s="405"/>
      <c r="CT72" s="404">
        <f>-CT53/(-CT53+CT42+CT43+CT46)</f>
        <v>-0.43670717872907977</v>
      </c>
      <c r="CU72" s="740">
        <f t="shared" si="235"/>
        <v>-0.2582567901336521</v>
      </c>
      <c r="CV72" s="740">
        <f t="shared" si="235"/>
        <v>-0.16789005806247992</v>
      </c>
      <c r="CW72" s="740">
        <f t="shared" si="235"/>
        <v>-0.12676958965577392</v>
      </c>
      <c r="CX72" s="740">
        <f t="shared" si="235"/>
        <v>-0.16685640297686527</v>
      </c>
      <c r="CY72" s="404">
        <f t="shared" ref="CY72:DN72" si="236">-CY53/(-CY53+CY42+CY43+CY46)</f>
        <v>-0.16685640297686527</v>
      </c>
      <c r="CZ72" s="740">
        <f t="shared" si="236"/>
        <v>-0.18667453613531032</v>
      </c>
      <c r="DA72" s="740">
        <f>-DA53/(-DA53+DA42+DA43+DA46)</f>
        <v>-0.38841287164226274</v>
      </c>
      <c r="DB72" s="740">
        <f>-DB53/(-DB53+DB42+DB43+DB46)</f>
        <v>-5.6581959897567778E-2</v>
      </c>
      <c r="DC72" s="740">
        <f>-DC53/(-DC53+DC42+DC43+DC46)</f>
        <v>-9.809788863546029E-2</v>
      </c>
      <c r="DD72" s="404">
        <f t="shared" si="236"/>
        <v>-9.809788863546029E-2</v>
      </c>
      <c r="DE72" s="740">
        <f>-DE53/(-DE53+DE42+DE43+DE46)</f>
        <v>-0.10799992453494686</v>
      </c>
      <c r="DF72" s="740">
        <f>-DF53/(-DF53+DF42+DF43+DF46)</f>
        <v>-0.1030685495838406</v>
      </c>
      <c r="DG72" s="740">
        <f>-DG53/(-DG53+DG42+DG43+DG46)</f>
        <v>-4.7017189079878903E-2</v>
      </c>
      <c r="DH72" s="740">
        <f>-DH53/(-DH53+DH42+DH43+DH46)</f>
        <v>-5.7999766600537045E-2</v>
      </c>
      <c r="DI72" s="404">
        <f t="shared" si="236"/>
        <v>-5.7999766600537045E-2</v>
      </c>
      <c r="DJ72" s="740">
        <f t="shared" si="236"/>
        <v>-8.6366967994136568E-2</v>
      </c>
      <c r="DK72" s="740">
        <f t="shared" si="236"/>
        <v>-7.5618031992244539E-2</v>
      </c>
      <c r="DL72" s="740">
        <f>-DL53/(-DL53+DL42+DL43+DL46)</f>
        <v>-6.3991323210412357E-2</v>
      </c>
      <c r="DM72" s="740">
        <f t="shared" si="236"/>
        <v>-0.15340501792114716</v>
      </c>
      <c r="DN72" s="404">
        <f t="shared" si="236"/>
        <v>-0.15340501792114716</v>
      </c>
      <c r="DO72" s="740">
        <f>-DO53/(-DO53+DO42+DO43+DO46)</f>
        <v>-0.13824057450628388</v>
      </c>
      <c r="DP72" s="740">
        <f t="shared" ref="DP72:DQ72" si="237">-DP53/(-DP53+DP42+DP43+DP46)</f>
        <v>-0.14976689976689997</v>
      </c>
      <c r="DQ72" s="740">
        <f t="shared" si="237"/>
        <v>-0.2456747404844293</v>
      </c>
      <c r="DR72" s="740">
        <f>-DR53/(-DR53+DR42+DR43+DR46)</f>
        <v>-0.13212117562692641</v>
      </c>
      <c r="DS72" s="404">
        <f>-DS53/(-DS53+DS42+DS43+DS46)</f>
        <v>-0.13212117562692641</v>
      </c>
      <c r="DT72" s="740">
        <f>-DT53/(-DT53+DT42+DT43+DT46)</f>
        <v>-0.17762100945096157</v>
      </c>
      <c r="DU72" s="740">
        <f t="shared" ref="DU72" si="238">-DU53/(-DU53+DU42+DU43+DU46)</f>
        <v>-0.15385387379698884</v>
      </c>
      <c r="DV72" s="740">
        <f t="shared" ref="DV72:EC72" si="239">-DV53/(-DV53+DV42+DV43+DV46)</f>
        <v>-0.22239841629382784</v>
      </c>
      <c r="DW72" s="740">
        <f t="shared" si="239"/>
        <v>-0.31237755079739848</v>
      </c>
      <c r="DX72" s="404">
        <f t="shared" si="239"/>
        <v>-0.31237755079739848</v>
      </c>
      <c r="DY72" s="740">
        <f t="shared" si="239"/>
        <v>-0.35006105140896959</v>
      </c>
      <c r="DZ72" s="740">
        <f t="shared" si="239"/>
        <v>-0.4194849535968137</v>
      </c>
      <c r="EA72" s="740">
        <f t="shared" si="239"/>
        <v>-0.49716333243072952</v>
      </c>
      <c r="EB72" s="740">
        <f t="shared" si="239"/>
        <v>-0.62570678440004934</v>
      </c>
      <c r="EC72" s="404">
        <f t="shared" si="239"/>
        <v>-0.62570678440004934</v>
      </c>
      <c r="ED72" s="740">
        <f t="shared" ref="ED72:ER72" si="240">-ED53/(-ED53+ED42+ED43+ED46)</f>
        <v>-0.661972444902448</v>
      </c>
      <c r="EE72" s="740">
        <f t="shared" si="240"/>
        <v>-0.74641900012095763</v>
      </c>
      <c r="EF72" s="740">
        <f t="shared" si="240"/>
        <v>-0.83603029556543362</v>
      </c>
      <c r="EG72" s="740">
        <f t="shared" si="240"/>
        <v>-0.99182972929427649</v>
      </c>
      <c r="EH72" s="404">
        <f t="shared" si="240"/>
        <v>-0.99182972929427649</v>
      </c>
      <c r="EI72" s="740">
        <f t="shared" si="240"/>
        <v>-1.0038290611211149</v>
      </c>
      <c r="EJ72" s="740">
        <f t="shared" si="240"/>
        <v>-1.1051136619716351</v>
      </c>
      <c r="EK72" s="740">
        <f t="shared" si="240"/>
        <v>-1.2111555214480738</v>
      </c>
      <c r="EL72" s="740">
        <f t="shared" si="240"/>
        <v>-1.4010644115097322</v>
      </c>
      <c r="EM72" s="404">
        <f t="shared" si="240"/>
        <v>-1.4010644115097322</v>
      </c>
      <c r="EN72" s="740">
        <f t="shared" si="240"/>
        <v>-1.3891567531769715</v>
      </c>
      <c r="EO72" s="740">
        <f t="shared" si="240"/>
        <v>-1.5054429346841776</v>
      </c>
      <c r="EP72" s="740">
        <f t="shared" si="240"/>
        <v>-1.6282764277177868</v>
      </c>
      <c r="EQ72" s="740">
        <f t="shared" si="240"/>
        <v>-1.8506802830594584</v>
      </c>
      <c r="ER72" s="404">
        <f t="shared" si="240"/>
        <v>-1.8506802830594584</v>
      </c>
      <c r="ES72" s="91"/>
      <c r="ET72" s="91"/>
      <c r="EU72" s="91"/>
      <c r="EV72" s="91"/>
      <c r="EW72"/>
      <c r="EX72"/>
      <c r="EY72"/>
      <c r="EZ72"/>
      <c r="FA72"/>
      <c r="FB72" s="91"/>
      <c r="FC72" s="91"/>
      <c r="FD72" s="91"/>
      <c r="FE72" s="91"/>
      <c r="FF72" s="91"/>
      <c r="FG72" s="91"/>
      <c r="FH72" s="91"/>
      <c r="FI72" s="91"/>
      <c r="FJ72" s="91"/>
      <c r="FK72" s="91"/>
      <c r="FL72" s="91"/>
      <c r="FM72" s="91"/>
      <c r="FN72" s="91"/>
      <c r="FO72" s="91"/>
      <c r="FP72" s="91"/>
      <c r="FQ72" s="91"/>
      <c r="FR72" s="91"/>
      <c r="FS72" s="91"/>
      <c r="FT72" s="91"/>
      <c r="FU72" s="91"/>
      <c r="FV72" s="91"/>
      <c r="FW72" s="91"/>
      <c r="FX72" s="91"/>
      <c r="FY72" s="91"/>
      <c r="FZ72" s="91"/>
      <c r="GA72" s="91"/>
      <c r="GB72" s="91"/>
      <c r="GC72" s="91"/>
      <c r="GD72" s="91"/>
      <c r="GE72" s="91"/>
      <c r="GF72" s="91"/>
      <c r="GG72" s="91"/>
      <c r="GH72" s="91"/>
      <c r="GI72" s="91"/>
      <c r="GJ72" s="91"/>
      <c r="GK72" s="91"/>
      <c r="GL72" s="91"/>
      <c r="GM72" s="91"/>
      <c r="GN72" s="91"/>
      <c r="GO72" s="91"/>
      <c r="GP72" s="91"/>
      <c r="GQ72" s="91"/>
      <c r="GR72" s="91"/>
      <c r="GS72" s="91"/>
      <c r="GT72" s="91"/>
      <c r="GU72" s="91"/>
      <c r="GV72" s="91"/>
      <c r="GW72" s="91"/>
      <c r="GX72" s="91"/>
      <c r="GY72" s="91"/>
      <c r="GZ72" s="91"/>
      <c r="HA72" s="91"/>
      <c r="HB72" s="91"/>
      <c r="HC72" s="91"/>
      <c r="HD72" s="91"/>
      <c r="HE72" s="91"/>
      <c r="HF72" s="91"/>
      <c r="HG72" s="91"/>
      <c r="HH72" s="91"/>
      <c r="HI72" s="91"/>
      <c r="HJ72" s="91"/>
      <c r="HK72" s="91"/>
      <c r="HL72" s="91"/>
      <c r="HM72" s="91"/>
      <c r="HN72" s="91"/>
      <c r="HO72" s="91"/>
      <c r="HP72" s="91"/>
      <c r="HQ72" s="91"/>
      <c r="HR72" s="91"/>
      <c r="HS72" s="91"/>
      <c r="HT72" s="91"/>
      <c r="HU72" s="91"/>
      <c r="HV72" s="91"/>
      <c r="HW72" s="91"/>
      <c r="HX72" s="91"/>
      <c r="HY72" s="91"/>
      <c r="HZ72" s="91"/>
      <c r="IA72" s="91"/>
      <c r="IB72" s="91"/>
      <c r="IC72" s="91"/>
      <c r="ID72" s="91"/>
      <c r="IE72" s="91"/>
      <c r="IF72" s="91"/>
      <c r="IG72" s="91"/>
      <c r="IH72" s="91"/>
      <c r="II72" s="91"/>
      <c r="IJ72" s="91"/>
      <c r="IK72" s="91"/>
      <c r="IL72" s="91"/>
      <c r="IM72" s="91"/>
      <c r="IN72" s="91"/>
      <c r="IO72" s="91"/>
      <c r="IP72" s="91"/>
      <c r="IQ72" s="91"/>
      <c r="IR72" s="91"/>
      <c r="IS72" s="91"/>
      <c r="IT72" s="91"/>
      <c r="IU72" s="91"/>
      <c r="IV72" s="91"/>
      <c r="IW72" s="91"/>
      <c r="IX72" s="91"/>
      <c r="IY72" s="91"/>
      <c r="IZ72" s="91"/>
      <c r="JA72" s="91"/>
      <c r="JB72" s="91"/>
      <c r="JC72" s="91"/>
      <c r="JD72" s="91"/>
      <c r="JE72" s="91"/>
      <c r="JF72" s="91"/>
      <c r="JG72" s="91"/>
      <c r="JH72" s="91"/>
      <c r="JI72" s="91"/>
      <c r="JJ72" s="91"/>
      <c r="JK72" s="91"/>
      <c r="JL72" s="91"/>
      <c r="JM72" s="91"/>
    </row>
    <row r="73" spans="1:273" s="741" customFormat="1">
      <c r="A73" s="133"/>
      <c r="B73" s="133"/>
      <c r="C73" s="733" t="s">
        <v>83</v>
      </c>
      <c r="D73" s="729"/>
      <c r="E73" s="729"/>
      <c r="F73" s="729"/>
      <c r="G73" s="729"/>
      <c r="H73" s="729"/>
      <c r="I73" s="91"/>
      <c r="J73" s="91"/>
      <c r="K73" s="91"/>
      <c r="L73" s="91"/>
      <c r="M73" s="729"/>
      <c r="N73" s="91"/>
      <c r="O73" s="91"/>
      <c r="P73" s="91"/>
      <c r="Q73" s="91"/>
      <c r="R73" s="729"/>
      <c r="S73" s="91"/>
      <c r="T73" s="91"/>
      <c r="U73" s="91"/>
      <c r="V73" s="91"/>
      <c r="W73" s="729"/>
      <c r="X73" s="91"/>
      <c r="Y73" s="91"/>
      <c r="Z73" s="91"/>
      <c r="AA73" s="91"/>
      <c r="AB73" s="729"/>
      <c r="AC73" s="91"/>
      <c r="AD73" s="91"/>
      <c r="AE73" s="91"/>
      <c r="AF73" s="91"/>
      <c r="AG73" s="729"/>
      <c r="AH73" s="91"/>
      <c r="AI73" s="91"/>
      <c r="AJ73" s="91"/>
      <c r="AK73" s="91"/>
      <c r="AL73" s="729"/>
      <c r="AM73" s="91"/>
      <c r="AN73" s="91"/>
      <c r="AO73" s="91"/>
      <c r="AP73" s="91"/>
      <c r="AQ73" s="729"/>
      <c r="AR73" s="91"/>
      <c r="AS73" s="91"/>
      <c r="AT73" s="91"/>
      <c r="AU73" s="91"/>
      <c r="AV73" s="729"/>
      <c r="AW73" s="91"/>
      <c r="AX73" s="91"/>
      <c r="AY73" s="91"/>
      <c r="AZ73" s="91"/>
      <c r="BA73" s="729"/>
      <c r="BB73" s="91"/>
      <c r="BC73" s="91"/>
      <c r="BD73" s="91"/>
      <c r="BE73" s="91"/>
      <c r="BF73" s="729"/>
      <c r="BG73" s="91"/>
      <c r="BH73" s="91"/>
      <c r="BI73" s="91"/>
      <c r="BJ73" s="91"/>
      <c r="BK73" s="729"/>
      <c r="BL73" s="91"/>
      <c r="BM73" s="91"/>
      <c r="BN73" s="91"/>
      <c r="BO73" s="91"/>
      <c r="BP73" s="729"/>
      <c r="BQ73" s="91"/>
      <c r="BR73" s="91"/>
      <c r="BS73" s="91"/>
      <c r="BT73" s="91"/>
      <c r="BU73" s="731">
        <f>Income!BU62/AVERAGE(BP26,BU26)</f>
        <v>-7.7099199054621814E-2</v>
      </c>
      <c r="BV73" s="91"/>
      <c r="BW73" s="91"/>
      <c r="BX73" s="91"/>
      <c r="BY73" s="91"/>
      <c r="BZ73" s="731">
        <f>Income!BZ62/AVERAGE(BU26,BZ26)</f>
        <v>-9.6299726258733218E-2</v>
      </c>
      <c r="CA73" s="91"/>
      <c r="CB73" s="91"/>
      <c r="CC73" s="91"/>
      <c r="CD73" s="91"/>
      <c r="CE73" s="731">
        <f>Income!CE62/AVERAGE(BZ26,CE26)</f>
        <v>-4.9865284560650619E-2</v>
      </c>
      <c r="CF73" s="91"/>
      <c r="CG73" s="91"/>
      <c r="CH73" s="91"/>
      <c r="CI73" s="91"/>
      <c r="CJ73" s="731">
        <f>Income!CJ62/AVERAGE(CE26,CJ26)</f>
        <v>-3.8329163634765948E-2</v>
      </c>
      <c r="CK73" s="91"/>
      <c r="CL73" s="91"/>
      <c r="CM73" s="91"/>
      <c r="CN73" s="91"/>
      <c r="CO73" s="731">
        <f>Income!CO62/AVERAGE(CJ26,CO26)</f>
        <v>-4.3466665181126761E-2</v>
      </c>
      <c r="CP73" s="730"/>
      <c r="CQ73" s="742"/>
      <c r="CR73" s="742"/>
      <c r="CS73" s="730"/>
      <c r="CT73" s="731">
        <f>Income!CT62/AVERAGE(CO26,CT26)</f>
        <v>5.6789565660041466E-2</v>
      </c>
      <c r="CU73" s="743">
        <f>Income!CU62*4/AVERAGE('Balance Sheet'!CU26,CT26)</f>
        <v>0.54162212802778675</v>
      </c>
      <c r="CV73" s="743">
        <f>Income!CV62*4/AVERAGE('Balance Sheet'!CV26,CU26)</f>
        <v>0.30871682468293371</v>
      </c>
      <c r="CW73" s="743">
        <f>Income!CW62*4/AVERAGE('Balance Sheet'!CW26,CV26)</f>
        <v>0.36040268951329268</v>
      </c>
      <c r="CX73" s="743">
        <f>Income!CX62*4/AVERAGE('Balance Sheet'!CX26,CW26)</f>
        <v>-0.11052283595933855</v>
      </c>
      <c r="CY73" s="731">
        <f>Income!CY62/AVERAGE(CT26,CY26)</f>
        <v>0.27623071270601923</v>
      </c>
      <c r="CZ73" s="743">
        <f>Income!CZ62*4/AVERAGE('Balance Sheet'!CZ26,CY26)</f>
        <v>-0.46853784191573217</v>
      </c>
      <c r="DA73" s="743">
        <f>Income!DA62*4/AVERAGE('Balance Sheet'!DA26,CZ26)</f>
        <v>-0.42649991262984516</v>
      </c>
      <c r="DB73" s="743">
        <f>Income!DB62*4/AVERAGE('Balance Sheet'!DB26,DA26)</f>
        <v>-5.7732080872255197E-2</v>
      </c>
      <c r="DC73" s="743">
        <f>Income!DC62*4/AVERAGE('Balance Sheet'!DC26,DB26)</f>
        <v>-0.22720641794179319</v>
      </c>
      <c r="DD73" s="731">
        <f>Income!DD62/AVERAGE(CY26,DD26)</f>
        <v>-0.28720352049063702</v>
      </c>
      <c r="DE73" s="743">
        <f>Income!DE62*4/AVERAGE('Balance Sheet'!DE26,DD26)</f>
        <v>2.5044335148633291E-2</v>
      </c>
      <c r="DF73" s="743">
        <f>Income!DF62*4/AVERAGE('Balance Sheet'!DF26,DE26)</f>
        <v>-0.50745957838663458</v>
      </c>
      <c r="DG73" s="743">
        <f>Income!DG62*4/AVERAGE('Balance Sheet'!DG26,DF26)</f>
        <v>0.28481710616299788</v>
      </c>
      <c r="DH73" s="743">
        <f>Income!DH62*4/AVERAGE('Balance Sheet'!DH26,DG26)</f>
        <v>0.24151082111841193</v>
      </c>
      <c r="DI73" s="731">
        <f>Income!DI62/AVERAGE(DD26,DI26)</f>
        <v>1.1969450154743679E-2</v>
      </c>
      <c r="DJ73" s="743">
        <f>Income!DJ62*4/AVERAGE('Balance Sheet'!DJ26,DH26)</f>
        <v>-9.7452144036410671E-2</v>
      </c>
      <c r="DK73" s="743">
        <f>Income!DK62*4/AVERAGE('Balance Sheet'!DK26,DJ26)</f>
        <v>6.0913705583756333E-2</v>
      </c>
      <c r="DL73" s="743">
        <f>Income!DL62*4/AVERAGE('Balance Sheet'!DL26,DK26)</f>
        <v>0.27978880675818368</v>
      </c>
      <c r="DM73" s="743">
        <f>Income!DM62*4/AVERAGE('Balance Sheet'!DM26,DL26)</f>
        <v>0.39401211290138266</v>
      </c>
      <c r="DN73" s="731">
        <f>Income!DN62/AVERAGE(DI26,DN26)</f>
        <v>0.16009197954248106</v>
      </c>
      <c r="DO73" s="743">
        <f>Income!DO62*4/AVERAGE('Balance Sheet'!DO26,DM26)</f>
        <v>-0.19967793880837356</v>
      </c>
      <c r="DP73" s="743">
        <f>Income!DP62*4/AVERAGE('Balance Sheet'!DP26,DO26)</f>
        <v>0.25921819677407815</v>
      </c>
      <c r="DQ73" s="743">
        <f>Income!DQ62*4/AVERAGE('Balance Sheet'!DQ26,DP26)</f>
        <v>7.1351351351351344E-2</v>
      </c>
      <c r="DR73" s="743">
        <f>Income!DR62*4/AVERAGE('Balance Sheet'!DR26,DQ26)</f>
        <v>0.19664101158699879</v>
      </c>
      <c r="DS73" s="731">
        <f>Income!DS62/AVERAGE(DN26,DS26)</f>
        <v>8.4567984690652909E-2</v>
      </c>
      <c r="DT73" s="743">
        <f>Income!DT62*4/AVERAGE('Balance Sheet'!DT26,DR26)</f>
        <v>-0.15858423852816356</v>
      </c>
      <c r="DU73" s="743">
        <f>Income!DU62*4/AVERAGE('Balance Sheet'!DU26,DT26)</f>
        <v>0.42028175666581691</v>
      </c>
      <c r="DV73" s="743">
        <f>Income!DV62*4/AVERAGE('Balance Sheet'!DV26,DU26)</f>
        <v>0.13496290964419996</v>
      </c>
      <c r="DW73" s="743">
        <f>Income!DW62*4/AVERAGE('Balance Sheet'!DW26,DV26)</f>
        <v>0.18636600930119063</v>
      </c>
      <c r="DX73" s="731">
        <f>Income!DX62/AVERAGE(DS26,DX26)</f>
        <v>0.13691546945228994</v>
      </c>
      <c r="DY73" s="743">
        <f>Income!DY62*4/AVERAGE('Balance Sheet'!DY26,DW26)</f>
        <v>0.11498489157705302</v>
      </c>
      <c r="DZ73" s="743">
        <f>Income!DZ62*4/AVERAGE('Balance Sheet'!DZ26,DY26)</f>
        <v>0.14185995672378912</v>
      </c>
      <c r="EA73" s="743">
        <f>Income!EA62*4/AVERAGE('Balance Sheet'!EA26,DZ26)</f>
        <v>0.14919675233290053</v>
      </c>
      <c r="EB73" s="743">
        <f>Income!EB62*4/AVERAGE('Balance Sheet'!EB26,EA26)</f>
        <v>0.20531919879078694</v>
      </c>
      <c r="EC73" s="731">
        <f>Income!EC62/AVERAGE(DX26,EC26)</f>
        <v>0.15223276525709509</v>
      </c>
      <c r="ED73" s="743">
        <f>Income!ED62*4/AVERAGE('Balance Sheet'!ED26,EB26)</f>
        <v>0.11594335656385457</v>
      </c>
      <c r="EE73" s="743">
        <f>Income!EE62*4/AVERAGE('Balance Sheet'!EE26,ED26)</f>
        <v>0.14202428302778553</v>
      </c>
      <c r="EF73" s="743">
        <f>Income!EF62*4/AVERAGE('Balance Sheet'!EF26,EE26)</f>
        <v>0.14849765973969506</v>
      </c>
      <c r="EG73" s="743">
        <f>Income!EG62*4/AVERAGE('Balance Sheet'!EG26,EF26)</f>
        <v>0.20395594742799955</v>
      </c>
      <c r="EH73" s="731">
        <f>Income!EH62/AVERAGE(EC26,EH26)</f>
        <v>0.15203750835386948</v>
      </c>
      <c r="EI73" s="743">
        <f>Income!EI62*4/AVERAGE('Balance Sheet'!EI26,EG26)</f>
        <v>0.11587082164265042</v>
      </c>
      <c r="EJ73" s="743">
        <f>Income!EJ62*4/AVERAGE('Balance Sheet'!EJ26,EI26)</f>
        <v>0.14183804788506554</v>
      </c>
      <c r="EK73" s="743">
        <f>Income!EK62*4/AVERAGE('Balance Sheet'!EK26,EJ26)</f>
        <v>0.14783428477276336</v>
      </c>
      <c r="EL73" s="743">
        <f>Income!EL62*4/AVERAGE('Balance Sheet'!EL26,EK26)</f>
        <v>0.20249048398758351</v>
      </c>
      <c r="EM73" s="731">
        <f>Income!EM62/AVERAGE(EH26,EM26)</f>
        <v>0.15095992609849065</v>
      </c>
      <c r="EN73" s="743">
        <f>Income!EN62*4/AVERAGE('Balance Sheet'!EN26,EL26)</f>
        <v>0.11573742133275043</v>
      </c>
      <c r="EO73" s="743">
        <f>Income!EO62*4/AVERAGE('Balance Sheet'!EO26,EN26)</f>
        <v>0.14137906079403956</v>
      </c>
      <c r="EP73" s="743">
        <f>Income!EP62*4/AVERAGE('Balance Sheet'!EP26,EO26)</f>
        <v>0.14700462457341454</v>
      </c>
      <c r="EQ73" s="743">
        <f>Income!EQ62*4/AVERAGE('Balance Sheet'!EQ26,EP26)</f>
        <v>0.20073291897785206</v>
      </c>
      <c r="ER73" s="731">
        <f>Income!ER62/AVERAGE(EM26,ER26)</f>
        <v>0.14997102383342492</v>
      </c>
      <c r="ES73" s="91"/>
      <c r="ET73" s="91"/>
      <c r="EU73" s="91"/>
      <c r="EV73" s="91"/>
      <c r="EW73"/>
      <c r="EX73"/>
      <c r="EY73"/>
      <c r="EZ73"/>
      <c r="FA73"/>
      <c r="FB73" s="91"/>
      <c r="FC73" s="91"/>
      <c r="FD73" s="91"/>
      <c r="FE73" s="91"/>
      <c r="FF73" s="91"/>
      <c r="FG73" s="91"/>
      <c r="FH73" s="91"/>
      <c r="FI73" s="91"/>
      <c r="FJ73" s="91"/>
      <c r="FK73" s="91"/>
      <c r="FL73" s="91"/>
      <c r="FM73" s="91"/>
      <c r="FN73" s="91"/>
      <c r="FO73" s="91"/>
      <c r="FP73" s="91"/>
      <c r="FQ73" s="91"/>
      <c r="FR73" s="91"/>
      <c r="FS73" s="91"/>
      <c r="FT73" s="91"/>
      <c r="FU73" s="91"/>
      <c r="FV73" s="91"/>
      <c r="FW73" s="91"/>
      <c r="FX73" s="91"/>
      <c r="FY73" s="91"/>
      <c r="FZ73" s="91"/>
      <c r="GA73" s="91"/>
      <c r="GB73" s="91"/>
      <c r="GC73" s="91"/>
      <c r="GD73" s="91"/>
      <c r="GE73" s="91"/>
      <c r="GF73" s="91"/>
      <c r="GG73" s="91"/>
      <c r="GH73" s="91"/>
      <c r="GI73" s="91"/>
      <c r="GJ73" s="91"/>
      <c r="GK73" s="91"/>
      <c r="GL73" s="91"/>
      <c r="GM73" s="91"/>
      <c r="GN73" s="91"/>
      <c r="GO73" s="91"/>
      <c r="GP73" s="91"/>
      <c r="GQ73" s="91"/>
      <c r="GR73" s="91"/>
      <c r="GS73" s="91"/>
      <c r="GT73" s="91"/>
      <c r="GU73" s="91"/>
      <c r="GV73" s="91"/>
      <c r="GW73" s="91"/>
      <c r="GX73" s="91"/>
      <c r="GY73" s="91"/>
      <c r="GZ73" s="91"/>
      <c r="HA73" s="91"/>
      <c r="HB73" s="91"/>
      <c r="HC73" s="91"/>
      <c r="HD73" s="91"/>
      <c r="HE73" s="91"/>
      <c r="HF73" s="91"/>
      <c r="HG73" s="91"/>
      <c r="HH73" s="91"/>
      <c r="HI73" s="91"/>
      <c r="HJ73" s="91"/>
      <c r="HK73" s="91"/>
      <c r="HL73" s="91"/>
      <c r="HM73" s="91"/>
      <c r="HN73" s="91"/>
      <c r="HO73" s="91"/>
      <c r="HP73" s="91"/>
      <c r="HQ73" s="91"/>
      <c r="HR73" s="91"/>
      <c r="HS73" s="91"/>
      <c r="HT73" s="91"/>
      <c r="HU73" s="91"/>
      <c r="HV73" s="91"/>
      <c r="HW73" s="91"/>
      <c r="HX73" s="91"/>
      <c r="HY73" s="91"/>
      <c r="HZ73" s="91"/>
      <c r="IA73" s="91"/>
      <c r="IB73" s="91"/>
      <c r="IC73" s="91"/>
      <c r="ID73" s="91"/>
      <c r="IE73" s="91"/>
      <c r="IF73" s="91"/>
      <c r="IG73" s="91"/>
      <c r="IH73" s="91"/>
      <c r="II73" s="91"/>
      <c r="IJ73" s="91"/>
      <c r="IK73" s="91"/>
      <c r="IL73" s="91"/>
      <c r="IM73" s="91"/>
      <c r="IN73" s="91"/>
      <c r="IO73" s="91"/>
      <c r="IP73" s="91"/>
      <c r="IQ73" s="91"/>
      <c r="IR73" s="91"/>
      <c r="IS73" s="91"/>
      <c r="IT73" s="91"/>
      <c r="IU73" s="91"/>
      <c r="IV73" s="91"/>
      <c r="IW73" s="91"/>
      <c r="IX73" s="91"/>
      <c r="IY73" s="91"/>
      <c r="IZ73" s="91"/>
      <c r="JA73" s="91"/>
      <c r="JB73" s="91"/>
      <c r="JC73" s="91"/>
      <c r="JD73" s="91"/>
      <c r="JE73" s="91"/>
      <c r="JF73" s="91"/>
      <c r="JG73" s="91"/>
      <c r="JH73" s="91"/>
      <c r="JI73" s="91"/>
      <c r="JJ73" s="91"/>
      <c r="JK73" s="91"/>
      <c r="JL73" s="91"/>
      <c r="JM73" s="91"/>
    </row>
    <row r="74" spans="1:273" s="741" customFormat="1">
      <c r="A74" s="133"/>
      <c r="B74" s="133"/>
      <c r="C74" s="733" t="s">
        <v>84</v>
      </c>
      <c r="D74" s="729"/>
      <c r="E74" s="729"/>
      <c r="F74" s="729"/>
      <c r="G74" s="729"/>
      <c r="H74" s="729"/>
      <c r="I74" s="91"/>
      <c r="J74" s="91"/>
      <c r="K74" s="91"/>
      <c r="L74" s="91"/>
      <c r="M74" s="729"/>
      <c r="N74" s="91"/>
      <c r="O74" s="91"/>
      <c r="P74" s="91"/>
      <c r="Q74" s="91"/>
      <c r="R74" s="729"/>
      <c r="S74" s="91"/>
      <c r="T74" s="91"/>
      <c r="U74" s="91"/>
      <c r="V74" s="91"/>
      <c r="W74" s="729"/>
      <c r="X74" s="91"/>
      <c r="Y74" s="91"/>
      <c r="Z74" s="91"/>
      <c r="AA74" s="91"/>
      <c r="AB74" s="729"/>
      <c r="AC74" s="91"/>
      <c r="AD74" s="91"/>
      <c r="AE74" s="91"/>
      <c r="AF74" s="91"/>
      <c r="AG74" s="729"/>
      <c r="AH74" s="91"/>
      <c r="AI74" s="91"/>
      <c r="AJ74" s="91"/>
      <c r="AK74" s="91"/>
      <c r="AL74" s="729"/>
      <c r="AM74" s="91"/>
      <c r="AN74" s="91"/>
      <c r="AO74" s="91"/>
      <c r="AP74" s="91"/>
      <c r="AQ74" s="729"/>
      <c r="AR74" s="91"/>
      <c r="AS74" s="91"/>
      <c r="AT74" s="91"/>
      <c r="AU74" s="91"/>
      <c r="AV74" s="729"/>
      <c r="AW74" s="91"/>
      <c r="AX74" s="91"/>
      <c r="AY74" s="91"/>
      <c r="AZ74" s="91"/>
      <c r="BA74" s="729"/>
      <c r="BB74" s="91"/>
      <c r="BC74" s="91"/>
      <c r="BD74" s="91"/>
      <c r="BE74" s="91"/>
      <c r="BF74" s="729"/>
      <c r="BG74" s="91"/>
      <c r="BH74" s="91"/>
      <c r="BI74" s="91"/>
      <c r="BJ74" s="91"/>
      <c r="BK74" s="729"/>
      <c r="BL74" s="91"/>
      <c r="BM74" s="91"/>
      <c r="BN74" s="91"/>
      <c r="BO74" s="91"/>
      <c r="BP74" s="729"/>
      <c r="BQ74" s="91"/>
      <c r="BR74" s="91"/>
      <c r="BS74" s="91"/>
      <c r="BT74" s="91"/>
      <c r="BU74" s="731">
        <f>Income!BU$62/AVERAGE(SUM(BP42:BP46),SUM(BU42:BU46))</f>
        <v>-0.19240516698495258</v>
      </c>
      <c r="BV74" s="91"/>
      <c r="BW74" s="91"/>
      <c r="BX74" s="91"/>
      <c r="BY74" s="91"/>
      <c r="BZ74" s="731">
        <f>Income!BZ$62/AVERAGE(SUM(BU42:BU46),SUM(BZ42:BZ46))</f>
        <v>-0.11672303905789608</v>
      </c>
      <c r="CA74" s="91"/>
      <c r="CB74" s="91"/>
      <c r="CC74" s="91"/>
      <c r="CD74" s="91"/>
      <c r="CE74" s="731">
        <f>Income!CE$62/AVERAGE(SUM(BZ42:BZ46),SUM(CE42:CE46))</f>
        <v>-5.6667157843431737E-2</v>
      </c>
      <c r="CF74" s="91"/>
      <c r="CG74" s="91"/>
      <c r="CH74" s="91"/>
      <c r="CI74" s="91"/>
      <c r="CJ74" s="731">
        <f>Income!CJ$62/AVERAGE(SUM(CE42:CE46),SUM(CJ42:CJ46))</f>
        <v>-4.1756633853709223E-2</v>
      </c>
      <c r="CK74" s="91"/>
      <c r="CL74" s="91"/>
      <c r="CM74" s="91"/>
      <c r="CN74" s="91"/>
      <c r="CO74" s="731">
        <f>Income!CO$62/AVERAGE(SUM(CJ42:CJ46),SUM(CO42:CO46))</f>
        <v>-4.8895310331808328E-2</v>
      </c>
      <c r="CP74" s="730"/>
      <c r="CQ74" s="742"/>
      <c r="CR74" s="742"/>
      <c r="CS74" s="730"/>
      <c r="CT74" s="731">
        <f>Income!CT$62/AVERAGE(SUM(CO42:CO46),SUM(CT42:CT46))</f>
        <v>6.7861829560736067E-2</v>
      </c>
      <c r="CU74" s="743">
        <f>Income!CU$62/AVERAGE(SUM(CT42:CT46),SUM(CU42:CU46))</f>
        <v>0.16193500261281998</v>
      </c>
      <c r="CV74" s="743">
        <f>Income!CV$62/AVERAGE(SUM(CU42:CU46),SUM(CV42:CV46))</f>
        <v>9.1275470910578957E-2</v>
      </c>
      <c r="CW74" s="743">
        <f>Income!CW$62/AVERAGE(SUM(CV42:CV46),SUM(CW42:CW46))</f>
        <v>0.10687651253528195</v>
      </c>
      <c r="CX74" s="743">
        <f>Income!CX$62/AVERAGE(SUM(CW42:CW46),SUM(CX42:CX46))</f>
        <v>-3.3000115803600946E-2</v>
      </c>
      <c r="CY74" s="731">
        <f>Income!CY$62/AVERAGE(SUM(CT42:CT46),SUM(CY42:CY46))</f>
        <v>0.33245675389345009</v>
      </c>
      <c r="CZ74" s="743">
        <f>Income!CZ$62/AVERAGE(SUM(CY42:CY46),SUM(CZ42:CZ46))</f>
        <v>-0.14093700807573081</v>
      </c>
      <c r="DA74" s="743">
        <f>Income!DA$62/AVERAGE(SUM(CZ42:CZ46),SUM(DA42:DA46))</f>
        <v>-0.13010482731059411</v>
      </c>
      <c r="DB74" s="743">
        <f>Income!DB$62/AVERAGE(SUM(DA42:DA46),SUM(DB42:DB46))</f>
        <v>-1.8197330566515964E-2</v>
      </c>
      <c r="DC74" s="743">
        <f>Income!DC$62/AVERAGE(SUM(DB42:DB46),SUM(DC42:DC46))</f>
        <v>-7.3670894643405899E-2</v>
      </c>
      <c r="DD74" s="731">
        <f>Income!DD$62/AVERAGE(SUM(CY42:CY46),SUM(DD42:DD46))</f>
        <v>-0.35725551472391143</v>
      </c>
      <c r="DE74" s="743">
        <f>Income!DE$62/AVERAGE(SUM(DD42:DD46),SUM(DE42:DE46))</f>
        <v>8.1457177871750337E-3</v>
      </c>
      <c r="DF74" s="743">
        <f>Income!DF$62/AVERAGE(SUM(DE42:DE46),SUM(DF42:DF46))</f>
        <v>-0.16469849246231155</v>
      </c>
      <c r="DG74" s="743">
        <f>Income!DG$62/AVERAGE(SUM(DF42:DF46),SUM(DG42:DG46))</f>
        <v>9.1191973074236363E-2</v>
      </c>
      <c r="DH74" s="743">
        <f>Income!DH$62/AVERAGE(SUM(DG42:DG46),SUM(DH42:DH46))</f>
        <v>7.5734870317002878E-2</v>
      </c>
      <c r="DI74" s="731">
        <f>Income!DI$62/AVERAGE(SUM(DD42:DD46),SUM(DI42:DI46))</f>
        <v>1.5255804299004748E-2</v>
      </c>
      <c r="DJ74" s="743">
        <f>Income!DJ$62/AVERAGE(SUM(DH42:DH46),SUM(DJ42:DJ46))</f>
        <v>-3.0402583662787461E-2</v>
      </c>
      <c r="DK74" s="743">
        <f>Income!DK$62/AVERAGE(SUM(DJ42:DJ46),SUM(DK42:DK46))</f>
        <v>1.8931635759756434E-2</v>
      </c>
      <c r="DL74" s="743">
        <f>Income!DL$62/AVERAGE(SUM(DK42:DK46),SUM(DL42:DL46))</f>
        <v>8.5847589424572324E-2</v>
      </c>
      <c r="DM74" s="743">
        <f>Income!DM$62/AVERAGE(SUM(DL42:DL46),SUM(DM42:DM46))</f>
        <v>0.11930245432736668</v>
      </c>
      <c r="DN74" s="731">
        <f>Income!DN$62/AVERAGE(SUM(DI42:DI46),SUM(DN42:DN46))</f>
        <v>0.19579131109387121</v>
      </c>
      <c r="DO74" s="743">
        <f>Income!DO$62/AVERAGE(SUM(DM42:DM46),SUM(DO42:DO46))</f>
        <v>-6.032995709673139E-2</v>
      </c>
      <c r="DP74" s="743">
        <f>Income!DP$62/AVERAGE(SUM(DO42:DO46),SUM(DP42:DP46))</f>
        <v>7.8187702265372166E-2</v>
      </c>
      <c r="DQ74" s="743">
        <f>Income!DQ$62/AVERAGE(SUM(DP42:DP46),SUM(DQ42:DQ46))</f>
        <v>2.1432920641363915E-2</v>
      </c>
      <c r="DR74" s="743">
        <f>Income!DR$62/AVERAGE(SUM(DQ42:DQ46),SUM(DR42:DR46))</f>
        <v>5.7189039408866993E-2</v>
      </c>
      <c r="DS74" s="731">
        <f>Income!DS$62/AVERAGE(SUM(DN42:DN46),SUM(DS42:DS46))</f>
        <v>9.8358036035316204E-2</v>
      </c>
      <c r="DT74" s="743">
        <f>Income!DT$62/AVERAGE(SUM(DR42:DR46),SUM(DT42:DT46))</f>
        <v>-4.4737044737044734E-2</v>
      </c>
      <c r="DU74" s="743">
        <f>Income!DU$62/AVERAGE(SUM(DT42:DT46),SUM(DU42:DU46))</f>
        <v>0.11927734762755608</v>
      </c>
      <c r="DV74" s="743">
        <f>Income!DV$62/AVERAGE(SUM(DU42:DU46),SUM(DV42:DV46))</f>
        <v>3.8669856232482328E-2</v>
      </c>
      <c r="DW74" s="743">
        <f>Income!DW$62/AVERAGE(SUM(DV42:DV46),SUM(DW42:DW46))</f>
        <v>5.3640847148470304E-2</v>
      </c>
      <c r="DX74" s="731">
        <f>Income!DX$62/AVERAGE(SUM(DS42:DS46),SUM(DX42:DX46))</f>
        <v>0.15604864946087027</v>
      </c>
      <c r="DY74" s="743">
        <f>Income!DY$62/AVERAGE(SUM(DW42:DW46),SUM(DY42:DY46))</f>
        <v>3.3063494353492894E-2</v>
      </c>
      <c r="DZ74" s="743">
        <f>Income!DZ$62/AVERAGE(SUM(DY42:DY46),SUM(DZ42:DZ46))</f>
        <v>4.0777306979099912E-2</v>
      </c>
      <c r="EA74" s="743">
        <f>Income!EA$62/AVERAGE(SUM(DZ42:DZ46),SUM(EA42:EA46))</f>
        <v>4.2888389498443619E-2</v>
      </c>
      <c r="EB74" s="743">
        <f>Income!EB$62/AVERAGE(SUM(EA42:EA46),SUM(EB42:EB46))</f>
        <v>5.9101899391085892E-2</v>
      </c>
      <c r="EC74" s="731">
        <f>Income!EC$62/AVERAGE(SUM(DX42:DX46),SUM(EC42:EC46))</f>
        <v>0.17546288523727993</v>
      </c>
      <c r="ED74" s="743">
        <f>Income!ED$62/AVERAGE(SUM(EB42:EB46),SUM(ED42:ED46))</f>
        <v>3.3383869435270185E-2</v>
      </c>
      <c r="EE74" s="743">
        <f>Income!EE$62/AVERAGE(SUM(ED42:ED46),SUM(EE42:EE46))</f>
        <v>4.087487735876974E-2</v>
      </c>
      <c r="EF74" s="743">
        <f>Income!EF$62/AVERAGE(SUM(EE42:EE46),SUM(EF42:EF46))</f>
        <v>4.2759995815425243E-2</v>
      </c>
      <c r="EG74" s="743">
        <f>Income!EG$62/AVERAGE(SUM(EF42:EF46),SUM(EG42:EG46))</f>
        <v>5.8882117339260645E-2</v>
      </c>
      <c r="EH74" s="731">
        <f>Income!EH$62/AVERAGE(SUM(EC42:EC46),SUM(EH42:EH46))</f>
        <v>0.17576048257774726</v>
      </c>
      <c r="EI74" s="743">
        <f>Income!EI$62/AVERAGE(SUM(EG42:EG46),SUM(EI42:EI46))</f>
        <v>3.3353134981975549E-2</v>
      </c>
      <c r="EJ74" s="743">
        <f>Income!EJ$62/AVERAGE(SUM(EI42:EI46),SUM(EJ42:EJ46))</f>
        <v>4.0647587489499246E-2</v>
      </c>
      <c r="EK74" s="743">
        <f>Income!EK$62/AVERAGE(SUM(EJ42:EJ46),SUM(EK42:EK46))</f>
        <v>4.2396498762249928E-2</v>
      </c>
      <c r="EL74" s="743">
        <f>Income!EL$62/AVERAGE(SUM(EK42:EK46),SUM(EL42:EL46))</f>
        <v>5.8241745479719199E-2</v>
      </c>
      <c r="EM74" s="731">
        <f>Income!EM$62/AVERAGE(SUM(EH42:EH46),SUM(EM42:EM46))</f>
        <v>0.17448941094214679</v>
      </c>
      <c r="EN74" s="743">
        <f>Income!EN$62/AVERAGE(SUM(EL42:EL46),SUM(EN42:EN46))</f>
        <v>3.3138779915772881E-2</v>
      </c>
      <c r="EO74" s="743">
        <f>Income!EO$62/AVERAGE(SUM(EN42:EN46),SUM(EO42:EO46))</f>
        <v>4.023225623931579E-2</v>
      </c>
      <c r="EP74" s="743">
        <f>Income!EP$62/AVERAGE(SUM(EO42:EO46),SUM(EP42:EP46))</f>
        <v>4.1869372667334669E-2</v>
      </c>
      <c r="EQ74" s="743">
        <f>Income!EQ$62/AVERAGE(SUM(EP42:EP46),SUM(EQ42:EQ46))</f>
        <v>5.7345949845740471E-2</v>
      </c>
      <c r="ER74" s="731">
        <f>Income!ER$62/AVERAGE(SUM(EM42:EM46),SUM(ER42:ER46))</f>
        <v>0.17243228592637549</v>
      </c>
      <c r="ES74" s="91"/>
      <c r="ET74" s="91"/>
      <c r="EU74" s="91"/>
      <c r="EV74" s="91"/>
      <c r="EW74"/>
      <c r="EX74"/>
      <c r="EY74"/>
      <c r="EZ74"/>
      <c r="FA74"/>
      <c r="FB74" s="91"/>
      <c r="FC74" s="91"/>
      <c r="FD74" s="91"/>
      <c r="FE74" s="91"/>
      <c r="FF74" s="91"/>
      <c r="FG74" s="91"/>
      <c r="FH74" s="91"/>
      <c r="FI74" s="91"/>
      <c r="FJ74" s="91"/>
      <c r="FK74" s="91"/>
      <c r="FL74" s="91"/>
      <c r="FM74" s="91"/>
      <c r="FN74" s="91"/>
      <c r="FO74" s="91"/>
      <c r="FP74" s="91"/>
      <c r="FQ74" s="91"/>
      <c r="FR74" s="91"/>
      <c r="FS74" s="91"/>
      <c r="FT74" s="91"/>
      <c r="FU74" s="91"/>
      <c r="FV74" s="91"/>
      <c r="FW74" s="91"/>
      <c r="FX74" s="91"/>
      <c r="FY74" s="91"/>
      <c r="FZ74" s="91"/>
      <c r="GA74" s="91"/>
      <c r="GB74" s="91"/>
      <c r="GC74" s="91"/>
      <c r="GD74" s="91"/>
      <c r="GE74" s="91"/>
      <c r="GF74" s="91"/>
      <c r="GG74" s="91"/>
      <c r="GH74" s="91"/>
      <c r="GI74" s="91"/>
      <c r="GJ74" s="91"/>
      <c r="GK74" s="91"/>
      <c r="GL74" s="91"/>
      <c r="GM74" s="91"/>
      <c r="GN74" s="91"/>
      <c r="GO74" s="91"/>
      <c r="GP74" s="91"/>
      <c r="GQ74" s="91"/>
      <c r="GR74" s="91"/>
      <c r="GS74" s="91"/>
      <c r="GT74" s="91"/>
      <c r="GU74" s="91"/>
      <c r="GV74" s="91"/>
      <c r="GW74" s="91"/>
      <c r="GX74" s="91"/>
      <c r="GY74" s="91"/>
      <c r="GZ74" s="91"/>
      <c r="HA74" s="91"/>
      <c r="HB74" s="91"/>
      <c r="HC74" s="91"/>
      <c r="HD74" s="91"/>
      <c r="HE74" s="91"/>
      <c r="HF74" s="91"/>
      <c r="HG74" s="91"/>
      <c r="HH74" s="91"/>
      <c r="HI74" s="91"/>
      <c r="HJ74" s="91"/>
      <c r="HK74" s="91"/>
      <c r="HL74" s="91"/>
      <c r="HM74" s="91"/>
      <c r="HN74" s="91"/>
      <c r="HO74" s="91"/>
      <c r="HP74" s="91"/>
      <c r="HQ74" s="91"/>
      <c r="HR74" s="91"/>
      <c r="HS74" s="91"/>
      <c r="HT74" s="91"/>
      <c r="HU74" s="91"/>
      <c r="HV74" s="91"/>
      <c r="HW74" s="91"/>
      <c r="HX74" s="91"/>
      <c r="HY74" s="91"/>
      <c r="HZ74" s="91"/>
      <c r="IA74" s="91"/>
      <c r="IB74" s="91"/>
      <c r="IC74" s="91"/>
      <c r="ID74" s="91"/>
      <c r="IE74" s="91"/>
      <c r="IF74" s="91"/>
      <c r="IG74" s="91"/>
      <c r="IH74" s="91"/>
      <c r="II74" s="91"/>
      <c r="IJ74" s="91"/>
      <c r="IK74" s="91"/>
      <c r="IL74" s="91"/>
      <c r="IM74" s="91"/>
      <c r="IN74" s="91"/>
      <c r="IO74" s="91"/>
      <c r="IP74" s="91"/>
      <c r="IQ74" s="91"/>
      <c r="IR74" s="91"/>
      <c r="IS74" s="91"/>
      <c r="IT74" s="91"/>
      <c r="IU74" s="91"/>
      <c r="IV74" s="91"/>
      <c r="IW74" s="91"/>
      <c r="IX74" s="91"/>
      <c r="IY74" s="91"/>
      <c r="IZ74" s="91"/>
      <c r="JA74" s="91"/>
      <c r="JB74" s="91"/>
      <c r="JC74" s="91"/>
      <c r="JD74" s="91"/>
      <c r="JE74" s="91"/>
      <c r="JF74" s="91"/>
      <c r="JG74" s="91"/>
      <c r="JH74" s="91"/>
      <c r="JI74" s="91"/>
      <c r="JJ74" s="91"/>
      <c r="JK74" s="91"/>
      <c r="JL74" s="91"/>
      <c r="JM74" s="91"/>
    </row>
    <row r="75" spans="1:273" s="741" customFormat="1">
      <c r="A75" s="133"/>
      <c r="B75" s="133"/>
      <c r="C75" s="733" t="s">
        <v>82</v>
      </c>
      <c r="D75" s="744"/>
      <c r="E75" s="744"/>
      <c r="F75" s="744"/>
      <c r="G75" s="744"/>
      <c r="H75" s="744"/>
      <c r="I75" s="91"/>
      <c r="J75" s="91"/>
      <c r="K75" s="91"/>
      <c r="L75" s="91"/>
      <c r="M75" s="744"/>
      <c r="N75" s="91"/>
      <c r="O75" s="91"/>
      <c r="P75" s="91"/>
      <c r="Q75" s="91"/>
      <c r="R75" s="744"/>
      <c r="S75" s="91"/>
      <c r="T75" s="91"/>
      <c r="U75" s="91"/>
      <c r="V75" s="91"/>
      <c r="W75" s="744"/>
      <c r="X75" s="91"/>
      <c r="Y75" s="91"/>
      <c r="Z75" s="91"/>
      <c r="AA75" s="91"/>
      <c r="AB75" s="744"/>
      <c r="AC75" s="91"/>
      <c r="AD75" s="91"/>
      <c r="AE75" s="91"/>
      <c r="AF75" s="91"/>
      <c r="AG75" s="744"/>
      <c r="AH75" s="91"/>
      <c r="AI75" s="91"/>
      <c r="AJ75" s="91"/>
      <c r="AK75" s="91"/>
      <c r="AL75" s="744"/>
      <c r="AM75" s="91"/>
      <c r="AN75" s="91"/>
      <c r="AO75" s="91"/>
      <c r="AP75" s="91"/>
      <c r="AQ75" s="744"/>
      <c r="AR75" s="91"/>
      <c r="AS75" s="91"/>
      <c r="AT75" s="91"/>
      <c r="AU75" s="91"/>
      <c r="AV75" s="744"/>
      <c r="AW75" s="91"/>
      <c r="AX75" s="91"/>
      <c r="AY75" s="91"/>
      <c r="AZ75" s="91"/>
      <c r="BA75" s="744"/>
      <c r="BB75" s="91"/>
      <c r="BC75" s="91"/>
      <c r="BD75" s="91"/>
      <c r="BE75" s="91"/>
      <c r="BF75" s="744"/>
      <c r="BG75" s="91"/>
      <c r="BH75" s="91"/>
      <c r="BI75" s="91"/>
      <c r="BJ75" s="91"/>
      <c r="BK75" s="744"/>
      <c r="BL75" s="91"/>
      <c r="BM75" s="91"/>
      <c r="BN75" s="91"/>
      <c r="BO75" s="91"/>
      <c r="BP75" s="744"/>
      <c r="BQ75" s="91"/>
      <c r="BR75" s="91"/>
      <c r="BS75" s="91"/>
      <c r="BT75" s="91"/>
      <c r="BU75" s="745">
        <f>'Cash Flow'!BU56/AVERAGE(SUM(BU14-BU34+BU17+BU16+BU24),SUM(BP14-BP34+BP17+BP16+BP24))</f>
        <v>0</v>
      </c>
      <c r="BV75" s="91"/>
      <c r="BW75" s="91"/>
      <c r="BX75" s="91"/>
      <c r="BY75" s="91"/>
      <c r="BZ75" s="745">
        <f>'Cash Flow'!BZ56/AVERAGE(SUM(BZ14-BZ34+BZ17+BZ16+BZ24),SUM(BU14-BU34+BU17+BU16+BU24))</f>
        <v>-3.536486785298712E-2</v>
      </c>
      <c r="CA75" s="91"/>
      <c r="CB75" s="91"/>
      <c r="CC75" s="91"/>
      <c r="CD75" s="91"/>
      <c r="CE75" s="745">
        <f>'Cash Flow'!CE56/AVERAGE(SUM(CE14-CE34+CE17+CE16+CE24),SUM(BZ14-BZ34+BZ17+BZ16+BZ24))</f>
        <v>-1.8031463731021997E-2</v>
      </c>
      <c r="CF75" s="91"/>
      <c r="CG75" s="91"/>
      <c r="CH75" s="91"/>
      <c r="CI75" s="91"/>
      <c r="CJ75" s="745">
        <f>'Cash Flow'!CJ56/AVERAGE(SUM(CJ14-CJ34+CJ17+CJ16+CJ24),SUM(CE14-CE34+CE17+CE16+CE24))</f>
        <v>-1.2323123057558305E-2</v>
      </c>
      <c r="CK75" s="91"/>
      <c r="CL75" s="91"/>
      <c r="CM75" s="91"/>
      <c r="CN75" s="91"/>
      <c r="CO75" s="745">
        <f>'Cash Flow'!CO56/AVERAGE(SUM(CO14-CO34+CO17+CO16+CO24),SUM(CJ14-CJ34+CJ17+CJ16+CJ24))</f>
        <v>5.4398565284952561E-3</v>
      </c>
      <c r="CP75" s="730"/>
      <c r="CQ75" s="742"/>
      <c r="CR75" s="742"/>
      <c r="CS75" s="730"/>
      <c r="CT75" s="745">
        <f>(Income!CT44+Income!CT57)/AVERAGE('Balance Sheet'!CT48-'Balance Sheet'!CT8-'Balance Sheet'!CT9,'Balance Sheet'!CO48-'Balance Sheet'!CO8-'Balance Sheet'!CO9)</f>
        <v>0.14054157709767834</v>
      </c>
      <c r="CU75" s="743">
        <f>(Income!CU44+Income!CU57)*4/AVERAGE('Balance Sheet'!CU48-'Balance Sheet'!CU8-'Balance Sheet'!CU9,'Balance Sheet'!CT48-'Balance Sheet'!CT8-'Balance Sheet'!CT9)</f>
        <v>1.4419817265789833E-2</v>
      </c>
      <c r="CV75" s="743">
        <f>(Income!CV44+Income!CV57)*4/AVERAGE('Balance Sheet'!CV48-'Balance Sheet'!CV8-'Balance Sheet'!CV9,'Balance Sheet'!CU48-'Balance Sheet'!CU8-'Balance Sheet'!CU9)</f>
        <v>0.11097187913259976</v>
      </c>
      <c r="CW75" s="743">
        <f>(Income!CW44+Income!CW57)*4/AVERAGE('Balance Sheet'!CW48-'Balance Sheet'!CW8-'Balance Sheet'!CW9,'Balance Sheet'!CV48-'Balance Sheet'!CV8-'Balance Sheet'!CV9)</f>
        <v>-0.15354769446223696</v>
      </c>
      <c r="CX75" s="743">
        <f>(Income!CX44+Income!CX57)*4/AVERAGE('Balance Sheet'!CX48-'Balance Sheet'!CX8-'Balance Sheet'!CX9,'Balance Sheet'!CW48-'Balance Sheet'!CW8-'Balance Sheet'!CW9)</f>
        <v>9.0984022903384268E-2</v>
      </c>
      <c r="CY75" s="745">
        <f>(Income!CY44+Income!CY57)/AVERAGE('Balance Sheet'!CY48-'Balance Sheet'!CY8-'Balance Sheet'!CY9,'Balance Sheet'!CT48-'Balance Sheet'!CT8-'Balance Sheet'!CT9)</f>
        <v>1.2295924999175914E-2</v>
      </c>
      <c r="CZ75" s="743">
        <f>(Income!CZ44+Income!CZ57)*4/AVERAGE('Balance Sheet'!CZ48-'Balance Sheet'!CZ8-'Balance Sheet'!CZ9,'Balance Sheet'!CY48-'Balance Sheet'!CY8-'Balance Sheet'!CY9)</f>
        <v>6.3365496206588171E-2</v>
      </c>
      <c r="DA75" s="743">
        <f>(Income!DA44+Income!DA57)*4/AVERAGE('Balance Sheet'!DA48-'Balance Sheet'!DA8-'Balance Sheet'!DA9,'Balance Sheet'!CZ48-'Balance Sheet'!CZ8-'Balance Sheet'!CZ9)</f>
        <v>-0.18696966128125986</v>
      </c>
      <c r="DB75" s="743">
        <f>(Income!DB44+Income!DB57)*4/AVERAGE('Balance Sheet'!DB48-'Balance Sheet'!DB8-'Balance Sheet'!DB9,'Balance Sheet'!DA48-'Balance Sheet'!DA8-'Balance Sheet'!DA9)</f>
        <v>-0.27580516638401265</v>
      </c>
      <c r="DC75" s="743">
        <f>(Income!DC44+Income!DC57)*4/AVERAGE('Balance Sheet'!DC48-'Balance Sheet'!DC8-'Balance Sheet'!DC9,'Balance Sheet'!DB48-'Balance Sheet'!DB8-'Balance Sheet'!DB9)</f>
        <v>-0.13226415324550594</v>
      </c>
      <c r="DD75" s="745">
        <f>(Income!DD44+Income!DD57)/AVERAGE('Balance Sheet'!DD48-'Balance Sheet'!DD8-'Balance Sheet'!DD9,'Balance Sheet'!CY48-'Balance Sheet'!CY8-'Balance Sheet'!CY9)</f>
        <v>-0.11703664683743216</v>
      </c>
      <c r="DE75" s="743">
        <f>(Income!DE44+Income!DE57)*4/AVERAGE('Balance Sheet'!DE48-'Balance Sheet'!DE8-'Balance Sheet'!DE9,'Balance Sheet'!DD48-'Balance Sheet'!DD8-'Balance Sheet'!DD9)</f>
        <v>-0.13621493429027151</v>
      </c>
      <c r="DF75" s="743">
        <f>(Income!DF44+Income!DF57)*4/AVERAGE('Balance Sheet'!DF48-'Balance Sheet'!DF8-'Balance Sheet'!DF9,'Balance Sheet'!DE48-'Balance Sheet'!DE8-'Balance Sheet'!DE9)</f>
        <v>-1.1945558443971269</v>
      </c>
      <c r="DG75" s="743">
        <f>(Income!DG44+Income!DG57)*4/AVERAGE('Balance Sheet'!DG48-'Balance Sheet'!DG8-'Balance Sheet'!DG9,'Balance Sheet'!DF48-'Balance Sheet'!DF8-'Balance Sheet'!DF9)</f>
        <v>8.558869740116036E-2</v>
      </c>
      <c r="DH75" s="743">
        <f>(Income!DH44+Income!DH57)*4/AVERAGE('Balance Sheet'!DH48-'Balance Sheet'!DH8-'Balance Sheet'!DH9,'Balance Sheet'!DG48-'Balance Sheet'!DG8-'Balance Sheet'!DG9)</f>
        <v>0.17842358705753153</v>
      </c>
      <c r="DI75" s="745">
        <f>(Income!DI44+Income!DI57)/AVERAGE('Balance Sheet'!DI48-'Balance Sheet'!DI8-'Balance Sheet'!DI9,'Balance Sheet'!DD48-'Balance Sheet'!DD8-'Balance Sheet'!DD9)</f>
        <v>-0.2452647521287889</v>
      </c>
      <c r="DJ75" s="743">
        <f>(Income!DJ44+Income!DJ57)*4/AVERAGE('Balance Sheet'!DJ48-'Balance Sheet'!DJ8-'Balance Sheet'!DJ9,'Balance Sheet'!DH48-'Balance Sheet'!DH8-'Balance Sheet'!DH9)</f>
        <v>4.5149681007688548E-2</v>
      </c>
      <c r="DK75" s="743">
        <f>(Income!DK44+Income!DK57)*4/AVERAGE('Balance Sheet'!DK48-'Balance Sheet'!DK8-'Balance Sheet'!DK9,'Balance Sheet'!DJ48-'Balance Sheet'!DJ8-'Balance Sheet'!DJ9)</f>
        <v>0.13637846655791194</v>
      </c>
      <c r="DL75" s="743">
        <f>(Income!DL44+Income!DL57)*4/AVERAGE('Balance Sheet'!DL48-'Balance Sheet'!DL8-'Balance Sheet'!DL9,'Balance Sheet'!DK48-'Balance Sheet'!DK8-'Balance Sheet'!DK9)</f>
        <v>0.1459408387237445</v>
      </c>
      <c r="DM75" s="743">
        <f>(Income!DM44+Income!DM57)*4/AVERAGE('Balance Sheet'!DM48-'Balance Sheet'!DM8-'Balance Sheet'!DM9,'Balance Sheet'!DL48-'Balance Sheet'!DL8-'Balance Sheet'!DL9)</f>
        <v>0.16978399143522896</v>
      </c>
      <c r="DN75" s="745">
        <f>(Income!DN44+Income!DN57)/AVERAGE('Balance Sheet'!DN48-'Balance Sheet'!DN8-'Balance Sheet'!DN9,'Balance Sheet'!DI48-'Balance Sheet'!DI8-'Balance Sheet'!DI9)</f>
        <v>0.11753528773072749</v>
      </c>
      <c r="DO75" s="743">
        <f>(Income!DO44+Income!DO57)*4/AVERAGE('Balance Sheet'!DO48-'Balance Sheet'!DO8-'Balance Sheet'!DO9,'Balance Sheet'!DM48-'Balance Sheet'!DM8-'Balance Sheet'!DM9)</f>
        <v>0.14255097667013658</v>
      </c>
      <c r="DP75" s="743">
        <f>(Income!DP44+Income!DP57)*4/AVERAGE('Balance Sheet'!DP48-'Balance Sheet'!DP8-'Balance Sheet'!DP9,'Balance Sheet'!DO48-'Balance Sheet'!DO8-'Balance Sheet'!DO9)</f>
        <v>5.6775124797016914E-2</v>
      </c>
      <c r="DQ75" s="743">
        <f>(Income!DQ44+Income!DQ57)*4/AVERAGE('Balance Sheet'!DQ48-'Balance Sheet'!DQ8-'Balance Sheet'!DQ9,'Balance Sheet'!DP48-'Balance Sheet'!DP8-'Balance Sheet'!DP9)</f>
        <v>0.13722677987493548</v>
      </c>
      <c r="DR75" s="743">
        <f>(Income!DR44+Income!DR57)*4/AVERAGE('Balance Sheet'!DR48-'Balance Sheet'!DR8-'Balance Sheet'!DR9,'Balance Sheet'!DQ48-'Balance Sheet'!DQ8-'Balance Sheet'!DQ9)</f>
        <v>0.2130230444970668</v>
      </c>
      <c r="DS75" s="745">
        <f>(Income!DS44+Income!DS57)/AVERAGE('Balance Sheet'!DS48-'Balance Sheet'!DS8-'Balance Sheet'!DS9,'Balance Sheet'!DN48-'Balance Sheet'!DN8-'Balance Sheet'!DN9)</f>
        <v>0.13328608211049892</v>
      </c>
      <c r="DT75" s="743">
        <f>(Income!DT44+Income!DT57)*4/AVERAGE('Balance Sheet'!DT48-'Balance Sheet'!DT8-'Balance Sheet'!DT9,'Balance Sheet'!DR48-'Balance Sheet'!DR8-'Balance Sheet'!DR9)</f>
        <v>0.19561929696673172</v>
      </c>
      <c r="DU75" s="743">
        <f>(Income!DU44+Income!DU57)*4/AVERAGE('Balance Sheet'!DU48-'Balance Sheet'!DU8-'Balance Sheet'!DU9,'Balance Sheet'!DT48-'Balance Sheet'!DT8-'Balance Sheet'!DT9)</f>
        <v>9.6080496687010436E-2</v>
      </c>
      <c r="DV75" s="743">
        <f>(Income!DV44+Income!DV57)*4/AVERAGE('Balance Sheet'!DV48-'Balance Sheet'!DV8-'Balance Sheet'!DV9,'Balance Sheet'!DU48-'Balance Sheet'!DU8-'Balance Sheet'!DU9)</f>
        <v>0.1847387344714268</v>
      </c>
      <c r="DW75" s="743">
        <f>(Income!DW44+Income!DW57)*4/AVERAGE('Balance Sheet'!DW48-'Balance Sheet'!DW8-'Balance Sheet'!DW9,'Balance Sheet'!DV48-'Balance Sheet'!DV8-'Balance Sheet'!DV9)</f>
        <v>0.27976414320862419</v>
      </c>
      <c r="DX75" s="745">
        <f>(Income!DX44+Income!DX57)/AVERAGE('Balance Sheet'!DX48-'Balance Sheet'!DX8-'Balance Sheet'!DX9,'Balance Sheet'!DS48-'Balance Sheet'!DS8-'Balance Sheet'!DS9)</f>
        <v>0.184741826438268</v>
      </c>
      <c r="DY75" s="743">
        <f>(Income!DY44+Income!DY57)*4/AVERAGE('Balance Sheet'!DY48-'Balance Sheet'!DY8-'Balance Sheet'!DY9,'Balance Sheet'!DW48-'Balance Sheet'!DW8-'Balance Sheet'!DW9)</f>
        <v>0.1707120405866342</v>
      </c>
      <c r="DZ75" s="743">
        <f>(Income!DZ44+Income!DZ57)*4/AVERAGE('Balance Sheet'!DZ48-'Balance Sheet'!DZ8-'Balance Sheet'!DZ9,'Balance Sheet'!DY48-'Balance Sheet'!DY8-'Balance Sheet'!DY9)</f>
        <v>0.22166643924345761</v>
      </c>
      <c r="EA75" s="743">
        <f>(Income!EA44+Income!EA57)*4/AVERAGE('Balance Sheet'!EA48-'Balance Sheet'!EA8-'Balance Sheet'!EA9,'Balance Sheet'!DZ48-'Balance Sheet'!DZ8-'Balance Sheet'!DZ9)</f>
        <v>0.24235898074473097</v>
      </c>
      <c r="EB75" s="743">
        <f>(Income!EB44+Income!EB57)*4/AVERAGE('Balance Sheet'!EB48-'Balance Sheet'!EB8-'Balance Sheet'!EB9,'Balance Sheet'!EA48-'Balance Sheet'!EA8-'Balance Sheet'!EA9)</f>
        <v>0.36056724549251767</v>
      </c>
      <c r="EC75" s="745">
        <f>(Income!EC44+Income!EC57)/AVERAGE('Balance Sheet'!EC48-'Balance Sheet'!EC8-'Balance Sheet'!EC9,'Balance Sheet'!DX48-'Balance Sheet'!DX8-'Balance Sheet'!DX9)</f>
        <v>0.25075382667569934</v>
      </c>
      <c r="ED75" s="743">
        <f>(Income!ED44+Income!ED57)*4/AVERAGE('Balance Sheet'!ED48-'Balance Sheet'!ED8-'Balance Sheet'!ED9,'Balance Sheet'!EB48-'Balance Sheet'!EB8-'Balance Sheet'!EB9)</f>
        <v>0.19936851434229347</v>
      </c>
      <c r="EE75" s="743">
        <f>(Income!EE44+Income!EE57)*4/AVERAGE('Balance Sheet'!EE48-'Balance Sheet'!EE8-'Balance Sheet'!EE9,'Balance Sheet'!ED48-'Balance Sheet'!ED8-'Balance Sheet'!ED9)</f>
        <v>0.25649280288205917</v>
      </c>
      <c r="EF75" s="743">
        <f>(Income!EF44+Income!EF57)*4/AVERAGE('Balance Sheet'!EF48-'Balance Sheet'!EF8-'Balance Sheet'!EF9,'Balance Sheet'!EE48-'Balance Sheet'!EE8-'Balance Sheet'!EE9)</f>
        <v>0.27809040950545977</v>
      </c>
      <c r="EG75" s="743">
        <f>(Income!EG44+Income!EG57)*4/AVERAGE('Balance Sheet'!EG48-'Balance Sheet'!EG8-'Balance Sheet'!EG9,'Balance Sheet'!EF48-'Balance Sheet'!EF8-'Balance Sheet'!EF9)</f>
        <v>0.41157209403609363</v>
      </c>
      <c r="EH75" s="745">
        <f>(Income!EH44+Income!EH57)/AVERAGE('Balance Sheet'!EH48-'Balance Sheet'!EH8-'Balance Sheet'!EH9,'Balance Sheet'!EC48-'Balance Sheet'!EC8-'Balance Sheet'!EC9)</f>
        <v>0.28875092020248655</v>
      </c>
      <c r="EI75" s="743">
        <f>(Income!EI44+Income!EI57)*4/AVERAGE('Balance Sheet'!EI48-'Balance Sheet'!EI8-'Balance Sheet'!EI9,'Balance Sheet'!EG48-'Balance Sheet'!EG8-'Balance Sheet'!EG9)</f>
        <v>0.22753482170513709</v>
      </c>
      <c r="EJ75" s="743">
        <f>(Income!EJ44+Income!EJ57)*4/AVERAGE('Balance Sheet'!EJ48-'Balance Sheet'!EJ8-'Balance Sheet'!EJ9,'Balance Sheet'!EI48-'Balance Sheet'!EI8-'Balance Sheet'!EI9)</f>
        <v>0.29202986231028422</v>
      </c>
      <c r="EK75" s="743">
        <f>(Income!EK44+Income!EK57)*4/AVERAGE('Balance Sheet'!EK48-'Balance Sheet'!EK8-'Balance Sheet'!EK9,'Balance Sheet'!EJ48-'Balance Sheet'!EJ8-'Balance Sheet'!EJ9)</f>
        <v>0.31516689150265675</v>
      </c>
      <c r="EL75" s="743">
        <f>(Income!EL44+Income!EL57)*4/AVERAGE('Balance Sheet'!EL48-'Balance Sheet'!EL8-'Balance Sheet'!EL9,'Balance Sheet'!EK48-'Balance Sheet'!EK8-'Balance Sheet'!EK9)</f>
        <v>0.46395305524913277</v>
      </c>
      <c r="EM75" s="745">
        <f>(Income!EM44+Income!EM57)/AVERAGE('Balance Sheet'!EM48-'Balance Sheet'!EM8-'Balance Sheet'!EM9,'Balance Sheet'!EH48-'Balance Sheet'!EH8-'Balance Sheet'!EH9)</f>
        <v>0.3264730719920228</v>
      </c>
      <c r="EN75" s="743">
        <f>(Income!EN44+Income!EN57)*4/AVERAGE('Balance Sheet'!EN48-'Balance Sheet'!EN8-'Balance Sheet'!EN9,'Balance Sheet'!EL48-'Balance Sheet'!EL8-'Balance Sheet'!EL9)</f>
        <v>0.25777877890461365</v>
      </c>
      <c r="EO75" s="743">
        <f>(Income!EO44+Income!EO57)*4/AVERAGE('Balance Sheet'!EO48-'Balance Sheet'!EO8-'Balance Sheet'!EO9,'Balance Sheet'!EN48-'Balance Sheet'!EN8-'Balance Sheet'!EN9)</f>
        <v>0.32948268612230214</v>
      </c>
      <c r="EP75" s="743">
        <f>(Income!EP44+Income!EP57)*4/AVERAGE('Balance Sheet'!EP48-'Balance Sheet'!EP8-'Balance Sheet'!EP9,'Balance Sheet'!EO48-'Balance Sheet'!EO8-'Balance Sheet'!EO9)</f>
        <v>0.35396158330447486</v>
      </c>
      <c r="EQ75" s="743">
        <f>(Income!EQ44+Income!EQ57)*4/AVERAGE('Balance Sheet'!EQ48-'Balance Sheet'!EQ8-'Balance Sheet'!EQ9,'Balance Sheet'!EP48-'Balance Sheet'!EP8-'Balance Sheet'!EP9)</f>
        <v>0.51745389011525089</v>
      </c>
      <c r="ER75" s="745">
        <f>(Income!ER44+Income!ER57)/AVERAGE('Balance Sheet'!ER48-'Balance Sheet'!ER8-'Balance Sheet'!ER9,'Balance Sheet'!EM48-'Balance Sheet'!EM8-'Balance Sheet'!EM9)</f>
        <v>0.36580738562661314</v>
      </c>
      <c r="ES75" s="91"/>
      <c r="ET75" s="91"/>
      <c r="EU75" s="91"/>
      <c r="EV75" s="91"/>
      <c r="EW75"/>
      <c r="EX75"/>
      <c r="EY75"/>
      <c r="EZ75"/>
      <c r="FA75"/>
      <c r="FB75" s="91"/>
      <c r="FC75" s="91"/>
      <c r="FD75" s="91"/>
      <c r="FE75" s="91"/>
      <c r="FF75" s="91"/>
      <c r="FG75" s="91"/>
      <c r="FH75" s="91"/>
      <c r="FI75" s="91"/>
      <c r="FJ75" s="91"/>
      <c r="FK75" s="91"/>
      <c r="FL75" s="91"/>
      <c r="FM75" s="91"/>
      <c r="FN75" s="91"/>
      <c r="FO75" s="91"/>
      <c r="FP75" s="91"/>
      <c r="FQ75" s="91"/>
      <c r="FR75" s="91"/>
      <c r="FS75" s="91"/>
      <c r="FT75" s="91"/>
      <c r="FU75" s="91"/>
      <c r="FV75" s="91"/>
      <c r="FW75" s="91"/>
      <c r="FX75" s="91"/>
      <c r="FY75" s="91"/>
      <c r="FZ75" s="91"/>
      <c r="GA75" s="91"/>
      <c r="GB75" s="91"/>
      <c r="GC75" s="91"/>
      <c r="GD75" s="91"/>
      <c r="GE75" s="91"/>
      <c r="GF75" s="91"/>
      <c r="GG75" s="91"/>
      <c r="GH75" s="91"/>
      <c r="GI75" s="91"/>
      <c r="GJ75" s="91"/>
      <c r="GK75" s="91"/>
      <c r="GL75" s="91"/>
      <c r="GM75" s="91"/>
      <c r="GN75" s="91"/>
      <c r="GO75" s="91"/>
      <c r="GP75" s="91"/>
      <c r="GQ75" s="91"/>
      <c r="GR75" s="91"/>
      <c r="GS75" s="91"/>
      <c r="GT75" s="91"/>
      <c r="GU75" s="91"/>
      <c r="GV75" s="91"/>
      <c r="GW75" s="91"/>
      <c r="GX75" s="91"/>
      <c r="GY75" s="91"/>
      <c r="GZ75" s="91"/>
      <c r="HA75" s="91"/>
      <c r="HB75" s="91"/>
      <c r="HC75" s="91"/>
      <c r="HD75" s="91"/>
      <c r="HE75" s="91"/>
      <c r="HF75" s="91"/>
      <c r="HG75" s="91"/>
      <c r="HH75" s="91"/>
      <c r="HI75" s="91"/>
      <c r="HJ75" s="91"/>
      <c r="HK75" s="91"/>
      <c r="HL75" s="91"/>
      <c r="HM75" s="91"/>
      <c r="HN75" s="91"/>
      <c r="HO75" s="91"/>
      <c r="HP75" s="91"/>
      <c r="HQ75" s="91"/>
      <c r="HR75" s="91"/>
      <c r="HS75" s="91"/>
      <c r="HT75" s="91"/>
      <c r="HU75" s="91"/>
      <c r="HV75" s="91"/>
      <c r="HW75" s="91"/>
      <c r="HX75" s="91"/>
      <c r="HY75" s="91"/>
      <c r="HZ75" s="91"/>
      <c r="IA75" s="91"/>
      <c r="IB75" s="91"/>
      <c r="IC75" s="91"/>
      <c r="ID75" s="91"/>
      <c r="IE75" s="91"/>
      <c r="IF75" s="91"/>
      <c r="IG75" s="91"/>
      <c r="IH75" s="91"/>
      <c r="II75" s="91"/>
      <c r="IJ75" s="91"/>
      <c r="IK75" s="91"/>
      <c r="IL75" s="91"/>
      <c r="IM75" s="91"/>
      <c r="IN75" s="91"/>
      <c r="IO75" s="91"/>
      <c r="IP75" s="91"/>
      <c r="IQ75" s="91"/>
      <c r="IR75" s="91"/>
      <c r="IS75" s="91"/>
      <c r="IT75" s="91"/>
      <c r="IU75" s="91"/>
      <c r="IV75" s="91"/>
      <c r="IW75" s="91"/>
      <c r="IX75" s="91"/>
      <c r="IY75" s="91"/>
      <c r="IZ75" s="91"/>
      <c r="JA75" s="91"/>
      <c r="JB75" s="91"/>
      <c r="JC75" s="91"/>
      <c r="JD75" s="91"/>
      <c r="JE75" s="91"/>
      <c r="JF75" s="91"/>
      <c r="JG75" s="91"/>
      <c r="JH75" s="91"/>
      <c r="JI75" s="91"/>
      <c r="JJ75" s="91"/>
      <c r="JK75" s="91"/>
      <c r="JL75" s="91"/>
      <c r="JM75" s="91"/>
    </row>
    <row r="76" spans="1:273" s="741" customFormat="1">
      <c r="A76" s="133"/>
      <c r="B76" s="133"/>
      <c r="C76" s="733"/>
      <c r="D76" s="91"/>
      <c r="E76" s="91"/>
      <c r="F76" s="91"/>
      <c r="G76" s="91"/>
      <c r="H76" s="91"/>
      <c r="I76" s="91"/>
      <c r="J76" s="91"/>
      <c r="K76" s="91"/>
      <c r="L76" s="91"/>
      <c r="M76" s="91"/>
      <c r="N76" s="91"/>
      <c r="O76" s="91"/>
      <c r="P76" s="91"/>
      <c r="Q76" s="91"/>
      <c r="R76" s="91"/>
      <c r="S76" s="91"/>
      <c r="T76" s="91"/>
      <c r="U76" s="91"/>
      <c r="V76" s="91"/>
      <c r="W76" s="91"/>
      <c r="X76" s="91"/>
      <c r="Y76" s="91"/>
      <c r="Z76" s="91"/>
      <c r="AA76" s="91"/>
      <c r="AB76" s="91"/>
      <c r="AC76" s="91"/>
      <c r="AD76" s="91"/>
      <c r="AE76" s="91"/>
      <c r="AF76" s="91"/>
      <c r="AG76" s="91"/>
      <c r="AH76" s="91"/>
      <c r="AI76" s="91"/>
      <c r="AJ76" s="91"/>
      <c r="AK76" s="91"/>
      <c r="AL76" s="91"/>
      <c r="AM76" s="91"/>
      <c r="AN76" s="91"/>
      <c r="AO76" s="91"/>
      <c r="AP76" s="91"/>
      <c r="AQ76" s="91"/>
      <c r="AR76" s="91"/>
      <c r="AS76" s="91"/>
      <c r="AT76" s="91"/>
      <c r="AU76" s="91"/>
      <c r="AV76" s="91"/>
      <c r="AW76" s="91"/>
      <c r="AX76" s="91"/>
      <c r="AY76" s="91"/>
      <c r="AZ76" s="91"/>
      <c r="BA76" s="91"/>
      <c r="BB76" s="91"/>
      <c r="BC76" s="91"/>
      <c r="BD76" s="91"/>
      <c r="BE76" s="91"/>
      <c r="BF76" s="91"/>
      <c r="BG76" s="91"/>
      <c r="BH76" s="91"/>
      <c r="BI76" s="91"/>
      <c r="BJ76" s="91"/>
      <c r="BK76" s="91"/>
      <c r="BL76" s="91"/>
      <c r="BM76" s="91"/>
      <c r="BN76" s="91"/>
      <c r="BO76" s="91"/>
      <c r="BP76" s="91"/>
      <c r="BQ76" s="91"/>
      <c r="BR76" s="91"/>
      <c r="BS76" s="91"/>
      <c r="BT76" s="91"/>
      <c r="BU76" s="730"/>
      <c r="BV76" s="91"/>
      <c r="BW76" s="91"/>
      <c r="BX76" s="91"/>
      <c r="BY76" s="91"/>
      <c r="BZ76" s="730"/>
      <c r="CA76" s="91"/>
      <c r="CB76" s="91"/>
      <c r="CC76" s="91"/>
      <c r="CD76" s="91"/>
      <c r="CE76" s="730"/>
      <c r="CF76" s="91"/>
      <c r="CG76" s="91"/>
      <c r="CH76" s="91"/>
      <c r="CI76" s="91"/>
      <c r="CJ76" s="730"/>
      <c r="CK76" s="91"/>
      <c r="CL76" s="91"/>
      <c r="CM76" s="91"/>
      <c r="CN76" s="91"/>
      <c r="CO76" s="730"/>
      <c r="CP76" s="730"/>
      <c r="CQ76" s="742"/>
      <c r="CR76" s="742"/>
      <c r="CS76" s="730"/>
      <c r="CT76" s="730"/>
      <c r="CU76" s="743"/>
      <c r="CV76" s="743"/>
      <c r="CW76" s="743"/>
      <c r="CX76" s="743"/>
      <c r="CY76" s="730"/>
      <c r="CZ76" s="743"/>
      <c r="DA76" s="743"/>
      <c r="DB76" s="743"/>
      <c r="DC76" s="743"/>
      <c r="DD76" s="730"/>
      <c r="DE76" s="743"/>
      <c r="DF76" s="743"/>
      <c r="DG76" s="743"/>
      <c r="DH76" s="743"/>
      <c r="DI76" s="730"/>
      <c r="DJ76" s="743"/>
      <c r="DK76" s="743"/>
      <c r="DL76" s="743"/>
      <c r="DM76" s="743"/>
      <c r="DN76" s="730"/>
      <c r="DO76" s="743"/>
      <c r="DP76" s="743"/>
      <c r="DQ76" s="743"/>
      <c r="DR76" s="743"/>
      <c r="DS76" s="730"/>
      <c r="DT76" s="743"/>
      <c r="DU76" s="743"/>
      <c r="DV76" s="743"/>
      <c r="DW76" s="743"/>
      <c r="DX76" s="730"/>
      <c r="DY76" s="743"/>
      <c r="DZ76" s="743"/>
      <c r="EA76" s="743"/>
      <c r="EB76" s="743"/>
      <c r="EC76" s="730"/>
      <c r="ED76" s="743"/>
      <c r="EE76" s="743"/>
      <c r="EF76" s="743"/>
      <c r="EG76" s="743"/>
      <c r="EH76" s="730"/>
      <c r="EI76" s="743"/>
      <c r="EJ76" s="743"/>
      <c r="EK76" s="743"/>
      <c r="EL76" s="743"/>
      <c r="EM76" s="730"/>
      <c r="EN76" s="743"/>
      <c r="EO76" s="743"/>
      <c r="EP76" s="743"/>
      <c r="EQ76" s="743"/>
      <c r="ER76" s="730"/>
      <c r="ES76" s="91"/>
      <c r="ET76" s="91"/>
      <c r="EU76" s="91"/>
      <c r="EV76" s="91"/>
      <c r="EW76"/>
      <c r="EX76"/>
      <c r="EY76"/>
      <c r="EZ76"/>
      <c r="FA76"/>
      <c r="FB76" s="91"/>
      <c r="FC76" s="91"/>
      <c r="FD76" s="91"/>
      <c r="FE76" s="91"/>
      <c r="FF76" s="91"/>
      <c r="FG76" s="91"/>
      <c r="FH76" s="91"/>
      <c r="FI76" s="91"/>
      <c r="FJ76" s="91"/>
      <c r="FK76" s="91"/>
      <c r="FL76" s="91"/>
      <c r="FM76" s="91"/>
      <c r="FN76" s="91"/>
      <c r="FO76" s="91"/>
      <c r="FP76" s="91"/>
      <c r="FQ76" s="91"/>
      <c r="FR76" s="91"/>
      <c r="FS76" s="91"/>
      <c r="FT76" s="91"/>
      <c r="FU76" s="91"/>
      <c r="FV76" s="91"/>
      <c r="FW76" s="91"/>
      <c r="FX76" s="91"/>
      <c r="FY76" s="91"/>
      <c r="FZ76" s="91"/>
      <c r="GA76" s="91"/>
      <c r="GB76" s="91"/>
      <c r="GC76" s="91"/>
      <c r="GD76" s="91"/>
      <c r="GE76" s="91"/>
      <c r="GF76" s="91"/>
      <c r="GG76" s="91"/>
      <c r="GH76" s="91"/>
      <c r="GI76" s="91"/>
      <c r="GJ76" s="91"/>
      <c r="GK76" s="91"/>
      <c r="GL76" s="91"/>
      <c r="GM76" s="91"/>
      <c r="GN76" s="91"/>
      <c r="GO76" s="91"/>
      <c r="GP76" s="91"/>
      <c r="GQ76" s="91"/>
      <c r="GR76" s="91"/>
      <c r="GS76" s="91"/>
      <c r="GT76" s="91"/>
      <c r="GU76" s="91"/>
      <c r="GV76" s="91"/>
      <c r="GW76" s="91"/>
      <c r="GX76" s="91"/>
      <c r="GY76" s="91"/>
      <c r="GZ76" s="91"/>
      <c r="HA76" s="91"/>
      <c r="HB76" s="91"/>
      <c r="HC76" s="91"/>
      <c r="HD76" s="91"/>
      <c r="HE76" s="91"/>
      <c r="HF76" s="91"/>
      <c r="HG76" s="91"/>
      <c r="HH76" s="91"/>
      <c r="HI76" s="91"/>
      <c r="HJ76" s="91"/>
      <c r="HK76" s="91"/>
      <c r="HL76" s="91"/>
      <c r="HM76" s="91"/>
      <c r="HN76" s="91"/>
      <c r="HO76" s="91"/>
      <c r="HP76" s="91"/>
      <c r="HQ76" s="91"/>
      <c r="HR76" s="91"/>
      <c r="HS76" s="91"/>
      <c r="HT76" s="91"/>
      <c r="HU76" s="91"/>
      <c r="HV76" s="91"/>
      <c r="HW76" s="91"/>
      <c r="HX76" s="91"/>
      <c r="HY76" s="91"/>
      <c r="HZ76" s="91"/>
      <c r="IA76" s="91"/>
      <c r="IB76" s="91"/>
      <c r="IC76" s="91"/>
      <c r="ID76" s="91"/>
      <c r="IE76" s="91"/>
      <c r="IF76" s="91"/>
      <c r="IG76" s="91"/>
      <c r="IH76" s="91"/>
      <c r="II76" s="91"/>
      <c r="IJ76" s="91"/>
      <c r="IK76" s="91"/>
      <c r="IL76" s="91"/>
      <c r="IM76" s="91"/>
      <c r="IN76" s="91"/>
      <c r="IO76" s="91"/>
      <c r="IP76" s="91"/>
      <c r="IQ76" s="91"/>
      <c r="IR76" s="91"/>
      <c r="IS76" s="91"/>
      <c r="IT76" s="91"/>
      <c r="IU76" s="91"/>
      <c r="IV76" s="91"/>
      <c r="IW76" s="91"/>
      <c r="IX76" s="91"/>
      <c r="IY76" s="91"/>
      <c r="IZ76" s="91"/>
      <c r="JA76" s="91"/>
      <c r="JB76" s="91"/>
      <c r="JC76" s="91"/>
      <c r="JD76" s="91"/>
      <c r="JE76" s="91"/>
      <c r="JF76" s="91"/>
      <c r="JG76" s="91"/>
      <c r="JH76" s="91"/>
      <c r="JI76" s="91"/>
      <c r="JJ76" s="91"/>
      <c r="JK76" s="91"/>
      <c r="JL76" s="91"/>
      <c r="JM76" s="91"/>
    </row>
    <row r="77" spans="1:273" s="93" customFormat="1">
      <c r="A77" s="133"/>
      <c r="B77" s="133"/>
      <c r="C77" s="94"/>
      <c r="CP77" s="158"/>
      <c r="EW77"/>
      <c r="EX77"/>
      <c r="EY77"/>
      <c r="EZ77"/>
      <c r="FA77"/>
    </row>
    <row r="78" spans="1:273" s="93" customFormat="1">
      <c r="A78" s="133"/>
      <c r="B78" s="133"/>
      <c r="C78" s="94"/>
      <c r="CP78" s="158"/>
      <c r="EW78"/>
      <c r="EX78"/>
      <c r="EY78"/>
      <c r="EZ78"/>
      <c r="FA78"/>
    </row>
    <row r="79" spans="1:273" s="160" customFormat="1">
      <c r="A79" s="133"/>
      <c r="B79" s="133"/>
      <c r="C79" s="253"/>
      <c r="CA79" s="725"/>
      <c r="CB79" s="725"/>
      <c r="CC79" s="725"/>
      <c r="CD79" s="725"/>
      <c r="CE79" s="725"/>
      <c r="CF79" s="725"/>
      <c r="CG79" s="725"/>
      <c r="CH79" s="725"/>
      <c r="CI79" s="725"/>
      <c r="CJ79" s="725"/>
      <c r="CK79" s="725"/>
      <c r="CL79" s="725"/>
      <c r="CM79" s="725"/>
      <c r="CN79" s="725"/>
      <c r="CO79" s="725"/>
      <c r="CP79" s="158"/>
      <c r="CQ79" s="725"/>
      <c r="CR79" s="725"/>
      <c r="CS79" s="725"/>
      <c r="CT79" s="725"/>
      <c r="CU79" s="725"/>
      <c r="CV79" s="725"/>
      <c r="CW79" s="725"/>
      <c r="CX79" s="725"/>
      <c r="CY79" s="725"/>
      <c r="CZ79" s="725"/>
      <c r="DA79" s="100"/>
      <c r="DJ79" s="100"/>
      <c r="DK79" s="100"/>
      <c r="DL79" s="100"/>
      <c r="DO79" s="100"/>
      <c r="DP79" s="100"/>
      <c r="DT79" s="100"/>
      <c r="DU79" s="100"/>
      <c r="DY79" s="100"/>
      <c r="DZ79" s="100"/>
      <c r="ED79" s="100"/>
      <c r="EE79" s="100"/>
      <c r="EI79" s="100"/>
      <c r="EJ79" s="100"/>
      <c r="EN79" s="100"/>
      <c r="EO79" s="100"/>
      <c r="EW79"/>
      <c r="EX79"/>
      <c r="EY79"/>
      <c r="EZ79"/>
      <c r="FA79"/>
    </row>
    <row r="80" spans="1:273">
      <c r="CP80" s="158"/>
      <c r="EW80"/>
      <c r="EX80"/>
      <c r="EY80"/>
      <c r="EZ80"/>
      <c r="FA80"/>
    </row>
    <row r="81" spans="79:157">
      <c r="CP81" s="158"/>
      <c r="EW81"/>
      <c r="EX81"/>
      <c r="EY81"/>
      <c r="EZ81"/>
      <c r="FA81"/>
    </row>
    <row r="82" spans="79:157">
      <c r="CP82" s="158"/>
      <c r="EW82"/>
      <c r="EX82"/>
      <c r="EY82"/>
      <c r="EZ82"/>
      <c r="FA82"/>
    </row>
    <row r="83" spans="79:157">
      <c r="CP83" s="158"/>
      <c r="EW83"/>
      <c r="EX83"/>
      <c r="EY83"/>
      <c r="EZ83"/>
      <c r="FA83"/>
    </row>
    <row r="84" spans="79:157">
      <c r="CP84" s="158"/>
      <c r="EW84"/>
      <c r="EX84"/>
      <c r="EY84"/>
      <c r="EZ84"/>
      <c r="FA84"/>
    </row>
    <row r="85" spans="79:157">
      <c r="CP85" s="158"/>
      <c r="EW85"/>
      <c r="EX85"/>
      <c r="EY85"/>
      <c r="EZ85"/>
      <c r="FA85"/>
    </row>
    <row r="86" spans="79:157">
      <c r="CP86" s="158"/>
      <c r="EW86"/>
      <c r="EX86"/>
      <c r="EY86"/>
      <c r="EZ86"/>
      <c r="FA86"/>
    </row>
    <row r="87" spans="79:157">
      <c r="CP87" s="158"/>
      <c r="EW87"/>
      <c r="EX87"/>
      <c r="EY87"/>
      <c r="EZ87"/>
      <c r="FA87"/>
    </row>
    <row r="88" spans="79:157">
      <c r="CP88" s="158"/>
      <c r="EW88"/>
      <c r="EX88"/>
      <c r="EY88"/>
      <c r="EZ88"/>
      <c r="FA88"/>
    </row>
    <row r="89" spans="79:157">
      <c r="CP89" s="158"/>
      <c r="EW89"/>
      <c r="EX89"/>
      <c r="EY89"/>
      <c r="EZ89"/>
      <c r="FA89"/>
    </row>
    <row r="90" spans="79:157">
      <c r="CA90" s="746"/>
      <c r="CB90" s="746"/>
      <c r="CC90" s="746"/>
      <c r="CD90" s="746"/>
      <c r="CE90" s="747"/>
      <c r="CF90" s="746"/>
      <c r="CG90" s="746"/>
      <c r="CH90" s="746"/>
      <c r="CI90" s="746"/>
      <c r="CJ90" s="747"/>
      <c r="CK90" s="746"/>
      <c r="CL90" s="746"/>
      <c r="CM90" s="746"/>
      <c r="CN90" s="746"/>
      <c r="CP90" s="158"/>
      <c r="EW90"/>
      <c r="EX90"/>
      <c r="EY90"/>
      <c r="EZ90"/>
      <c r="FA90"/>
    </row>
    <row r="91" spans="79:157">
      <c r="CP91" s="158"/>
      <c r="EW91"/>
      <c r="EX91"/>
      <c r="EY91"/>
      <c r="EZ91"/>
      <c r="FA91"/>
    </row>
    <row r="92" spans="79:157">
      <c r="CP92" s="158"/>
      <c r="EW92"/>
      <c r="EX92"/>
      <c r="EY92"/>
      <c r="EZ92"/>
      <c r="FA92"/>
    </row>
    <row r="93" spans="79:157">
      <c r="CP93" s="158"/>
      <c r="EW93"/>
      <c r="EX93"/>
      <c r="EY93"/>
      <c r="EZ93"/>
      <c r="FA93"/>
    </row>
    <row r="94" spans="79:157">
      <c r="CP94" s="158"/>
      <c r="EW94"/>
      <c r="EX94"/>
      <c r="EY94"/>
      <c r="EZ94"/>
      <c r="FA94"/>
    </row>
    <row r="95" spans="79:157">
      <c r="CL95" s="158"/>
      <c r="CM95" s="158"/>
      <c r="CN95" s="158"/>
      <c r="CP95" s="158"/>
      <c r="CQ95" s="158"/>
      <c r="CR95" s="158"/>
      <c r="CS95" s="158"/>
      <c r="EW95"/>
      <c r="EX95"/>
      <c r="EY95"/>
      <c r="EZ95"/>
      <c r="FA95"/>
    </row>
    <row r="96" spans="79:157">
      <c r="CL96" s="158"/>
      <c r="CM96" s="158"/>
      <c r="CN96" s="158"/>
      <c r="CP96" s="158"/>
      <c r="CQ96" s="158"/>
      <c r="CR96" s="158"/>
      <c r="CS96" s="158"/>
      <c r="EW96"/>
      <c r="EX96"/>
      <c r="EY96"/>
      <c r="EZ96"/>
      <c r="FA96"/>
    </row>
    <row r="97" spans="90:157">
      <c r="CL97" s="158"/>
      <c r="CM97" s="158"/>
      <c r="CN97" s="158"/>
      <c r="CP97" s="158"/>
      <c r="CQ97" s="158"/>
      <c r="CR97" s="158"/>
      <c r="CS97" s="158"/>
      <c r="EW97"/>
      <c r="EX97"/>
      <c r="EY97"/>
      <c r="EZ97"/>
      <c r="FA97"/>
    </row>
    <row r="98" spans="90:157">
      <c r="CL98" s="158"/>
      <c r="CM98" s="158"/>
      <c r="CN98" s="158"/>
      <c r="CP98" s="158"/>
      <c r="CQ98" s="158"/>
      <c r="CR98" s="158"/>
      <c r="CS98" s="158"/>
      <c r="EW98"/>
      <c r="EX98"/>
      <c r="EY98"/>
      <c r="EZ98"/>
      <c r="FA98"/>
    </row>
    <row r="99" spans="90:157">
      <c r="CL99" s="158"/>
      <c r="CM99" s="158"/>
      <c r="CN99" s="158"/>
      <c r="CP99" s="158"/>
      <c r="CQ99" s="158"/>
      <c r="CR99" s="158"/>
      <c r="CS99" s="158"/>
      <c r="EW99"/>
      <c r="EX99"/>
      <c r="EY99"/>
      <c r="EZ99"/>
      <c r="FA99"/>
    </row>
    <row r="100" spans="90:157">
      <c r="CL100" s="158"/>
      <c r="CM100" s="158"/>
      <c r="CN100" s="158"/>
      <c r="CP100" s="158"/>
      <c r="CQ100" s="158"/>
      <c r="CR100" s="158"/>
      <c r="CS100" s="158"/>
      <c r="EW100"/>
      <c r="EX100"/>
      <c r="EY100"/>
      <c r="EZ100"/>
      <c r="FA100"/>
    </row>
    <row r="101" spans="90:157">
      <c r="CL101" s="158"/>
      <c r="CM101" s="158"/>
      <c r="CN101" s="158"/>
      <c r="CP101" s="158"/>
      <c r="CQ101" s="158"/>
      <c r="CR101" s="158"/>
      <c r="CS101" s="158"/>
      <c r="EW101"/>
      <c r="EX101"/>
      <c r="EY101"/>
      <c r="EZ101"/>
      <c r="FA101"/>
    </row>
    <row r="102" spans="90:157">
      <c r="CL102" s="158"/>
      <c r="CM102" s="158"/>
      <c r="CN102" s="158"/>
      <c r="CP102" s="158"/>
      <c r="CQ102" s="158"/>
      <c r="CR102" s="158"/>
      <c r="CS102" s="158"/>
      <c r="EW102"/>
      <c r="EX102"/>
      <c r="EY102"/>
      <c r="EZ102"/>
      <c r="FA102"/>
    </row>
    <row r="103" spans="90:157">
      <c r="CL103" s="158"/>
      <c r="CM103" s="158"/>
      <c r="CN103" s="158"/>
      <c r="CP103" s="158"/>
      <c r="CQ103" s="158"/>
      <c r="CR103" s="158"/>
      <c r="CS103" s="158"/>
      <c r="EW103"/>
      <c r="EX103"/>
      <c r="EY103"/>
      <c r="EZ103"/>
      <c r="FA103"/>
    </row>
    <row r="104" spans="90:157">
      <c r="CL104" s="158"/>
      <c r="CM104" s="158"/>
      <c r="CN104" s="158"/>
      <c r="CP104" s="158"/>
      <c r="CQ104" s="158"/>
      <c r="CR104" s="158"/>
      <c r="CS104" s="158"/>
      <c r="EW104"/>
      <c r="EX104"/>
      <c r="EY104"/>
      <c r="EZ104"/>
      <c r="FA104"/>
    </row>
    <row r="105" spans="90:157">
      <c r="CL105" s="158"/>
      <c r="CM105" s="158"/>
      <c r="CN105" s="158"/>
      <c r="CP105" s="158"/>
      <c r="CQ105" s="158"/>
      <c r="CR105" s="158"/>
      <c r="CS105" s="158"/>
      <c r="EW105"/>
      <c r="EX105"/>
      <c r="EY105"/>
      <c r="EZ105"/>
      <c r="FA105"/>
    </row>
    <row r="106" spans="90:157">
      <c r="CL106" s="158"/>
      <c r="CM106" s="158"/>
      <c r="CN106" s="158"/>
      <c r="CP106" s="158"/>
      <c r="CQ106" s="158"/>
      <c r="CR106" s="158"/>
      <c r="CS106" s="158"/>
      <c r="EW106"/>
      <c r="EX106"/>
      <c r="EY106"/>
      <c r="EZ106"/>
      <c r="FA106"/>
    </row>
    <row r="107" spans="90:157">
      <c r="CL107" s="158"/>
      <c r="CM107" s="158"/>
      <c r="CN107" s="158"/>
      <c r="CP107" s="158"/>
      <c r="CQ107" s="158"/>
      <c r="CR107" s="158"/>
      <c r="CS107" s="158"/>
      <c r="EW107"/>
      <c r="EX107"/>
      <c r="EY107"/>
      <c r="EZ107"/>
      <c r="FA107"/>
    </row>
    <row r="108" spans="90:157">
      <c r="CL108" s="158"/>
      <c r="CM108" s="158"/>
      <c r="CN108" s="158"/>
      <c r="CP108" s="158"/>
      <c r="CQ108" s="158"/>
      <c r="CR108" s="158"/>
      <c r="CS108" s="158"/>
      <c r="EW108"/>
      <c r="EX108"/>
      <c r="EY108"/>
      <c r="EZ108"/>
      <c r="FA108"/>
    </row>
    <row r="109" spans="90:157">
      <c r="CP109" s="158"/>
      <c r="EW109"/>
      <c r="EX109"/>
      <c r="EY109"/>
      <c r="EZ109"/>
      <c r="FA109"/>
    </row>
    <row r="110" spans="90:157">
      <c r="CP110" s="158"/>
      <c r="EW110"/>
      <c r="EX110"/>
      <c r="EY110"/>
      <c r="EZ110"/>
      <c r="FA110"/>
    </row>
    <row r="111" spans="90:157">
      <c r="CP111" s="158"/>
      <c r="EW111"/>
      <c r="EX111"/>
      <c r="EY111"/>
      <c r="EZ111"/>
      <c r="FA111"/>
    </row>
    <row r="112" spans="90:157">
      <c r="CP112" s="158"/>
      <c r="EW112"/>
      <c r="EX112"/>
      <c r="EY112"/>
      <c r="EZ112"/>
      <c r="FA112"/>
    </row>
    <row r="113" spans="94:157">
      <c r="CP113" s="158"/>
      <c r="EW113"/>
      <c r="EX113"/>
      <c r="EY113"/>
      <c r="EZ113"/>
      <c r="FA113"/>
    </row>
    <row r="114" spans="94:157">
      <c r="CP114" s="158"/>
      <c r="EW114"/>
      <c r="EX114"/>
      <c r="EY114"/>
      <c r="EZ114"/>
      <c r="FA114"/>
    </row>
    <row r="115" spans="94:157">
      <c r="CP115" s="158"/>
      <c r="EW115"/>
      <c r="EX115"/>
      <c r="EY115"/>
      <c r="EZ115"/>
      <c r="FA115"/>
    </row>
    <row r="116" spans="94:157">
      <c r="CP116" s="158"/>
      <c r="EW116"/>
      <c r="EX116"/>
      <c r="EY116"/>
      <c r="EZ116"/>
      <c r="FA116"/>
    </row>
    <row r="117" spans="94:157">
      <c r="CP117" s="158"/>
      <c r="EW117"/>
      <c r="EX117"/>
      <c r="EY117"/>
      <c r="EZ117"/>
      <c r="FA117"/>
    </row>
    <row r="118" spans="94:157">
      <c r="CP118" s="158"/>
      <c r="EW118"/>
      <c r="EX118"/>
      <c r="EY118"/>
      <c r="EZ118"/>
      <c r="FA118"/>
    </row>
    <row r="119" spans="94:157">
      <c r="CP119" s="158"/>
      <c r="EW119"/>
      <c r="EX119"/>
      <c r="EY119"/>
      <c r="EZ119"/>
      <c r="FA119"/>
    </row>
    <row r="120" spans="94:157">
      <c r="CP120" s="158"/>
      <c r="EW120"/>
      <c r="EX120"/>
      <c r="EY120"/>
      <c r="EZ120"/>
      <c r="FA120"/>
    </row>
    <row r="121" spans="94:157">
      <c r="CP121" s="158"/>
      <c r="EW121"/>
      <c r="EX121"/>
      <c r="EY121"/>
      <c r="EZ121"/>
      <c r="FA121"/>
    </row>
    <row r="122" spans="94:157">
      <c r="CP122" s="100"/>
      <c r="EW122"/>
      <c r="EX122"/>
      <c r="EY122"/>
      <c r="EZ122"/>
      <c r="FA122"/>
    </row>
    <row r="123" spans="94:157">
      <c r="CP123" s="100"/>
      <c r="EW123"/>
      <c r="EX123"/>
      <c r="EY123"/>
      <c r="EZ123"/>
      <c r="FA123"/>
    </row>
    <row r="124" spans="94:157">
      <c r="CP124" s="100"/>
      <c r="EW124"/>
      <c r="EX124"/>
      <c r="EY124"/>
      <c r="EZ124"/>
      <c r="FA124"/>
    </row>
    <row r="125" spans="94:157">
      <c r="CP125" s="100"/>
      <c r="EW125"/>
      <c r="EX125"/>
      <c r="EY125"/>
      <c r="EZ125"/>
      <c r="FA125"/>
    </row>
    <row r="126" spans="94:157">
      <c r="CP126" s="100"/>
    </row>
    <row r="127" spans="94:157">
      <c r="CP127" s="100"/>
    </row>
  </sheetData>
  <phoneticPr fontId="0" type="noConversion"/>
  <pageMargins left="0.15" right="0.15" top="0.3" bottom="0.3" header="0.25" footer="0.25"/>
  <pageSetup scale="10" pageOrder="overThenDown" orientation="portrait" verticalDpi="598" r:id="rId1"/>
  <headerFooter alignWithMargins="0">
    <oddFooter>&amp;R&amp;"Book Antiqua,Regular"&amp;8Daniel Salmon
BMO Capital Markets
 (212) 885-4029</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tabColor theme="9" tint="0.79998168889431442"/>
    <pageSetUpPr fitToPage="1"/>
  </sheetPr>
  <dimension ref="A1:EZ102"/>
  <sheetViews>
    <sheetView showGridLines="0" zoomScaleNormal="100" workbookViewId="0">
      <pane xSplit="3" ySplit="5" topLeftCell="DI14" activePane="bottomRight" state="frozen"/>
      <selection activeCell="F6" sqref="F6"/>
      <selection pane="topRight" activeCell="F6" sqref="F6"/>
      <selection pane="bottomLeft" activeCell="F6" sqref="F6"/>
      <selection pane="bottomRight" activeCell="C2" sqref="C2"/>
    </sheetView>
  </sheetViews>
  <sheetFormatPr defaultColWidth="8.6640625" defaultRowHeight="13.2" outlineLevelCol="2"/>
  <cols>
    <col min="1" max="1" width="10.6640625" style="133" hidden="1" customWidth="1" outlineLevel="2"/>
    <col min="2" max="2" width="1.6640625" style="133" customWidth="1" collapsed="1"/>
    <col min="3" max="3" width="33.5546875" style="133" customWidth="1"/>
    <col min="4" max="63" width="9.33203125" style="133" hidden="1" customWidth="1"/>
    <col min="64" max="67" width="7.6640625" style="133" hidden="1" customWidth="1"/>
    <col min="68" max="68" width="9.33203125" style="133" hidden="1" customWidth="1"/>
    <col min="69" max="69" width="7.6640625" style="133" hidden="1" customWidth="1" outlineLevel="2" collapsed="1"/>
    <col min="70" max="72" width="7.6640625" style="133" hidden="1" customWidth="1" outlineLevel="2"/>
    <col min="73" max="73" width="9.33203125" style="133" hidden="1" customWidth="1" outlineLevel="2"/>
    <col min="74" max="77" width="7.6640625" style="133" hidden="1" customWidth="1" outlineLevel="2"/>
    <col min="78" max="78" width="9.33203125" style="133" hidden="1" customWidth="1" outlineLevel="2"/>
    <col min="79" max="82" width="7.6640625" style="133" hidden="1" customWidth="1" outlineLevel="2"/>
    <col min="83" max="83" width="9.33203125" style="133" hidden="1" customWidth="1" outlineLevel="2"/>
    <col min="84" max="87" width="7.6640625" style="133" hidden="1" customWidth="1" outlineLevel="2"/>
    <col min="88" max="88" width="9.33203125" style="133" hidden="1" customWidth="1" outlineLevel="2"/>
    <col min="89" max="92" width="7.6640625" style="133" hidden="1" customWidth="1" outlineLevel="2"/>
    <col min="93" max="93" width="9.33203125" style="133" hidden="1" customWidth="1" outlineLevel="2"/>
    <col min="94" max="95" width="7.6640625" style="133" hidden="1" customWidth="1" outlineLevel="2"/>
    <col min="96" max="96" width="8.33203125" style="133" hidden="1" customWidth="1" outlineLevel="2"/>
    <col min="97" max="97" width="7.6640625" style="133" hidden="1" customWidth="1" outlineLevel="2"/>
    <col min="98" max="98" width="9.33203125" style="133" hidden="1" customWidth="1" outlineLevel="2"/>
    <col min="99" max="102" width="7.6640625" style="133" hidden="1" customWidth="1" outlineLevel="2"/>
    <col min="103" max="103" width="9.33203125" style="133" hidden="1" customWidth="1" outlineLevel="2" collapsed="1"/>
    <col min="104" max="107" width="7.6640625" style="133" hidden="1" customWidth="1" outlineLevel="2"/>
    <col min="108" max="108" width="9.33203125" style="133" hidden="1" customWidth="1" outlineLevel="2"/>
    <col min="109" max="112" width="8.6640625" style="133" hidden="1" customWidth="1" outlineLevel="2"/>
    <col min="113" max="113" width="9.109375" style="133" customWidth="1" collapsed="1"/>
    <col min="114" max="117" width="9.109375" style="133" hidden="1" customWidth="1" outlineLevel="2"/>
    <col min="118" max="118" width="9.109375" style="133" customWidth="1" collapsed="1"/>
    <col min="119" max="122" width="9.109375" style="133" hidden="1" customWidth="1" outlineLevel="1"/>
    <col min="123" max="123" width="9.109375" style="133" customWidth="1" collapsed="1"/>
    <col min="124" max="127" width="9.109375" style="133" customWidth="1" outlineLevel="1"/>
    <col min="128" max="128" width="9.109375" style="133" customWidth="1"/>
    <col min="129" max="132" width="9.109375" style="133" customWidth="1" outlineLevel="2"/>
    <col min="133" max="133" width="9.109375" style="133" customWidth="1"/>
    <col min="134" max="137" width="9.109375" style="133" hidden="1" customWidth="1" outlineLevel="2"/>
    <col min="138" max="138" width="9.109375" style="133" customWidth="1" collapsed="1"/>
    <col min="139" max="142" width="9.109375" style="133" hidden="1" customWidth="1" outlineLevel="2"/>
    <col min="143" max="143" width="9.109375" style="133" customWidth="1" collapsed="1"/>
    <col min="144" max="147" width="9.109375" style="133" hidden="1" customWidth="1" outlineLevel="2"/>
    <col min="148" max="148" width="9.109375" style="133" customWidth="1" collapsed="1"/>
    <col min="149" max="16384" width="8.6640625" style="133"/>
  </cols>
  <sheetData>
    <row r="1" spans="1:149" ht="12.75" customHeight="1">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327"/>
      <c r="BQ1" s="17"/>
      <c r="BR1" s="17"/>
      <c r="BS1" s="17"/>
      <c r="BT1" s="17"/>
      <c r="BU1" s="327"/>
      <c r="BV1" s="17"/>
      <c r="BW1" s="17"/>
      <c r="BX1" s="17"/>
      <c r="BY1" s="17"/>
      <c r="BZ1" s="17"/>
      <c r="CA1" s="17" t="s">
        <v>156</v>
      </c>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94"/>
      <c r="DB1" s="94"/>
      <c r="DC1" s="94"/>
      <c r="DD1" s="94"/>
      <c r="DE1" s="94"/>
      <c r="DF1" s="94"/>
      <c r="DG1" s="94"/>
      <c r="DH1" s="94"/>
      <c r="DI1" s="94"/>
      <c r="DJ1" s="94"/>
      <c r="DK1" s="94"/>
      <c r="DL1" s="94"/>
      <c r="DM1" s="94"/>
      <c r="DN1" s="94"/>
      <c r="DO1" s="94"/>
      <c r="DP1" s="94"/>
      <c r="DQ1" s="94"/>
      <c r="DR1" s="94"/>
      <c r="DS1" s="94"/>
      <c r="DT1" s="94"/>
      <c r="DU1" s="94"/>
      <c r="DV1" s="94"/>
      <c r="DW1" s="94"/>
      <c r="DX1" s="94"/>
      <c r="DY1" s="94"/>
      <c r="DZ1" s="94"/>
      <c r="EA1" s="94"/>
      <c r="EB1" s="94"/>
      <c r="EC1" s="94"/>
      <c r="ED1" s="94"/>
      <c r="EE1" s="94"/>
      <c r="EF1" s="94"/>
      <c r="EG1" s="94"/>
      <c r="EH1" s="94"/>
      <c r="EI1" s="94"/>
      <c r="EJ1" s="94"/>
      <c r="EK1" s="94"/>
      <c r="EL1" s="94"/>
      <c r="EM1" s="94"/>
      <c r="EN1" s="94"/>
      <c r="EO1" s="94"/>
      <c r="EP1" s="94"/>
      <c r="EQ1" s="94"/>
      <c r="ER1" s="94"/>
      <c r="ES1" s="94"/>
    </row>
    <row r="2" spans="1:149" ht="12.75" customHeight="1">
      <c r="C2" s="18" t="str">
        <f>Income!C2</f>
        <v>Shopify</v>
      </c>
      <c r="D2" s="94"/>
      <c r="E2" s="94"/>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94"/>
      <c r="BJ2" s="94"/>
      <c r="BK2" s="94"/>
      <c r="BL2" s="94"/>
      <c r="BM2" s="94"/>
      <c r="BN2" s="94"/>
      <c r="BO2" s="94"/>
      <c r="BP2" s="253"/>
      <c r="BQ2" s="94"/>
      <c r="BR2" s="94"/>
      <c r="BS2" s="94"/>
      <c r="BT2" s="94"/>
      <c r="BU2" s="253"/>
      <c r="BV2" s="94"/>
      <c r="BW2" s="94"/>
      <c r="BX2" s="94"/>
      <c r="BY2" s="94"/>
      <c r="BZ2" s="94"/>
      <c r="CA2" s="408"/>
      <c r="CB2" s="94"/>
      <c r="CC2" s="94"/>
      <c r="CD2" s="94"/>
      <c r="CE2" s="94"/>
      <c r="CF2" s="94"/>
      <c r="CG2" s="94"/>
      <c r="CH2" s="94"/>
      <c r="CI2" s="94"/>
      <c r="CJ2" s="94"/>
      <c r="CK2" s="94"/>
      <c r="CL2" s="94"/>
      <c r="CM2" s="94"/>
      <c r="CN2" s="94"/>
      <c r="CO2" s="94"/>
      <c r="CP2" s="94"/>
      <c r="CQ2" s="94"/>
      <c r="CR2" s="94"/>
      <c r="CS2" s="94"/>
      <c r="CT2" s="94"/>
      <c r="CU2" s="94"/>
      <c r="CV2" s="94"/>
      <c r="CW2" s="94"/>
      <c r="CX2" s="94"/>
      <c r="CY2" s="94"/>
      <c r="CZ2" s="94"/>
      <c r="DA2" s="94"/>
      <c r="DB2" s="94"/>
      <c r="DC2" s="94"/>
      <c r="DD2" s="94"/>
      <c r="DE2" s="94"/>
      <c r="DF2" s="94"/>
      <c r="DG2" s="94"/>
      <c r="DH2" s="94"/>
      <c r="DI2" s="94"/>
      <c r="DJ2" s="94"/>
      <c r="DK2" s="94"/>
      <c r="DL2" s="94"/>
      <c r="DM2" s="94"/>
      <c r="DN2" s="94"/>
      <c r="DO2" s="94"/>
      <c r="DP2" s="94"/>
      <c r="DQ2" s="94"/>
      <c r="DR2" s="94"/>
      <c r="DS2" s="94"/>
      <c r="DT2" s="94"/>
      <c r="DU2" s="94"/>
      <c r="DV2" s="94"/>
      <c r="DW2" s="94"/>
      <c r="DX2" s="94"/>
      <c r="DY2" s="94"/>
      <c r="DZ2" s="94"/>
      <c r="EA2" s="94"/>
      <c r="EB2" s="94"/>
      <c r="EC2" s="94"/>
      <c r="ED2" s="94"/>
      <c r="EE2" s="94"/>
      <c r="EF2" s="94"/>
      <c r="EG2" s="94"/>
      <c r="EH2" s="94"/>
      <c r="EI2" s="94"/>
      <c r="EJ2" s="94"/>
      <c r="EK2" s="94"/>
      <c r="EL2" s="94"/>
      <c r="EM2" s="94"/>
      <c r="EN2" s="94"/>
      <c r="EO2" s="94"/>
      <c r="EP2" s="94"/>
      <c r="EQ2" s="94"/>
      <c r="ER2" s="94"/>
      <c r="ES2" s="94"/>
    </row>
    <row r="3" spans="1:149">
      <c r="C3" s="898" t="s">
        <v>568</v>
      </c>
      <c r="D3" s="94"/>
      <c r="E3" s="94"/>
      <c r="F3" s="94"/>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c r="BB3" s="94"/>
      <c r="BC3" s="94"/>
      <c r="BD3" s="94"/>
      <c r="BE3" s="94"/>
      <c r="BF3" s="94"/>
      <c r="BG3" s="94"/>
      <c r="BH3" s="94"/>
      <c r="BI3" s="94"/>
      <c r="BJ3" s="94"/>
      <c r="BK3" s="94"/>
      <c r="BL3" s="94"/>
      <c r="BM3" s="94"/>
      <c r="BN3" s="94"/>
      <c r="BO3" s="94"/>
      <c r="BP3" s="253"/>
      <c r="BQ3" s="94"/>
      <c r="BR3" s="94"/>
      <c r="BS3" s="94"/>
      <c r="BT3" s="94"/>
      <c r="BU3" s="253"/>
      <c r="BV3" s="94"/>
      <c r="BW3" s="94"/>
      <c r="BX3" s="94"/>
      <c r="BY3" s="94"/>
      <c r="BZ3" s="94"/>
      <c r="CA3" s="94"/>
      <c r="CB3" s="94"/>
      <c r="CC3" s="94"/>
      <c r="CD3" s="162"/>
      <c r="CE3" s="94"/>
      <c r="CF3" s="94"/>
      <c r="CG3" s="94"/>
      <c r="CH3" s="94"/>
      <c r="CI3" s="94"/>
      <c r="CJ3" s="94"/>
      <c r="CK3" s="94"/>
      <c r="CL3" s="94"/>
      <c r="CM3" s="94"/>
      <c r="CN3" s="94"/>
      <c r="CO3" s="94"/>
      <c r="CP3" s="94"/>
      <c r="CQ3" s="94"/>
      <c r="CR3" s="94"/>
      <c r="CS3" s="94"/>
      <c r="CT3" s="94"/>
      <c r="CU3" s="94"/>
      <c r="CV3" s="94"/>
      <c r="CW3" s="94"/>
      <c r="CX3" s="94"/>
      <c r="CY3" s="94"/>
      <c r="CZ3" s="94"/>
      <c r="DA3" s="94"/>
      <c r="DB3" s="94"/>
      <c r="DC3" s="94"/>
      <c r="DD3" s="94"/>
      <c r="DE3" s="94"/>
      <c r="DF3" s="94"/>
      <c r="DG3" s="94"/>
      <c r="DH3" s="94"/>
      <c r="DI3" s="94"/>
      <c r="DJ3" s="94"/>
      <c r="DK3" s="94"/>
      <c r="DL3" s="94"/>
      <c r="DM3" s="94"/>
      <c r="DN3" s="94"/>
      <c r="DO3" s="94"/>
      <c r="DP3" s="94"/>
      <c r="DQ3" s="94"/>
      <c r="DR3" s="94"/>
      <c r="DS3" s="94"/>
      <c r="DT3" s="94"/>
      <c r="DU3" s="94"/>
      <c r="DV3" s="94"/>
      <c r="DW3" s="94"/>
      <c r="DX3" s="94"/>
      <c r="DY3" s="94"/>
      <c r="DZ3" s="94"/>
      <c r="EA3" s="94"/>
      <c r="EB3" s="94"/>
      <c r="EC3" s="94"/>
      <c r="ED3" s="94"/>
      <c r="EE3" s="94"/>
      <c r="EF3" s="94"/>
      <c r="EG3" s="94"/>
      <c r="EH3" s="94"/>
      <c r="EI3" s="94"/>
      <c r="EJ3" s="94"/>
      <c r="EK3" s="94"/>
      <c r="EL3" s="94"/>
      <c r="EM3" s="94"/>
      <c r="EN3" s="94"/>
      <c r="EO3" s="94"/>
      <c r="EP3" s="94"/>
      <c r="EQ3" s="94"/>
      <c r="ER3" s="94"/>
      <c r="ES3" s="94"/>
    </row>
    <row r="4" spans="1:149" ht="12" customHeight="1">
      <c r="C4" s="1629"/>
      <c r="D4" s="1630" t="str">
        <f>Income!D4</f>
        <v>1998A</v>
      </c>
      <c r="E4" s="1630" t="str">
        <f>Income!E4</f>
        <v>1999A</v>
      </c>
      <c r="F4" s="1630" t="str">
        <f>Income!F4</f>
        <v>2000A</v>
      </c>
      <c r="G4" s="1630" t="str">
        <f>Income!G4</f>
        <v>2001A</v>
      </c>
      <c r="H4" s="1630" t="str">
        <f>Income!H4</f>
        <v>2002A</v>
      </c>
      <c r="I4" s="1609" t="str">
        <f>Income!I4</f>
        <v>1Q03A</v>
      </c>
      <c r="J4" s="1609" t="str">
        <f>Income!J4</f>
        <v>2Q03A</v>
      </c>
      <c r="K4" s="1609" t="str">
        <f>Income!K4</f>
        <v>3Q03A</v>
      </c>
      <c r="L4" s="1609" t="str">
        <f>Income!L4</f>
        <v>4Q03A</v>
      </c>
      <c r="M4" s="1630" t="str">
        <f>Income!M4</f>
        <v>2003A</v>
      </c>
      <c r="N4" s="1609" t="str">
        <f>Income!N4</f>
        <v>1Q04A</v>
      </c>
      <c r="O4" s="1609" t="str">
        <f>Income!O4</f>
        <v>2Q04A</v>
      </c>
      <c r="P4" s="1609" t="str">
        <f>Income!P4</f>
        <v>3Q04A</v>
      </c>
      <c r="Q4" s="1609" t="str">
        <f>Income!Q4</f>
        <v>4Q04A</v>
      </c>
      <c r="R4" s="1630" t="str">
        <f>Income!R4</f>
        <v>2004A</v>
      </c>
      <c r="S4" s="1609" t="str">
        <f>Income!S4</f>
        <v>1Q05A</v>
      </c>
      <c r="T4" s="1609" t="str">
        <f>Income!T4</f>
        <v>2Q05A</v>
      </c>
      <c r="U4" s="1609" t="str">
        <f>Income!U4</f>
        <v>3Q05A</v>
      </c>
      <c r="V4" s="1609" t="str">
        <f>Income!V4</f>
        <v>4Q05A</v>
      </c>
      <c r="W4" s="1630" t="str">
        <f>Income!W4</f>
        <v>2005A</v>
      </c>
      <c r="X4" s="1609" t="str">
        <f>Income!X4</f>
        <v>1Q06A</v>
      </c>
      <c r="Y4" s="1609" t="str">
        <f>Income!Y4</f>
        <v>2Q06A</v>
      </c>
      <c r="Z4" s="1609" t="str">
        <f>Income!Z4</f>
        <v>3Q06A</v>
      </c>
      <c r="AA4" s="1609" t="str">
        <f>Income!AA4</f>
        <v>4Q06A</v>
      </c>
      <c r="AB4" s="1630" t="str">
        <f>Income!AB4</f>
        <v>2006A</v>
      </c>
      <c r="AC4" s="1609" t="str">
        <f>Income!AC4</f>
        <v>1Q07A</v>
      </c>
      <c r="AD4" s="1609" t="str">
        <f>Income!AD4</f>
        <v>2Q07A</v>
      </c>
      <c r="AE4" s="1609" t="str">
        <f>Income!AE4</f>
        <v>3Q07A</v>
      </c>
      <c r="AF4" s="1609" t="str">
        <f>Income!AF4</f>
        <v>4Q07A</v>
      </c>
      <c r="AG4" s="1630" t="str">
        <f>Income!AG4</f>
        <v>2007A</v>
      </c>
      <c r="AH4" s="1609" t="str">
        <f>Income!AH4</f>
        <v>1Q08A</v>
      </c>
      <c r="AI4" s="1609" t="str">
        <f>Income!AI4</f>
        <v>2Q08A</v>
      </c>
      <c r="AJ4" s="1609" t="str">
        <f>Income!AJ4</f>
        <v>3Q08A</v>
      </c>
      <c r="AK4" s="1609" t="str">
        <f>Income!AK4</f>
        <v>4Q08A</v>
      </c>
      <c r="AL4" s="1630" t="str">
        <f>Income!AL4</f>
        <v>2008A</v>
      </c>
      <c r="AM4" s="1609" t="str">
        <f>Income!AM4</f>
        <v>1Q09A</v>
      </c>
      <c r="AN4" s="1609" t="str">
        <f>Income!AN4</f>
        <v>2Q09A</v>
      </c>
      <c r="AO4" s="1609" t="str">
        <f>Income!AO4</f>
        <v>3Q09A</v>
      </c>
      <c r="AP4" s="1609" t="str">
        <f>Income!AP4</f>
        <v>4Q09A</v>
      </c>
      <c r="AQ4" s="1630" t="str">
        <f>Income!AQ4</f>
        <v>2009A</v>
      </c>
      <c r="AR4" s="1609" t="str">
        <f>Income!AR4</f>
        <v>1Q10A</v>
      </c>
      <c r="AS4" s="1609" t="str">
        <f>Income!AS4</f>
        <v>2Q10A</v>
      </c>
      <c r="AT4" s="1609" t="str">
        <f>Income!AT4</f>
        <v>3Q10A</v>
      </c>
      <c r="AU4" s="1609" t="str">
        <f>Income!AU4</f>
        <v>4Q10A</v>
      </c>
      <c r="AV4" s="1630" t="str">
        <f>Income!AV4</f>
        <v>2010A</v>
      </c>
      <c r="AW4" s="1609" t="str">
        <f>Income!AW4</f>
        <v>1Q11A</v>
      </c>
      <c r="AX4" s="1609" t="str">
        <f>Income!AX4</f>
        <v>2Q11A</v>
      </c>
      <c r="AY4" s="1609" t="str">
        <f>Income!AY4</f>
        <v>3Q11A</v>
      </c>
      <c r="AZ4" s="1609" t="str">
        <f>Income!AZ4</f>
        <v>4Q11A</v>
      </c>
      <c r="BA4" s="1630" t="str">
        <f>Income!BA4</f>
        <v>2011A</v>
      </c>
      <c r="BB4" s="1609" t="str">
        <f>Income!BB4</f>
        <v>1Q12A</v>
      </c>
      <c r="BC4" s="1609" t="str">
        <f>Income!BC4</f>
        <v>2Q12A</v>
      </c>
      <c r="BD4" s="1609" t="str">
        <f>Income!BD4</f>
        <v>3Q12A</v>
      </c>
      <c r="BE4" s="1609" t="str">
        <f>Income!BE4</f>
        <v>4Q12A</v>
      </c>
      <c r="BF4" s="1630" t="str">
        <f>Income!BF4</f>
        <v>2012A</v>
      </c>
      <c r="BG4" s="1609" t="str">
        <f>Income!BG4</f>
        <v>1Q13A</v>
      </c>
      <c r="BH4" s="1609" t="str">
        <f>Income!BH4</f>
        <v>2Q13A</v>
      </c>
      <c r="BI4" s="1609" t="str">
        <f>Income!BI4</f>
        <v>3Q13A</v>
      </c>
      <c r="BJ4" s="1609" t="str">
        <f>Income!BJ4</f>
        <v>4Q13A</v>
      </c>
      <c r="BK4" s="1630" t="str">
        <f>Income!BK4</f>
        <v>2013A</v>
      </c>
      <c r="BL4" s="1609" t="str">
        <f>Income!BL4</f>
        <v>1Q14A</v>
      </c>
      <c r="BM4" s="1609" t="str">
        <f>Income!BM4</f>
        <v>2Q14A</v>
      </c>
      <c r="BN4" s="1609" t="str">
        <f>Income!BN4</f>
        <v>3Q14A</v>
      </c>
      <c r="BO4" s="1609" t="str">
        <f>Income!BO4</f>
        <v>4Q14A</v>
      </c>
      <c r="BP4" s="1631" t="str">
        <f>Income!BP4</f>
        <v>2014A</v>
      </c>
      <c r="BQ4" s="1609" t="str">
        <f>Income!BQ4</f>
        <v>1Q15A</v>
      </c>
      <c r="BR4" s="1609" t="str">
        <f>Income!BR4</f>
        <v>2Q15A</v>
      </c>
      <c r="BS4" s="1609" t="str">
        <f>Income!BS4</f>
        <v>3Q15A</v>
      </c>
      <c r="BT4" s="1609" t="str">
        <f>Income!BT4</f>
        <v>4Q15A</v>
      </c>
      <c r="BU4" s="1631" t="str">
        <f>Income!BU4</f>
        <v>2015A</v>
      </c>
      <c r="BV4" s="1609" t="str">
        <f>Income!BV4</f>
        <v>1Q16A</v>
      </c>
      <c r="BW4" s="1609" t="str">
        <f>Income!BW4</f>
        <v>2Q16A</v>
      </c>
      <c r="BX4" s="1609" t="str">
        <f>Income!BX4</f>
        <v>3Q16A</v>
      </c>
      <c r="BY4" s="1609" t="str">
        <f>Income!BY4</f>
        <v>4Q16A</v>
      </c>
      <c r="BZ4" s="1630" t="str">
        <f>Income!BZ4</f>
        <v>2016A</v>
      </c>
      <c r="CA4" s="1609" t="str">
        <f>Income!CA4</f>
        <v>1Q17A</v>
      </c>
      <c r="CB4" s="1632" t="str">
        <f>Income!CB4</f>
        <v>2Q17A</v>
      </c>
      <c r="CC4" s="1632" t="str">
        <f>Income!CC4</f>
        <v>3Q17A</v>
      </c>
      <c r="CD4" s="1609" t="str">
        <f>Income!CD4</f>
        <v>4Q17A</v>
      </c>
      <c r="CE4" s="1630" t="str">
        <f>Income!CE4</f>
        <v>2017A</v>
      </c>
      <c r="CF4" s="1609" t="str">
        <f>Income!CF4</f>
        <v>1Q18A</v>
      </c>
      <c r="CG4" s="1609" t="str">
        <f>Income!CG4</f>
        <v>2Q18A</v>
      </c>
      <c r="CH4" s="1609" t="str">
        <f>Income!CH4</f>
        <v>3Q18A</v>
      </c>
      <c r="CI4" s="1609" t="str">
        <f>Income!CI4</f>
        <v>4Q18A</v>
      </c>
      <c r="CJ4" s="1633" t="str">
        <f>Income!CJ4</f>
        <v>2018A</v>
      </c>
      <c r="CK4" s="1612" t="str">
        <f>Income!CK4</f>
        <v>1Q19A</v>
      </c>
      <c r="CL4" s="1612" t="str">
        <f>Income!CL4</f>
        <v>2Q19A</v>
      </c>
      <c r="CM4" s="1612" t="str">
        <f>Income!CM4</f>
        <v>3Q19A</v>
      </c>
      <c r="CN4" s="1612" t="str">
        <f>Income!CN4</f>
        <v>4Q19A</v>
      </c>
      <c r="CO4" s="1633" t="str">
        <f>Income!CO4</f>
        <v>2019A</v>
      </c>
      <c r="CP4" s="1612" t="str">
        <f>Income!CP4</f>
        <v>1Q20A</v>
      </c>
      <c r="CQ4" s="1612" t="str">
        <f>Income!CQ4</f>
        <v>2Q20A</v>
      </c>
      <c r="CR4" s="1612" t="str">
        <f>Income!CR4</f>
        <v>3Q20A</v>
      </c>
      <c r="CS4" s="1612" t="str">
        <f>Income!CS4</f>
        <v>4Q20A</v>
      </c>
      <c r="CT4" s="1633" t="str">
        <f>Income!CT4</f>
        <v>2020A</v>
      </c>
      <c r="CU4" s="1612" t="str">
        <f>Income!CU4</f>
        <v>1Q21A</v>
      </c>
      <c r="CV4" s="1612" t="str">
        <f>Income!CV4</f>
        <v>2Q21A</v>
      </c>
      <c r="CW4" s="1612" t="str">
        <f>Income!CW4</f>
        <v>3Q21A</v>
      </c>
      <c r="CX4" s="1612" t="str">
        <f>Income!CX4</f>
        <v>4Q21A</v>
      </c>
      <c r="CY4" s="1633" t="str">
        <f>Income!CY4</f>
        <v>2021A</v>
      </c>
      <c r="CZ4" s="1612" t="str">
        <f>Income!CZ4</f>
        <v>1Q22A</v>
      </c>
      <c r="DA4" s="1612" t="str">
        <f>Income!DA4</f>
        <v>2Q22A</v>
      </c>
      <c r="DB4" s="1612" t="str">
        <f>Income!DB4</f>
        <v>3Q22A</v>
      </c>
      <c r="DC4" s="1612" t="str">
        <f>Income!DC4</f>
        <v>4Q22A</v>
      </c>
      <c r="DD4" s="1633" t="str">
        <f>Income!DD4</f>
        <v>2022A</v>
      </c>
      <c r="DE4" s="1612" t="str">
        <f>Income!DE4</f>
        <v>1Q23A</v>
      </c>
      <c r="DF4" s="1612" t="str">
        <f>Income!DF4</f>
        <v>2Q23A</v>
      </c>
      <c r="DG4" s="1612" t="str">
        <f>Income!DG4</f>
        <v>3Q23A</v>
      </c>
      <c r="DH4" s="1612" t="str">
        <f>Income!DH4</f>
        <v>4Q23A</v>
      </c>
      <c r="DI4" s="1633" t="str">
        <f>Income!DI4</f>
        <v>2023A</v>
      </c>
      <c r="DJ4" s="1612" t="str">
        <f>Income!DJ4</f>
        <v>1Q24A</v>
      </c>
      <c r="DK4" s="1612" t="str">
        <f>Income!DK4</f>
        <v>2Q24A</v>
      </c>
      <c r="DL4" s="1612" t="str">
        <f>Income!DL4</f>
        <v>3Q24A</v>
      </c>
      <c r="DM4" s="1612" t="str">
        <f>Income!DM4</f>
        <v>4Q24A</v>
      </c>
      <c r="DN4" s="1633" t="str">
        <f>Income!DN4</f>
        <v>2024A</v>
      </c>
      <c r="DO4" s="1612" t="str">
        <f>Income!DO4</f>
        <v>1Q25A</v>
      </c>
      <c r="DP4" s="1612" t="str">
        <f>Income!DP4</f>
        <v>2Q25A</v>
      </c>
      <c r="DQ4" s="1612" t="str">
        <f>Income!DQ4</f>
        <v>3Q25A</v>
      </c>
      <c r="DR4" s="1612" t="str">
        <f>Income!DR4</f>
        <v>4Q25A</v>
      </c>
      <c r="DS4" s="1633" t="str">
        <f>Income!DS4</f>
        <v>2025A</v>
      </c>
      <c r="DT4" s="1612" t="str">
        <f>Income!DT4</f>
        <v>1Q26A</v>
      </c>
      <c r="DU4" s="1612" t="str">
        <f>Income!DU4</f>
        <v>2Q26A</v>
      </c>
      <c r="DV4" s="1612" t="str">
        <f>Income!DV4</f>
        <v>3Q26E</v>
      </c>
      <c r="DW4" s="1612" t="str">
        <f>Income!DW4</f>
        <v>4Q26E</v>
      </c>
      <c r="DX4" s="1633" t="str">
        <f>Income!DX4</f>
        <v>2026E</v>
      </c>
      <c r="DY4" s="1612" t="str">
        <f>Income!DY4</f>
        <v>1Q27E</v>
      </c>
      <c r="DZ4" s="1612" t="str">
        <f>Income!DZ4</f>
        <v>2Q27E</v>
      </c>
      <c r="EA4" s="1612" t="str">
        <f>Income!EA4</f>
        <v>3Q27E</v>
      </c>
      <c r="EB4" s="1612" t="str">
        <f>Income!EB4</f>
        <v>4Q27E</v>
      </c>
      <c r="EC4" s="1633" t="str">
        <f>Income!EC4</f>
        <v>2027E</v>
      </c>
      <c r="ED4" s="1612" t="str">
        <f>Income!ED4</f>
        <v>1Q28E</v>
      </c>
      <c r="EE4" s="1612" t="str">
        <f>Income!EE4</f>
        <v>2Q28E</v>
      </c>
      <c r="EF4" s="1612" t="str">
        <f>Income!EF4</f>
        <v>3Q28E</v>
      </c>
      <c r="EG4" s="1612" t="str">
        <f>Income!EG4</f>
        <v>4Q28E</v>
      </c>
      <c r="EH4" s="1633" t="str">
        <f>Income!EH4</f>
        <v>2028E</v>
      </c>
      <c r="EI4" s="1612" t="str">
        <f>Income!EI4</f>
        <v>1Q29E</v>
      </c>
      <c r="EJ4" s="1612" t="str">
        <f>Income!EJ4</f>
        <v>2Q29E</v>
      </c>
      <c r="EK4" s="1612" t="str">
        <f>Income!EK4</f>
        <v>3Q29E</v>
      </c>
      <c r="EL4" s="1612" t="str">
        <f>Income!EL4</f>
        <v>4Q29E</v>
      </c>
      <c r="EM4" s="1633" t="str">
        <f>Income!EM4</f>
        <v>2029E</v>
      </c>
      <c r="EN4" s="1612" t="str">
        <f>Income!EN4</f>
        <v>1Q30E</v>
      </c>
      <c r="EO4" s="1612" t="str">
        <f>Income!EO4</f>
        <v>2Q30E</v>
      </c>
      <c r="EP4" s="1612" t="str">
        <f>Income!EP4</f>
        <v>3Q30E</v>
      </c>
      <c r="EQ4" s="1612" t="str">
        <f>Income!EQ4</f>
        <v>4Q30E</v>
      </c>
      <c r="ER4" s="1633" t="str">
        <f>Income!ER4</f>
        <v>2030E</v>
      </c>
      <c r="ES4" s="246"/>
    </row>
    <row r="5" spans="1:149" ht="12" customHeight="1">
      <c r="C5" s="228" t="str">
        <f>Income!C5</f>
        <v>$ in millions, except per share figures</v>
      </c>
      <c r="D5" s="682">
        <v>1998</v>
      </c>
      <c r="E5" s="682">
        <f>+D5+1</f>
        <v>1999</v>
      </c>
      <c r="F5" s="682">
        <f>+E5+1</f>
        <v>2000</v>
      </c>
      <c r="G5" s="682">
        <f>+F5+1</f>
        <v>2001</v>
      </c>
      <c r="H5" s="682">
        <f>+G5+1</f>
        <v>2002</v>
      </c>
      <c r="I5" s="683">
        <v>37711</v>
      </c>
      <c r="J5" s="684">
        <f>EOMONTH(I5,3)</f>
        <v>37802</v>
      </c>
      <c r="K5" s="684">
        <f>EOMONTH(J5,3)</f>
        <v>37894</v>
      </c>
      <c r="L5" s="684">
        <f>EOMONTH(K5,3)</f>
        <v>37986</v>
      </c>
      <c r="M5" s="682">
        <f>+H5+1</f>
        <v>2003</v>
      </c>
      <c r="N5" s="684">
        <f>EOMONTH(I5,12)</f>
        <v>38077</v>
      </c>
      <c r="O5" s="684">
        <f>EOMONTH(N5,3)</f>
        <v>38168</v>
      </c>
      <c r="P5" s="684">
        <f>EOMONTH(O5,3)</f>
        <v>38260</v>
      </c>
      <c r="Q5" s="684">
        <f>EOMONTH(P5,3)</f>
        <v>38352</v>
      </c>
      <c r="R5" s="682">
        <f>+M5+1</f>
        <v>2004</v>
      </c>
      <c r="S5" s="684">
        <f>EOMONTH(N5,12)</f>
        <v>38442</v>
      </c>
      <c r="T5" s="684">
        <f>EOMONTH(S5,3)</f>
        <v>38533</v>
      </c>
      <c r="U5" s="684">
        <f>EOMONTH(T5,3)</f>
        <v>38625</v>
      </c>
      <c r="V5" s="684">
        <f>EOMONTH(U5,3)</f>
        <v>38717</v>
      </c>
      <c r="W5" s="682">
        <f>+R5+1</f>
        <v>2005</v>
      </c>
      <c r="X5" s="684">
        <f>EOMONTH(S5,12)</f>
        <v>38807</v>
      </c>
      <c r="Y5" s="684">
        <f>EOMONTH(X5,3)</f>
        <v>38898</v>
      </c>
      <c r="Z5" s="684">
        <f>EOMONTH(Y5,3)</f>
        <v>38990</v>
      </c>
      <c r="AA5" s="684">
        <f>EOMONTH(Z5,3)</f>
        <v>39082</v>
      </c>
      <c r="AB5" s="682">
        <f>+W5+1</f>
        <v>2006</v>
      </c>
      <c r="AC5" s="684">
        <f>EOMONTH(X5,12)</f>
        <v>39172</v>
      </c>
      <c r="AD5" s="684">
        <f>EOMONTH(AC5,3)</f>
        <v>39263</v>
      </c>
      <c r="AE5" s="684">
        <f>EOMONTH(AD5,3)</f>
        <v>39355</v>
      </c>
      <c r="AF5" s="684">
        <f>EOMONTH(AE5,3)</f>
        <v>39447</v>
      </c>
      <c r="AG5" s="682">
        <f>+AB5+1</f>
        <v>2007</v>
      </c>
      <c r="AH5" s="684">
        <f>EOMONTH(AC5,12)</f>
        <v>39538</v>
      </c>
      <c r="AI5" s="684">
        <f>EOMONTH(AH5,3)</f>
        <v>39629</v>
      </c>
      <c r="AJ5" s="684">
        <f>EOMONTH(AI5,3)</f>
        <v>39721</v>
      </c>
      <c r="AK5" s="684">
        <f>EOMONTH(AJ5,3)</f>
        <v>39813</v>
      </c>
      <c r="AL5" s="682">
        <f>+AG5+1</f>
        <v>2008</v>
      </c>
      <c r="AM5" s="684">
        <f>EOMONTH(AH5,12)</f>
        <v>39903</v>
      </c>
      <c r="AN5" s="684">
        <f>EOMONTH(AM5,3)</f>
        <v>39994</v>
      </c>
      <c r="AO5" s="684">
        <f>EOMONTH(AN5,3)</f>
        <v>40086</v>
      </c>
      <c r="AP5" s="684">
        <f>EOMONTH(AO5,3)</f>
        <v>40178</v>
      </c>
      <c r="AQ5" s="682">
        <f>+AL5+1</f>
        <v>2009</v>
      </c>
      <c r="AR5" s="684">
        <f>EOMONTH(AM5,12)</f>
        <v>40268</v>
      </c>
      <c r="AS5" s="684">
        <f>EOMONTH(AR5,3)</f>
        <v>40359</v>
      </c>
      <c r="AT5" s="684">
        <f>EOMONTH(AS5,3)</f>
        <v>40451</v>
      </c>
      <c r="AU5" s="684">
        <f>EOMONTH(AT5,3)</f>
        <v>40543</v>
      </c>
      <c r="AV5" s="682">
        <f>+AQ5+1</f>
        <v>2010</v>
      </c>
      <c r="AW5" s="684">
        <f>EOMONTH(AR5,12)</f>
        <v>40633</v>
      </c>
      <c r="AX5" s="684">
        <f>EOMONTH(AW5,3)</f>
        <v>40724</v>
      </c>
      <c r="AY5" s="684">
        <f>EOMONTH(AX5,3)</f>
        <v>40816</v>
      </c>
      <c r="AZ5" s="684">
        <f>EOMONTH(AY5,3)</f>
        <v>40908</v>
      </c>
      <c r="BA5" s="682">
        <f>+AV5+1</f>
        <v>2011</v>
      </c>
      <c r="BB5" s="684">
        <f>EOMONTH(AW5,12)</f>
        <v>40999</v>
      </c>
      <c r="BC5" s="684">
        <f>EOMONTH(BB5,3)</f>
        <v>41090</v>
      </c>
      <c r="BD5" s="684">
        <f>EOMONTH(BC5,3)</f>
        <v>41182</v>
      </c>
      <c r="BE5" s="684">
        <f>EOMONTH(BD5,3)</f>
        <v>41274</v>
      </c>
      <c r="BF5" s="682">
        <f>+BA5+1</f>
        <v>2012</v>
      </c>
      <c r="BG5" s="684">
        <f>EOMONTH(BB5,12)</f>
        <v>41364</v>
      </c>
      <c r="BH5" s="684">
        <f>EOMONTH(BG5,3)</f>
        <v>41455</v>
      </c>
      <c r="BI5" s="684">
        <f>EOMONTH(BH5,3)</f>
        <v>41547</v>
      </c>
      <c r="BJ5" s="684">
        <f>EOMONTH(BI5,3)</f>
        <v>41639</v>
      </c>
      <c r="BK5" s="682">
        <f>+BF5+1</f>
        <v>2013</v>
      </c>
      <c r="BL5" s="684">
        <f>EOMONTH(BG5,12)</f>
        <v>41729</v>
      </c>
      <c r="BM5" s="684">
        <f>EOMONTH(BL5,3)</f>
        <v>41820</v>
      </c>
      <c r="BN5" s="684">
        <f>EOMONTH(BM5,3)</f>
        <v>41912</v>
      </c>
      <c r="BO5" s="684">
        <f>EOMONTH(BN5,3)</f>
        <v>42004</v>
      </c>
      <c r="BP5" s="682">
        <f>+BK5+1</f>
        <v>2014</v>
      </c>
      <c r="BQ5" s="684">
        <f>EOMONTH(BL5,12)</f>
        <v>42094</v>
      </c>
      <c r="BR5" s="684">
        <f>EOMONTH(BQ5,3)</f>
        <v>42185</v>
      </c>
      <c r="BS5" s="684">
        <f>EOMONTH(BR5,3)</f>
        <v>42277</v>
      </c>
      <c r="BT5" s="684">
        <f>EOMONTH(BS5,3)</f>
        <v>42369</v>
      </c>
      <c r="BU5" s="682">
        <f>+BP5+1</f>
        <v>2015</v>
      </c>
      <c r="BV5" s="684">
        <f>EOMONTH(BQ5,12)</f>
        <v>42460</v>
      </c>
      <c r="BW5" s="684">
        <f>EOMONTH(BV5,3)</f>
        <v>42551</v>
      </c>
      <c r="BX5" s="684">
        <f>EOMONTH(BW5,3)</f>
        <v>42643</v>
      </c>
      <c r="BY5" s="684">
        <f>EOMONTH(BX5,3)</f>
        <v>42735</v>
      </c>
      <c r="BZ5" s="682">
        <f>+BU5+1</f>
        <v>2016</v>
      </c>
      <c r="CA5" s="684">
        <f>EOMONTH(BV5,12)</f>
        <v>42825</v>
      </c>
      <c r="CB5" s="684">
        <f>EOMONTH(CA5,3)</f>
        <v>42916</v>
      </c>
      <c r="CC5" s="684">
        <f>EOMONTH(CB5,3)</f>
        <v>43008</v>
      </c>
      <c r="CD5" s="684">
        <f>EOMONTH(CC5,3)</f>
        <v>43100</v>
      </c>
      <c r="CE5" s="682">
        <f>+BZ5+1</f>
        <v>2017</v>
      </c>
      <c r="CF5" s="684">
        <f>EOMONTH(CA5,12)</f>
        <v>43190</v>
      </c>
      <c r="CG5" s="684">
        <f>EOMONTH(CF5,3)</f>
        <v>43281</v>
      </c>
      <c r="CH5" s="684">
        <f>EOMONTH(CG5,3)</f>
        <v>43373</v>
      </c>
      <c r="CI5" s="684">
        <f>EOMONTH(CH5,3)</f>
        <v>43465</v>
      </c>
      <c r="CJ5" s="682">
        <f>+CE5+1</f>
        <v>2018</v>
      </c>
      <c r="CK5" s="684">
        <f>EOMONTH(CF5,12)</f>
        <v>43555</v>
      </c>
      <c r="CL5" s="684">
        <f>EOMONTH(CK5,3)</f>
        <v>43646</v>
      </c>
      <c r="CM5" s="684">
        <f>EOMONTH(CL5,3)</f>
        <v>43738</v>
      </c>
      <c r="CN5" s="684">
        <f>EOMONTH(CM5,3)</f>
        <v>43830</v>
      </c>
      <c r="CO5" s="682">
        <f>+CJ5+1</f>
        <v>2019</v>
      </c>
      <c r="CP5" s="684">
        <f>EOMONTH(CK5,12)</f>
        <v>43921</v>
      </c>
      <c r="CQ5" s="684">
        <f>EOMONTH(CP5,3)</f>
        <v>44012</v>
      </c>
      <c r="CR5" s="684">
        <f>EOMONTH(CQ5,3)</f>
        <v>44104</v>
      </c>
      <c r="CS5" s="684">
        <f>EOMONTH(CR5,3)</f>
        <v>44196</v>
      </c>
      <c r="CT5" s="682">
        <f>+CO5+1</f>
        <v>2020</v>
      </c>
      <c r="CU5" s="684">
        <f>EOMONTH(CP5,12)</f>
        <v>44286</v>
      </c>
      <c r="CV5" s="684">
        <f>EOMONTH(CU5,3)</f>
        <v>44377</v>
      </c>
      <c r="CW5" s="684">
        <f>EOMONTH(CV5,3)</f>
        <v>44469</v>
      </c>
      <c r="CX5" s="684">
        <f>EOMONTH(CW5,3)</f>
        <v>44561</v>
      </c>
      <c r="CY5" s="682">
        <f>+CT5+1</f>
        <v>2021</v>
      </c>
      <c r="CZ5" s="684">
        <f>EOMONTH(CU5,12)</f>
        <v>44651</v>
      </c>
      <c r="DA5" s="684">
        <f>EOMONTH(CZ5,3)</f>
        <v>44742</v>
      </c>
      <c r="DB5" s="684">
        <f>EOMONTH(DA5,3)</f>
        <v>44834</v>
      </c>
      <c r="DC5" s="684">
        <f>EOMONTH(DB5,3)</f>
        <v>44926</v>
      </c>
      <c r="DD5" s="682">
        <f>+CY5+1</f>
        <v>2022</v>
      </c>
      <c r="DE5" s="684">
        <f>EOMONTH(CZ5,12)</f>
        <v>45016</v>
      </c>
      <c r="DF5" s="684">
        <f>EOMONTH(DE5,3)</f>
        <v>45107</v>
      </c>
      <c r="DG5" s="684">
        <f>EOMONTH(DF5,3)</f>
        <v>45199</v>
      </c>
      <c r="DH5" s="684">
        <f>EOMONTH(DG5,3)</f>
        <v>45291</v>
      </c>
      <c r="DI5" s="682">
        <f>+DD5+1</f>
        <v>2023</v>
      </c>
      <c r="DJ5" s="684">
        <f>EOMONTH(DE5,12)</f>
        <v>45382</v>
      </c>
      <c r="DK5" s="684">
        <f>EOMONTH(DJ5,3)</f>
        <v>45473</v>
      </c>
      <c r="DL5" s="684">
        <f>EOMONTH(DK5,3)</f>
        <v>45565</v>
      </c>
      <c r="DM5" s="684">
        <f>EOMONTH(DL5,3)</f>
        <v>45657</v>
      </c>
      <c r="DN5" s="682">
        <f>+DI5+1</f>
        <v>2024</v>
      </c>
      <c r="DO5" s="684">
        <f>EOMONTH(DJ5,12)</f>
        <v>45747</v>
      </c>
      <c r="DP5" s="684">
        <f>EOMONTH(DO5,3)</f>
        <v>45838</v>
      </c>
      <c r="DQ5" s="684">
        <f>EOMONTH(DP5,3)</f>
        <v>45930</v>
      </c>
      <c r="DR5" s="684">
        <f>EOMONTH(DQ5,3)</f>
        <v>46022</v>
      </c>
      <c r="DS5" s="682">
        <f>+DN5+1</f>
        <v>2025</v>
      </c>
      <c r="DT5" s="684">
        <f>EOMONTH(DO5,12)</f>
        <v>46112</v>
      </c>
      <c r="DU5" s="684">
        <f>EOMONTH(DT5,3)</f>
        <v>46203</v>
      </c>
      <c r="DV5" s="684">
        <f>EOMONTH(DU5,3)</f>
        <v>46295</v>
      </c>
      <c r="DW5" s="684">
        <f>EOMONTH(DV5,3)</f>
        <v>46387</v>
      </c>
      <c r="DX5" s="682">
        <f>+DS5+1</f>
        <v>2026</v>
      </c>
      <c r="DY5" s="684">
        <f>EOMONTH(DT5,12)</f>
        <v>46477</v>
      </c>
      <c r="DZ5" s="684">
        <f>EOMONTH(DY5,3)</f>
        <v>46568</v>
      </c>
      <c r="EA5" s="684">
        <f>EOMONTH(DZ5,3)</f>
        <v>46660</v>
      </c>
      <c r="EB5" s="684">
        <f>EOMONTH(EA5,3)</f>
        <v>46752</v>
      </c>
      <c r="EC5" s="682">
        <f>+DX5+1</f>
        <v>2027</v>
      </c>
      <c r="ED5" s="684">
        <f>EOMONTH(DY5,12)</f>
        <v>46843</v>
      </c>
      <c r="EE5" s="684">
        <f>EOMONTH(ED5,3)</f>
        <v>46934</v>
      </c>
      <c r="EF5" s="684">
        <f>EOMONTH(EE5,3)</f>
        <v>47026</v>
      </c>
      <c r="EG5" s="684">
        <f>EOMONTH(EF5,3)</f>
        <v>47118</v>
      </c>
      <c r="EH5" s="682">
        <f>+EC5+1</f>
        <v>2028</v>
      </c>
      <c r="EI5" s="684">
        <f>EOMONTH(ED5,12)</f>
        <v>47208</v>
      </c>
      <c r="EJ5" s="684">
        <f>EOMONTH(EI5,3)</f>
        <v>47299</v>
      </c>
      <c r="EK5" s="684">
        <f>EOMONTH(EJ5,3)</f>
        <v>47391</v>
      </c>
      <c r="EL5" s="684">
        <f>EOMONTH(EK5,3)</f>
        <v>47483</v>
      </c>
      <c r="EM5" s="682">
        <f>+EH5+1</f>
        <v>2029</v>
      </c>
      <c r="EN5" s="684">
        <f>EOMONTH(EI5,12)</f>
        <v>47573</v>
      </c>
      <c r="EO5" s="684">
        <f>EOMONTH(EN5,3)</f>
        <v>47664</v>
      </c>
      <c r="EP5" s="684">
        <f>EOMONTH(EO5,3)</f>
        <v>47756</v>
      </c>
      <c r="EQ5" s="684">
        <f>EOMONTH(EP5,3)</f>
        <v>47848</v>
      </c>
      <c r="ER5" s="682">
        <f>+EM5+1</f>
        <v>2030</v>
      </c>
      <c r="ES5" s="246"/>
    </row>
    <row r="6" spans="1:149" ht="12" customHeight="1">
      <c r="A6" s="794"/>
      <c r="B6" s="794"/>
      <c r="C6" s="409" t="s">
        <v>9</v>
      </c>
      <c r="D6" s="230"/>
      <c r="E6" s="230"/>
      <c r="F6" s="230"/>
      <c r="G6" s="230"/>
      <c r="H6" s="230"/>
      <c r="I6" s="410"/>
      <c r="J6" s="410"/>
      <c r="K6" s="410"/>
      <c r="L6" s="410"/>
      <c r="M6" s="230"/>
      <c r="N6" s="410"/>
      <c r="O6" s="410"/>
      <c r="P6" s="410"/>
      <c r="Q6" s="410"/>
      <c r="R6" s="230"/>
      <c r="S6" s="410"/>
      <c r="T6" s="410"/>
      <c r="U6" s="410"/>
      <c r="V6" s="410"/>
      <c r="W6" s="230"/>
      <c r="X6" s="410"/>
      <c r="Y6" s="410"/>
      <c r="Z6" s="410"/>
      <c r="AA6" s="410"/>
      <c r="AB6" s="230"/>
      <c r="AC6" s="410"/>
      <c r="AD6" s="410"/>
      <c r="AE6" s="410"/>
      <c r="AF6" s="410"/>
      <c r="AG6" s="230"/>
      <c r="AH6" s="410"/>
      <c r="AI6" s="410"/>
      <c r="AJ6" s="410"/>
      <c r="AK6" s="410"/>
      <c r="AL6" s="230"/>
      <c r="AM6" s="410"/>
      <c r="AN6" s="410"/>
      <c r="AO6" s="410"/>
      <c r="AP6" s="410"/>
      <c r="AQ6" s="230"/>
      <c r="AR6" s="410"/>
      <c r="AS6" s="410"/>
      <c r="AT6" s="410"/>
      <c r="AU6" s="410"/>
      <c r="AV6" s="230"/>
      <c r="AW6" s="410"/>
      <c r="AX6" s="410"/>
      <c r="AY6" s="410"/>
      <c r="AZ6" s="410"/>
      <c r="BA6" s="230"/>
      <c r="BB6" s="410"/>
      <c r="BC6" s="410"/>
      <c r="BD6" s="410"/>
      <c r="BE6" s="410"/>
      <c r="BF6" s="230"/>
      <c r="BG6" s="410"/>
      <c r="BH6" s="410"/>
      <c r="BI6" s="410"/>
      <c r="BJ6" s="410"/>
      <c r="BK6" s="230"/>
      <c r="BL6" s="410"/>
      <c r="BM6" s="410"/>
      <c r="BN6" s="410"/>
      <c r="BO6" s="410"/>
      <c r="BP6" s="411"/>
      <c r="BQ6" s="410"/>
      <c r="BR6" s="410"/>
      <c r="BS6" s="410"/>
      <c r="BT6" s="410"/>
      <c r="BU6" s="411"/>
      <c r="BV6" s="410"/>
      <c r="BW6" s="410"/>
      <c r="BX6" s="410"/>
      <c r="BY6" s="410"/>
      <c r="BZ6" s="230"/>
      <c r="CA6" s="410"/>
      <c r="CB6" s="412"/>
      <c r="CC6" s="412"/>
      <c r="CD6" s="410"/>
      <c r="CE6" s="230"/>
      <c r="CF6" s="410"/>
      <c r="CG6" s="410"/>
      <c r="CH6" s="410"/>
      <c r="CI6" s="410"/>
      <c r="CJ6" s="233"/>
      <c r="CK6" s="234"/>
      <c r="CL6" s="234"/>
      <c r="CM6" s="234"/>
      <c r="CN6" s="234"/>
      <c r="CO6" s="233"/>
      <c r="CP6" s="234"/>
      <c r="CQ6" s="234"/>
      <c r="CR6" s="234"/>
      <c r="CS6" s="234"/>
      <c r="CT6" s="233"/>
      <c r="CU6" s="234"/>
      <c r="CV6" s="234"/>
      <c r="CW6" s="234"/>
      <c r="CX6" s="234"/>
      <c r="CY6" s="233"/>
      <c r="CZ6" s="234"/>
      <c r="DA6" s="234"/>
      <c r="DB6" s="234"/>
      <c r="DC6" s="234"/>
      <c r="DD6" s="233"/>
      <c r="DE6" s="234"/>
      <c r="DF6" s="234"/>
      <c r="DG6" s="234"/>
      <c r="DH6" s="234"/>
      <c r="DI6" s="233"/>
      <c r="DJ6" s="234"/>
      <c r="DK6" s="234"/>
      <c r="DL6" s="234"/>
      <c r="DM6" s="234"/>
      <c r="DN6" s="233"/>
      <c r="DO6" s="234"/>
      <c r="DP6" s="234"/>
      <c r="DQ6" s="234"/>
      <c r="DR6" s="234"/>
      <c r="DS6" s="233"/>
      <c r="DT6" s="234"/>
      <c r="DU6" s="234"/>
      <c r="DV6" s="234"/>
      <c r="DW6" s="234"/>
      <c r="DX6" s="233"/>
      <c r="DY6" s="234"/>
      <c r="DZ6" s="234"/>
      <c r="EA6" s="234"/>
      <c r="EB6" s="234"/>
      <c r="EC6" s="233"/>
      <c r="ED6" s="234"/>
      <c r="EE6" s="234"/>
      <c r="EF6" s="234"/>
      <c r="EG6" s="234"/>
      <c r="EH6" s="233"/>
      <c r="EI6" s="234"/>
      <c r="EJ6" s="234"/>
      <c r="EK6" s="234"/>
      <c r="EL6" s="234"/>
      <c r="EM6" s="233"/>
      <c r="EN6" s="234"/>
      <c r="EO6" s="234"/>
      <c r="EP6" s="234"/>
      <c r="EQ6" s="234"/>
      <c r="ER6" s="233"/>
      <c r="ES6" s="94"/>
    </row>
    <row r="7" spans="1:149" ht="12" customHeight="1">
      <c r="A7" s="794"/>
      <c r="B7" s="794"/>
      <c r="C7" s="265" t="s">
        <v>30</v>
      </c>
      <c r="D7" s="380"/>
      <c r="E7" s="380"/>
      <c r="F7" s="380"/>
      <c r="G7" s="380"/>
      <c r="H7" s="380"/>
      <c r="I7" s="160"/>
      <c r="J7" s="160"/>
      <c r="K7" s="160"/>
      <c r="L7" s="160"/>
      <c r="M7" s="380"/>
      <c r="N7" s="160"/>
      <c r="O7" s="160"/>
      <c r="P7" s="160"/>
      <c r="Q7" s="160"/>
      <c r="R7" s="380"/>
      <c r="S7" s="160"/>
      <c r="T7" s="160"/>
      <c r="U7" s="160"/>
      <c r="V7" s="160"/>
      <c r="W7" s="380"/>
      <c r="X7" s="160"/>
      <c r="Y7" s="160"/>
      <c r="Z7" s="160"/>
      <c r="AA7" s="160"/>
      <c r="AB7" s="380"/>
      <c r="AC7" s="160"/>
      <c r="AD7" s="160"/>
      <c r="AE7" s="160"/>
      <c r="AF7" s="160"/>
      <c r="AG7" s="380"/>
      <c r="AH7" s="160"/>
      <c r="AI7" s="160"/>
      <c r="AJ7" s="160"/>
      <c r="AK7" s="160"/>
      <c r="AL7" s="380"/>
      <c r="AM7" s="160"/>
      <c r="AN7" s="160"/>
      <c r="AO7" s="160"/>
      <c r="AP7" s="160"/>
      <c r="AQ7" s="380"/>
      <c r="AR7" s="160"/>
      <c r="AS7" s="160"/>
      <c r="AT7" s="160"/>
      <c r="AU7" s="160"/>
      <c r="AV7" s="380"/>
      <c r="AW7" s="160"/>
      <c r="AX7" s="160"/>
      <c r="AY7" s="160"/>
      <c r="AZ7" s="160"/>
      <c r="BA7" s="380"/>
      <c r="BB7" s="160"/>
      <c r="BC7" s="160"/>
      <c r="BD7" s="160"/>
      <c r="BE7" s="160"/>
      <c r="BF7" s="380"/>
      <c r="BG7" s="410"/>
      <c r="BH7" s="410"/>
      <c r="BI7" s="410"/>
      <c r="BJ7" s="410"/>
      <c r="BK7" s="380"/>
      <c r="BL7" s="160"/>
      <c r="BM7" s="160"/>
      <c r="BN7" s="160"/>
      <c r="BO7" s="160"/>
      <c r="BP7" s="380"/>
      <c r="BQ7" s="1554">
        <f>Income!BQ62</f>
        <v>-4.5299999999999994</v>
      </c>
      <c r="BR7" s="1554">
        <f>Income!BR62</f>
        <v>-3.2959999999999985</v>
      </c>
      <c r="BS7" s="1554">
        <f>Income!BS62</f>
        <v>-4.6569999999999974</v>
      </c>
      <c r="BT7" s="1554">
        <f>Income!BT62</f>
        <v>-6.3069999999999986</v>
      </c>
      <c r="BU7" s="257">
        <f t="shared" ref="BU7:BU17" si="0">SUM(BQ7:BT7)</f>
        <v>-18.789999999999992</v>
      </c>
      <c r="BV7" s="1554">
        <f>Income!BV62</f>
        <v>-8.9289999999999896</v>
      </c>
      <c r="BW7" s="1554">
        <f>Income!BW62</f>
        <v>-8.4390000000000054</v>
      </c>
      <c r="BX7" s="1554">
        <f>Income!BX62</f>
        <v>-9.1200000000000045</v>
      </c>
      <c r="BY7" s="1554">
        <f>Income!BY62</f>
        <v>-8.8670000000000204</v>
      </c>
      <c r="BZ7" s="257">
        <f t="shared" ref="BZ7:BZ17" si="1">SUM(BV7:BY7)</f>
        <v>-35.355000000000018</v>
      </c>
      <c r="CA7" s="1554">
        <f>Income!CA62</f>
        <v>-13.597999999999985</v>
      </c>
      <c r="CB7" s="1554">
        <f>Income!CB62</f>
        <v>-14.029999999999996</v>
      </c>
      <c r="CC7" s="1554">
        <f>Income!CC62</f>
        <v>-9.3799999999999883</v>
      </c>
      <c r="CD7" s="1554">
        <f>Income!CD62</f>
        <v>-2.9870000000000285</v>
      </c>
      <c r="CE7" s="257">
        <f t="shared" ref="CE7:CE22" si="2">SUM(CA7:CD7)</f>
        <v>-39.994999999999997</v>
      </c>
      <c r="CF7" s="1554">
        <f>Income!CF62</f>
        <v>-15.902000000000026</v>
      </c>
      <c r="CG7" s="1554">
        <f>Income!CG62</f>
        <v>-23.953000000000024</v>
      </c>
      <c r="CH7" s="1554">
        <f>Income!CH62</f>
        <v>-23.184000000000026</v>
      </c>
      <c r="CI7" s="1554">
        <f>Income!CI62</f>
        <v>-1.5140000000000544</v>
      </c>
      <c r="CJ7" s="257">
        <f t="shared" ref="CJ7:CJ22" si="3">SUM(CF7:CI7)</f>
        <v>-64.553000000000125</v>
      </c>
      <c r="CK7" s="1554">
        <f>Income!CK62</f>
        <v>-24.15100000000005</v>
      </c>
      <c r="CL7" s="1554">
        <f>Income!CL62</f>
        <v>-28.678000000000004</v>
      </c>
      <c r="CM7" s="1554">
        <f>Income!CM62</f>
        <v>-72.783999999999963</v>
      </c>
      <c r="CN7" s="1554">
        <f>Income!CN62</f>
        <v>0.77100000000005409</v>
      </c>
      <c r="CO7" s="257">
        <f t="shared" ref="CO7:CO22" si="4">SUM(CK7:CN7)</f>
        <v>-124.84199999999996</v>
      </c>
      <c r="CP7" s="1554">
        <f>Income!CP62</f>
        <v>-31.429000000000002</v>
      </c>
      <c r="CQ7" s="1554">
        <f>Income!CQ62</f>
        <v>35.998000000000047</v>
      </c>
      <c r="CR7" s="1554">
        <f>Income!CR62</f>
        <v>191.06800000000004</v>
      </c>
      <c r="CS7" s="1554">
        <f>Income!CS62</f>
        <v>123.87199999999994</v>
      </c>
      <c r="CT7" s="257">
        <f t="shared" ref="CT7:CT22" si="5">SUM(CP7:CS7)</f>
        <v>319.50900000000001</v>
      </c>
      <c r="CU7" s="1554">
        <f>Income!CU62</f>
        <v>1258.4449999999999</v>
      </c>
      <c r="CV7" s="1554">
        <f>Income!CV62</f>
        <v>879.09299999999996</v>
      </c>
      <c r="CW7" s="1554">
        <f>Income!CW62</f>
        <v>1148.4320000000002</v>
      </c>
      <c r="CX7" s="1554">
        <f>Income!CX62</f>
        <v>-371.31099999999941</v>
      </c>
      <c r="CY7" s="257">
        <f t="shared" ref="CY7:CY17" si="6">SUM(CU7:CX7)</f>
        <v>2914.659000000001</v>
      </c>
      <c r="CZ7" s="1554">
        <f>Income!CZ62</f>
        <v>-1474.4079999999997</v>
      </c>
      <c r="DA7" s="1554">
        <f>Income!DA62</f>
        <v>-1203.9069999999999</v>
      </c>
      <c r="DB7" s="1554">
        <f>Income!DB62</f>
        <v>-158.40899999999996</v>
      </c>
      <c r="DC7" s="1554">
        <f>Income!DC62</f>
        <v>-623.69400000000019</v>
      </c>
      <c r="DD7" s="257">
        <f t="shared" ref="DD7:DD17" si="7">SUM(CZ7:DC7)</f>
        <v>-3460.4179999999997</v>
      </c>
      <c r="DE7" s="1554">
        <f>Income!DE62</f>
        <v>68</v>
      </c>
      <c r="DF7" s="1554">
        <f>Income!DF62</f>
        <v>-1311</v>
      </c>
      <c r="DG7" s="1554">
        <f>Income!DG62</f>
        <v>718</v>
      </c>
      <c r="DH7" s="1554">
        <f>Income!DH62</f>
        <v>657</v>
      </c>
      <c r="DI7" s="257">
        <f t="shared" ref="DI7:DI17" si="8">SUM(DE7:DH7)</f>
        <v>132</v>
      </c>
      <c r="DJ7" s="1554">
        <f>Income!DJ62</f>
        <v>-273</v>
      </c>
      <c r="DK7" s="1554">
        <f>Income!DK62</f>
        <v>171</v>
      </c>
      <c r="DL7" s="1554">
        <f>Income!DL62</f>
        <v>828</v>
      </c>
      <c r="DM7" s="1554">
        <f>Income!DM62</f>
        <v>1293</v>
      </c>
      <c r="DN7" s="257">
        <f t="shared" ref="DN7:DN17" si="9">SUM(DJ7:DM7)</f>
        <v>2019</v>
      </c>
      <c r="DO7" s="1554">
        <f>Income!DO62</f>
        <v>-682</v>
      </c>
      <c r="DP7" s="1554">
        <f>Income!DP62</f>
        <v>906</v>
      </c>
      <c r="DQ7" s="1554">
        <f>Income!DQ62</f>
        <v>264</v>
      </c>
      <c r="DR7" s="1554">
        <f>Income!DR62</f>
        <v>743</v>
      </c>
      <c r="DS7" s="257">
        <f t="shared" ref="DS7:DS17" si="10">SUM(DO7:DR7)</f>
        <v>1231</v>
      </c>
      <c r="DT7" s="1554">
        <f>Income!DT62</f>
        <v>-581</v>
      </c>
      <c r="DU7" s="1554">
        <f>Income!DU62</f>
        <v>1502</v>
      </c>
      <c r="DV7" s="1554">
        <f>Income!DV62</f>
        <v>503.1176933722864</v>
      </c>
      <c r="DW7" s="1554">
        <f>Income!DW62</f>
        <v>740.39713876073233</v>
      </c>
      <c r="DX7" s="257">
        <f t="shared" ref="DX7:DX17" si="11">SUM(DT7:DW7)</f>
        <v>2164.5148321330189</v>
      </c>
      <c r="DY7" s="1554">
        <f>Income!DY62</f>
        <v>482.31849134156749</v>
      </c>
      <c r="DZ7" s="1554">
        <f>Income!DZ62</f>
        <v>623.59331566438743</v>
      </c>
      <c r="EA7" s="1554">
        <f>Income!EA62</f>
        <v>690.88153560855153</v>
      </c>
      <c r="EB7" s="1554">
        <f>Income!EB62</f>
        <v>1013.8012017773117</v>
      </c>
      <c r="EC7" s="257">
        <f t="shared" ref="EC7:EC17" si="12">SUM(DY7:EB7)</f>
        <v>2810.5945443918181</v>
      </c>
      <c r="ED7" s="1554">
        <f>Income!ED62</f>
        <v>606.03408246052004</v>
      </c>
      <c r="EE7" s="1554">
        <f>Income!EE62</f>
        <v>777.08309874522024</v>
      </c>
      <c r="EF7" s="1554">
        <f>Income!EF62</f>
        <v>854.49514861729608</v>
      </c>
      <c r="EG7" s="1554">
        <f>Income!EG62</f>
        <v>1247.5275607084427</v>
      </c>
      <c r="EH7" s="257">
        <f t="shared" ref="EH7:EH17" si="13">SUM(ED7:EG7)</f>
        <v>3485.1398905314791</v>
      </c>
      <c r="EI7" s="1554">
        <f>Income!EI62</f>
        <v>745.79721747335611</v>
      </c>
      <c r="EJ7" s="1554">
        <f>Income!EJ62</f>
        <v>951.38335311866308</v>
      </c>
      <c r="EK7" s="1554">
        <f>Income!EK62</f>
        <v>1042.421829194649</v>
      </c>
      <c r="EL7" s="1554">
        <f>Income!EL62</f>
        <v>1517.0357919149944</v>
      </c>
      <c r="EM7" s="257">
        <f t="shared" ref="EM7:EM17" si="14">SUM(EI7:EL7)</f>
        <v>4256.6381917016624</v>
      </c>
      <c r="EN7" s="1554">
        <f>Income!EN62</f>
        <v>910.29322843812349</v>
      </c>
      <c r="EO7" s="1554">
        <f>Income!EO62</f>
        <v>1155.9599497362603</v>
      </c>
      <c r="EP7" s="1554">
        <f>Income!EP62</f>
        <v>1262.6918559947483</v>
      </c>
      <c r="EQ7" s="1554">
        <f>Income!EQ62</f>
        <v>1830.1990815683125</v>
      </c>
      <c r="ER7" s="257">
        <f t="shared" ref="ER7:ER17" si="15">SUM(EN7:EQ7)</f>
        <v>5159.1441157374447</v>
      </c>
      <c r="ES7" s="619"/>
    </row>
    <row r="8" spans="1:149" ht="12" customHeight="1">
      <c r="A8" s="794"/>
      <c r="B8" s="794"/>
      <c r="C8" s="265" t="s">
        <v>743</v>
      </c>
      <c r="D8" s="315"/>
      <c r="E8" s="315"/>
      <c r="F8" s="315"/>
      <c r="G8" s="315"/>
      <c r="H8" s="315"/>
      <c r="I8" s="316"/>
      <c r="J8" s="316"/>
      <c r="K8" s="316"/>
      <c r="L8" s="316"/>
      <c r="M8" s="380"/>
      <c r="N8" s="316"/>
      <c r="O8" s="316"/>
      <c r="P8" s="316"/>
      <c r="Q8" s="316"/>
      <c r="R8" s="380"/>
      <c r="S8" s="316"/>
      <c r="T8" s="316"/>
      <c r="U8" s="316"/>
      <c r="V8" s="316"/>
      <c r="W8" s="380"/>
      <c r="X8" s="316"/>
      <c r="Y8" s="316"/>
      <c r="Z8" s="316"/>
      <c r="AA8" s="316"/>
      <c r="AB8" s="380"/>
      <c r="AC8" s="316"/>
      <c r="AD8" s="316"/>
      <c r="AE8" s="316"/>
      <c r="AF8" s="316"/>
      <c r="AG8" s="380"/>
      <c r="AH8" s="316"/>
      <c r="AI8" s="316"/>
      <c r="AJ8" s="316"/>
      <c r="AK8" s="316"/>
      <c r="AL8" s="380"/>
      <c r="AM8" s="316"/>
      <c r="AN8" s="316"/>
      <c r="AO8" s="316"/>
      <c r="AP8" s="316"/>
      <c r="AQ8" s="380"/>
      <c r="AR8" s="316"/>
      <c r="AS8" s="316"/>
      <c r="AT8" s="316"/>
      <c r="AU8" s="316"/>
      <c r="AV8" s="380"/>
      <c r="AW8" s="316"/>
      <c r="AX8" s="316"/>
      <c r="AY8" s="316"/>
      <c r="AZ8" s="316"/>
      <c r="BA8" s="380"/>
      <c r="BB8" s="316"/>
      <c r="BC8" s="316"/>
      <c r="BD8" s="316"/>
      <c r="BE8" s="316"/>
      <c r="BF8" s="380"/>
      <c r="BG8" s="410"/>
      <c r="BH8" s="410"/>
      <c r="BI8" s="410"/>
      <c r="BJ8" s="410"/>
      <c r="BK8" s="380"/>
      <c r="BL8" s="160"/>
      <c r="BM8" s="160"/>
      <c r="BN8" s="160"/>
      <c r="BO8" s="160"/>
      <c r="BP8" s="380"/>
      <c r="BQ8" s="120">
        <f>BQ10-BQ9</f>
        <v>1.47</v>
      </c>
      <c r="BR8" s="120">
        <f>BR10-BR9</f>
        <v>1.655</v>
      </c>
      <c r="BS8" s="120">
        <f>BS10-BS9</f>
        <v>1.9089999999999996</v>
      </c>
      <c r="BT8" s="120">
        <f>BT10-BT9</f>
        <v>2.202</v>
      </c>
      <c r="BU8" s="257">
        <f t="shared" si="0"/>
        <v>7.2359999999999998</v>
      </c>
      <c r="BV8" s="120">
        <f>BV10-BV9</f>
        <v>3.0579999999999998</v>
      </c>
      <c r="BW8" s="120">
        <f>BW10-BW9</f>
        <v>2.7759999999999998</v>
      </c>
      <c r="BX8" s="120">
        <f>BX10-BX9</f>
        <v>3.6929999999999996</v>
      </c>
      <c r="BY8" s="120">
        <f>BY10-BY9</f>
        <v>4.4400000000000013</v>
      </c>
      <c r="BZ8" s="257">
        <f t="shared" si="1"/>
        <v>13.967000000000001</v>
      </c>
      <c r="CA8" s="120">
        <f>CA10-CA9</f>
        <v>4.5339999999999998</v>
      </c>
      <c r="CB8" s="120">
        <f>CB10-CB9</f>
        <v>5.3530000000000006</v>
      </c>
      <c r="CC8" s="120">
        <f>CC10-CC9</f>
        <v>5.737000000000001</v>
      </c>
      <c r="CD8" s="120">
        <f>CD10-CD9</f>
        <v>7.7579999999999982</v>
      </c>
      <c r="CE8" s="257">
        <f t="shared" si="2"/>
        <v>23.382000000000001</v>
      </c>
      <c r="CF8" s="120">
        <f>CF10-CF9</f>
        <v>7.5819999999999999</v>
      </c>
      <c r="CG8" s="120">
        <f>CG10-CG9</f>
        <v>7.4259999999999993</v>
      </c>
      <c r="CH8" s="120">
        <f>CH10-CH9</f>
        <v>4.9550000000000018</v>
      </c>
      <c r="CI8" s="120">
        <f>CI10-CI9</f>
        <v>4.4009999999999998</v>
      </c>
      <c r="CJ8" s="257">
        <f t="shared" si="3"/>
        <v>24.364000000000001</v>
      </c>
      <c r="CK8" s="120">
        <f>CK10-CK9</f>
        <v>5.149</v>
      </c>
      <c r="CL8" s="120">
        <f>CL10-CL9</f>
        <v>5.7870000000000008</v>
      </c>
      <c r="CM8" s="120">
        <f>CM10-CM9</f>
        <v>7.0359999999999987</v>
      </c>
      <c r="CN8" s="120">
        <f>CN10-CN9</f>
        <v>7.5400000000000036</v>
      </c>
      <c r="CO8" s="257">
        <f t="shared" si="4"/>
        <v>25.512</v>
      </c>
      <c r="CP8" s="120">
        <f>CP10-CP9</f>
        <v>8.3509999999999991</v>
      </c>
      <c r="CQ8" s="120">
        <f>CQ10-CQ9</f>
        <v>14.628999999999998</v>
      </c>
      <c r="CR8" s="120">
        <f>CR10-CR9</f>
        <v>12.893000000000004</v>
      </c>
      <c r="CS8" s="120">
        <f>CS10-CS9</f>
        <v>12.917999999999999</v>
      </c>
      <c r="CT8" s="257">
        <f t="shared" si="5"/>
        <v>48.791000000000004</v>
      </c>
      <c r="CU8" s="120">
        <f>CU10-CU9</f>
        <v>10.825000000000001</v>
      </c>
      <c r="CV8" s="120">
        <f>CV10-CV9</f>
        <v>9.8470000000000013</v>
      </c>
      <c r="CW8" s="120">
        <f>CW10-CW9</f>
        <v>7.6239999999999997</v>
      </c>
      <c r="CX8" s="120">
        <f>CX10-CX9</f>
        <v>15.863000000000007</v>
      </c>
      <c r="CY8" s="257">
        <f t="shared" si="6"/>
        <v>44.159000000000006</v>
      </c>
      <c r="CZ8" s="120">
        <f>CZ10-CZ9</f>
        <v>9.974000000000002</v>
      </c>
      <c r="DA8" s="120">
        <f>DA10-DA9</f>
        <v>9.0769999999999982</v>
      </c>
      <c r="DB8" s="120">
        <f>DB10-DB9</f>
        <v>8.4670000000000023</v>
      </c>
      <c r="DC8" s="120">
        <f>DC10-DC9</f>
        <v>9.2999999999999936</v>
      </c>
      <c r="DD8" s="257">
        <f t="shared" si="7"/>
        <v>36.817999999999998</v>
      </c>
      <c r="DE8" s="120">
        <f>DE10-DE9</f>
        <v>8</v>
      </c>
      <c r="DF8" s="120">
        <f>DF10-DF9</f>
        <v>8</v>
      </c>
      <c r="DG8" s="120">
        <f>DG10-DG9</f>
        <v>9</v>
      </c>
      <c r="DH8" s="120">
        <f>DH10-DH9</f>
        <v>6</v>
      </c>
      <c r="DI8" s="257">
        <f t="shared" si="8"/>
        <v>31</v>
      </c>
      <c r="DJ8" s="120">
        <f>DJ10-DJ9</f>
        <v>6</v>
      </c>
      <c r="DK8" s="120">
        <f>DK10-DK9</f>
        <v>6</v>
      </c>
      <c r="DL8" s="120">
        <f>DL10-DL9</f>
        <v>4</v>
      </c>
      <c r="DM8" s="120">
        <f>DM10-DM9</f>
        <v>6</v>
      </c>
      <c r="DN8" s="257">
        <f t="shared" si="9"/>
        <v>22</v>
      </c>
      <c r="DO8" s="120">
        <f>DO10-DO9</f>
        <v>5</v>
      </c>
      <c r="DP8" s="120">
        <f>DP10-DP9</f>
        <v>5</v>
      </c>
      <c r="DQ8" s="120">
        <f>DQ10-DQ9</f>
        <v>5</v>
      </c>
      <c r="DR8" s="120">
        <f>DR10-DR9</f>
        <v>3</v>
      </c>
      <c r="DS8" s="257">
        <f t="shared" si="10"/>
        <v>18</v>
      </c>
      <c r="DT8" s="120">
        <f>DT10-DT9</f>
        <v>4</v>
      </c>
      <c r="DU8" s="120">
        <f>DU10-DU9</f>
        <v>5</v>
      </c>
      <c r="DV8" s="120">
        <f>DU8</f>
        <v>5</v>
      </c>
      <c r="DW8" s="120">
        <f>DV8</f>
        <v>5</v>
      </c>
      <c r="DX8" s="257">
        <f t="shared" si="11"/>
        <v>19</v>
      </c>
      <c r="DY8" s="120">
        <f>DT8</f>
        <v>4</v>
      </c>
      <c r="DZ8" s="120">
        <f>DY8</f>
        <v>4</v>
      </c>
      <c r="EA8" s="120">
        <f>DZ8</f>
        <v>4</v>
      </c>
      <c r="EB8" s="120">
        <f>EA8</f>
        <v>4</v>
      </c>
      <c r="EC8" s="257">
        <f t="shared" si="12"/>
        <v>16</v>
      </c>
      <c r="ED8" s="120">
        <f>DY8</f>
        <v>4</v>
      </c>
      <c r="EE8" s="120">
        <f>ED8</f>
        <v>4</v>
      </c>
      <c r="EF8" s="120">
        <f>EE8</f>
        <v>4</v>
      </c>
      <c r="EG8" s="120">
        <f>EF8</f>
        <v>4</v>
      </c>
      <c r="EH8" s="257">
        <f t="shared" si="13"/>
        <v>16</v>
      </c>
      <c r="EI8" s="120">
        <f>ED8</f>
        <v>4</v>
      </c>
      <c r="EJ8" s="120">
        <f>EI8</f>
        <v>4</v>
      </c>
      <c r="EK8" s="120">
        <f>EJ8</f>
        <v>4</v>
      </c>
      <c r="EL8" s="120">
        <f>EK8</f>
        <v>4</v>
      </c>
      <c r="EM8" s="257">
        <f t="shared" si="14"/>
        <v>16</v>
      </c>
      <c r="EN8" s="120">
        <f>EI8</f>
        <v>4</v>
      </c>
      <c r="EO8" s="120">
        <f>EN8</f>
        <v>4</v>
      </c>
      <c r="EP8" s="120">
        <f>EO8</f>
        <v>4</v>
      </c>
      <c r="EQ8" s="120">
        <f>EP8</f>
        <v>4</v>
      </c>
      <c r="ER8" s="257">
        <f t="shared" si="15"/>
        <v>16</v>
      </c>
      <c r="ES8" s="253"/>
    </row>
    <row r="9" spans="1:149" ht="12" customHeight="1">
      <c r="A9" s="794"/>
      <c r="B9" s="794"/>
      <c r="C9" s="331" t="s">
        <v>224</v>
      </c>
      <c r="D9" s="385"/>
      <c r="E9" s="385"/>
      <c r="F9" s="385"/>
      <c r="G9" s="385"/>
      <c r="H9" s="385"/>
      <c r="I9" s="386"/>
      <c r="J9" s="386"/>
      <c r="K9" s="386"/>
      <c r="L9" s="386"/>
      <c r="M9" s="387"/>
      <c r="N9" s="386"/>
      <c r="O9" s="386"/>
      <c r="P9" s="386"/>
      <c r="Q9" s="386"/>
      <c r="R9" s="387"/>
      <c r="S9" s="386"/>
      <c r="T9" s="386"/>
      <c r="U9" s="386"/>
      <c r="V9" s="386"/>
      <c r="W9" s="387"/>
      <c r="X9" s="386"/>
      <c r="Y9" s="386"/>
      <c r="Z9" s="386"/>
      <c r="AA9" s="386"/>
      <c r="AB9" s="387"/>
      <c r="AC9" s="386"/>
      <c r="AD9" s="386"/>
      <c r="AE9" s="386"/>
      <c r="AF9" s="386"/>
      <c r="AG9" s="387"/>
      <c r="AH9" s="386"/>
      <c r="AI9" s="386"/>
      <c r="AJ9" s="386"/>
      <c r="AK9" s="386"/>
      <c r="AL9" s="387"/>
      <c r="AM9" s="386"/>
      <c r="AN9" s="386"/>
      <c r="AO9" s="386"/>
      <c r="AP9" s="386"/>
      <c r="AQ9" s="387"/>
      <c r="AR9" s="386"/>
      <c r="AS9" s="386"/>
      <c r="AT9" s="386"/>
      <c r="AU9" s="386"/>
      <c r="AV9" s="387"/>
      <c r="AW9" s="386"/>
      <c r="AX9" s="386"/>
      <c r="AY9" s="386"/>
      <c r="AZ9" s="386"/>
      <c r="BA9" s="387"/>
      <c r="BB9" s="386"/>
      <c r="BC9" s="386"/>
      <c r="BD9" s="386"/>
      <c r="BE9" s="386"/>
      <c r="BF9" s="387"/>
      <c r="BG9" s="410"/>
      <c r="BH9" s="410"/>
      <c r="BI9" s="410"/>
      <c r="BJ9" s="410"/>
      <c r="BK9" s="387"/>
      <c r="BL9" s="413"/>
      <c r="BM9" s="413"/>
      <c r="BN9" s="413"/>
      <c r="BO9" s="413"/>
      <c r="BP9" s="387"/>
      <c r="BQ9" s="1553">
        <f>Income!BQ108</f>
        <v>0</v>
      </c>
      <c r="BR9" s="1553">
        <f>Income!BR108</f>
        <v>0</v>
      </c>
      <c r="BS9" s="1553">
        <f>Income!BS108</f>
        <v>0</v>
      </c>
      <c r="BT9" s="1553">
        <f>Income!BT108</f>
        <v>0</v>
      </c>
      <c r="BU9" s="387">
        <f t="shared" si="0"/>
        <v>0</v>
      </c>
      <c r="BV9" s="1553">
        <f>Income!BV108</f>
        <v>0</v>
      </c>
      <c r="BW9" s="1553">
        <f>Income!BW108</f>
        <v>0</v>
      </c>
      <c r="BX9" s="1553">
        <f>Income!BX108</f>
        <v>0</v>
      </c>
      <c r="BY9" s="1553">
        <f>Income!BY108</f>
        <v>0</v>
      </c>
      <c r="BZ9" s="387">
        <f t="shared" si="1"/>
        <v>0</v>
      </c>
      <c r="CA9" s="1553">
        <f>Income!CA108</f>
        <v>0</v>
      </c>
      <c r="CB9" s="1553">
        <f>Income!CB108</f>
        <v>0</v>
      </c>
      <c r="CC9" s="1553">
        <f>Income!CC108</f>
        <v>0</v>
      </c>
      <c r="CD9" s="1553">
        <f>Income!CD108</f>
        <v>0</v>
      </c>
      <c r="CE9" s="387">
        <f t="shared" si="2"/>
        <v>0</v>
      </c>
      <c r="CF9" s="1553">
        <f>Income!CF108</f>
        <v>0</v>
      </c>
      <c r="CG9" s="1553">
        <f>Income!CG108</f>
        <v>0</v>
      </c>
      <c r="CH9" s="1553">
        <f>Income!CH108</f>
        <v>1.2410000000000001</v>
      </c>
      <c r="CI9" s="1553">
        <f>Income!CI108</f>
        <v>1.4470000000000001</v>
      </c>
      <c r="CJ9" s="387">
        <f t="shared" si="3"/>
        <v>2.6880000000000002</v>
      </c>
      <c r="CK9" s="1553">
        <f>Income!CK108</f>
        <v>1.6830000000000001</v>
      </c>
      <c r="CL9" s="1553">
        <f>Income!CL108</f>
        <v>1.5880000000000001</v>
      </c>
      <c r="CM9" s="1553">
        <f>Income!CM108</f>
        <v>1.7070000000000001</v>
      </c>
      <c r="CN9" s="1553">
        <f>Income!CN108</f>
        <v>5.1610000000000005</v>
      </c>
      <c r="CO9" s="387">
        <f t="shared" si="4"/>
        <v>10.138999999999999</v>
      </c>
      <c r="CP9" s="1553">
        <f>Income!CP108</f>
        <v>6.0149999999999997</v>
      </c>
      <c r="CQ9" s="1553">
        <f>Income!CQ108</f>
        <v>5.3019999999999996</v>
      </c>
      <c r="CR9" s="1553">
        <f>Income!CR108</f>
        <v>4.9769999999999994</v>
      </c>
      <c r="CS9" s="1553">
        <f>Income!CS108</f>
        <v>4.9750000000000005</v>
      </c>
      <c r="CT9" s="387">
        <f t="shared" si="5"/>
        <v>21.269000000000002</v>
      </c>
      <c r="CU9" s="1553">
        <f>Income!CU108</f>
        <v>4.9749999999999996</v>
      </c>
      <c r="CV9" s="1553">
        <f>Income!CV108</f>
        <v>4.8159999999999998</v>
      </c>
      <c r="CW9" s="1553">
        <f>Income!CW108</f>
        <v>5.9799999999999995</v>
      </c>
      <c r="CX9" s="1553">
        <f>Income!CX108</f>
        <v>6.3780000000000001</v>
      </c>
      <c r="CY9" s="387">
        <f t="shared" si="6"/>
        <v>22.149000000000001</v>
      </c>
      <c r="CZ9" s="1553">
        <f>Income!CZ108</f>
        <v>6.6959999999999997</v>
      </c>
      <c r="DA9" s="1553">
        <f>Income!DA108</f>
        <v>7.3260000000000005</v>
      </c>
      <c r="DB9" s="1553">
        <f>Income!DB108</f>
        <v>19.157999999999998</v>
      </c>
      <c r="DC9" s="1553">
        <f>Income!DC108</f>
        <v>20.522000000000002</v>
      </c>
      <c r="DD9" s="387">
        <f t="shared" si="7"/>
        <v>53.701999999999998</v>
      </c>
      <c r="DE9" s="1553">
        <f>Income!DE108</f>
        <v>21</v>
      </c>
      <c r="DF9" s="1553">
        <f>Income!DF108</f>
        <v>9</v>
      </c>
      <c r="DG9" s="1553">
        <f>Income!DG108</f>
        <v>4</v>
      </c>
      <c r="DH9" s="1553">
        <f>Income!DH108</f>
        <v>4</v>
      </c>
      <c r="DI9" s="387">
        <f t="shared" si="8"/>
        <v>38</v>
      </c>
      <c r="DJ9" s="1553">
        <f>Income!DJ108</f>
        <v>4</v>
      </c>
      <c r="DK9" s="1553">
        <f>Income!DK108</f>
        <v>4</v>
      </c>
      <c r="DL9" s="1553">
        <f>Income!DL108</f>
        <v>4</v>
      </c>
      <c r="DM9" s="1553">
        <f>Income!DM108</f>
        <v>2</v>
      </c>
      <c r="DN9" s="387">
        <f t="shared" si="9"/>
        <v>14</v>
      </c>
      <c r="DO9" s="1553">
        <f>Income!DO108</f>
        <v>3</v>
      </c>
      <c r="DP9" s="1553">
        <f>Income!DP108</f>
        <v>3</v>
      </c>
      <c r="DQ9" s="1553">
        <f>Income!DQ108</f>
        <v>3</v>
      </c>
      <c r="DR9" s="1553">
        <f>Income!DR108</f>
        <v>4</v>
      </c>
      <c r="DS9" s="387">
        <f t="shared" si="10"/>
        <v>13</v>
      </c>
      <c r="DT9" s="1553">
        <f>Income!DT108</f>
        <v>3</v>
      </c>
      <c r="DU9" s="1553">
        <f>Income!DU108</f>
        <v>2</v>
      </c>
      <c r="DV9" s="1553">
        <f>Income!DV108</f>
        <v>1.8544617885210939</v>
      </c>
      <c r="DW9" s="1553">
        <f>Income!DW108</f>
        <v>2.3748809733637501</v>
      </c>
      <c r="DX9" s="387">
        <f t="shared" si="11"/>
        <v>9.229342761884844</v>
      </c>
      <c r="DY9" s="1553">
        <f>Income!DY108</f>
        <v>2.0175607824687503</v>
      </c>
      <c r="DZ9" s="1553">
        <f>Income!DZ108</f>
        <v>2.2708725786067001</v>
      </c>
      <c r="EA9" s="1553">
        <f>Income!EA108</f>
        <v>2.3208379505153101</v>
      </c>
      <c r="EB9" s="1553">
        <f>Income!EB108</f>
        <v>2.9578684892053251</v>
      </c>
      <c r="EC9" s="387">
        <f t="shared" si="12"/>
        <v>9.5671398007960846</v>
      </c>
      <c r="ED9" s="1553">
        <f>Income!ED108</f>
        <v>2.4385530947553953</v>
      </c>
      <c r="EE9" s="1553">
        <f>Income!EE108</f>
        <v>2.7425241893667027</v>
      </c>
      <c r="EF9" s="1553">
        <f>Income!EF108</f>
        <v>2.7993521581851342</v>
      </c>
      <c r="EG9" s="1553">
        <f>Income!EG108</f>
        <v>3.5682266721590636</v>
      </c>
      <c r="EH9" s="387">
        <f t="shared" si="13"/>
        <v>11.548656114466297</v>
      </c>
      <c r="EI9" s="1553">
        <f>Income!EI108</f>
        <v>2.8899274084196542</v>
      </c>
      <c r="EJ9" s="1553">
        <f>Income!EJ108</f>
        <v>3.2506787438100693</v>
      </c>
      <c r="EK9" s="1553">
        <f>Income!EK108</f>
        <v>3.3178414233572258</v>
      </c>
      <c r="EL9" s="1553">
        <f>Income!EL108</f>
        <v>4.2312962225908866</v>
      </c>
      <c r="EM9" s="387">
        <f t="shared" si="14"/>
        <v>13.689743798177837</v>
      </c>
      <c r="EN9" s="1553">
        <f>Income!EN108</f>
        <v>3.3902216525289108</v>
      </c>
      <c r="EO9" s="1553">
        <f>Income!EO108</f>
        <v>3.8134995787109833</v>
      </c>
      <c r="EP9" s="1553">
        <f>Income!EP108</f>
        <v>3.8925382506271973</v>
      </c>
      <c r="EQ9" s="1553">
        <f>Income!EQ108</f>
        <v>4.9646469487442433</v>
      </c>
      <c r="ER9" s="387">
        <f t="shared" si="15"/>
        <v>16.060906430611336</v>
      </c>
      <c r="ES9" s="253"/>
    </row>
    <row r="10" spans="1:149" ht="12" customHeight="1">
      <c r="A10" s="794"/>
      <c r="B10" s="794"/>
      <c r="C10" s="414" t="s">
        <v>28</v>
      </c>
      <c r="D10" s="389"/>
      <c r="E10" s="389"/>
      <c r="F10" s="389"/>
      <c r="G10" s="389"/>
      <c r="H10" s="389"/>
      <c r="I10" s="231"/>
      <c r="J10" s="231"/>
      <c r="K10" s="231"/>
      <c r="L10" s="231"/>
      <c r="M10" s="389"/>
      <c r="N10" s="231"/>
      <c r="O10" s="231"/>
      <c r="P10" s="231"/>
      <c r="Q10" s="231"/>
      <c r="R10" s="389"/>
      <c r="S10" s="231"/>
      <c r="T10" s="231"/>
      <c r="U10" s="231"/>
      <c r="V10" s="231"/>
      <c r="W10" s="389"/>
      <c r="X10" s="231"/>
      <c r="Y10" s="231"/>
      <c r="Z10" s="231"/>
      <c r="AA10" s="231"/>
      <c r="AB10" s="389"/>
      <c r="AC10" s="231"/>
      <c r="AD10" s="231"/>
      <c r="AE10" s="231"/>
      <c r="AF10" s="231"/>
      <c r="AG10" s="389"/>
      <c r="AH10" s="231"/>
      <c r="AI10" s="231"/>
      <c r="AJ10" s="231"/>
      <c r="AK10" s="231"/>
      <c r="AL10" s="389"/>
      <c r="AM10" s="231"/>
      <c r="AN10" s="231"/>
      <c r="AO10" s="231"/>
      <c r="AP10" s="231"/>
      <c r="AQ10" s="389"/>
      <c r="AR10" s="231"/>
      <c r="AS10" s="231"/>
      <c r="AT10" s="231"/>
      <c r="AU10" s="231"/>
      <c r="AV10" s="389"/>
      <c r="AW10" s="231"/>
      <c r="AX10" s="231"/>
      <c r="AY10" s="231"/>
      <c r="AZ10" s="231"/>
      <c r="BA10" s="389"/>
      <c r="BB10" s="231"/>
      <c r="BC10" s="231"/>
      <c r="BD10" s="231"/>
      <c r="BE10" s="231"/>
      <c r="BF10" s="389"/>
      <c r="BG10" s="410"/>
      <c r="BH10" s="410"/>
      <c r="BI10" s="410"/>
      <c r="BJ10" s="410"/>
      <c r="BK10" s="389"/>
      <c r="BL10" s="231"/>
      <c r="BM10" s="231"/>
      <c r="BN10" s="231"/>
      <c r="BO10" s="231"/>
      <c r="BP10" s="389"/>
      <c r="BQ10" s="415">
        <v>1.47</v>
      </c>
      <c r="BR10" s="415">
        <f>3.125-BQ10</f>
        <v>1.655</v>
      </c>
      <c r="BS10" s="415">
        <f>5.034-BR10-BQ10</f>
        <v>1.9089999999999996</v>
      </c>
      <c r="BT10" s="415">
        <f>7.236-SUM(BQ10:BS10)</f>
        <v>2.202</v>
      </c>
      <c r="BU10" s="416">
        <f t="shared" si="0"/>
        <v>7.2359999999999998</v>
      </c>
      <c r="BV10" s="415">
        <v>3.0579999999999998</v>
      </c>
      <c r="BW10" s="415">
        <f>5.834-BV10</f>
        <v>2.7759999999999998</v>
      </c>
      <c r="BX10" s="415">
        <f>9.527-BW10-BV10</f>
        <v>3.6929999999999996</v>
      </c>
      <c r="BY10" s="415">
        <f>13.967-BX10-BW10-BV10</f>
        <v>4.4400000000000013</v>
      </c>
      <c r="BZ10" s="416">
        <f t="shared" si="1"/>
        <v>13.967000000000001</v>
      </c>
      <c r="CA10" s="415">
        <v>4.5339999999999998</v>
      </c>
      <c r="CB10" s="415">
        <f>9.887-CA10</f>
        <v>5.3530000000000006</v>
      </c>
      <c r="CC10" s="415">
        <f>15.624-CB10-CA10</f>
        <v>5.737000000000001</v>
      </c>
      <c r="CD10" s="415">
        <f>23.382-CC10-CB10-CA10</f>
        <v>7.7579999999999982</v>
      </c>
      <c r="CE10" s="416">
        <f t="shared" si="2"/>
        <v>23.382000000000001</v>
      </c>
      <c r="CF10" s="415">
        <v>7.5819999999999999</v>
      </c>
      <c r="CG10" s="415">
        <f>15.008-CF10</f>
        <v>7.4259999999999993</v>
      </c>
      <c r="CH10" s="415">
        <f>21.204-CG10-CF10</f>
        <v>6.1960000000000024</v>
      </c>
      <c r="CI10" s="415">
        <f>27.052-CH10-CG10-CF10</f>
        <v>5.8479999999999999</v>
      </c>
      <c r="CJ10" s="416">
        <f t="shared" si="3"/>
        <v>27.052</v>
      </c>
      <c r="CK10" s="415">
        <v>6.8319999999999999</v>
      </c>
      <c r="CL10" s="415">
        <f>14.207-CK10</f>
        <v>7.3750000000000009</v>
      </c>
      <c r="CM10" s="415">
        <f>22.95-CL10-CK10</f>
        <v>8.7429999999999986</v>
      </c>
      <c r="CN10" s="415">
        <f>35.651-CM10-CL10-CK10</f>
        <v>12.701000000000004</v>
      </c>
      <c r="CO10" s="416">
        <f t="shared" si="4"/>
        <v>35.651000000000003</v>
      </c>
      <c r="CP10" s="415">
        <v>14.366</v>
      </c>
      <c r="CQ10" s="415">
        <f>34.297-CP10</f>
        <v>19.930999999999997</v>
      </c>
      <c r="CR10" s="415">
        <f>52.167-CQ10-CP10</f>
        <v>17.870000000000005</v>
      </c>
      <c r="CS10" s="415">
        <f>70.06-CR10-CQ10-CP10</f>
        <v>17.893000000000001</v>
      </c>
      <c r="CT10" s="416">
        <f t="shared" si="5"/>
        <v>70.06</v>
      </c>
      <c r="CU10" s="415">
        <v>15.8</v>
      </c>
      <c r="CV10" s="415">
        <f>30.463-CU10</f>
        <v>14.663</v>
      </c>
      <c r="CW10" s="415">
        <f>44.067-CV10-CU10</f>
        <v>13.603999999999999</v>
      </c>
      <c r="CX10" s="415">
        <f>66.308-SUM(CU10:CW10)</f>
        <v>22.241000000000007</v>
      </c>
      <c r="CY10" s="416">
        <f t="shared" si="6"/>
        <v>66.308000000000007</v>
      </c>
      <c r="CZ10" s="415">
        <v>16.670000000000002</v>
      </c>
      <c r="DA10" s="415">
        <f>33.073-CZ10</f>
        <v>16.402999999999999</v>
      </c>
      <c r="DB10" s="415">
        <f>60.698-DA10-CZ10</f>
        <v>27.625</v>
      </c>
      <c r="DC10" s="415">
        <f>90.52-DB10-DA10-CZ10</f>
        <v>29.821999999999996</v>
      </c>
      <c r="DD10" s="416">
        <f t="shared" si="7"/>
        <v>90.52</v>
      </c>
      <c r="DE10" s="415">
        <v>29</v>
      </c>
      <c r="DF10" s="415">
        <v>17</v>
      </c>
      <c r="DG10" s="415">
        <v>13</v>
      </c>
      <c r="DH10" s="415">
        <v>10</v>
      </c>
      <c r="DI10" s="416">
        <f t="shared" si="8"/>
        <v>69</v>
      </c>
      <c r="DJ10" s="415">
        <v>10</v>
      </c>
      <c r="DK10" s="415">
        <v>10</v>
      </c>
      <c r="DL10" s="415">
        <v>8</v>
      </c>
      <c r="DM10" s="415">
        <v>8</v>
      </c>
      <c r="DN10" s="416">
        <f t="shared" si="9"/>
        <v>36</v>
      </c>
      <c r="DO10" s="415">
        <v>8</v>
      </c>
      <c r="DP10" s="415">
        <v>8</v>
      </c>
      <c r="DQ10" s="415">
        <v>8</v>
      </c>
      <c r="DR10" s="415">
        <v>7</v>
      </c>
      <c r="DS10" s="416">
        <f t="shared" si="10"/>
        <v>31</v>
      </c>
      <c r="DT10" s="415">
        <v>7</v>
      </c>
      <c r="DU10" s="415">
        <v>7</v>
      </c>
      <c r="DV10" s="417">
        <f>SUM(DV8:DV9)</f>
        <v>6.8544617885210943</v>
      </c>
      <c r="DW10" s="417">
        <f>SUM(DW8:DW9)</f>
        <v>7.3748809733637497</v>
      </c>
      <c r="DX10" s="416">
        <f t="shared" si="11"/>
        <v>28.229342761884844</v>
      </c>
      <c r="DY10" s="417">
        <f>SUM(DY8:DY9)</f>
        <v>6.0175607824687507</v>
      </c>
      <c r="DZ10" s="417">
        <f>SUM(DZ8:DZ9)</f>
        <v>6.2708725786067001</v>
      </c>
      <c r="EA10" s="417">
        <f>SUM(EA8:EA9)</f>
        <v>6.3208379505153101</v>
      </c>
      <c r="EB10" s="417">
        <f>SUM(EB8:EB9)</f>
        <v>6.9578684892053246</v>
      </c>
      <c r="EC10" s="416">
        <f t="shared" si="12"/>
        <v>25.567139800796085</v>
      </c>
      <c r="ED10" s="417">
        <f>SUM(ED8:ED9)</f>
        <v>6.4385530947553953</v>
      </c>
      <c r="EE10" s="417">
        <f>SUM(EE8:EE9)</f>
        <v>6.7425241893667032</v>
      </c>
      <c r="EF10" s="417">
        <f>SUM(EF8:EF9)</f>
        <v>6.7993521581851342</v>
      </c>
      <c r="EG10" s="417">
        <f>SUM(EG8:EG9)</f>
        <v>7.5682266721590636</v>
      </c>
      <c r="EH10" s="416">
        <f t="shared" si="13"/>
        <v>27.548656114466297</v>
      </c>
      <c r="EI10" s="417">
        <f>SUM(EI8:EI9)</f>
        <v>6.8899274084196538</v>
      </c>
      <c r="EJ10" s="417">
        <f>SUM(EJ8:EJ9)</f>
        <v>7.2506787438100693</v>
      </c>
      <c r="EK10" s="417">
        <f>SUM(EK8:EK9)</f>
        <v>7.3178414233572262</v>
      </c>
      <c r="EL10" s="417">
        <f>SUM(EL8:EL9)</f>
        <v>8.2312962225908866</v>
      </c>
      <c r="EM10" s="416">
        <f t="shared" si="14"/>
        <v>29.689743798177837</v>
      </c>
      <c r="EN10" s="417">
        <f>SUM(EN8:EN9)</f>
        <v>7.3902216525289113</v>
      </c>
      <c r="EO10" s="417">
        <f>SUM(EO8:EO9)</f>
        <v>7.8134995787109833</v>
      </c>
      <c r="EP10" s="417">
        <f>SUM(EP8:EP9)</f>
        <v>7.8925382506271973</v>
      </c>
      <c r="EQ10" s="417">
        <f>SUM(EQ8:EQ9)</f>
        <v>8.9646469487442424</v>
      </c>
      <c r="ER10" s="416">
        <f t="shared" si="15"/>
        <v>32.06090643061134</v>
      </c>
      <c r="ES10" s="275"/>
    </row>
    <row r="11" spans="1:149" ht="12" customHeight="1">
      <c r="A11" s="794" t="s">
        <v>500</v>
      </c>
      <c r="B11" s="794"/>
      <c r="C11" s="265" t="s">
        <v>739</v>
      </c>
      <c r="D11" s="380"/>
      <c r="E11" s="380"/>
      <c r="F11" s="380"/>
      <c r="G11" s="380"/>
      <c r="H11" s="380"/>
      <c r="I11" s="160"/>
      <c r="J11" s="160"/>
      <c r="K11" s="160"/>
      <c r="L11" s="160"/>
      <c r="M11" s="380"/>
      <c r="N11" s="160"/>
      <c r="O11" s="160"/>
      <c r="P11" s="160"/>
      <c r="Q11" s="160"/>
      <c r="R11" s="380"/>
      <c r="S11" s="160"/>
      <c r="T11" s="160"/>
      <c r="U11" s="160"/>
      <c r="V11" s="160"/>
      <c r="W11" s="380"/>
      <c r="X11" s="160"/>
      <c r="Y11" s="160"/>
      <c r="Z11" s="160"/>
      <c r="AA11" s="160"/>
      <c r="AB11" s="380"/>
      <c r="AC11" s="160"/>
      <c r="AD11" s="160"/>
      <c r="AE11" s="160"/>
      <c r="AF11" s="160"/>
      <c r="AG11" s="380"/>
      <c r="AH11" s="160"/>
      <c r="AI11" s="160"/>
      <c r="AJ11" s="160"/>
      <c r="AK11" s="160"/>
      <c r="AL11" s="380"/>
      <c r="AM11" s="160"/>
      <c r="AN11" s="160"/>
      <c r="AO11" s="160"/>
      <c r="AP11" s="160"/>
      <c r="AQ11" s="380"/>
      <c r="AR11" s="160"/>
      <c r="AS11" s="160"/>
      <c r="AT11" s="160"/>
      <c r="AU11" s="160"/>
      <c r="AV11" s="380"/>
      <c r="AW11" s="160"/>
      <c r="AX11" s="160"/>
      <c r="AY11" s="160"/>
      <c r="AZ11" s="160"/>
      <c r="BA11" s="380"/>
      <c r="BB11" s="160"/>
      <c r="BC11" s="160"/>
      <c r="BD11" s="160"/>
      <c r="BE11" s="160"/>
      <c r="BF11" s="380"/>
      <c r="BG11" s="410"/>
      <c r="BH11" s="410"/>
      <c r="BI11" s="410"/>
      <c r="BJ11" s="410"/>
      <c r="BK11" s="380"/>
      <c r="BL11" s="160"/>
      <c r="BM11" s="160"/>
      <c r="BN11" s="160"/>
      <c r="BO11" s="160"/>
      <c r="BP11" s="380"/>
      <c r="BQ11" s="120">
        <f>Income!BQ86</f>
        <v>1.44</v>
      </c>
      <c r="BR11" s="120">
        <f>Income!BR86</f>
        <v>1.5710000000000002</v>
      </c>
      <c r="BS11" s="120">
        <f>Income!BS86</f>
        <v>2.2680000000000002</v>
      </c>
      <c r="BT11" s="120">
        <f>Income!BT86</f>
        <v>2.879</v>
      </c>
      <c r="BU11" s="257">
        <f t="shared" si="0"/>
        <v>8.1579999999999995</v>
      </c>
      <c r="BV11" s="120">
        <f>Income!BV86</f>
        <v>3.46</v>
      </c>
      <c r="BW11" s="120">
        <f>Income!BW86</f>
        <v>5.0860000000000003</v>
      </c>
      <c r="BX11" s="120">
        <f>Income!BX86</f>
        <v>6.4870000000000001</v>
      </c>
      <c r="BY11" s="120">
        <f>Income!BY86</f>
        <v>8.0620000000000012</v>
      </c>
      <c r="BZ11" s="257">
        <f t="shared" si="1"/>
        <v>23.094999999999999</v>
      </c>
      <c r="CA11" s="120">
        <f>Income!CA86</f>
        <v>9.2070000000000007</v>
      </c>
      <c r="CB11" s="120">
        <f>Income!CB86</f>
        <v>11.600999999999999</v>
      </c>
      <c r="CC11" s="120">
        <f>Income!CC86</f>
        <v>13.376000000000001</v>
      </c>
      <c r="CD11" s="120">
        <f>Income!CD86</f>
        <v>14.978</v>
      </c>
      <c r="CE11" s="257">
        <f t="shared" si="2"/>
        <v>49.161999999999999</v>
      </c>
      <c r="CF11" s="120">
        <f>Income!CF86</f>
        <v>17.925000000000001</v>
      </c>
      <c r="CG11" s="120">
        <f>Income!CG86</f>
        <v>24.191000000000003</v>
      </c>
      <c r="CH11" s="120">
        <f>Income!CH86</f>
        <v>26.185000000000002</v>
      </c>
      <c r="CI11" s="120">
        <f>Income!CI86</f>
        <v>27.419</v>
      </c>
      <c r="CJ11" s="257">
        <f t="shared" si="3"/>
        <v>95.72</v>
      </c>
      <c r="CK11" s="120">
        <f>Income!CK86</f>
        <v>31.163999999999998</v>
      </c>
      <c r="CL11" s="120">
        <f>Income!CL86</f>
        <v>39.268000000000001</v>
      </c>
      <c r="CM11" s="120">
        <f>Income!CM86</f>
        <v>40.032000000000004</v>
      </c>
      <c r="CN11" s="120">
        <f>Income!CN86</f>
        <v>47.991999999999997</v>
      </c>
      <c r="CO11" s="257">
        <f t="shared" si="4"/>
        <v>158.45599999999999</v>
      </c>
      <c r="CP11" s="120">
        <f>Income!CP86</f>
        <v>53.752000000000002</v>
      </c>
      <c r="CQ11" s="120">
        <f>Income!CQ86</f>
        <v>62.323999999999998</v>
      </c>
      <c r="CR11" s="120">
        <f>Income!CR86</f>
        <v>63.806999999999988</v>
      </c>
      <c r="CS11" s="120">
        <f>Income!CS86</f>
        <v>67.057000000000002</v>
      </c>
      <c r="CT11" s="257">
        <f t="shared" si="5"/>
        <v>246.94</v>
      </c>
      <c r="CU11" s="120">
        <f>Income!CU86</f>
        <v>69.156000000000006</v>
      </c>
      <c r="CV11" s="120">
        <f>Income!CV86</f>
        <v>81.957999999999998</v>
      </c>
      <c r="CW11" s="120">
        <f>Income!CW86</f>
        <v>81.34</v>
      </c>
      <c r="CX11" s="120">
        <f>Income!CX86</f>
        <v>98.314300000000003</v>
      </c>
      <c r="CY11" s="257">
        <f t="shared" si="6"/>
        <v>330.76830000000001</v>
      </c>
      <c r="CZ11" s="120">
        <f>Income!CZ86</f>
        <v>117.98899999999999</v>
      </c>
      <c r="DA11" s="120">
        <f>Income!DA86</f>
        <v>139.41900000000001</v>
      </c>
      <c r="DB11" s="120">
        <f>Income!DB86</f>
        <v>149.98999999999998</v>
      </c>
      <c r="DC11" s="120">
        <f>Income!DC86</f>
        <v>141.744</v>
      </c>
      <c r="DD11" s="257">
        <f t="shared" si="7"/>
        <v>549.14200000000005</v>
      </c>
      <c r="DE11" s="120">
        <f>Income!DE86</f>
        <v>135</v>
      </c>
      <c r="DF11" s="239">
        <v>280</v>
      </c>
      <c r="DG11" s="239">
        <v>102</v>
      </c>
      <c r="DH11" s="239">
        <v>98</v>
      </c>
      <c r="DI11" s="257">
        <f t="shared" si="8"/>
        <v>615</v>
      </c>
      <c r="DJ11" s="239">
        <v>105</v>
      </c>
      <c r="DK11" s="239">
        <v>106</v>
      </c>
      <c r="DL11" s="239">
        <v>110</v>
      </c>
      <c r="DM11" s="239">
        <v>109</v>
      </c>
      <c r="DN11" s="257">
        <f t="shared" si="9"/>
        <v>430</v>
      </c>
      <c r="DO11" s="239">
        <v>114</v>
      </c>
      <c r="DP11" s="239">
        <v>113</v>
      </c>
      <c r="DQ11" s="239">
        <v>107</v>
      </c>
      <c r="DR11" s="239">
        <v>115</v>
      </c>
      <c r="DS11" s="257">
        <f t="shared" si="10"/>
        <v>449</v>
      </c>
      <c r="DT11" s="239">
        <v>132</v>
      </c>
      <c r="DU11" s="239">
        <v>128</v>
      </c>
      <c r="DV11" s="120">
        <f>Income!DV86</f>
        <v>147.06481879190784</v>
      </c>
      <c r="DW11" s="120">
        <f>Income!DW86</f>
        <v>187.95915266181763</v>
      </c>
      <c r="DX11" s="257">
        <f t="shared" si="11"/>
        <v>595.02397145372549</v>
      </c>
      <c r="DY11" s="120">
        <f>Income!DY86</f>
        <v>152.89228358629512</v>
      </c>
      <c r="DZ11" s="120">
        <f>Income!DZ86</f>
        <v>145.21891062090612</v>
      </c>
      <c r="EA11" s="120">
        <f>Income!EA86</f>
        <v>166.64367248031317</v>
      </c>
      <c r="EB11" s="120">
        <f>Income!EB86</f>
        <v>211.9154890646366</v>
      </c>
      <c r="EC11" s="257">
        <f t="shared" si="12"/>
        <v>676.67035575215107</v>
      </c>
      <c r="ED11" s="120">
        <f>Income!ED86</f>
        <v>162.35902933138379</v>
      </c>
      <c r="EE11" s="120">
        <f>Income!EE86</f>
        <v>164.05197039640046</v>
      </c>
      <c r="EF11" s="120">
        <f>Income!EF86</f>
        <v>142.87720178393857</v>
      </c>
      <c r="EG11" s="120">
        <f>Income!EG86</f>
        <v>155.79701685564225</v>
      </c>
      <c r="EH11" s="257">
        <f t="shared" si="13"/>
        <v>625.08521836736509</v>
      </c>
      <c r="EI11" s="120">
        <f>Income!EI86</f>
        <v>192.4115615437282</v>
      </c>
      <c r="EJ11" s="120">
        <f>Income!EJ86</f>
        <v>194.44869624682568</v>
      </c>
      <c r="EK11" s="120">
        <f>Income!EK86</f>
        <v>169.34057301295408</v>
      </c>
      <c r="EL11" s="120">
        <f>Income!EL86</f>
        <v>184.74816469922433</v>
      </c>
      <c r="EM11" s="257">
        <f t="shared" si="14"/>
        <v>740.94899550273226</v>
      </c>
      <c r="EN11" s="120">
        <f>Income!EN86</f>
        <v>225.72118602078109</v>
      </c>
      <c r="EO11" s="120">
        <f>Income!EO86</f>
        <v>228.11544285333903</v>
      </c>
      <c r="EP11" s="120">
        <f>Income!EP86</f>
        <v>198.67274342758134</v>
      </c>
      <c r="EQ11" s="120">
        <f>Income!EQ86</f>
        <v>216.76795097992022</v>
      </c>
      <c r="ER11" s="257">
        <f t="shared" si="15"/>
        <v>869.27732328162165</v>
      </c>
      <c r="ES11" s="253"/>
    </row>
    <row r="12" spans="1:149" ht="12" customHeight="1">
      <c r="A12" s="794"/>
      <c r="B12" s="794"/>
      <c r="C12" s="265" t="s">
        <v>373</v>
      </c>
      <c r="D12" s="380"/>
      <c r="E12" s="380"/>
      <c r="F12" s="380"/>
      <c r="G12" s="380"/>
      <c r="H12" s="380"/>
      <c r="I12" s="160"/>
      <c r="J12" s="160"/>
      <c r="K12" s="160"/>
      <c r="L12" s="160"/>
      <c r="M12" s="380"/>
      <c r="N12" s="160"/>
      <c r="O12" s="160"/>
      <c r="P12" s="160"/>
      <c r="Q12" s="160"/>
      <c r="R12" s="380"/>
      <c r="S12" s="160"/>
      <c r="T12" s="160"/>
      <c r="U12" s="160"/>
      <c r="V12" s="160"/>
      <c r="W12" s="380"/>
      <c r="X12" s="160"/>
      <c r="Y12" s="160"/>
      <c r="Z12" s="160"/>
      <c r="AA12" s="160"/>
      <c r="AB12" s="380"/>
      <c r="AC12" s="160"/>
      <c r="AD12" s="160"/>
      <c r="AE12" s="160"/>
      <c r="AF12" s="160"/>
      <c r="AG12" s="380"/>
      <c r="AH12" s="160"/>
      <c r="AI12" s="160"/>
      <c r="AJ12" s="160"/>
      <c r="AK12" s="160"/>
      <c r="AL12" s="380"/>
      <c r="AM12" s="160"/>
      <c r="AN12" s="160"/>
      <c r="AO12" s="160"/>
      <c r="AP12" s="160"/>
      <c r="AQ12" s="380"/>
      <c r="AR12" s="160"/>
      <c r="AS12" s="160"/>
      <c r="AT12" s="160"/>
      <c r="AU12" s="160"/>
      <c r="AV12" s="380"/>
      <c r="AW12" s="160"/>
      <c r="AX12" s="160"/>
      <c r="AY12" s="160"/>
      <c r="AZ12" s="160"/>
      <c r="BA12" s="380"/>
      <c r="BB12" s="160"/>
      <c r="BC12" s="160"/>
      <c r="BD12" s="160"/>
      <c r="BE12" s="160"/>
      <c r="BF12" s="380"/>
      <c r="BG12" s="410"/>
      <c r="BH12" s="410"/>
      <c r="BI12" s="410"/>
      <c r="BJ12" s="410"/>
      <c r="BK12" s="380"/>
      <c r="BL12" s="160"/>
      <c r="BM12" s="160"/>
      <c r="BN12" s="160"/>
      <c r="BO12" s="160"/>
      <c r="BP12" s="380"/>
      <c r="BQ12" s="239">
        <v>0</v>
      </c>
      <c r="BR12" s="239">
        <v>0</v>
      </c>
      <c r="BS12" s="239">
        <v>0</v>
      </c>
      <c r="BT12" s="239">
        <v>0</v>
      </c>
      <c r="BU12" s="257">
        <f t="shared" ref="BU12" si="16">SUM(BQ12:BT12)</f>
        <v>0</v>
      </c>
      <c r="BV12" s="239">
        <v>0</v>
      </c>
      <c r="BW12" s="239">
        <v>0</v>
      </c>
      <c r="BX12" s="239">
        <v>0</v>
      </c>
      <c r="BY12" s="239">
        <v>0</v>
      </c>
      <c r="BZ12" s="257">
        <f t="shared" si="1"/>
        <v>0</v>
      </c>
      <c r="CA12" s="239">
        <v>0</v>
      </c>
      <c r="CB12" s="239">
        <v>0</v>
      </c>
      <c r="CC12" s="239">
        <v>0</v>
      </c>
      <c r="CD12" s="239">
        <v>0</v>
      </c>
      <c r="CE12" s="257">
        <f t="shared" si="2"/>
        <v>0</v>
      </c>
      <c r="CF12" s="239">
        <v>0</v>
      </c>
      <c r="CG12" s="239">
        <v>0</v>
      </c>
      <c r="CH12" s="239">
        <v>0</v>
      </c>
      <c r="CI12" s="239">
        <v>0</v>
      </c>
      <c r="CJ12" s="257">
        <f t="shared" si="3"/>
        <v>0</v>
      </c>
      <c r="CK12" s="239">
        <v>0</v>
      </c>
      <c r="CL12" s="239">
        <v>0</v>
      </c>
      <c r="CM12" s="239">
        <v>0</v>
      </c>
      <c r="CN12" s="239">
        <v>0</v>
      </c>
      <c r="CO12" s="257">
        <f t="shared" si="4"/>
        <v>0</v>
      </c>
      <c r="CP12" s="239">
        <v>0</v>
      </c>
      <c r="CQ12" s="239">
        <v>0</v>
      </c>
      <c r="CR12" s="239">
        <v>0</v>
      </c>
      <c r="CS12" s="239">
        <v>0</v>
      </c>
      <c r="CT12" s="257">
        <f t="shared" si="5"/>
        <v>0</v>
      </c>
      <c r="CU12" s="239">
        <v>0</v>
      </c>
      <c r="CV12" s="239">
        <v>0</v>
      </c>
      <c r="CW12" s="239">
        <v>0</v>
      </c>
      <c r="CX12" s="239">
        <v>0</v>
      </c>
      <c r="CY12" s="257">
        <f t="shared" si="6"/>
        <v>0</v>
      </c>
      <c r="CZ12" s="239">
        <v>0</v>
      </c>
      <c r="DA12" s="239">
        <v>0</v>
      </c>
      <c r="DB12" s="239">
        <v>0</v>
      </c>
      <c r="DC12" s="239">
        <v>0</v>
      </c>
      <c r="DD12" s="257">
        <f t="shared" si="7"/>
        <v>0</v>
      </c>
      <c r="DE12" s="239">
        <v>0</v>
      </c>
      <c r="DF12" s="239">
        <v>0</v>
      </c>
      <c r="DG12" s="239">
        <v>0</v>
      </c>
      <c r="DH12" s="239">
        <v>0</v>
      </c>
      <c r="DI12" s="257">
        <f t="shared" si="8"/>
        <v>0</v>
      </c>
      <c r="DJ12" s="239">
        <v>0</v>
      </c>
      <c r="DK12" s="239">
        <v>26</v>
      </c>
      <c r="DL12" s="239">
        <v>42</v>
      </c>
      <c r="DM12" s="239">
        <v>52</v>
      </c>
      <c r="DN12" s="257">
        <f t="shared" si="9"/>
        <v>120</v>
      </c>
      <c r="DO12" s="239">
        <v>43</v>
      </c>
      <c r="DP12" s="239">
        <v>44</v>
      </c>
      <c r="DQ12" s="239">
        <v>102</v>
      </c>
      <c r="DR12" s="239">
        <v>41</v>
      </c>
      <c r="DS12" s="257">
        <f t="shared" si="10"/>
        <v>230</v>
      </c>
      <c r="DT12" s="239">
        <v>48</v>
      </c>
      <c r="DU12" s="239">
        <v>94</v>
      </c>
      <c r="DV12" s="281">
        <f>DU12*1.04</f>
        <v>97.76</v>
      </c>
      <c r="DW12" s="281">
        <f>DV12*1.1</f>
        <v>107.53600000000002</v>
      </c>
      <c r="DX12" s="257">
        <f t="shared" si="11"/>
        <v>347.29599999999999</v>
      </c>
      <c r="DY12" s="281">
        <f>DW12*0.98</f>
        <v>105.38528000000001</v>
      </c>
      <c r="DZ12" s="281">
        <f>DY12*1.04</f>
        <v>109.60069120000001</v>
      </c>
      <c r="EA12" s="281">
        <f>DZ12*1.04</f>
        <v>113.98471884800001</v>
      </c>
      <c r="EB12" s="281">
        <f>EA12*1.1</f>
        <v>125.38319073280003</v>
      </c>
      <c r="EC12" s="257">
        <f t="shared" si="12"/>
        <v>454.35388078080007</v>
      </c>
      <c r="ED12" s="281">
        <f>EB12*0.98</f>
        <v>122.87552691814403</v>
      </c>
      <c r="EE12" s="281">
        <f>ED12*1.04</f>
        <v>127.7905479948698</v>
      </c>
      <c r="EF12" s="281">
        <f>EE12*1.04</f>
        <v>132.9021699146646</v>
      </c>
      <c r="EG12" s="281">
        <f>EF12*1.1</f>
        <v>146.19238690613108</v>
      </c>
      <c r="EH12" s="257">
        <f t="shared" si="13"/>
        <v>529.76063173380953</v>
      </c>
      <c r="EI12" s="281">
        <f>EG12*0.98</f>
        <v>143.26853916800846</v>
      </c>
      <c r="EJ12" s="281">
        <f>EI12*1.04</f>
        <v>148.99928073472881</v>
      </c>
      <c r="EK12" s="281">
        <f>EJ12*1.04</f>
        <v>154.95925196411798</v>
      </c>
      <c r="EL12" s="281">
        <f>EK12*1.1</f>
        <v>170.45517716052979</v>
      </c>
      <c r="EM12" s="257">
        <f t="shared" si="14"/>
        <v>617.68224902738507</v>
      </c>
      <c r="EN12" s="281">
        <f>EL12*0.98</f>
        <v>167.04607361731919</v>
      </c>
      <c r="EO12" s="281">
        <f>EN12*1.04</f>
        <v>173.72791656201196</v>
      </c>
      <c r="EP12" s="281">
        <f>EO12*1.04</f>
        <v>180.67703322449245</v>
      </c>
      <c r="EQ12" s="281">
        <f>EP12*1.1</f>
        <v>198.74473654694171</v>
      </c>
      <c r="ER12" s="257">
        <f t="shared" si="15"/>
        <v>720.19575995076525</v>
      </c>
      <c r="ES12" s="253"/>
    </row>
    <row r="13" spans="1:149" ht="12" customHeight="1">
      <c r="A13" s="794"/>
      <c r="B13" s="794"/>
      <c r="C13" s="265" t="s">
        <v>228</v>
      </c>
      <c r="D13" s="380"/>
      <c r="E13" s="380"/>
      <c r="F13" s="380"/>
      <c r="G13" s="380"/>
      <c r="H13" s="380"/>
      <c r="I13" s="160"/>
      <c r="J13" s="160"/>
      <c r="K13" s="160"/>
      <c r="L13" s="160"/>
      <c r="M13" s="380"/>
      <c r="N13" s="160"/>
      <c r="O13" s="160"/>
      <c r="P13" s="160"/>
      <c r="Q13" s="160"/>
      <c r="R13" s="380"/>
      <c r="S13" s="160"/>
      <c r="T13" s="160"/>
      <c r="U13" s="160"/>
      <c r="V13" s="160"/>
      <c r="W13" s="380"/>
      <c r="X13" s="160"/>
      <c r="Y13" s="160"/>
      <c r="Z13" s="160"/>
      <c r="AA13" s="160"/>
      <c r="AB13" s="380"/>
      <c r="AC13" s="160"/>
      <c r="AD13" s="160"/>
      <c r="AE13" s="160"/>
      <c r="AF13" s="160"/>
      <c r="AG13" s="380"/>
      <c r="AH13" s="160"/>
      <c r="AI13" s="160"/>
      <c r="AJ13" s="160"/>
      <c r="AK13" s="160"/>
      <c r="AL13" s="380"/>
      <c r="AM13" s="160"/>
      <c r="AN13" s="160"/>
      <c r="AO13" s="160"/>
      <c r="AP13" s="160"/>
      <c r="AQ13" s="380"/>
      <c r="AR13" s="160"/>
      <c r="AS13" s="160"/>
      <c r="AT13" s="160"/>
      <c r="AU13" s="160"/>
      <c r="AV13" s="380"/>
      <c r="AW13" s="160"/>
      <c r="AX13" s="160"/>
      <c r="AY13" s="160"/>
      <c r="AZ13" s="160"/>
      <c r="BA13" s="380"/>
      <c r="BB13" s="160"/>
      <c r="BC13" s="160"/>
      <c r="BD13" s="160"/>
      <c r="BE13" s="160"/>
      <c r="BF13" s="315"/>
      <c r="BG13" s="410"/>
      <c r="BH13" s="410"/>
      <c r="BI13" s="410"/>
      <c r="BJ13" s="410"/>
      <c r="BK13" s="315"/>
      <c r="BL13" s="316"/>
      <c r="BM13" s="316"/>
      <c r="BN13" s="316"/>
      <c r="BO13" s="316"/>
      <c r="BP13" s="380"/>
      <c r="BQ13" s="316">
        <v>0</v>
      </c>
      <c r="BR13" s="316">
        <v>0</v>
      </c>
      <c r="BS13" s="239">
        <v>0</v>
      </c>
      <c r="BT13" s="239">
        <v>0</v>
      </c>
      <c r="BU13" s="257">
        <f t="shared" si="0"/>
        <v>0</v>
      </c>
      <c r="BV13" s="316">
        <v>0</v>
      </c>
      <c r="BW13" s="316">
        <v>0</v>
      </c>
      <c r="BX13" s="239">
        <f>0-BW13-BV13</f>
        <v>0</v>
      </c>
      <c r="BY13" s="239">
        <v>0</v>
      </c>
      <c r="BZ13" s="257">
        <f t="shared" si="1"/>
        <v>0</v>
      </c>
      <c r="CA13" s="316">
        <v>0</v>
      </c>
      <c r="CB13" s="316">
        <f>0-CA13</f>
        <v>0</v>
      </c>
      <c r="CC13" s="239">
        <f>0-CB13-CA13</f>
        <v>0</v>
      </c>
      <c r="CD13" s="239">
        <v>0</v>
      </c>
      <c r="CE13" s="257">
        <f t="shared" si="2"/>
        <v>0</v>
      </c>
      <c r="CF13" s="316">
        <v>0</v>
      </c>
      <c r="CG13" s="316">
        <v>0</v>
      </c>
      <c r="CH13" s="239">
        <f>0-CG13-CF13</f>
        <v>0</v>
      </c>
      <c r="CI13" s="239">
        <v>0</v>
      </c>
      <c r="CJ13" s="257">
        <f t="shared" si="3"/>
        <v>0</v>
      </c>
      <c r="CK13" s="239">
        <v>0</v>
      </c>
      <c r="CL13" s="239">
        <f>0-CK13</f>
        <v>0</v>
      </c>
      <c r="CM13" s="239">
        <f>-15.295-CL13-CK13</f>
        <v>-15.295</v>
      </c>
      <c r="CN13" s="239">
        <f>-37.918-CM13-CL13-CK13</f>
        <v>-22.622999999999998</v>
      </c>
      <c r="CO13" s="257">
        <f t="shared" si="4"/>
        <v>-37.917999999999999</v>
      </c>
      <c r="CP13" s="239">
        <v>-6.6429999999999998</v>
      </c>
      <c r="CQ13" s="239">
        <f>-13.728-CP13</f>
        <v>-7.085</v>
      </c>
      <c r="CR13" s="239">
        <f>5.598-CQ13-CP13</f>
        <v>19.326000000000001</v>
      </c>
      <c r="CS13" s="239">
        <f>-41.998-CR13-CQ13-CP13</f>
        <v>-47.595999999999997</v>
      </c>
      <c r="CT13" s="257">
        <f t="shared" si="5"/>
        <v>-41.997999999999998</v>
      </c>
      <c r="CU13" s="239">
        <v>100.95399999999999</v>
      </c>
      <c r="CV13" s="239">
        <f>128.344-CU13</f>
        <v>27.39</v>
      </c>
      <c r="CW13" s="239">
        <f>306.849-CV13-CU13</f>
        <v>178.505</v>
      </c>
      <c r="CX13" s="239">
        <f>190.963-SUM(CU13:CW13)</f>
        <v>-115.886</v>
      </c>
      <c r="CY13" s="257">
        <f t="shared" si="6"/>
        <v>190.96299999999999</v>
      </c>
      <c r="CZ13" s="239">
        <v>-184.214</v>
      </c>
      <c r="DA13" s="239">
        <f>-180.405-CZ13</f>
        <v>3.8089999999999975</v>
      </c>
      <c r="DB13" s="239">
        <f>-181.23-DA13-CZ13</f>
        <v>-0.82499999999998863</v>
      </c>
      <c r="DC13" s="239">
        <f>-186.571-DB13-DA13-CZ13</f>
        <v>-5.3410000000000082</v>
      </c>
      <c r="DD13" s="257">
        <f t="shared" si="7"/>
        <v>-186.571</v>
      </c>
      <c r="DE13" s="239">
        <v>1</v>
      </c>
      <c r="DF13" s="239">
        <v>2</v>
      </c>
      <c r="DG13" s="239">
        <v>-1</v>
      </c>
      <c r="DH13" s="259">
        <v>-3</v>
      </c>
      <c r="DI13" s="257">
        <f t="shared" si="8"/>
        <v>-1</v>
      </c>
      <c r="DJ13" s="259">
        <v>1</v>
      </c>
      <c r="DK13" s="259">
        <v>2</v>
      </c>
      <c r="DL13" s="259">
        <v>3</v>
      </c>
      <c r="DM13" s="259">
        <v>72</v>
      </c>
      <c r="DN13" s="257">
        <f t="shared" si="9"/>
        <v>78</v>
      </c>
      <c r="DO13" s="259">
        <v>-129</v>
      </c>
      <c r="DP13" s="259">
        <v>98</v>
      </c>
      <c r="DQ13" s="259">
        <v>-5</v>
      </c>
      <c r="DR13" s="259">
        <v>22</v>
      </c>
      <c r="DS13" s="257">
        <f t="shared" si="10"/>
        <v>-14</v>
      </c>
      <c r="DT13" s="259">
        <v>-139</v>
      </c>
      <c r="DU13" s="259">
        <v>165</v>
      </c>
      <c r="DV13" s="281">
        <v>0</v>
      </c>
      <c r="DW13" s="281">
        <v>0</v>
      </c>
      <c r="DX13" s="257">
        <f t="shared" si="11"/>
        <v>26</v>
      </c>
      <c r="DY13" s="281">
        <v>0</v>
      </c>
      <c r="DZ13" s="281">
        <v>0</v>
      </c>
      <c r="EA13" s="281">
        <v>0</v>
      </c>
      <c r="EB13" s="281">
        <v>0</v>
      </c>
      <c r="EC13" s="257">
        <f t="shared" si="12"/>
        <v>0</v>
      </c>
      <c r="ED13" s="281">
        <v>0</v>
      </c>
      <c r="EE13" s="281">
        <v>0</v>
      </c>
      <c r="EF13" s="281">
        <v>0</v>
      </c>
      <c r="EG13" s="281">
        <v>0</v>
      </c>
      <c r="EH13" s="257">
        <f t="shared" si="13"/>
        <v>0</v>
      </c>
      <c r="EI13" s="281">
        <v>0</v>
      </c>
      <c r="EJ13" s="281">
        <v>0</v>
      </c>
      <c r="EK13" s="281">
        <v>0</v>
      </c>
      <c r="EL13" s="281">
        <v>0</v>
      </c>
      <c r="EM13" s="257">
        <f t="shared" si="14"/>
        <v>0</v>
      </c>
      <c r="EN13" s="281">
        <v>0</v>
      </c>
      <c r="EO13" s="281">
        <v>0</v>
      </c>
      <c r="EP13" s="281">
        <v>0</v>
      </c>
      <c r="EQ13" s="281">
        <v>0</v>
      </c>
      <c r="ER13" s="257">
        <f t="shared" si="15"/>
        <v>0</v>
      </c>
      <c r="ES13" s="253"/>
    </row>
    <row r="14" spans="1:149" ht="12" customHeight="1">
      <c r="A14" s="794"/>
      <c r="B14" s="794"/>
      <c r="C14" s="265" t="s">
        <v>374</v>
      </c>
      <c r="D14" s="380"/>
      <c r="E14" s="380"/>
      <c r="F14" s="380"/>
      <c r="G14" s="380"/>
      <c r="H14" s="380"/>
      <c r="I14" s="160"/>
      <c r="J14" s="160"/>
      <c r="K14" s="160"/>
      <c r="L14" s="160"/>
      <c r="M14" s="380"/>
      <c r="N14" s="160"/>
      <c r="O14" s="160"/>
      <c r="P14" s="160"/>
      <c r="Q14" s="160"/>
      <c r="R14" s="380"/>
      <c r="S14" s="160"/>
      <c r="T14" s="160"/>
      <c r="U14" s="160"/>
      <c r="V14" s="160"/>
      <c r="W14" s="380"/>
      <c r="X14" s="160"/>
      <c r="Y14" s="160"/>
      <c r="Z14" s="160"/>
      <c r="AA14" s="160"/>
      <c r="AB14" s="380"/>
      <c r="AC14" s="160"/>
      <c r="AD14" s="160"/>
      <c r="AE14" s="160"/>
      <c r="AF14" s="160"/>
      <c r="AG14" s="380"/>
      <c r="AH14" s="160"/>
      <c r="AI14" s="160"/>
      <c r="AJ14" s="160"/>
      <c r="AK14" s="160"/>
      <c r="AL14" s="380"/>
      <c r="AM14" s="160"/>
      <c r="AN14" s="160"/>
      <c r="AO14" s="160"/>
      <c r="AP14" s="160"/>
      <c r="AQ14" s="380"/>
      <c r="AR14" s="160"/>
      <c r="AS14" s="160"/>
      <c r="AT14" s="160"/>
      <c r="AU14" s="160"/>
      <c r="AV14" s="380"/>
      <c r="AW14" s="160"/>
      <c r="AX14" s="160"/>
      <c r="AY14" s="160"/>
      <c r="AZ14" s="160"/>
      <c r="BA14" s="380"/>
      <c r="BB14" s="160"/>
      <c r="BC14" s="160"/>
      <c r="BD14" s="160"/>
      <c r="BE14" s="160"/>
      <c r="BF14" s="315"/>
      <c r="BG14" s="410"/>
      <c r="BH14" s="410"/>
      <c r="BI14" s="410"/>
      <c r="BJ14" s="410"/>
      <c r="BK14" s="315"/>
      <c r="BL14" s="316"/>
      <c r="BM14" s="316"/>
      <c r="BN14" s="316"/>
      <c r="BO14" s="316"/>
      <c r="BP14" s="380"/>
      <c r="BQ14" s="239">
        <v>0</v>
      </c>
      <c r="BR14" s="239">
        <v>0</v>
      </c>
      <c r="BS14" s="239">
        <v>0</v>
      </c>
      <c r="BT14" s="239">
        <v>0</v>
      </c>
      <c r="BU14" s="257">
        <f t="shared" ref="BU14" si="17">SUM(BQ14:BT14)</f>
        <v>0</v>
      </c>
      <c r="BV14" s="239">
        <v>0</v>
      </c>
      <c r="BW14" s="239">
        <v>0</v>
      </c>
      <c r="BX14" s="239">
        <v>0</v>
      </c>
      <c r="BY14" s="239">
        <v>0</v>
      </c>
      <c r="BZ14" s="257">
        <f t="shared" si="1"/>
        <v>0</v>
      </c>
      <c r="CA14" s="239">
        <v>0</v>
      </c>
      <c r="CB14" s="239">
        <v>0</v>
      </c>
      <c r="CC14" s="239">
        <v>0</v>
      </c>
      <c r="CD14" s="239">
        <v>0</v>
      </c>
      <c r="CE14" s="257">
        <f t="shared" si="2"/>
        <v>0</v>
      </c>
      <c r="CF14" s="239">
        <v>0</v>
      </c>
      <c r="CG14" s="239">
        <v>0</v>
      </c>
      <c r="CH14" s="239">
        <v>0</v>
      </c>
      <c r="CI14" s="239">
        <v>0</v>
      </c>
      <c r="CJ14" s="257">
        <f t="shared" si="3"/>
        <v>0</v>
      </c>
      <c r="CK14" s="239">
        <v>0</v>
      </c>
      <c r="CL14" s="239">
        <v>0</v>
      </c>
      <c r="CM14" s="239">
        <v>0</v>
      </c>
      <c r="CN14" s="239">
        <v>0</v>
      </c>
      <c r="CO14" s="257">
        <f t="shared" si="4"/>
        <v>0</v>
      </c>
      <c r="CP14" s="239">
        <v>0</v>
      </c>
      <c r="CQ14" s="239">
        <v>0</v>
      </c>
      <c r="CR14" s="239">
        <v>0</v>
      </c>
      <c r="CS14" s="239">
        <v>0</v>
      </c>
      <c r="CT14" s="257">
        <f t="shared" si="5"/>
        <v>0</v>
      </c>
      <c r="CU14" s="239">
        <v>0</v>
      </c>
      <c r="CV14" s="239">
        <v>0</v>
      </c>
      <c r="CW14" s="239">
        <v>0</v>
      </c>
      <c r="CX14" s="239">
        <v>0</v>
      </c>
      <c r="CY14" s="257">
        <f t="shared" si="6"/>
        <v>0</v>
      </c>
      <c r="CZ14" s="239">
        <v>0</v>
      </c>
      <c r="DA14" s="239">
        <v>0</v>
      </c>
      <c r="DB14" s="239">
        <v>0</v>
      </c>
      <c r="DC14" s="239">
        <v>0</v>
      </c>
      <c r="DD14" s="257">
        <f t="shared" si="7"/>
        <v>0</v>
      </c>
      <c r="DE14" s="239">
        <v>0</v>
      </c>
      <c r="DF14" s="239">
        <v>0</v>
      </c>
      <c r="DG14" s="239">
        <v>0</v>
      </c>
      <c r="DH14" s="239">
        <v>0</v>
      </c>
      <c r="DI14" s="257">
        <f t="shared" ref="DI14" si="18">SUM(DE14:DH14)</f>
        <v>0</v>
      </c>
      <c r="DJ14" s="259">
        <v>0</v>
      </c>
      <c r="DK14" s="259">
        <v>-21</v>
      </c>
      <c r="DL14" s="259">
        <v>-19</v>
      </c>
      <c r="DM14" s="259">
        <v>-19</v>
      </c>
      <c r="DN14" s="257">
        <f t="shared" si="9"/>
        <v>-59</v>
      </c>
      <c r="DO14" s="239">
        <v>-13</v>
      </c>
      <c r="DP14" s="259">
        <v>-12</v>
      </c>
      <c r="DQ14" s="259">
        <v>-12</v>
      </c>
      <c r="DR14" s="239">
        <v>-12</v>
      </c>
      <c r="DS14" s="257">
        <f t="shared" si="10"/>
        <v>-49</v>
      </c>
      <c r="DT14" s="239">
        <v>-12</v>
      </c>
      <c r="DU14" s="259">
        <v>-13</v>
      </c>
      <c r="DV14" s="281">
        <v>0</v>
      </c>
      <c r="DW14" s="281">
        <v>0</v>
      </c>
      <c r="DX14" s="257">
        <f t="shared" si="11"/>
        <v>-25</v>
      </c>
      <c r="DY14" s="281">
        <v>0</v>
      </c>
      <c r="DZ14" s="281">
        <v>0</v>
      </c>
      <c r="EA14" s="281">
        <v>0</v>
      </c>
      <c r="EB14" s="281">
        <v>0</v>
      </c>
      <c r="EC14" s="257">
        <f t="shared" si="12"/>
        <v>0</v>
      </c>
      <c r="ED14" s="281">
        <v>0</v>
      </c>
      <c r="EE14" s="281">
        <v>0</v>
      </c>
      <c r="EF14" s="281">
        <v>0</v>
      </c>
      <c r="EG14" s="281">
        <v>0</v>
      </c>
      <c r="EH14" s="257">
        <f t="shared" si="13"/>
        <v>0</v>
      </c>
      <c r="EI14" s="281">
        <v>0</v>
      </c>
      <c r="EJ14" s="281">
        <v>0</v>
      </c>
      <c r="EK14" s="281">
        <v>0</v>
      </c>
      <c r="EL14" s="281">
        <v>0</v>
      </c>
      <c r="EM14" s="257">
        <f t="shared" si="14"/>
        <v>0</v>
      </c>
      <c r="EN14" s="281">
        <v>0</v>
      </c>
      <c r="EO14" s="281">
        <v>0</v>
      </c>
      <c r="EP14" s="281">
        <v>0</v>
      </c>
      <c r="EQ14" s="281">
        <v>0</v>
      </c>
      <c r="ER14" s="257">
        <f t="shared" si="15"/>
        <v>0</v>
      </c>
      <c r="ES14" s="253"/>
    </row>
    <row r="15" spans="1:149" ht="12" customHeight="1">
      <c r="A15" s="794"/>
      <c r="B15" s="794"/>
      <c r="C15" s="265" t="s">
        <v>325</v>
      </c>
      <c r="D15" s="380"/>
      <c r="E15" s="380"/>
      <c r="F15" s="380"/>
      <c r="G15" s="380"/>
      <c r="H15" s="380"/>
      <c r="I15" s="160"/>
      <c r="J15" s="160"/>
      <c r="K15" s="160"/>
      <c r="L15" s="160"/>
      <c r="M15" s="380"/>
      <c r="N15" s="160"/>
      <c r="O15" s="160"/>
      <c r="P15" s="160"/>
      <c r="Q15" s="160"/>
      <c r="R15" s="380"/>
      <c r="S15" s="160"/>
      <c r="T15" s="160"/>
      <c r="U15" s="160"/>
      <c r="V15" s="160"/>
      <c r="W15" s="380"/>
      <c r="X15" s="160"/>
      <c r="Y15" s="160"/>
      <c r="Z15" s="160"/>
      <c r="AA15" s="160"/>
      <c r="AB15" s="380"/>
      <c r="AC15" s="160"/>
      <c r="AD15" s="160"/>
      <c r="AE15" s="160"/>
      <c r="AF15" s="160"/>
      <c r="AG15" s="380"/>
      <c r="AH15" s="160"/>
      <c r="AI15" s="160"/>
      <c r="AJ15" s="160"/>
      <c r="AK15" s="160"/>
      <c r="AL15" s="380"/>
      <c r="AM15" s="160"/>
      <c r="AN15" s="160"/>
      <c r="AO15" s="160"/>
      <c r="AP15" s="160"/>
      <c r="AQ15" s="380"/>
      <c r="AR15" s="160"/>
      <c r="AS15" s="160"/>
      <c r="AT15" s="160"/>
      <c r="AU15" s="160"/>
      <c r="AV15" s="380"/>
      <c r="AW15" s="160"/>
      <c r="AX15" s="160"/>
      <c r="AY15" s="160"/>
      <c r="AZ15" s="160"/>
      <c r="BA15" s="380"/>
      <c r="BB15" s="160"/>
      <c r="BC15" s="160"/>
      <c r="BD15" s="160"/>
      <c r="BE15" s="160"/>
      <c r="BF15" s="315"/>
      <c r="BG15" s="410"/>
      <c r="BH15" s="410"/>
      <c r="BI15" s="410"/>
      <c r="BJ15" s="410"/>
      <c r="BK15" s="315"/>
      <c r="BL15" s="316"/>
      <c r="BM15" s="316"/>
      <c r="BN15" s="316"/>
      <c r="BO15" s="316"/>
      <c r="BP15" s="380"/>
      <c r="BQ15" s="316">
        <v>0</v>
      </c>
      <c r="BR15" s="316">
        <v>0</v>
      </c>
      <c r="BS15" s="239">
        <v>0</v>
      </c>
      <c r="BT15" s="239">
        <v>0</v>
      </c>
      <c r="BU15" s="257">
        <f t="shared" si="0"/>
        <v>0</v>
      </c>
      <c r="BV15" s="316">
        <v>0</v>
      </c>
      <c r="BW15" s="316">
        <v>0</v>
      </c>
      <c r="BX15" s="239">
        <v>0</v>
      </c>
      <c r="BY15" s="239">
        <v>0</v>
      </c>
      <c r="BZ15" s="257">
        <f t="shared" si="1"/>
        <v>0</v>
      </c>
      <c r="CA15" s="316">
        <v>0</v>
      </c>
      <c r="CB15" s="316">
        <f>0-CA15</f>
        <v>0</v>
      </c>
      <c r="CC15" s="239">
        <v>0</v>
      </c>
      <c r="CD15" s="239">
        <v>0</v>
      </c>
      <c r="CE15" s="257">
        <f t="shared" si="2"/>
        <v>0</v>
      </c>
      <c r="CF15" s="316">
        <v>0</v>
      </c>
      <c r="CG15" s="316">
        <v>0</v>
      </c>
      <c r="CH15" s="239">
        <v>0</v>
      </c>
      <c r="CI15" s="239">
        <v>0</v>
      </c>
      <c r="CJ15" s="257">
        <f t="shared" si="3"/>
        <v>0</v>
      </c>
      <c r="CK15" s="239">
        <v>0.06</v>
      </c>
      <c r="CL15" s="239">
        <f>1.917-CK15</f>
        <v>1.857</v>
      </c>
      <c r="CM15" s="239">
        <f>2.404-CL15-CK15</f>
        <v>0.48699999999999993</v>
      </c>
      <c r="CN15" s="239">
        <f>0-CM15-CL15-CK15</f>
        <v>-2.4039999999999999</v>
      </c>
      <c r="CO15" s="257">
        <f t="shared" si="4"/>
        <v>0</v>
      </c>
      <c r="CP15" s="239">
        <v>0</v>
      </c>
      <c r="CQ15" s="239">
        <f>0-CP15</f>
        <v>0</v>
      </c>
      <c r="CR15" s="239">
        <f>-133.239-CQ15-CP15</f>
        <v>-133.239</v>
      </c>
      <c r="CS15" s="239">
        <f>-135.193-CR15-CQ15-CP15</f>
        <v>-1.9540000000000077</v>
      </c>
      <c r="CT15" s="257">
        <f t="shared" si="5"/>
        <v>-135.19300000000001</v>
      </c>
      <c r="CU15" s="239">
        <v>-1250.944</v>
      </c>
      <c r="CV15" s="239">
        <f>-2028.693-CU15</f>
        <v>-777.74900000000002</v>
      </c>
      <c r="CW15" s="239">
        <f>-3369.535-CV15-CU15</f>
        <v>-1340.8420000000001</v>
      </c>
      <c r="CX15" s="239">
        <f>-2859.8-SUM(CU15:CW15)</f>
        <v>509.73499999999967</v>
      </c>
      <c r="CY15" s="257">
        <f t="shared" si="6"/>
        <v>-2859.8</v>
      </c>
      <c r="CZ15" s="239">
        <v>1593.655</v>
      </c>
      <c r="DA15" s="239">
        <f>2612.133-CZ15</f>
        <v>1018.4779999999998</v>
      </c>
      <c r="DB15" s="239">
        <f>2443.295-DA15-CZ15</f>
        <v>-168.83799999999974</v>
      </c>
      <c r="DC15" s="239">
        <f>2918.684-DB15-DA15-CZ15</f>
        <v>475.3889999999999</v>
      </c>
      <c r="DD15" s="257">
        <f t="shared" si="7"/>
        <v>2918.6840000000002</v>
      </c>
      <c r="DE15" s="239">
        <v>-215</v>
      </c>
      <c r="DF15" s="239">
        <v>-281</v>
      </c>
      <c r="DG15" s="239">
        <v>-555</v>
      </c>
      <c r="DH15" s="259">
        <v>-368</v>
      </c>
      <c r="DI15" s="257">
        <f t="shared" si="8"/>
        <v>-1419</v>
      </c>
      <c r="DJ15" s="259">
        <v>373</v>
      </c>
      <c r="DK15" s="259">
        <f>76+44</f>
        <v>120</v>
      </c>
      <c r="DL15" s="259">
        <f>-512+28</f>
        <v>-484</v>
      </c>
      <c r="DM15" s="259">
        <f>-929+22</f>
        <v>-907</v>
      </c>
      <c r="DN15" s="257">
        <f t="shared" si="9"/>
        <v>-898</v>
      </c>
      <c r="DO15" s="259">
        <v>1021</v>
      </c>
      <c r="DP15" s="259">
        <f>-682+24</f>
        <v>-658</v>
      </c>
      <c r="DQ15" s="259">
        <f>29+62+21</f>
        <v>112</v>
      </c>
      <c r="DR15" s="259">
        <f>94-248-28</f>
        <v>-182</v>
      </c>
      <c r="DS15" s="257">
        <f t="shared" si="10"/>
        <v>293</v>
      </c>
      <c r="DT15" s="259">
        <v>1061</v>
      </c>
      <c r="DU15" s="259">
        <f>-1250+22</f>
        <v>-1228</v>
      </c>
      <c r="DV15" s="281">
        <v>0</v>
      </c>
      <c r="DW15" s="281">
        <v>0</v>
      </c>
      <c r="DX15" s="257">
        <f t="shared" si="11"/>
        <v>-167</v>
      </c>
      <c r="DY15" s="281">
        <v>0</v>
      </c>
      <c r="DZ15" s="281">
        <v>0</v>
      </c>
      <c r="EA15" s="281">
        <v>0</v>
      </c>
      <c r="EB15" s="281">
        <v>0</v>
      </c>
      <c r="EC15" s="257">
        <f t="shared" si="12"/>
        <v>0</v>
      </c>
      <c r="ED15" s="281">
        <v>0</v>
      </c>
      <c r="EE15" s="281">
        <v>0</v>
      </c>
      <c r="EF15" s="281">
        <v>0</v>
      </c>
      <c r="EG15" s="281">
        <v>0</v>
      </c>
      <c r="EH15" s="257">
        <f t="shared" si="13"/>
        <v>0</v>
      </c>
      <c r="EI15" s="281">
        <v>0</v>
      </c>
      <c r="EJ15" s="281">
        <v>0</v>
      </c>
      <c r="EK15" s="281">
        <v>0</v>
      </c>
      <c r="EL15" s="281">
        <v>0</v>
      </c>
      <c r="EM15" s="257">
        <f t="shared" si="14"/>
        <v>0</v>
      </c>
      <c r="EN15" s="281">
        <v>0</v>
      </c>
      <c r="EO15" s="281">
        <v>0</v>
      </c>
      <c r="EP15" s="281">
        <v>0</v>
      </c>
      <c r="EQ15" s="281">
        <v>0</v>
      </c>
      <c r="ER15" s="257">
        <f t="shared" si="15"/>
        <v>0</v>
      </c>
      <c r="ES15" s="253"/>
    </row>
    <row r="16" spans="1:149" ht="12" customHeight="1">
      <c r="A16" s="794"/>
      <c r="B16" s="794"/>
      <c r="C16" s="265" t="s">
        <v>375</v>
      </c>
      <c r="D16" s="380"/>
      <c r="E16" s="380"/>
      <c r="F16" s="380"/>
      <c r="G16" s="380"/>
      <c r="H16" s="380"/>
      <c r="I16" s="160"/>
      <c r="J16" s="160"/>
      <c r="K16" s="160"/>
      <c r="L16" s="160"/>
      <c r="M16" s="380"/>
      <c r="N16" s="160"/>
      <c r="O16" s="160"/>
      <c r="P16" s="160"/>
      <c r="Q16" s="160"/>
      <c r="R16" s="380"/>
      <c r="S16" s="160"/>
      <c r="T16" s="160"/>
      <c r="U16" s="160"/>
      <c r="V16" s="160"/>
      <c r="W16" s="380"/>
      <c r="X16" s="160"/>
      <c r="Y16" s="160"/>
      <c r="Z16" s="160"/>
      <c r="AA16" s="160"/>
      <c r="AB16" s="380"/>
      <c r="AC16" s="160"/>
      <c r="AD16" s="160"/>
      <c r="AE16" s="160"/>
      <c r="AF16" s="160"/>
      <c r="AG16" s="380"/>
      <c r="AH16" s="160"/>
      <c r="AI16" s="160"/>
      <c r="AJ16" s="160"/>
      <c r="AK16" s="160"/>
      <c r="AL16" s="380"/>
      <c r="AM16" s="160"/>
      <c r="AN16" s="160"/>
      <c r="AO16" s="160"/>
      <c r="AP16" s="160"/>
      <c r="AQ16" s="380"/>
      <c r="AR16" s="160"/>
      <c r="AS16" s="160"/>
      <c r="AT16" s="160"/>
      <c r="AU16" s="160"/>
      <c r="AV16" s="380"/>
      <c r="AW16" s="160"/>
      <c r="AX16" s="160"/>
      <c r="AY16" s="160"/>
      <c r="AZ16" s="160"/>
      <c r="BA16" s="380"/>
      <c r="BB16" s="160"/>
      <c r="BC16" s="160"/>
      <c r="BD16" s="160"/>
      <c r="BE16" s="160"/>
      <c r="BF16" s="315"/>
      <c r="BG16" s="410"/>
      <c r="BH16" s="410"/>
      <c r="BI16" s="410"/>
      <c r="BJ16" s="410"/>
      <c r="BK16" s="315"/>
      <c r="BL16" s="316"/>
      <c r="BM16" s="316"/>
      <c r="BN16" s="316"/>
      <c r="BO16" s="316"/>
      <c r="BP16" s="380"/>
      <c r="BQ16" s="239">
        <v>0</v>
      </c>
      <c r="BR16" s="239">
        <v>0</v>
      </c>
      <c r="BS16" s="239">
        <v>0</v>
      </c>
      <c r="BT16" s="239">
        <v>0</v>
      </c>
      <c r="BU16" s="257">
        <f t="shared" ref="BU16" si="19">SUM(BQ16:BT16)</f>
        <v>0</v>
      </c>
      <c r="BV16" s="239">
        <v>0</v>
      </c>
      <c r="BW16" s="239">
        <v>0</v>
      </c>
      <c r="BX16" s="239">
        <v>0</v>
      </c>
      <c r="BY16" s="239">
        <v>0</v>
      </c>
      <c r="BZ16" s="257">
        <f t="shared" si="1"/>
        <v>0</v>
      </c>
      <c r="CA16" s="239">
        <v>0</v>
      </c>
      <c r="CB16" s="239">
        <v>0</v>
      </c>
      <c r="CC16" s="239">
        <v>0</v>
      </c>
      <c r="CD16" s="239">
        <v>0</v>
      </c>
      <c r="CE16" s="257">
        <f t="shared" si="2"/>
        <v>0</v>
      </c>
      <c r="CF16" s="239">
        <v>0</v>
      </c>
      <c r="CG16" s="239">
        <v>0</v>
      </c>
      <c r="CH16" s="239">
        <v>0</v>
      </c>
      <c r="CI16" s="239">
        <v>0</v>
      </c>
      <c r="CJ16" s="257">
        <f t="shared" si="3"/>
        <v>0</v>
      </c>
      <c r="CK16" s="239">
        <v>0</v>
      </c>
      <c r="CL16" s="239">
        <v>0</v>
      </c>
      <c r="CM16" s="239">
        <v>0</v>
      </c>
      <c r="CN16" s="239">
        <v>0</v>
      </c>
      <c r="CO16" s="257">
        <f t="shared" si="4"/>
        <v>0</v>
      </c>
      <c r="CP16" s="239">
        <v>0</v>
      </c>
      <c r="CQ16" s="239">
        <v>0</v>
      </c>
      <c r="CR16" s="239">
        <v>0</v>
      </c>
      <c r="CS16" s="239">
        <v>0</v>
      </c>
      <c r="CT16" s="257">
        <f t="shared" si="5"/>
        <v>0</v>
      </c>
      <c r="CU16" s="239">
        <v>0</v>
      </c>
      <c r="CV16" s="239">
        <v>0</v>
      </c>
      <c r="CW16" s="239">
        <v>0</v>
      </c>
      <c r="CX16" s="239">
        <v>0</v>
      </c>
      <c r="CY16" s="257">
        <f t="shared" si="6"/>
        <v>0</v>
      </c>
      <c r="CZ16" s="239">
        <v>0</v>
      </c>
      <c r="DA16" s="239">
        <v>0</v>
      </c>
      <c r="DB16" s="239">
        <v>0</v>
      </c>
      <c r="DC16" s="239">
        <v>0</v>
      </c>
      <c r="DD16" s="257">
        <f t="shared" si="7"/>
        <v>0</v>
      </c>
      <c r="DE16" s="239">
        <v>0</v>
      </c>
      <c r="DF16" s="239">
        <v>0</v>
      </c>
      <c r="DG16" s="239">
        <v>0</v>
      </c>
      <c r="DH16" s="239">
        <v>0</v>
      </c>
      <c r="DI16" s="257">
        <f t="shared" ref="DI16" si="20">SUM(DE16:DH16)</f>
        <v>0</v>
      </c>
      <c r="DJ16" s="259">
        <v>0</v>
      </c>
      <c r="DK16" s="259">
        <v>-2</v>
      </c>
      <c r="DL16" s="259">
        <v>-19</v>
      </c>
      <c r="DM16" s="259">
        <v>34</v>
      </c>
      <c r="DN16" s="257">
        <f t="shared" si="9"/>
        <v>13</v>
      </c>
      <c r="DO16" s="239">
        <v>-12</v>
      </c>
      <c r="DP16" s="259">
        <v>-46</v>
      </c>
      <c r="DQ16" s="259">
        <v>4</v>
      </c>
      <c r="DR16" s="239">
        <v>-3</v>
      </c>
      <c r="DS16" s="257">
        <f t="shared" si="10"/>
        <v>-57</v>
      </c>
      <c r="DT16" s="239">
        <v>14</v>
      </c>
      <c r="DU16" s="259">
        <v>4</v>
      </c>
      <c r="DV16" s="281">
        <v>0</v>
      </c>
      <c r="DW16" s="281">
        <v>0</v>
      </c>
      <c r="DX16" s="257">
        <f t="shared" si="11"/>
        <v>18</v>
      </c>
      <c r="DY16" s="281">
        <v>0</v>
      </c>
      <c r="DZ16" s="281">
        <v>0</v>
      </c>
      <c r="EA16" s="281">
        <v>0</v>
      </c>
      <c r="EB16" s="281">
        <v>0</v>
      </c>
      <c r="EC16" s="257">
        <f t="shared" si="12"/>
        <v>0</v>
      </c>
      <c r="ED16" s="281">
        <v>0</v>
      </c>
      <c r="EE16" s="281">
        <v>0</v>
      </c>
      <c r="EF16" s="281">
        <v>0</v>
      </c>
      <c r="EG16" s="281">
        <v>0</v>
      </c>
      <c r="EH16" s="257">
        <f t="shared" si="13"/>
        <v>0</v>
      </c>
      <c r="EI16" s="281">
        <v>0</v>
      </c>
      <c r="EJ16" s="281">
        <v>0</v>
      </c>
      <c r="EK16" s="281">
        <v>0</v>
      </c>
      <c r="EL16" s="281">
        <v>0</v>
      </c>
      <c r="EM16" s="257">
        <f t="shared" si="14"/>
        <v>0</v>
      </c>
      <c r="EN16" s="281">
        <v>0</v>
      </c>
      <c r="EO16" s="281">
        <v>0</v>
      </c>
      <c r="EP16" s="281">
        <v>0</v>
      </c>
      <c r="EQ16" s="281">
        <v>0</v>
      </c>
      <c r="ER16" s="257">
        <f t="shared" si="15"/>
        <v>0</v>
      </c>
      <c r="ES16" s="253"/>
    </row>
    <row r="17" spans="1:156" ht="12" customHeight="1">
      <c r="A17" s="794"/>
      <c r="B17" s="794"/>
      <c r="C17" s="265" t="s">
        <v>144</v>
      </c>
      <c r="D17" s="380"/>
      <c r="E17" s="380"/>
      <c r="F17" s="380"/>
      <c r="G17" s="380"/>
      <c r="H17" s="380"/>
      <c r="I17" s="160"/>
      <c r="J17" s="160"/>
      <c r="K17" s="160"/>
      <c r="L17" s="160"/>
      <c r="M17" s="380"/>
      <c r="N17" s="160"/>
      <c r="O17" s="160"/>
      <c r="P17" s="160"/>
      <c r="Q17" s="160"/>
      <c r="R17" s="380"/>
      <c r="S17" s="160"/>
      <c r="T17" s="160"/>
      <c r="U17" s="160"/>
      <c r="V17" s="160"/>
      <c r="W17" s="380"/>
      <c r="X17" s="160"/>
      <c r="Y17" s="160"/>
      <c r="Z17" s="160"/>
      <c r="AA17" s="160"/>
      <c r="AB17" s="380"/>
      <c r="AC17" s="160"/>
      <c r="AD17" s="160"/>
      <c r="AE17" s="160"/>
      <c r="AF17" s="160"/>
      <c r="AG17" s="380"/>
      <c r="AH17" s="160"/>
      <c r="AI17" s="160"/>
      <c r="AJ17" s="160"/>
      <c r="AK17" s="160"/>
      <c r="AL17" s="380"/>
      <c r="AM17" s="160"/>
      <c r="AN17" s="160"/>
      <c r="AO17" s="160"/>
      <c r="AP17" s="160"/>
      <c r="AQ17" s="380"/>
      <c r="AR17" s="160"/>
      <c r="AS17" s="160"/>
      <c r="AT17" s="160"/>
      <c r="AU17" s="160"/>
      <c r="AV17" s="380"/>
      <c r="AW17" s="160"/>
      <c r="AX17" s="160"/>
      <c r="AY17" s="160"/>
      <c r="AZ17" s="160"/>
      <c r="BA17" s="380"/>
      <c r="BB17" s="160"/>
      <c r="BC17" s="160"/>
      <c r="BD17" s="160"/>
      <c r="BE17" s="160"/>
      <c r="BF17" s="315"/>
      <c r="BG17" s="132"/>
      <c r="BH17" s="132"/>
      <c r="BI17" s="132"/>
      <c r="BJ17" s="132"/>
      <c r="BK17" s="315"/>
      <c r="BL17" s="316"/>
      <c r="BM17" s="316"/>
      <c r="BN17" s="316"/>
      <c r="BO17" s="316"/>
      <c r="BP17" s="380"/>
      <c r="BQ17" s="316">
        <f>0.095+1.191</f>
        <v>1.286</v>
      </c>
      <c r="BR17" s="316">
        <f>0.181+1.036</f>
        <v>1.2170000000000001</v>
      </c>
      <c r="BS17" s="418">
        <f>0.267+1.507-BR17-BQ17</f>
        <v>-0.72900000000000009</v>
      </c>
      <c r="BT17" s="418">
        <f>0.353+1.828-SUM(BQ17:BS17)</f>
        <v>0.40700000000000003</v>
      </c>
      <c r="BU17" s="257">
        <f t="shared" si="0"/>
        <v>2.181</v>
      </c>
      <c r="BV17" s="316">
        <f>0.086-0.978</f>
        <v>-0.89200000000000002</v>
      </c>
      <c r="BW17" s="316">
        <f>0.441+0.172-1.161-BV17</f>
        <v>0.34399999999999997</v>
      </c>
      <c r="BX17" s="418">
        <f>0.918+0.202-1.087-BW17-BV17</f>
        <v>0.58100000000000018</v>
      </c>
      <c r="BY17" s="418">
        <f>1.028+0.202-0.969-BX17-BW17-BV17</f>
        <v>0.22799999999999987</v>
      </c>
      <c r="BZ17" s="257">
        <f t="shared" si="1"/>
        <v>0.26100000000000001</v>
      </c>
      <c r="CA17" s="316">
        <f>0.592-0.111</f>
        <v>0.48099999999999998</v>
      </c>
      <c r="CB17" s="316">
        <f>1.922-0.901-CA17</f>
        <v>0.53999999999999992</v>
      </c>
      <c r="CC17" s="418">
        <f>2.473-1.502-CB17-CA17</f>
        <v>-5.0000000000000044E-2</v>
      </c>
      <c r="CD17" s="418">
        <f>2.606-1.604-CC17-CB17-CA17</f>
        <v>3.0999999999999917E-2</v>
      </c>
      <c r="CE17" s="257">
        <f t="shared" si="2"/>
        <v>1.0019999999999998</v>
      </c>
      <c r="CF17" s="239">
        <f>1.582-0.128</f>
        <v>1.4540000000000002</v>
      </c>
      <c r="CG17" s="316">
        <f>4.072+0.369-CF17</f>
        <v>2.9869999999999997</v>
      </c>
      <c r="CH17" s="418">
        <f>5.043+0.637-CG17-CF17</f>
        <v>1.2389999999999999</v>
      </c>
      <c r="CI17" s="418">
        <f>5.922+1.272-CH17-CG17-CF17</f>
        <v>1.5140000000000002</v>
      </c>
      <c r="CJ17" s="257">
        <f t="shared" si="3"/>
        <v>7.194</v>
      </c>
      <c r="CK17" s="239">
        <v>2.7469999999999999</v>
      </c>
      <c r="CL17" s="418">
        <v>7.3979999999999997</v>
      </c>
      <c r="CM17" s="418">
        <f>11.186+2.404-CL17-CK17</f>
        <v>3.4450000000000003</v>
      </c>
      <c r="CN17" s="418">
        <f>31.623+27.282-1.689-CM17-CL17-CK17</f>
        <v>43.626000000000005</v>
      </c>
      <c r="CO17" s="257">
        <f t="shared" si="4"/>
        <v>57.216000000000008</v>
      </c>
      <c r="CP17" s="239">
        <f>6.103-3.779</f>
        <v>2.3239999999999998</v>
      </c>
      <c r="CQ17" s="418">
        <f>31.623+12.04-1.231-CP17</f>
        <v>40.107999999999997</v>
      </c>
      <c r="CR17" s="418">
        <f>31.623+19.954-1.186-1.738-CQ17-CP17</f>
        <v>6.2210000000000019</v>
      </c>
      <c r="CS17" s="418">
        <f>31.623+27.282-1.689-CR17-CQ17-CP17</f>
        <v>8.5630000000000006</v>
      </c>
      <c r="CT17" s="257">
        <f t="shared" si="5"/>
        <v>57.216000000000001</v>
      </c>
      <c r="CU17" s="418">
        <f>4.236+1.734</f>
        <v>5.97</v>
      </c>
      <c r="CV17" s="418">
        <f>0+14.855-18.121+1.451-CU17</f>
        <v>-7.7849999999999984</v>
      </c>
      <c r="CW17" s="418">
        <f>30.145+25.723-37.425+3.741-CV17-CU17</f>
        <v>23.998999999999995</v>
      </c>
      <c r="CX17" s="418">
        <f>2.343+30.145+43.781-58.38+4.57-SUM(CU17:CW17)</f>
        <v>0.27500000000000568</v>
      </c>
      <c r="CY17" s="257">
        <f t="shared" si="6"/>
        <v>22.459000000000003</v>
      </c>
      <c r="CZ17" s="418">
        <v>6.3220000000000001</v>
      </c>
      <c r="DA17" s="418">
        <f>15.94-53.665-CZ17</f>
        <v>-44.047000000000004</v>
      </c>
      <c r="DB17" s="418">
        <f>25.948-86.547+53.562+1.761-DA17-CZ17</f>
        <v>32.449000000000005</v>
      </c>
      <c r="DC17" s="239">
        <f>2.349+84.314-121.503+11.702-DB17-DA17-CZ17</f>
        <v>-17.862000000000005</v>
      </c>
      <c r="DD17" s="257">
        <f t="shared" si="7"/>
        <v>-23.138000000000002</v>
      </c>
      <c r="DE17" s="419">
        <f>1+28-48-3</f>
        <v>-22</v>
      </c>
      <c r="DF17" s="418">
        <f>15-39+1340+1</f>
        <v>1317</v>
      </c>
      <c r="DG17" s="418">
        <f>38+8-36+10+8</f>
        <v>28</v>
      </c>
      <c r="DH17" s="418">
        <f>29-35+48-12</f>
        <v>30</v>
      </c>
      <c r="DI17" s="257">
        <f t="shared" si="8"/>
        <v>1353</v>
      </c>
      <c r="DJ17" s="418">
        <f>28-35+44+6</f>
        <v>43</v>
      </c>
      <c r="DK17" s="418">
        <v>0</v>
      </c>
      <c r="DL17" s="418">
        <v>0</v>
      </c>
      <c r="DM17" s="418">
        <v>0</v>
      </c>
      <c r="DN17" s="257">
        <f t="shared" si="9"/>
        <v>43</v>
      </c>
      <c r="DO17" s="1280">
        <v>23</v>
      </c>
      <c r="DP17" s="418">
        <v>10</v>
      </c>
      <c r="DQ17" s="418">
        <v>3</v>
      </c>
      <c r="DR17" s="418">
        <v>0</v>
      </c>
      <c r="DS17" s="257">
        <f t="shared" si="10"/>
        <v>36</v>
      </c>
      <c r="DT17" s="1280">
        <v>21</v>
      </c>
      <c r="DU17" s="418">
        <v>0</v>
      </c>
      <c r="DV17" s="420">
        <f>+'Balance Sheet'!DU25-'Balance Sheet'!DV25+'Balance Sheet'!DV38-'Balance Sheet'!DU38</f>
        <v>0</v>
      </c>
      <c r="DW17" s="420">
        <f>+'Balance Sheet'!DV25-'Balance Sheet'!DW25+'Balance Sheet'!DW38-'Balance Sheet'!DV38</f>
        <v>0</v>
      </c>
      <c r="DX17" s="257">
        <f t="shared" si="11"/>
        <v>21</v>
      </c>
      <c r="DY17" s="420">
        <f>+'Balance Sheet'!DX25-'Balance Sheet'!DY25+'Balance Sheet'!DY38-'Balance Sheet'!DX38</f>
        <v>0</v>
      </c>
      <c r="DZ17" s="420">
        <f>+'Balance Sheet'!DY25-'Balance Sheet'!DZ25+'Balance Sheet'!DZ38-'Balance Sheet'!DY38</f>
        <v>0</v>
      </c>
      <c r="EA17" s="420">
        <f>+'Balance Sheet'!DZ25-'Balance Sheet'!EA25+'Balance Sheet'!EA38-'Balance Sheet'!DZ38</f>
        <v>0</v>
      </c>
      <c r="EB17" s="420">
        <f>+'Balance Sheet'!EA25-'Balance Sheet'!EB25+'Balance Sheet'!EB38-'Balance Sheet'!EA38</f>
        <v>0</v>
      </c>
      <c r="EC17" s="257">
        <f t="shared" si="12"/>
        <v>0</v>
      </c>
      <c r="ED17" s="420">
        <f>+'Balance Sheet'!EC25-'Balance Sheet'!ED25+'Balance Sheet'!ED38-'Balance Sheet'!EC38</f>
        <v>0</v>
      </c>
      <c r="EE17" s="420">
        <f>+'Balance Sheet'!ED25-'Balance Sheet'!EE25+'Balance Sheet'!EE38-'Balance Sheet'!ED38</f>
        <v>0</v>
      </c>
      <c r="EF17" s="420">
        <f>+'Balance Sheet'!EE25-'Balance Sheet'!EF25+'Balance Sheet'!EF38-'Balance Sheet'!EE38</f>
        <v>0</v>
      </c>
      <c r="EG17" s="420">
        <f>+'Balance Sheet'!EF25-'Balance Sheet'!EG25+'Balance Sheet'!EG38-'Balance Sheet'!EF38</f>
        <v>0</v>
      </c>
      <c r="EH17" s="257">
        <f t="shared" si="13"/>
        <v>0</v>
      </c>
      <c r="EI17" s="420">
        <f>+'Balance Sheet'!EH25-'Balance Sheet'!EI25+'Balance Sheet'!EI38-'Balance Sheet'!EH38</f>
        <v>0</v>
      </c>
      <c r="EJ17" s="420">
        <f>+'Balance Sheet'!EI25-'Balance Sheet'!EJ25+'Balance Sheet'!EJ38-'Balance Sheet'!EI38</f>
        <v>0</v>
      </c>
      <c r="EK17" s="420">
        <f>+'Balance Sheet'!EJ25-'Balance Sheet'!EK25+'Balance Sheet'!EK38-'Balance Sheet'!EJ38</f>
        <v>0</v>
      </c>
      <c r="EL17" s="420">
        <f>+'Balance Sheet'!EK25-'Balance Sheet'!EL25+'Balance Sheet'!EL38-'Balance Sheet'!EK38</f>
        <v>0</v>
      </c>
      <c r="EM17" s="257">
        <f t="shared" si="14"/>
        <v>0</v>
      </c>
      <c r="EN17" s="420">
        <f>+'Balance Sheet'!EM25-'Balance Sheet'!EN25+'Balance Sheet'!EN38-'Balance Sheet'!EM38</f>
        <v>0</v>
      </c>
      <c r="EO17" s="420">
        <f>+'Balance Sheet'!EN25-'Balance Sheet'!EO25+'Balance Sheet'!EO38-'Balance Sheet'!EN38</f>
        <v>0</v>
      </c>
      <c r="EP17" s="420">
        <f>+'Balance Sheet'!EO25-'Balance Sheet'!EP25+'Balance Sheet'!EP38-'Balance Sheet'!EO38</f>
        <v>0</v>
      </c>
      <c r="EQ17" s="420">
        <f>+'Balance Sheet'!EP25-'Balance Sheet'!EQ25+'Balance Sheet'!EQ38-'Balance Sheet'!EP38</f>
        <v>0</v>
      </c>
      <c r="ER17" s="257">
        <f t="shared" si="15"/>
        <v>0</v>
      </c>
      <c r="ES17" s="291"/>
    </row>
    <row r="18" spans="1:156" ht="12" customHeight="1">
      <c r="A18" s="794"/>
      <c r="B18" s="794"/>
      <c r="C18" s="379" t="s">
        <v>44</v>
      </c>
      <c r="D18" s="421"/>
      <c r="E18" s="380"/>
      <c r="F18" s="380"/>
      <c r="G18" s="380"/>
      <c r="H18" s="380"/>
      <c r="I18" s="422"/>
      <c r="J18" s="160"/>
      <c r="K18" s="160"/>
      <c r="L18" s="160"/>
      <c r="M18" s="380"/>
      <c r="N18" s="160"/>
      <c r="O18" s="160"/>
      <c r="P18" s="160"/>
      <c r="Q18" s="160"/>
      <c r="R18" s="380"/>
      <c r="S18" s="160"/>
      <c r="T18" s="160"/>
      <c r="U18" s="160"/>
      <c r="V18" s="160"/>
      <c r="W18" s="380"/>
      <c r="X18" s="160"/>
      <c r="Y18" s="160"/>
      <c r="Z18" s="160"/>
      <c r="AA18" s="160"/>
      <c r="AB18" s="380"/>
      <c r="AC18" s="160"/>
      <c r="AD18" s="160"/>
      <c r="AE18" s="160"/>
      <c r="AF18" s="160"/>
      <c r="AG18" s="380"/>
      <c r="AH18" s="160"/>
      <c r="AI18" s="160"/>
      <c r="AJ18" s="160"/>
      <c r="AK18" s="160"/>
      <c r="AL18" s="380"/>
      <c r="AM18" s="160"/>
      <c r="AN18" s="160"/>
      <c r="AO18" s="160"/>
      <c r="AP18" s="160"/>
      <c r="AQ18" s="380"/>
      <c r="AR18" s="160"/>
      <c r="AS18" s="160"/>
      <c r="AT18" s="160"/>
      <c r="AU18" s="160"/>
      <c r="AV18" s="380"/>
      <c r="AW18" s="160"/>
      <c r="AX18" s="160"/>
      <c r="AY18" s="160"/>
      <c r="AZ18" s="160"/>
      <c r="BA18" s="380"/>
      <c r="BB18" s="160"/>
      <c r="BC18" s="160"/>
      <c r="BD18" s="160"/>
      <c r="BE18" s="160"/>
      <c r="BF18" s="315"/>
      <c r="BG18" s="410"/>
      <c r="BH18" s="410"/>
      <c r="BI18" s="410"/>
      <c r="BJ18" s="410"/>
      <c r="BK18" s="315"/>
      <c r="BL18" s="316"/>
      <c r="BM18" s="316"/>
      <c r="BN18" s="316"/>
      <c r="BO18" s="316"/>
      <c r="BP18" s="380"/>
      <c r="BQ18" s="316">
        <v>1.538</v>
      </c>
      <c r="BR18" s="316">
        <f>3.716-BQ18</f>
        <v>2.1779999999999999</v>
      </c>
      <c r="BS18" s="239">
        <f>3.463-BR18-BQ18</f>
        <v>-0.25299999999999989</v>
      </c>
      <c r="BT18" s="239">
        <f>1.176-SUM(BQ18:BS18)</f>
        <v>-2.2869999999999999</v>
      </c>
      <c r="BU18" s="257">
        <f>SUM(BQ18:BT18)</f>
        <v>1.1760000000000002</v>
      </c>
      <c r="BV18" s="316">
        <v>-5.2999999999999999E-2</v>
      </c>
      <c r="BW18" s="316">
        <f>1.779-BV18</f>
        <v>1.8319999999999999</v>
      </c>
      <c r="BX18" s="239">
        <f>-0.688-BW18-BV18</f>
        <v>-2.4669999999999996</v>
      </c>
      <c r="BY18" s="239">
        <f>-2.356-BX18-BW18-BV18</f>
        <v>-1.6680000000000001</v>
      </c>
      <c r="BZ18" s="257">
        <f>SUM(BV18:BY18)</f>
        <v>-2.3559999999999999</v>
      </c>
      <c r="CA18" s="316">
        <v>0.55700000000000005</v>
      </c>
      <c r="CB18" s="316">
        <f>-2.978-CA18</f>
        <v>-3.5350000000000001</v>
      </c>
      <c r="CC18" s="239">
        <f>-8.701-CB18-CA18</f>
        <v>-5.7230000000000008</v>
      </c>
      <c r="CD18" s="239">
        <f>-13.037-CC18-CB18-CA18</f>
        <v>-4.3360000000000003</v>
      </c>
      <c r="CE18" s="257">
        <f t="shared" si="2"/>
        <v>-13.037000000000001</v>
      </c>
      <c r="CF18" s="316">
        <v>-8.1609999999999996</v>
      </c>
      <c r="CG18" s="316">
        <f>-16.426-CF18</f>
        <v>-8.2649999999999988</v>
      </c>
      <c r="CH18" s="239">
        <f>-22.524-CG18-CF18</f>
        <v>-6.0980000000000025</v>
      </c>
      <c r="CI18" s="239">
        <f>-32.649-CH18-CG18-CF18</f>
        <v>-10.125000000000002</v>
      </c>
      <c r="CJ18" s="257">
        <f t="shared" si="3"/>
        <v>-32.649000000000001</v>
      </c>
      <c r="CK18" s="239">
        <v>-10.551</v>
      </c>
      <c r="CL18" s="239">
        <f>-20.54-CK18</f>
        <v>-9.988999999999999</v>
      </c>
      <c r="CM18" s="239">
        <f>-25.153-CL18-CK18</f>
        <v>-4.6129999999999995</v>
      </c>
      <c r="CN18" s="239">
        <f>-56.181-CM18-CL18-CK18</f>
        <v>-31.027999999999999</v>
      </c>
      <c r="CO18" s="257">
        <f t="shared" si="4"/>
        <v>-56.180999999999997</v>
      </c>
      <c r="CP18" s="239">
        <v>-2.3780000000000001</v>
      </c>
      <c r="CQ18" s="239">
        <f>-18.98-CP18</f>
        <v>-16.602</v>
      </c>
      <c r="CR18" s="239">
        <f>-21.053-CQ18-CP18</f>
        <v>-2.0730000000000004</v>
      </c>
      <c r="CS18" s="239">
        <v>19.933</v>
      </c>
      <c r="CT18" s="257">
        <f t="shared" si="5"/>
        <v>-1.120000000000001</v>
      </c>
      <c r="CU18" s="239">
        <v>-39.063000000000002</v>
      </c>
      <c r="CV18" s="239">
        <f>-27.406-CU18</f>
        <v>11.657000000000004</v>
      </c>
      <c r="CW18" s="239">
        <f>-30.267-CV18-CU18</f>
        <v>-2.8610000000000042</v>
      </c>
      <c r="CX18" s="239">
        <v>-72.3</v>
      </c>
      <c r="CY18" s="257">
        <f t="shared" ref="CY18:CY24" si="21">SUM(CU18:CX18)</f>
        <v>-102.56700000000001</v>
      </c>
      <c r="CZ18" s="239">
        <v>-31.291</v>
      </c>
      <c r="DA18" s="239">
        <f>-55.657-CZ18</f>
        <v>-24.365999999999996</v>
      </c>
      <c r="DB18" s="239">
        <f>-75.388-DA18-CZ18</f>
        <v>-19.731000000000005</v>
      </c>
      <c r="DC18" s="415">
        <f>-104.523-DB18-DA18-CZ18</f>
        <v>-29.134999999999987</v>
      </c>
      <c r="DD18" s="257">
        <f t="shared" ref="DD18:DD24" si="22">SUM(CZ18:DC18)</f>
        <v>-104.523</v>
      </c>
      <c r="DE18" s="120">
        <f>'Balance Sheet'!DD10-'Balance Sheet'!DE10</f>
        <v>-2.9449999999999932</v>
      </c>
      <c r="DF18" s="120">
        <f>'Balance Sheet'!DE10-'Balance Sheet'!DF10</f>
        <v>14</v>
      </c>
      <c r="DG18" s="120">
        <f>'Balance Sheet'!DF10-'Balance Sheet'!DG10</f>
        <v>14</v>
      </c>
      <c r="DH18" s="120">
        <f>'Balance Sheet'!DG10-'Balance Sheet'!DH10</f>
        <v>-34</v>
      </c>
      <c r="DI18" s="257">
        <f t="shared" ref="DI18:DI24" si="23">SUM(DE18:DH18)</f>
        <v>-8.9449999999999932</v>
      </c>
      <c r="DJ18" s="120">
        <f>'Balance Sheet'!DI10-'Balance Sheet'!DJ10</f>
        <v>17</v>
      </c>
      <c r="DK18" s="120">
        <f>'Balance Sheet'!DJ10-'Balance Sheet'!DK10</f>
        <v>-10</v>
      </c>
      <c r="DL18" s="120">
        <f>'Balance Sheet'!DK10-'Balance Sheet'!DL10</f>
        <v>-6</v>
      </c>
      <c r="DM18" s="120">
        <f>'Balance Sheet'!DL10-'Balance Sheet'!DM10</f>
        <v>-61</v>
      </c>
      <c r="DN18" s="257">
        <f t="shared" ref="DN18:DN24" si="24">SUM(DJ18:DM18)</f>
        <v>-60</v>
      </c>
      <c r="DO18" s="120">
        <f>'Balance Sheet'!DN10-'Balance Sheet'!DO10</f>
        <v>45</v>
      </c>
      <c r="DP18" s="120">
        <f>'Balance Sheet'!DO10-'Balance Sheet'!DP10</f>
        <v>-53</v>
      </c>
      <c r="DQ18" s="120">
        <f>'Balance Sheet'!DP10-'Balance Sheet'!DQ10</f>
        <v>-46</v>
      </c>
      <c r="DR18" s="120">
        <f>'Balance Sheet'!DQ10-'Balance Sheet'!DR10</f>
        <v>-104</v>
      </c>
      <c r="DS18" s="257">
        <f t="shared" ref="DS18:DS24" si="25">SUM(DO18:DR18)</f>
        <v>-158</v>
      </c>
      <c r="DT18" s="120">
        <f>'Balance Sheet'!DS10-'Balance Sheet'!DT10</f>
        <v>51</v>
      </c>
      <c r="DU18" s="120">
        <f>'Balance Sheet'!DT10-'Balance Sheet'!DU10</f>
        <v>-17</v>
      </c>
      <c r="DV18" s="120">
        <f>'Balance Sheet'!DU10-'Balance Sheet'!DV10</f>
        <v>-58.087027190743925</v>
      </c>
      <c r="DW18" s="120">
        <f>'Balance Sheet'!DV10-'Balance Sheet'!DW10</f>
        <v>-95.447139773712593</v>
      </c>
      <c r="DX18" s="257">
        <f>SUM(DT18:DW18)</f>
        <v>-119.53416696445652</v>
      </c>
      <c r="DY18" s="120">
        <f>'Balance Sheet'!DX10-'Balance Sheet'!DY10</f>
        <v>126.35264236098419</v>
      </c>
      <c r="DZ18" s="120">
        <f>'Balance Sheet'!DY10-'Balance Sheet'!DZ10</f>
        <v>-55.820637257488215</v>
      </c>
      <c r="EA18" s="120">
        <f>'Balance Sheet'!DZ10-'Balance Sheet'!EA10</f>
        <v>-5.9808263057440172</v>
      </c>
      <c r="EB18" s="120">
        <f>'Balance Sheet'!EA10-'Balance Sheet'!EB10</f>
        <v>-152.33338968674275</v>
      </c>
      <c r="EC18" s="257">
        <f>SUM(DY18:EB18)</f>
        <v>-87.782210888990789</v>
      </c>
      <c r="ED18" s="120">
        <f>'Balance Sheet'!EC10-'Balance Sheet'!ED10</f>
        <v>117.77606923126382</v>
      </c>
      <c r="EE18" s="120">
        <f>'Balance Sheet'!ED10-'Balance Sheet'!EE10</f>
        <v>-73.487517378557754</v>
      </c>
      <c r="EF18" s="120">
        <f>'Balance Sheet'!EE10-'Balance Sheet'!EF10</f>
        <v>-6.382472695703882</v>
      </c>
      <c r="EG18" s="120">
        <f>'Balance Sheet'!EF10-'Balance Sheet'!EG10</f>
        <v>-183.86129681985267</v>
      </c>
      <c r="EH18" s="257">
        <f>SUM(ED18:EG18)</f>
        <v>-145.95521766285049</v>
      </c>
      <c r="EI18" s="120">
        <f>'Balance Sheet'!EH10-'Balance Sheet'!EI10</f>
        <v>146.84489568038236</v>
      </c>
      <c r="EJ18" s="120">
        <f>'Balance Sheet'!EI10-'Balance Sheet'!EJ10</f>
        <v>-79.451677788496795</v>
      </c>
      <c r="EK18" s="120">
        <f>'Balance Sheet'!EJ10-'Balance Sheet'!EK10</f>
        <v>-7.5184844827504094</v>
      </c>
      <c r="EL18" s="120">
        <f>'Balance Sheet'!EK10-'Balance Sheet'!EL10</f>
        <v>-218.43484329500598</v>
      </c>
      <c r="EM18" s="257">
        <f>SUM(EI18:EL18)</f>
        <v>-158.56010988587082</v>
      </c>
      <c r="EN18" s="120">
        <f>'Balance Sheet'!EM10-'Balance Sheet'!EN10</f>
        <v>183.11085700621265</v>
      </c>
      <c r="EO18" s="120">
        <f>'Balance Sheet'!EN10-'Balance Sheet'!EO10</f>
        <v>-93.224104699007057</v>
      </c>
      <c r="EP18" s="120">
        <f>'Balance Sheet'!EO10-'Balance Sheet'!EP10</f>
        <v>-8.879411185453705</v>
      </c>
      <c r="EQ18" s="120">
        <f>'Balance Sheet'!EP10-'Balance Sheet'!EQ10</f>
        <v>-256.3738191149456</v>
      </c>
      <c r="ER18" s="257">
        <f>SUM(EN18:EQ18)</f>
        <v>-175.36647799319371</v>
      </c>
      <c r="ES18" s="253"/>
    </row>
    <row r="19" spans="1:156" ht="12" customHeight="1">
      <c r="A19" s="794"/>
      <c r="B19" s="794"/>
      <c r="C19" s="379" t="s">
        <v>259</v>
      </c>
      <c r="D19" s="421"/>
      <c r="E19" s="380"/>
      <c r="F19" s="380"/>
      <c r="G19" s="380"/>
      <c r="H19" s="380"/>
      <c r="I19" s="422"/>
      <c r="J19" s="160"/>
      <c r="K19" s="160"/>
      <c r="L19" s="160"/>
      <c r="M19" s="380"/>
      <c r="N19" s="160"/>
      <c r="O19" s="160"/>
      <c r="P19" s="160"/>
      <c r="Q19" s="160"/>
      <c r="R19" s="380"/>
      <c r="S19" s="160"/>
      <c r="T19" s="160"/>
      <c r="U19" s="160"/>
      <c r="V19" s="160"/>
      <c r="W19" s="380"/>
      <c r="X19" s="160"/>
      <c r="Y19" s="160"/>
      <c r="Z19" s="160"/>
      <c r="AA19" s="160"/>
      <c r="AB19" s="380"/>
      <c r="AC19" s="160"/>
      <c r="AD19" s="160"/>
      <c r="AE19" s="160"/>
      <c r="AF19" s="160"/>
      <c r="AG19" s="380"/>
      <c r="AH19" s="160"/>
      <c r="AI19" s="160"/>
      <c r="AJ19" s="160"/>
      <c r="AK19" s="160"/>
      <c r="AL19" s="380"/>
      <c r="AM19" s="160"/>
      <c r="AN19" s="160"/>
      <c r="AO19" s="160"/>
      <c r="AP19" s="160"/>
      <c r="AQ19" s="380"/>
      <c r="AR19" s="160"/>
      <c r="AS19" s="160"/>
      <c r="AT19" s="160"/>
      <c r="AU19" s="160"/>
      <c r="AV19" s="380"/>
      <c r="AW19" s="160"/>
      <c r="AX19" s="160"/>
      <c r="AY19" s="160"/>
      <c r="AZ19" s="160"/>
      <c r="BA19" s="380"/>
      <c r="BB19" s="160"/>
      <c r="BC19" s="160"/>
      <c r="BD19" s="160"/>
      <c r="BE19" s="160"/>
      <c r="BF19" s="315"/>
      <c r="BG19" s="410"/>
      <c r="BH19" s="410"/>
      <c r="BI19" s="410"/>
      <c r="BJ19" s="410"/>
      <c r="BK19" s="315"/>
      <c r="BL19" s="316"/>
      <c r="BM19" s="316"/>
      <c r="BN19" s="316"/>
      <c r="BO19" s="316"/>
      <c r="BP19" s="380"/>
      <c r="BQ19" s="316">
        <v>0</v>
      </c>
      <c r="BR19" s="316">
        <f>0-BQ19</f>
        <v>0</v>
      </c>
      <c r="BS19" s="239">
        <v>0</v>
      </c>
      <c r="BT19" s="239">
        <v>0</v>
      </c>
      <c r="BU19" s="257">
        <f>SUM(BQ19:BT19)</f>
        <v>0</v>
      </c>
      <c r="BV19" s="316">
        <v>0</v>
      </c>
      <c r="BW19" s="316">
        <f>-4.494-BV19</f>
        <v>-4.4939999999999998</v>
      </c>
      <c r="BX19" s="239">
        <f>-10.017-BW19-BV19</f>
        <v>-5.5229999999999997</v>
      </c>
      <c r="BY19" s="239">
        <f>-12.924-BX19-BW19-BV19</f>
        <v>-2.907</v>
      </c>
      <c r="BZ19" s="257">
        <f>SUM(BV19:BY19)</f>
        <v>-12.923999999999999</v>
      </c>
      <c r="CA19" s="316">
        <v>-6.0330000000000004</v>
      </c>
      <c r="CB19" s="316">
        <f>-22.865-CA19</f>
        <v>-16.831999999999997</v>
      </c>
      <c r="CC19" s="239">
        <f>-40.853-CA19-CB19</f>
        <v>-17.988000000000003</v>
      </c>
      <c r="CD19" s="239">
        <f>-37.811-CC19-CB19-CA19</f>
        <v>3.0420000000000007</v>
      </c>
      <c r="CE19" s="257">
        <f t="shared" si="2"/>
        <v>-37.811</v>
      </c>
      <c r="CF19" s="316">
        <v>-18.009</v>
      </c>
      <c r="CG19" s="316">
        <f>-36.952-CF19</f>
        <v>-18.942999999999998</v>
      </c>
      <c r="CH19" s="239">
        <f>-57.46-CG19-CF19</f>
        <v>-20.508000000000003</v>
      </c>
      <c r="CI19" s="239">
        <f>-50.694-CH19-CG19-CF19</f>
        <v>6.7659999999999982</v>
      </c>
      <c r="CJ19" s="257">
        <f t="shared" si="3"/>
        <v>-50.694000000000003</v>
      </c>
      <c r="CK19" s="239">
        <v>-18.117000000000001</v>
      </c>
      <c r="CL19" s="239">
        <f>-31.222-CK19</f>
        <v>-13.105</v>
      </c>
      <c r="CM19" s="239">
        <f>-84.869-CL19-CK19</f>
        <v>-53.646999999999991</v>
      </c>
      <c r="CN19" s="239">
        <f>-74.211-CM19-CL19-CK19</f>
        <v>10.657999999999994</v>
      </c>
      <c r="CO19" s="257">
        <f t="shared" si="4"/>
        <v>-74.211000000000013</v>
      </c>
      <c r="CP19" s="239">
        <v>-46.478000000000002</v>
      </c>
      <c r="CQ19" s="239">
        <f>-22.349-CP19</f>
        <v>24.129000000000001</v>
      </c>
      <c r="CR19" s="239">
        <f>-112.447-CQ19-CP19</f>
        <v>-90.097999999999985</v>
      </c>
      <c r="CS19" s="239">
        <f>-112.721-CR19-CQ19-CP19</f>
        <v>-0.27400000000002223</v>
      </c>
      <c r="CT19" s="257">
        <f t="shared" si="5"/>
        <v>-112.721</v>
      </c>
      <c r="CU19" s="239">
        <v>-74.561000000000007</v>
      </c>
      <c r="CV19" s="239">
        <f>-188.083-CU19</f>
        <v>-113.52199999999999</v>
      </c>
      <c r="CW19" s="239">
        <f>-307.245-CV19-CU19</f>
        <v>-119.16200000000001</v>
      </c>
      <c r="CX19" s="239">
        <v>-266.077</v>
      </c>
      <c r="CY19" s="257">
        <f t="shared" si="21"/>
        <v>-573.322</v>
      </c>
      <c r="CZ19" s="239">
        <v>-27.283000000000001</v>
      </c>
      <c r="DA19" s="239">
        <f>-97.29-CZ19</f>
        <v>-70.007000000000005</v>
      </c>
      <c r="DB19" s="239">
        <f>-247.976-DA19-CZ19</f>
        <v>-150.68599999999998</v>
      </c>
      <c r="DC19" s="415">
        <f>-23.385-273.201-DB19-DA19-CZ19</f>
        <v>-48.610000000000028</v>
      </c>
      <c r="DD19" s="257">
        <f t="shared" si="22"/>
        <v>-296.58600000000001</v>
      </c>
      <c r="DE19" s="120">
        <f>'Balance Sheet'!DD11-'Balance Sheet'!DE11</f>
        <v>-48.885999999999967</v>
      </c>
      <c r="DF19" s="120">
        <f>+'Balance Sheet'!DE11-'Balance Sheet'!DF11</f>
        <v>-90</v>
      </c>
      <c r="DG19" s="120">
        <f>+'Balance Sheet'!DF11-'Balance Sheet'!DG11</f>
        <v>-114</v>
      </c>
      <c r="DH19" s="120">
        <f>+'Balance Sheet'!DG11-'Balance Sheet'!DH11</f>
        <v>17</v>
      </c>
      <c r="DI19" s="257">
        <f t="shared" si="23"/>
        <v>-235.88599999999997</v>
      </c>
      <c r="DJ19" s="120">
        <f>+'Balance Sheet'!DI11-'Balance Sheet'!DJ11</f>
        <v>1</v>
      </c>
      <c r="DK19" s="120">
        <f>+'Balance Sheet'!DJ11-'Balance Sheet'!DK11</f>
        <v>-103</v>
      </c>
      <c r="DL19" s="120">
        <f>+'Balance Sheet'!DK11-'Balance Sheet'!DL11</f>
        <v>-236</v>
      </c>
      <c r="DM19" s="120">
        <f>+'Balance Sheet'!DL11-'Balance Sheet'!DM11</f>
        <v>-70</v>
      </c>
      <c r="DN19" s="257">
        <f t="shared" si="24"/>
        <v>-408</v>
      </c>
      <c r="DO19" s="120">
        <f>+'Balance Sheet'!DN11-'Balance Sheet'!DO11</f>
        <v>-168</v>
      </c>
      <c r="DP19" s="120">
        <f>+'Balance Sheet'!DO11-'Balance Sheet'!DP11</f>
        <v>-205</v>
      </c>
      <c r="DQ19" s="120">
        <f>+'Balance Sheet'!DP11-'Balance Sheet'!DQ11</f>
        <v>-136</v>
      </c>
      <c r="DR19" s="120">
        <f>+'Balance Sheet'!DQ11-'Balance Sheet'!DR11</f>
        <v>-51</v>
      </c>
      <c r="DS19" s="257">
        <f t="shared" si="25"/>
        <v>-560</v>
      </c>
      <c r="DT19" s="120">
        <f>+'Balance Sheet'!DS11-'Balance Sheet'!DT11</f>
        <v>-313</v>
      </c>
      <c r="DU19" s="120">
        <f>+'Balance Sheet'!DT11-'Balance Sheet'!DU11</f>
        <v>-87</v>
      </c>
      <c r="DV19" s="120">
        <f>+'Balance Sheet'!DU11-'Balance Sheet'!DV11-DV12-DV32-DV31</f>
        <v>-151.04261776615635</v>
      </c>
      <c r="DW19" s="120">
        <f>+'Balance Sheet'!DV11-'Balance Sheet'!DW11-DW12-DW32-DW31</f>
        <v>-37.075188343408627</v>
      </c>
      <c r="DX19" s="257">
        <f>SUM(DT19:DW19)</f>
        <v>-588.11780610956498</v>
      </c>
      <c r="DY19" s="120">
        <f>+'Balance Sheet'!DX11-'Balance Sheet'!DY11-DY12-DY32-DY31</f>
        <v>-381.97867000208771</v>
      </c>
      <c r="DZ19" s="120">
        <f>+'Balance Sheet'!DY11-'Balance Sheet'!DZ11-DZ12-DZ32-DZ31</f>
        <v>-109.70888285113415</v>
      </c>
      <c r="EA19" s="120">
        <f>+'Balance Sheet'!DZ11-'Balance Sheet'!EA11-EA12-EA32-EA31</f>
        <v>-145.6128897241972</v>
      </c>
      <c r="EB19" s="120">
        <f>+'Balance Sheet'!EA11-'Balance Sheet'!EB11-EB12-EB32-EB31</f>
        <v>-23.451678601392132</v>
      </c>
      <c r="EC19" s="257">
        <f>SUM(DY19:EB19)</f>
        <v>-660.75212117881119</v>
      </c>
      <c r="ED19" s="120">
        <f>+'Balance Sheet'!EC11-'Balance Sheet'!ED11-ED12-ED32-ED31</f>
        <v>-417.48277003568455</v>
      </c>
      <c r="EE19" s="120">
        <f>+'Balance Sheet'!ED11-'Balance Sheet'!EE11-EE12-EE32-EE31</f>
        <v>-127.22921184833922</v>
      </c>
      <c r="EF19" s="120">
        <f>+'Balance Sheet'!EE11-'Balance Sheet'!EF11-EF12-EF32-EF31</f>
        <v>-164.58556074934768</v>
      </c>
      <c r="EG19" s="120">
        <f>+'Balance Sheet'!EF11-'Balance Sheet'!EG11-EG12-EG32-EG31</f>
        <v>-34.763745124652814</v>
      </c>
      <c r="EH19" s="257">
        <f>SUM(ED19:EG19)</f>
        <v>-744.06128775802426</v>
      </c>
      <c r="EI19" s="120">
        <f>+'Balance Sheet'!EH11-'Balance Sheet'!EI11-EI12-EI32-EI31</f>
        <v>-410.90250522443284</v>
      </c>
      <c r="EJ19" s="120">
        <f>+'Balance Sheet'!EI11-'Balance Sheet'!EJ11-EJ12-EJ32-EJ31</f>
        <v>-148.15625503312822</v>
      </c>
      <c r="EK19" s="120">
        <f>+'Balance Sheet'!EJ11-'Balance Sheet'!EK11-EK12-EK32-EK31</f>
        <v>-187.31666222475178</v>
      </c>
      <c r="EL19" s="120">
        <f>+'Balance Sheet'!EK11-'Balance Sheet'!EL11-EL12-EL32-EL31</f>
        <v>-50.782705962758428</v>
      </c>
      <c r="EM19" s="257">
        <f>SUM(EI19:EL19)</f>
        <v>-797.15812844507127</v>
      </c>
      <c r="EN19" s="120">
        <f>+'Balance Sheet'!EM11-'Balance Sheet'!EN11-EN12-EN32-EN31</f>
        <v>-409.07424259008258</v>
      </c>
      <c r="EO19" s="120">
        <f>+'Balance Sheet'!EN11-'Balance Sheet'!EO11-EO12-EO32-EO31</f>
        <v>-169.4054839938708</v>
      </c>
      <c r="EP19" s="120">
        <f>+'Balance Sheet'!EO11-'Balance Sheet'!EP11-EP12-EP32-EP31</f>
        <v>-211.18947974824914</v>
      </c>
      <c r="EQ19" s="120">
        <f>+'Balance Sheet'!EP11-'Balance Sheet'!EQ11-EQ12-EQ32-EQ31</f>
        <v>-68.326628632518805</v>
      </c>
      <c r="ER19" s="257">
        <f>SUM(EN19:EQ19)</f>
        <v>-857.99583496472133</v>
      </c>
      <c r="ES19" s="253"/>
    </row>
    <row r="20" spans="1:156" ht="12" customHeight="1">
      <c r="A20" s="794"/>
      <c r="B20" s="794"/>
      <c r="C20" s="379" t="s">
        <v>147</v>
      </c>
      <c r="D20" s="421"/>
      <c r="E20" s="380"/>
      <c r="F20" s="380"/>
      <c r="G20" s="380"/>
      <c r="H20" s="380"/>
      <c r="I20" s="422"/>
      <c r="J20" s="160"/>
      <c r="K20" s="160"/>
      <c r="L20" s="160"/>
      <c r="M20" s="380"/>
      <c r="N20" s="160"/>
      <c r="O20" s="160"/>
      <c r="P20" s="160"/>
      <c r="Q20" s="160"/>
      <c r="R20" s="380"/>
      <c r="S20" s="160"/>
      <c r="T20" s="160"/>
      <c r="U20" s="160"/>
      <c r="V20" s="160"/>
      <c r="W20" s="380"/>
      <c r="X20" s="160"/>
      <c r="Y20" s="160"/>
      <c r="Z20" s="160"/>
      <c r="AA20" s="160"/>
      <c r="AB20" s="380"/>
      <c r="AC20" s="160"/>
      <c r="AD20" s="160"/>
      <c r="AE20" s="160"/>
      <c r="AF20" s="160"/>
      <c r="AG20" s="380"/>
      <c r="AH20" s="160"/>
      <c r="AI20" s="160"/>
      <c r="AJ20" s="160"/>
      <c r="AK20" s="160"/>
      <c r="AL20" s="380"/>
      <c r="AM20" s="160"/>
      <c r="AN20" s="160"/>
      <c r="AO20" s="160"/>
      <c r="AP20" s="160"/>
      <c r="AQ20" s="380"/>
      <c r="AR20" s="160"/>
      <c r="AS20" s="160"/>
      <c r="AT20" s="160"/>
      <c r="AU20" s="160"/>
      <c r="AV20" s="380"/>
      <c r="AW20" s="160"/>
      <c r="AX20" s="160"/>
      <c r="AY20" s="160"/>
      <c r="AZ20" s="160"/>
      <c r="BA20" s="380"/>
      <c r="BB20" s="160"/>
      <c r="BC20" s="160"/>
      <c r="BD20" s="160"/>
      <c r="BE20" s="160"/>
      <c r="BF20" s="315"/>
      <c r="BG20" s="410"/>
      <c r="BH20" s="410"/>
      <c r="BI20" s="410"/>
      <c r="BJ20" s="410"/>
      <c r="BK20" s="315"/>
      <c r="BL20" s="316"/>
      <c r="BM20" s="316"/>
      <c r="BN20" s="316"/>
      <c r="BO20" s="316"/>
      <c r="BP20" s="380"/>
      <c r="BQ20" s="316">
        <v>3.1629999999999998</v>
      </c>
      <c r="BR20" s="316">
        <f>8.02-BQ20</f>
        <v>4.8569999999999993</v>
      </c>
      <c r="BS20" s="239">
        <f>4.534-BR20-BQ20</f>
        <v>-3.4859999999999993</v>
      </c>
      <c r="BT20" s="239">
        <f>11.097-SUM(BQ20:BS20)</f>
        <v>6.5629999999999988</v>
      </c>
      <c r="BU20" s="257">
        <f>SUM(BQ20:BT20)</f>
        <v>11.097</v>
      </c>
      <c r="BV20" s="316">
        <v>2.3010000000000002</v>
      </c>
      <c r="BW20" s="316">
        <f>8.02-BV20</f>
        <v>5.7189999999999994</v>
      </c>
      <c r="BX20" s="239">
        <f>16.416-BW20-BV20</f>
        <v>8.3960000000000008</v>
      </c>
      <c r="BY20" s="239">
        <f>19.813-BX20-BW20-BV20</f>
        <v>3.3969999999999985</v>
      </c>
      <c r="BZ20" s="257">
        <f>SUM(BV20:BY20)</f>
        <v>19.812999999999999</v>
      </c>
      <c r="CA20" s="316">
        <v>8.8360000000000003</v>
      </c>
      <c r="CB20" s="316">
        <f>10.595-CA20</f>
        <v>1.7590000000000003</v>
      </c>
      <c r="CC20" s="239">
        <f>15.193-CB20-CA20</f>
        <v>4.597999999999999</v>
      </c>
      <c r="CD20" s="239">
        <f>15.428-CC20-CB20-CA20</f>
        <v>0.23500000000000121</v>
      </c>
      <c r="CE20" s="257">
        <f t="shared" si="2"/>
        <v>15.428000000000001</v>
      </c>
      <c r="CF20" s="316">
        <v>11.571</v>
      </c>
      <c r="CG20" s="316">
        <f>27.285-CF20</f>
        <v>15.714</v>
      </c>
      <c r="CH20" s="239">
        <f>44.203-CG20-CF20</f>
        <v>16.918000000000006</v>
      </c>
      <c r="CI20" s="239">
        <f>20.641-CH20-CG20-CF20</f>
        <v>-23.562000000000008</v>
      </c>
      <c r="CJ20" s="257">
        <f t="shared" si="3"/>
        <v>20.640999999999995</v>
      </c>
      <c r="CK20" s="239">
        <v>34.320999999999998</v>
      </c>
      <c r="CL20" s="239">
        <f>56.049-CK20</f>
        <v>21.728000000000002</v>
      </c>
      <c r="CM20" s="239">
        <f>53.666-CL20-CK20</f>
        <v>-2.3830000000000027</v>
      </c>
      <c r="CN20" s="239">
        <f>82.529-CM20-CL20-CK20</f>
        <v>28.863000000000007</v>
      </c>
      <c r="CO20" s="257">
        <f t="shared" si="4"/>
        <v>82.528999999999996</v>
      </c>
      <c r="CP20" s="239">
        <v>30.620999999999999</v>
      </c>
      <c r="CQ20" s="239">
        <f>61.659-CP20</f>
        <v>31.038</v>
      </c>
      <c r="CR20" s="239">
        <f>86.067-CQ20-CP20</f>
        <v>24.407999999999998</v>
      </c>
      <c r="CS20" s="239">
        <f>118.588-CR20-CQ20-CP20</f>
        <v>32.521000000000001</v>
      </c>
      <c r="CT20" s="257">
        <f t="shared" si="5"/>
        <v>118.58799999999999</v>
      </c>
      <c r="CU20" s="239">
        <v>39.756</v>
      </c>
      <c r="CV20" s="239">
        <f>-10.162-CU20</f>
        <v>-49.917999999999999</v>
      </c>
      <c r="CW20" s="239">
        <f>39.392-CV20-CU20</f>
        <v>49.554000000000002</v>
      </c>
      <c r="CX20" s="239">
        <v>138.17500000000001</v>
      </c>
      <c r="CY20" s="257">
        <f t="shared" si="21"/>
        <v>177.56700000000001</v>
      </c>
      <c r="CZ20" s="239">
        <v>-44.024000000000001</v>
      </c>
      <c r="DA20" s="239">
        <f>-39.095-CZ20</f>
        <v>4.929000000000002</v>
      </c>
      <c r="DB20" s="239">
        <f>96.947-DA20-CZ20</f>
        <v>136.042</v>
      </c>
      <c r="DC20" s="415">
        <f>36.541-DB20-DA20-CZ20</f>
        <v>-60.406000000000006</v>
      </c>
      <c r="DD20" s="257">
        <f t="shared" si="22"/>
        <v>36.540999999999997</v>
      </c>
      <c r="DE20" s="120">
        <f>'Balance Sheet'!DE28-'Balance Sheet'!DD28</f>
        <v>2.43100000000004</v>
      </c>
      <c r="DF20" s="120">
        <f>+'Balance Sheet'!DF28-'Balance Sheet'!DE28</f>
        <v>19</v>
      </c>
      <c r="DG20" s="120">
        <f>+'Balance Sheet'!DG28-'Balance Sheet'!DF28</f>
        <v>-21</v>
      </c>
      <c r="DH20" s="120">
        <f>+'Balance Sheet'!DH28-'Balance Sheet'!DG28</f>
        <v>46</v>
      </c>
      <c r="DI20" s="257">
        <f t="shared" si="23"/>
        <v>46.43100000000004</v>
      </c>
      <c r="DJ20" s="120">
        <f>+'Balance Sheet'!DJ28-'Balance Sheet'!DI28</f>
        <v>10</v>
      </c>
      <c r="DK20" s="120">
        <f>+'Balance Sheet'!DK28-'Balance Sheet'!DJ28</f>
        <v>-30</v>
      </c>
      <c r="DL20" s="120">
        <f>+'Balance Sheet'!DL28-'Balance Sheet'!DK28</f>
        <v>54</v>
      </c>
      <c r="DM20" s="120">
        <f>+'Balance Sheet'!DM28-'Balance Sheet'!DL28</f>
        <v>124</v>
      </c>
      <c r="DN20" s="257">
        <f t="shared" si="24"/>
        <v>158</v>
      </c>
      <c r="DO20" s="120">
        <f>+'Balance Sheet'!DO28-'Balance Sheet'!DN28</f>
        <v>39</v>
      </c>
      <c r="DP20" s="120">
        <f>+'Balance Sheet'!DP28-'Balance Sheet'!DO28</f>
        <v>65</v>
      </c>
      <c r="DQ20" s="120">
        <f>+'Balance Sheet'!DQ28-'Balance Sheet'!DP28</f>
        <v>133</v>
      </c>
      <c r="DR20" s="120">
        <f>+'Balance Sheet'!DR28-'Balance Sheet'!DQ28</f>
        <v>101</v>
      </c>
      <c r="DS20" s="257">
        <f t="shared" si="25"/>
        <v>338</v>
      </c>
      <c r="DT20" s="120">
        <f>+'Balance Sheet'!DT28-'Balance Sheet'!DS28</f>
        <v>-41</v>
      </c>
      <c r="DU20" s="120">
        <f>+'Balance Sheet'!DU28-'Balance Sheet'!DT28</f>
        <v>81</v>
      </c>
      <c r="DV20" s="120">
        <f>+'Balance Sheet'!DV28-'Balance Sheet'!DU28</f>
        <v>160.08911868461814</v>
      </c>
      <c r="DW20" s="120">
        <f>+'Balance Sheet'!DW28-'Balance Sheet'!DV28</f>
        <v>131.99660681077603</v>
      </c>
      <c r="DX20" s="257">
        <f>SUM(DT20:DW20)</f>
        <v>332.08572549539417</v>
      </c>
      <c r="DY20" s="120">
        <f>+'Balance Sheet'!DY28-'Balance Sheet'!DX28</f>
        <v>-68.545307308970678</v>
      </c>
      <c r="DZ20" s="120">
        <f>+'Balance Sheet'!DZ28-'Balance Sheet'!DY28</f>
        <v>124.25253209323046</v>
      </c>
      <c r="EA20" s="120">
        <f>+'Balance Sheet'!EA28-'Balance Sheet'!DZ28</f>
        <v>144.12884770995697</v>
      </c>
      <c r="EB20" s="120">
        <f>+'Balance Sheet'!EB28-'Balance Sheet'!EA28</f>
        <v>154.08266884095588</v>
      </c>
      <c r="EC20" s="257">
        <f>SUM(DY20:EB20)</f>
        <v>353.91874133517263</v>
      </c>
      <c r="ED20" s="120">
        <f>+'Balance Sheet'!ED28-'Balance Sheet'!EC28</f>
        <v>-138.63365254129963</v>
      </c>
      <c r="EE20" s="120">
        <f>+'Balance Sheet'!EE28-'Balance Sheet'!ED28</f>
        <v>149.95769489004078</v>
      </c>
      <c r="EF20" s="120">
        <f>+'Balance Sheet'!EF28-'Balance Sheet'!EE28</f>
        <v>174.29678217967808</v>
      </c>
      <c r="EG20" s="120">
        <f>+'Balance Sheet'!EG28-'Balance Sheet'!EF28</f>
        <v>186.62795036230864</v>
      </c>
      <c r="EH20" s="257">
        <f>SUM(ED20:EG20)</f>
        <v>372.24877489072787</v>
      </c>
      <c r="EI20" s="120">
        <f>+'Balance Sheet'!EI28-'Balance Sheet'!EH28</f>
        <v>-207.02430053134458</v>
      </c>
      <c r="EJ20" s="120">
        <f>+'Balance Sheet'!EJ28-'Balance Sheet'!EI28</f>
        <v>178.07413076991406</v>
      </c>
      <c r="EK20" s="120">
        <f>+'Balance Sheet'!EK28-'Balance Sheet'!EJ28</f>
        <v>207.36328543614854</v>
      </c>
      <c r="EL20" s="120">
        <f>+'Balance Sheet'!EL28-'Balance Sheet'!EK28</f>
        <v>221.88907525723198</v>
      </c>
      <c r="EM20" s="257">
        <f>SUM(EI20:EL20)</f>
        <v>400.30219093195001</v>
      </c>
      <c r="EN20" s="120">
        <f>+'Balance Sheet'!EN28-'Balance Sheet'!EM28</f>
        <v>-273.63000322784637</v>
      </c>
      <c r="EO20" s="120">
        <f>+'Balance Sheet'!EO28-'Balance Sheet'!EN28</f>
        <v>208.84788762209655</v>
      </c>
      <c r="EP20" s="120">
        <f>+'Balance Sheet'!EP28-'Balance Sheet'!EO28</f>
        <v>243.66579416433069</v>
      </c>
      <c r="EQ20" s="120">
        <f>+'Balance Sheet'!EQ28-'Balance Sheet'!EP28</f>
        <v>260.18517715893677</v>
      </c>
      <c r="ER20" s="257">
        <f>SUM(EN20:EQ20)</f>
        <v>439.06885571751764</v>
      </c>
      <c r="ES20" s="253"/>
    </row>
    <row r="21" spans="1:156" ht="12" customHeight="1">
      <c r="A21" s="794"/>
      <c r="B21" s="794"/>
      <c r="C21" s="379" t="s">
        <v>232</v>
      </c>
      <c r="D21" s="421"/>
      <c r="E21" s="380"/>
      <c r="F21" s="380"/>
      <c r="G21" s="380"/>
      <c r="H21" s="380"/>
      <c r="I21" s="422"/>
      <c r="J21" s="160"/>
      <c r="K21" s="160"/>
      <c r="L21" s="160"/>
      <c r="M21" s="380"/>
      <c r="N21" s="160"/>
      <c r="O21" s="160"/>
      <c r="P21" s="160"/>
      <c r="Q21" s="160"/>
      <c r="R21" s="380"/>
      <c r="S21" s="160"/>
      <c r="T21" s="160"/>
      <c r="U21" s="160"/>
      <c r="V21" s="160"/>
      <c r="W21" s="380"/>
      <c r="X21" s="160"/>
      <c r="Y21" s="160"/>
      <c r="Z21" s="160"/>
      <c r="AA21" s="160"/>
      <c r="AB21" s="380"/>
      <c r="AC21" s="160"/>
      <c r="AD21" s="160"/>
      <c r="AE21" s="160"/>
      <c r="AF21" s="160"/>
      <c r="AG21" s="380"/>
      <c r="AH21" s="160"/>
      <c r="AI21" s="160"/>
      <c r="AJ21" s="160"/>
      <c r="AK21" s="160"/>
      <c r="AL21" s="380"/>
      <c r="AM21" s="160"/>
      <c r="AN21" s="160"/>
      <c r="AO21" s="160"/>
      <c r="AP21" s="160"/>
      <c r="AQ21" s="380"/>
      <c r="AR21" s="160"/>
      <c r="AS21" s="160"/>
      <c r="AT21" s="160"/>
      <c r="AU21" s="160"/>
      <c r="AV21" s="380"/>
      <c r="AW21" s="160"/>
      <c r="AX21" s="160"/>
      <c r="AY21" s="160"/>
      <c r="AZ21" s="160"/>
      <c r="BA21" s="380"/>
      <c r="BB21" s="160"/>
      <c r="BC21" s="160"/>
      <c r="BD21" s="160"/>
      <c r="BE21" s="160"/>
      <c r="BF21" s="315"/>
      <c r="BG21" s="410"/>
      <c r="BH21" s="410"/>
      <c r="BI21" s="410"/>
      <c r="BJ21" s="410"/>
      <c r="BK21" s="315"/>
      <c r="BL21" s="316"/>
      <c r="BM21" s="316"/>
      <c r="BN21" s="316"/>
      <c r="BO21" s="316"/>
      <c r="BP21" s="380"/>
      <c r="BQ21" s="423">
        <v>0</v>
      </c>
      <c r="BR21" s="423">
        <v>0</v>
      </c>
      <c r="BS21" s="393">
        <f>0-BR21-BQ21</f>
        <v>0</v>
      </c>
      <c r="BT21" s="393">
        <v>0</v>
      </c>
      <c r="BU21" s="286">
        <f>SUM(BQ21:BT21)</f>
        <v>0</v>
      </c>
      <c r="BV21" s="423">
        <v>0</v>
      </c>
      <c r="BW21" s="423">
        <v>0</v>
      </c>
      <c r="BX21" s="393">
        <f>0-BW21-BV21</f>
        <v>0</v>
      </c>
      <c r="BY21" s="393">
        <v>0</v>
      </c>
      <c r="BZ21" s="286">
        <f>SUM(BV21:BY21)</f>
        <v>0</v>
      </c>
      <c r="CA21" s="423">
        <v>0</v>
      </c>
      <c r="CB21" s="423">
        <v>0</v>
      </c>
      <c r="CC21" s="393">
        <f>0-CB21-CA21</f>
        <v>0</v>
      </c>
      <c r="CD21" s="393">
        <v>0</v>
      </c>
      <c r="CE21" s="286">
        <f t="shared" si="2"/>
        <v>0</v>
      </c>
      <c r="CF21" s="423">
        <v>0</v>
      </c>
      <c r="CG21" s="423">
        <f>0-CF21</f>
        <v>0</v>
      </c>
      <c r="CH21" s="393">
        <f>0-CG21-CF21</f>
        <v>0</v>
      </c>
      <c r="CI21" s="393">
        <v>0</v>
      </c>
      <c r="CJ21" s="286">
        <f t="shared" si="3"/>
        <v>0</v>
      </c>
      <c r="CK21" s="393">
        <v>0</v>
      </c>
      <c r="CL21" s="393">
        <f>0-CK21</f>
        <v>0</v>
      </c>
      <c r="CM21" s="393">
        <f>61.485-CK21-CL21</f>
        <v>61.484999999999999</v>
      </c>
      <c r="CN21" s="393">
        <f>64.648-CM21-CL21-CK21</f>
        <v>3.1629999999999967</v>
      </c>
      <c r="CO21" s="286">
        <f t="shared" si="4"/>
        <v>64.647999999999996</v>
      </c>
      <c r="CP21" s="393">
        <v>-90.375</v>
      </c>
      <c r="CQ21" s="393">
        <f>-115.387-CP21</f>
        <v>-25.012</v>
      </c>
      <c r="CR21" s="393">
        <f>-139.936-CQ21-CP21</f>
        <v>-24.549000000000007</v>
      </c>
      <c r="CS21" s="393">
        <f>-105.89-CR21-CQ21-CP21</f>
        <v>34.046000000000006</v>
      </c>
      <c r="CT21" s="286">
        <f t="shared" si="5"/>
        <v>-105.89</v>
      </c>
      <c r="CU21" s="393">
        <v>9.5250000000000004</v>
      </c>
      <c r="CV21" s="393">
        <f>6.753-CU21</f>
        <v>-2.7720000000000002</v>
      </c>
      <c r="CW21" s="393">
        <f>13.593-CV21-CU21</f>
        <v>6.8400000000000016</v>
      </c>
      <c r="CX21" s="393">
        <v>45.262999999999998</v>
      </c>
      <c r="CY21" s="304">
        <f t="shared" si="21"/>
        <v>58.856000000000002</v>
      </c>
      <c r="CZ21" s="393">
        <v>-4.8979999999999997</v>
      </c>
      <c r="DA21" s="393">
        <f>-19.049-CZ21</f>
        <v>-14.151</v>
      </c>
      <c r="DB21" s="393">
        <f>-17.671-DA21-CZ21</f>
        <v>1.3780000000000001</v>
      </c>
      <c r="DC21" s="424">
        <f>-3.941-DB21-DA21-CZ21</f>
        <v>13.73</v>
      </c>
      <c r="DD21" s="304">
        <f t="shared" si="22"/>
        <v>-3.9409999999999989</v>
      </c>
      <c r="DE21" s="425">
        <f>+'Balance Sheet'!DD12+'Balance Sheet'!DD20+'Balance Sheet'!DE29+'Balance Sheet'!DE38-'Balance Sheet'!DE12-'Balance Sheet'!DE20-'Balance Sheet'!DD29-'Balance Sheet'!DD38</f>
        <v>-163.167</v>
      </c>
      <c r="DF21" s="425">
        <f>+'Balance Sheet'!DE12+'Balance Sheet'!DE20+'Balance Sheet'!DF29+'Balance Sheet'!DF38-'Balance Sheet'!DF12-'Balance Sheet'!DF20-'Balance Sheet'!DE29-'Balance Sheet'!DE38</f>
        <v>2</v>
      </c>
      <c r="DG21" s="425">
        <f>+'Balance Sheet'!DF12+'Balance Sheet'!DF20+'Balance Sheet'!DG29+'Balance Sheet'!DG38-'Balance Sheet'!DG12-'Balance Sheet'!DG20-'Balance Sheet'!DF29-'Balance Sheet'!DF38</f>
        <v>-15</v>
      </c>
      <c r="DH21" s="425">
        <f>+'Balance Sheet'!DG12+'Balance Sheet'!DG20+'Balance Sheet'!DH29+'Balance Sheet'!DH38-'Balance Sheet'!DH12-'Balance Sheet'!DH20-'Balance Sheet'!DG29-'Balance Sheet'!DG38</f>
        <v>158</v>
      </c>
      <c r="DI21" s="304">
        <f t="shared" si="23"/>
        <v>-18.167000000000002</v>
      </c>
      <c r="DJ21" s="425">
        <f>+'Balance Sheet'!DI12+'Balance Sheet'!DI20+'Balance Sheet'!DJ29+'Balance Sheet'!DJ38-'Balance Sheet'!DJ12-'Balance Sheet'!DJ20-'Balance Sheet'!DI29-'Balance Sheet'!DI38</f>
        <v>1</v>
      </c>
      <c r="DK21" s="425">
        <f>+'Balance Sheet'!DJ12+'Balance Sheet'!DJ20+'Balance Sheet'!DK29+'Balance Sheet'!DK38-'Balance Sheet'!DK12-'Balance Sheet'!DK20-'Balance Sheet'!DJ29-'Balance Sheet'!DJ38</f>
        <v>3</v>
      </c>
      <c r="DL21" s="425">
        <f>+'Balance Sheet'!DK12+'Balance Sheet'!DK20+'Balance Sheet'!DL29+'Balance Sheet'!DL38-'Balance Sheet'!DL12-'Balance Sheet'!DL20-'Balance Sheet'!DK29-'Balance Sheet'!DK38</f>
        <v>3</v>
      </c>
      <c r="DM21" s="425">
        <f>+'Balance Sheet'!DL12+'Balance Sheet'!DL20+'Balance Sheet'!DM29+'Balance Sheet'!DM38-'Balance Sheet'!DM12-'Balance Sheet'!DM20-'Balance Sheet'!DL29-'Balance Sheet'!DL38</f>
        <v>67</v>
      </c>
      <c r="DN21" s="304">
        <f t="shared" si="24"/>
        <v>74</v>
      </c>
      <c r="DO21" s="425">
        <f>+'Balance Sheet'!DN12+'Balance Sheet'!DN20+'Balance Sheet'!DO29+'Balance Sheet'!DO38-'Balance Sheet'!DO12-'Balance Sheet'!DO20-'Balance Sheet'!DN29-'Balance Sheet'!DN38</f>
        <v>-129</v>
      </c>
      <c r="DP21" s="425">
        <f>+'Balance Sheet'!DO12+'Balance Sheet'!DO20+'Balance Sheet'!DP29+'Balance Sheet'!DP38-'Balance Sheet'!DP12-'Balance Sheet'!DP20-'Balance Sheet'!DO29-'Balance Sheet'!DO38</f>
        <v>98</v>
      </c>
      <c r="DQ21" s="425">
        <f>+'Balance Sheet'!DP12+'Balance Sheet'!DP20+'Balance Sheet'!DQ29+'Balance Sheet'!DQ38-'Balance Sheet'!DQ12-'Balance Sheet'!DQ20-'Balance Sheet'!DP29-'Balance Sheet'!DP38</f>
        <v>-5</v>
      </c>
      <c r="DR21" s="425">
        <f>+'Balance Sheet'!DQ12+'Balance Sheet'!DQ20+'Balance Sheet'!DR29+'Balance Sheet'!DR38-'Balance Sheet'!DR12-'Balance Sheet'!DR20-'Balance Sheet'!DQ29-'Balance Sheet'!DQ38</f>
        <v>22</v>
      </c>
      <c r="DS21" s="304">
        <f t="shared" si="25"/>
        <v>-14</v>
      </c>
      <c r="DT21" s="425">
        <f>+'Balance Sheet'!DS12+'Balance Sheet'!DS20+'Balance Sheet'!DT29+'Balance Sheet'!DT38-'Balance Sheet'!DT12-'Balance Sheet'!DT20-'Balance Sheet'!DS29-'Balance Sheet'!DS38</f>
        <v>-139</v>
      </c>
      <c r="DU21" s="425">
        <f>+'Balance Sheet'!DT12+'Balance Sheet'!DT20+'Balance Sheet'!DU29+'Balance Sheet'!DU38-'Balance Sheet'!DU12-'Balance Sheet'!DU20-'Balance Sheet'!DT29-'Balance Sheet'!DT38</f>
        <v>166</v>
      </c>
      <c r="DV21" s="425">
        <f>+'Balance Sheet'!DU12+'Balance Sheet'!DU20+'Balance Sheet'!DV29+'Balance Sheet'!DV38-'Balance Sheet'!DV12-'Balance Sheet'!DV20-'Balance Sheet'!DU29-'Balance Sheet'!DU38</f>
        <v>0</v>
      </c>
      <c r="DW21" s="425">
        <f>+'Balance Sheet'!DV12+'Balance Sheet'!DV20+'Balance Sheet'!DW29+'Balance Sheet'!DW38-'Balance Sheet'!DW12-'Balance Sheet'!DW20-'Balance Sheet'!DV29-'Balance Sheet'!DV38</f>
        <v>0</v>
      </c>
      <c r="DX21" s="304">
        <f>SUM(DT21:DW21)</f>
        <v>27</v>
      </c>
      <c r="DY21" s="425">
        <f>+'Balance Sheet'!DX12+'Balance Sheet'!DX20+'Balance Sheet'!DY29+'Balance Sheet'!DY38-'Balance Sheet'!DY12-'Balance Sheet'!DY20-'Balance Sheet'!DX29-'Balance Sheet'!DX38</f>
        <v>0</v>
      </c>
      <c r="DZ21" s="425">
        <f>+'Balance Sheet'!DY12+'Balance Sheet'!DY20+'Balance Sheet'!DZ29+'Balance Sheet'!DZ38-'Balance Sheet'!DZ12-'Balance Sheet'!DZ20-'Balance Sheet'!DY29-'Balance Sheet'!DY38</f>
        <v>0</v>
      </c>
      <c r="EA21" s="425">
        <f>+'Balance Sheet'!DZ12+'Balance Sheet'!DZ20+'Balance Sheet'!EA29+'Balance Sheet'!EA38-'Balance Sheet'!EA12-'Balance Sheet'!EA20-'Balance Sheet'!DZ29-'Balance Sheet'!DZ38</f>
        <v>0</v>
      </c>
      <c r="EB21" s="425">
        <f>+'Balance Sheet'!EA12+'Balance Sheet'!EA20+'Balance Sheet'!EB29+'Balance Sheet'!EB38-'Balance Sheet'!EB12-'Balance Sheet'!EB20-'Balance Sheet'!EA29-'Balance Sheet'!EA38</f>
        <v>0</v>
      </c>
      <c r="EC21" s="304">
        <f>SUM(DY21:EB21)</f>
        <v>0</v>
      </c>
      <c r="ED21" s="425">
        <f>+'Balance Sheet'!EC12+'Balance Sheet'!EC20+'Balance Sheet'!ED29+'Balance Sheet'!ED38-'Balance Sheet'!ED12-'Balance Sheet'!ED20-'Balance Sheet'!EC29-'Balance Sheet'!EC38</f>
        <v>0</v>
      </c>
      <c r="EE21" s="425">
        <f>+'Balance Sheet'!ED12+'Balance Sheet'!ED20+'Balance Sheet'!EE29+'Balance Sheet'!EE38-'Balance Sheet'!EE12-'Balance Sheet'!EE20-'Balance Sheet'!ED29-'Balance Sheet'!ED38</f>
        <v>0</v>
      </c>
      <c r="EF21" s="425">
        <f>+'Balance Sheet'!EE12+'Balance Sheet'!EE20+'Balance Sheet'!EF29+'Balance Sheet'!EF38-'Balance Sheet'!EF12-'Balance Sheet'!EF20-'Balance Sheet'!EE29-'Balance Sheet'!EE38</f>
        <v>0</v>
      </c>
      <c r="EG21" s="425">
        <f>+'Balance Sheet'!EF12+'Balance Sheet'!EF20+'Balance Sheet'!EG29+'Balance Sheet'!EG38-'Balance Sheet'!EG12-'Balance Sheet'!EG20-'Balance Sheet'!EF29-'Balance Sheet'!EF38</f>
        <v>0</v>
      </c>
      <c r="EH21" s="304">
        <f>SUM(ED21:EG21)</f>
        <v>0</v>
      </c>
      <c r="EI21" s="425">
        <f>+'Balance Sheet'!EH12+'Balance Sheet'!EH20+'Balance Sheet'!EI29+'Balance Sheet'!EI38-'Balance Sheet'!EI12-'Balance Sheet'!EI20-'Balance Sheet'!EH29-'Balance Sheet'!EH38</f>
        <v>0</v>
      </c>
      <c r="EJ21" s="425">
        <f>+'Balance Sheet'!EI12+'Balance Sheet'!EI20+'Balance Sheet'!EJ29+'Balance Sheet'!EJ38-'Balance Sheet'!EJ12-'Balance Sheet'!EJ20-'Balance Sheet'!EI29-'Balance Sheet'!EI38</f>
        <v>0</v>
      </c>
      <c r="EK21" s="425">
        <f>+'Balance Sheet'!EJ12+'Balance Sheet'!EJ20+'Balance Sheet'!EK29+'Balance Sheet'!EK38-'Balance Sheet'!EK12-'Balance Sheet'!EK20-'Balance Sheet'!EJ29-'Balance Sheet'!EJ38</f>
        <v>0</v>
      </c>
      <c r="EL21" s="425">
        <f>+'Balance Sheet'!EK12+'Balance Sheet'!EK20+'Balance Sheet'!EL29+'Balance Sheet'!EL38-'Balance Sheet'!EL12-'Balance Sheet'!EL20-'Balance Sheet'!EK29-'Balance Sheet'!EK38</f>
        <v>0</v>
      </c>
      <c r="EM21" s="304">
        <f>SUM(EI21:EL21)</f>
        <v>0</v>
      </c>
      <c r="EN21" s="425">
        <f>+'Balance Sheet'!EM12+'Balance Sheet'!EM20+'Balance Sheet'!EN29+'Balance Sheet'!EN38-'Balance Sheet'!EN12-'Balance Sheet'!EN20-'Balance Sheet'!EM29-'Balance Sheet'!EM38</f>
        <v>0</v>
      </c>
      <c r="EO21" s="425">
        <f>+'Balance Sheet'!EN12+'Balance Sheet'!EN20+'Balance Sheet'!EO29+'Balance Sheet'!EO38-'Balance Sheet'!EO12-'Balance Sheet'!EO20-'Balance Sheet'!EN29-'Balance Sheet'!EN38</f>
        <v>0</v>
      </c>
      <c r="EP21" s="425">
        <f>+'Balance Sheet'!EO12+'Balance Sheet'!EO20+'Balance Sheet'!EP29+'Balance Sheet'!EP38-'Balance Sheet'!EP12-'Balance Sheet'!EP20-'Balance Sheet'!EO29-'Balance Sheet'!EO38</f>
        <v>0</v>
      </c>
      <c r="EQ21" s="425">
        <f>+'Balance Sheet'!EP12+'Balance Sheet'!EP20+'Balance Sheet'!EQ29+'Balance Sheet'!EQ38-'Balance Sheet'!EQ12-'Balance Sheet'!EQ20-'Balance Sheet'!EP29-'Balance Sheet'!EP38</f>
        <v>0</v>
      </c>
      <c r="ER21" s="304">
        <f>SUM(EN21:EQ21)</f>
        <v>0</v>
      </c>
      <c r="ES21" s="253"/>
    </row>
    <row r="22" spans="1:156" ht="12" customHeight="1">
      <c r="A22" s="794"/>
      <c r="B22" s="794"/>
      <c r="C22" s="379" t="s">
        <v>145</v>
      </c>
      <c r="D22" s="315"/>
      <c r="E22" s="315"/>
      <c r="F22" s="315"/>
      <c r="G22" s="315"/>
      <c r="H22" s="315"/>
      <c r="I22" s="316"/>
      <c r="J22" s="316"/>
      <c r="K22" s="316"/>
      <c r="L22" s="316"/>
      <c r="M22" s="380"/>
      <c r="N22" s="316"/>
      <c r="O22" s="316"/>
      <c r="P22" s="316"/>
      <c r="Q22" s="316"/>
      <c r="R22" s="380"/>
      <c r="S22" s="316"/>
      <c r="T22" s="316"/>
      <c r="U22" s="316"/>
      <c r="V22" s="316"/>
      <c r="W22" s="380"/>
      <c r="X22" s="316"/>
      <c r="Y22" s="316"/>
      <c r="Z22" s="316"/>
      <c r="AA22" s="316"/>
      <c r="AB22" s="380"/>
      <c r="AC22" s="316"/>
      <c r="AD22" s="316"/>
      <c r="AE22" s="316"/>
      <c r="AF22" s="316"/>
      <c r="AG22" s="380"/>
      <c r="AH22" s="316"/>
      <c r="AI22" s="316"/>
      <c r="AJ22" s="316"/>
      <c r="AK22" s="316"/>
      <c r="AL22" s="380"/>
      <c r="AM22" s="316"/>
      <c r="AN22" s="316"/>
      <c r="AO22" s="316"/>
      <c r="AP22" s="316"/>
      <c r="AQ22" s="380"/>
      <c r="AR22" s="316"/>
      <c r="AS22" s="316"/>
      <c r="AT22" s="316"/>
      <c r="AU22" s="316"/>
      <c r="AV22" s="380"/>
      <c r="AW22" s="316"/>
      <c r="AX22" s="316"/>
      <c r="AY22" s="316"/>
      <c r="AZ22" s="316"/>
      <c r="BA22" s="380"/>
      <c r="BB22" s="316"/>
      <c r="BC22" s="316"/>
      <c r="BD22" s="316"/>
      <c r="BE22" s="316"/>
      <c r="BF22" s="315"/>
      <c r="BG22" s="132"/>
      <c r="BH22" s="132"/>
      <c r="BI22" s="132"/>
      <c r="BJ22" s="132"/>
      <c r="BK22" s="315"/>
      <c r="BL22" s="316"/>
      <c r="BM22" s="316"/>
      <c r="BN22" s="316"/>
      <c r="BO22" s="316"/>
      <c r="BP22" s="380"/>
      <c r="BQ22" s="239">
        <f>3.966-SUM(BQ10:BQ21,BQ7)</f>
        <v>-0.40100000000000069</v>
      </c>
      <c r="BR22" s="239">
        <f>10.666-BQ24-SUM(BR10:BR21,BR7)</f>
        <v>-1.4819999999999975</v>
      </c>
      <c r="BS22" s="239">
        <f>10.799-BR24-BQ24-SUM(BS10:BS21,BS7)</f>
        <v>5.0809999999999924</v>
      </c>
      <c r="BT22" s="239">
        <f>15.756-BS24-BR24-BQ24-SUM(BT10:BT21,BT7)</f>
        <v>1.5</v>
      </c>
      <c r="BU22" s="257">
        <f>SUM(BQ22:BT22)</f>
        <v>4.6979999999999942</v>
      </c>
      <c r="BV22" s="239">
        <f>0.655-SUM(BV10:BV21,BV7)</f>
        <v>1.70999999999999</v>
      </c>
      <c r="BW22" s="239">
        <f>6.205-BV24-SUM(BW10:BW21,BW7)</f>
        <v>2.7260000000000053</v>
      </c>
      <c r="BX22" s="239">
        <f>7.302-BW24-BV24-SUM(BX10:BX21,BX7)</f>
        <v>-0.94999999999999685</v>
      </c>
      <c r="BY22" s="239">
        <f>14.017-BX24-BW24-BV24-SUM(BY10:BY21,BY7)</f>
        <v>4.0300000000000216</v>
      </c>
      <c r="BZ22" s="257">
        <f>SUM(BV22:BY22)</f>
        <v>7.5160000000000204</v>
      </c>
      <c r="CA22" s="239">
        <f>3.999-SUM(CA10:CA21,CA7)</f>
        <v>1.4999999999984137E-2</v>
      </c>
      <c r="CB22" s="239">
        <f>-4.859-CA24-SUM(CB10:CB21,CB7)</f>
        <v>6.2859999999999943</v>
      </c>
      <c r="CC22" s="239">
        <f>-11.094-CB24-CA24-SUM(CC10:CC21,CC7)</f>
        <v>3.1949999999999932</v>
      </c>
      <c r="CD22" s="239">
        <f>7.901-CC24-CB24-CA24-SUM(CD10:CD21,CD7)</f>
        <v>0.27400000000003288</v>
      </c>
      <c r="CE22" s="257">
        <f t="shared" si="2"/>
        <v>9.7700000000000049</v>
      </c>
      <c r="CF22" s="239">
        <f>-1.875-SUM(CF10:CF21,CF7)</f>
        <v>1.6650000000000222</v>
      </c>
      <c r="CG22" s="239">
        <f>-2.797-CF24-SUM(CG10:CG21,CG7)</f>
        <v>-7.8999999999973536E-2</v>
      </c>
      <c r="CH22" s="239">
        <f>0.067-CG24-CF24-SUM(CH10:CH21,CH7)</f>
        <v>2.1160000000000148</v>
      </c>
      <c r="CI22" s="239">
        <f>9.324-CH24-CG24-CF24-SUM(CI10:CI21,CI7)</f>
        <v>2.9110000000000582</v>
      </c>
      <c r="CJ22" s="257">
        <f t="shared" si="3"/>
        <v>6.6130000000001221</v>
      </c>
      <c r="CK22" s="239">
        <f>24.344-SUM(CK10:CK21,CK7)</f>
        <v>2.0390000000000619</v>
      </c>
      <c r="CL22" s="239">
        <f>47.402-CK24-SUM(CL10:CL21,CL7)</f>
        <v>-2.79600000000001</v>
      </c>
      <c r="CM22" s="239">
        <f>17.727-CL24-CK24-SUM(CM10:CM21,CM7)</f>
        <v>4.8549999999999542</v>
      </c>
      <c r="CN22" s="239">
        <f>70.615-CM24-CL24-CK24-SUM(CN10:CN21,CN7)</f>
        <v>-38.83100000000006</v>
      </c>
      <c r="CO22" s="257">
        <f t="shared" si="4"/>
        <v>-34.733000000000054</v>
      </c>
      <c r="CP22" s="239">
        <f>-84.955-SUM(CP10:CP21,CP7)</f>
        <v>-8.7149999999999892</v>
      </c>
      <c r="CQ22" s="239">
        <f>90.235-CP24-SUM(CQ10:CQ21,CQ7)</f>
        <v>10.360999999999962</v>
      </c>
      <c r="CR22" s="239">
        <f>179.592-CQ24-CP24-SUM(CR10:CR21,CR7)</f>
        <v>16.615999999999985</v>
      </c>
      <c r="CS22" s="239">
        <f>424.958-CR24-CQ24-CP24-SUM(CS10:CS21,CS7)</f>
        <v>-8.6949999999999363</v>
      </c>
      <c r="CT22" s="257">
        <f t="shared" si="5"/>
        <v>9.5670000000000215</v>
      </c>
      <c r="CU22" s="239">
        <f>135.683-SUM(CU10:CU21,CU7)</f>
        <v>0.64499999999975444</v>
      </c>
      <c r="CV22" s="239">
        <f>202.104-CU24-SUM(CV10:CV21,CV7)</f>
        <v>3.4060000000004607</v>
      </c>
      <c r="CW22" s="239">
        <f>243.97-CV24-CU24-SUM(CW10:CW21,CW7)</f>
        <v>2.4569999999999368</v>
      </c>
      <c r="CX22" s="239">
        <f>504.428-CW24-CV24-CU24-SUM(CX10:CX21,CX7)</f>
        <v>272.02869999999962</v>
      </c>
      <c r="CY22" s="257">
        <f t="shared" si="21"/>
        <v>278.53669999999977</v>
      </c>
      <c r="CZ22" s="160">
        <f>+CZ24-SUM(CZ10:CZ17,CZ18:CZ21,CZ7)</f>
        <v>-22.079000000000484</v>
      </c>
      <c r="DA22" s="160">
        <f>+DA24-SUM(DA10:DA17,DA18:DA21,DA7)</f>
        <v>49.274000000000058</v>
      </c>
      <c r="DB22" s="160">
        <f>+DB24-SUM(DB10:DB17,DB18:DB21,DB7)</f>
        <v>-63.101000000000312</v>
      </c>
      <c r="DC22" s="160">
        <f>+DC24-SUM(DC10:DC17,DC18:DC21,DC7)</f>
        <v>379.74800000000027</v>
      </c>
      <c r="DD22" s="257">
        <f t="shared" si="22"/>
        <v>343.84199999999953</v>
      </c>
      <c r="DE22" s="120">
        <f>+DE23-SUM(DE18:DE21)</f>
        <v>316.56699999999989</v>
      </c>
      <c r="DF22" s="120">
        <f>+DF23-SUM(DF18:DF21)</f>
        <v>149</v>
      </c>
      <c r="DG22" s="120">
        <f>+DG23-SUM(DG18:DG21)</f>
        <v>109</v>
      </c>
      <c r="DH22" s="120">
        <f>+DH23-SUM(DH18:DH21)</f>
        <v>-163</v>
      </c>
      <c r="DI22" s="257">
        <f t="shared" si="23"/>
        <v>411.56699999999989</v>
      </c>
      <c r="DJ22" s="120">
        <f>+DJ23-SUM(DJ18:DJ21)</f>
        <v>-50</v>
      </c>
      <c r="DK22" s="120">
        <f>+DK23-SUM(DK18:DK21)</f>
        <v>68</v>
      </c>
      <c r="DL22" s="120">
        <f>+DL23-SUM(DL18:DL21)</f>
        <v>139</v>
      </c>
      <c r="DM22" s="120">
        <f>+DM23-SUM(DM18:DM21)</f>
        <v>-87</v>
      </c>
      <c r="DN22" s="257">
        <f t="shared" si="24"/>
        <v>70</v>
      </c>
      <c r="DO22" s="120">
        <f>+DO23-SUM(DO18:DO21)</f>
        <v>207</v>
      </c>
      <c r="DP22" s="120">
        <f>+DP23-SUM(DP18:DP21)</f>
        <v>60</v>
      </c>
      <c r="DQ22" s="120">
        <f>+DQ23-SUM(DQ18:DQ21)</f>
        <v>-16</v>
      </c>
      <c r="DR22" s="120">
        <f>+DR23-SUM(DR18:DR21)</f>
        <v>26</v>
      </c>
      <c r="DS22" s="257">
        <f t="shared" si="25"/>
        <v>277</v>
      </c>
      <c r="DT22" s="120">
        <f>+DT23-SUM(DT18:DT21)</f>
        <v>372</v>
      </c>
      <c r="DU22" s="120">
        <f>+DU23-SUM(DU18:DU21)</f>
        <v>-144</v>
      </c>
      <c r="DV22" s="120">
        <f>('Balance Sheet'!DV30-'Balance Sheet'!DU30)+('Balance Sheet'!DV35-'Balance Sheet'!DU35)+'Balance Sheet'!DU13-'Balance Sheet'!DV13</f>
        <v>82.959753671011242</v>
      </c>
      <c r="DW22" s="120">
        <f>('Balance Sheet'!DW30-'Balance Sheet'!DV30)+('Balance Sheet'!DW35-'Balance Sheet'!DV35)+'Balance Sheet'!DV13-'Balance Sheet'!DW13</f>
        <v>0.33721773178496051</v>
      </c>
      <c r="DX22" s="257">
        <f>SUM(DT22:DW22)</f>
        <v>311.2969714027962</v>
      </c>
      <c r="DY22" s="120">
        <f>('Balance Sheet'!DY30-'Balance Sheet'!DX30)+('Balance Sheet'!DY35-'Balance Sheet'!DX35)+'Balance Sheet'!DX13-'Balance Sheet'!DY13</f>
        <v>128.14687116251639</v>
      </c>
      <c r="DZ22" s="120">
        <f>('Balance Sheet'!DZ30-'Balance Sheet'!DY30)+('Balance Sheet'!DZ35-'Balance Sheet'!DY35)+'Balance Sheet'!DY13-'Balance Sheet'!DZ13</f>
        <v>15.823458736758511</v>
      </c>
      <c r="EA22" s="120">
        <f>('Balance Sheet'!EA30-'Balance Sheet'!DZ30)+('Balance Sheet'!EA35-'Balance Sheet'!DZ35)+'Balance Sheet'!DZ13-'Balance Sheet'!EA13</f>
        <v>-37.849434168090596</v>
      </c>
      <c r="EB22" s="120">
        <f>('Balance Sheet'!EB30-'Balance Sheet'!EA30)+('Balance Sheet'!EB35-'Balance Sheet'!EA35)+'Balance Sheet'!EA13-'Balance Sheet'!EB13</f>
        <v>106.47057027529746</v>
      </c>
      <c r="EC22" s="257">
        <f>SUM(DY22:EB22)</f>
        <v>212.59146600648177</v>
      </c>
      <c r="ED22" s="120">
        <f>('Balance Sheet'!ED30-'Balance Sheet'!EC30)+('Balance Sheet'!ED35-'Balance Sheet'!EC35)+'Balance Sheet'!EC13-'Balance Sheet'!ED13</f>
        <v>192.37620765021836</v>
      </c>
      <c r="EE22" s="120">
        <f>('Balance Sheet'!EE30-'Balance Sheet'!ED30)+('Balance Sheet'!EE35-'Balance Sheet'!ED35)+'Balance Sheet'!ED13-'Balance Sheet'!EE13</f>
        <v>36.7428908221776</v>
      </c>
      <c r="EF22" s="120">
        <f>('Balance Sheet'!EF30-'Balance Sheet'!EE30)+('Balance Sheet'!EF35-'Balance Sheet'!EE35)+'Balance Sheet'!EE13-'Balance Sheet'!EF13</f>
        <v>-43.214845262431027</v>
      </c>
      <c r="EG22" s="120">
        <f>('Balance Sheet'!EG30-'Balance Sheet'!EF30)+('Balance Sheet'!EG35-'Balance Sheet'!EF35)+'Balance Sheet'!EF13-'Balance Sheet'!EG13</f>
        <v>174.67531102847613</v>
      </c>
      <c r="EH22" s="257">
        <f>SUM(ED22:EG22)</f>
        <v>360.57956423844109</v>
      </c>
      <c r="EI22" s="120">
        <f>('Balance Sheet'!EI30-'Balance Sheet'!EH30)+('Balance Sheet'!EI35-'Balance Sheet'!EH35)+'Balance Sheet'!EH13-'Balance Sheet'!EI13</f>
        <v>56.603687635946187</v>
      </c>
      <c r="EJ22" s="120">
        <f>('Balance Sheet'!EJ30-'Balance Sheet'!EI30)+('Balance Sheet'!EJ35-'Balance Sheet'!EI35)+'Balance Sheet'!EI13-'Balance Sheet'!EJ13</f>
        <v>50.935473398550926</v>
      </c>
      <c r="EK22" s="120">
        <f>('Balance Sheet'!EK30-'Balance Sheet'!EJ30)+('Balance Sheet'!EK35-'Balance Sheet'!EJ35)+'Balance Sheet'!EJ13-'Balance Sheet'!EK13</f>
        <v>-49.941078740759451</v>
      </c>
      <c r="EL22" s="120">
        <f>('Balance Sheet'!EL30-'Balance Sheet'!EK30)+('Balance Sheet'!EL35-'Balance Sheet'!EK35)+'Balance Sheet'!EK13-'Balance Sheet'!EL13</f>
        <v>225.94870728762697</v>
      </c>
      <c r="EM22" s="257">
        <f>SUM(EI22:EL22)</f>
        <v>283.54678958136464</v>
      </c>
      <c r="EN22" s="120">
        <f>('Balance Sheet'!EN30-'Balance Sheet'!EM30)+('Balance Sheet'!EN35-'Balance Sheet'!EM35)+'Balance Sheet'!EM13-'Balance Sheet'!EN13</f>
        <v>-31.828346742808264</v>
      </c>
      <c r="EO22" s="120">
        <f>('Balance Sheet'!EO30-'Balance Sheet'!EN30)+('Balance Sheet'!EO35-'Balance Sheet'!EN35)+'Balance Sheet'!EN13-'Balance Sheet'!EO13</f>
        <v>59.780268515257148</v>
      </c>
      <c r="EP22" s="120">
        <f>('Balance Sheet'!EP30-'Balance Sheet'!EO30)+('Balance Sheet'!EP35-'Balance Sheet'!EO35)+'Balance Sheet'!EO13-'Balance Sheet'!EP13</f>
        <v>-58.503707788285453</v>
      </c>
      <c r="EQ22" s="120">
        <f>('Balance Sheet'!EQ30-'Balance Sheet'!EP30)+('Balance Sheet'!EQ35-'Balance Sheet'!EP35)+'Balance Sheet'!EP13-'Balance Sheet'!EQ13</f>
        <v>265.22401838491044</v>
      </c>
      <c r="ER22" s="257">
        <f>SUM(EN22:EQ22)</f>
        <v>234.67223236907387</v>
      </c>
      <c r="ES22" s="291"/>
    </row>
    <row r="23" spans="1:156" ht="12" customHeight="1">
      <c r="A23" s="794"/>
      <c r="B23" s="794"/>
      <c r="C23" s="426" t="s">
        <v>328</v>
      </c>
      <c r="D23" s="427"/>
      <c r="E23" s="427"/>
      <c r="F23" s="427"/>
      <c r="G23" s="427"/>
      <c r="H23" s="427"/>
      <c r="I23" s="428"/>
      <c r="J23" s="428"/>
      <c r="K23" s="428"/>
      <c r="L23" s="428"/>
      <c r="M23" s="429"/>
      <c r="N23" s="428"/>
      <c r="O23" s="428"/>
      <c r="P23" s="428"/>
      <c r="Q23" s="428"/>
      <c r="R23" s="429"/>
      <c r="S23" s="428"/>
      <c r="T23" s="428"/>
      <c r="U23" s="428"/>
      <c r="V23" s="428"/>
      <c r="W23" s="429"/>
      <c r="X23" s="428"/>
      <c r="Y23" s="428"/>
      <c r="Z23" s="428"/>
      <c r="AA23" s="428"/>
      <c r="AB23" s="429"/>
      <c r="AC23" s="428"/>
      <c r="AD23" s="428"/>
      <c r="AE23" s="428"/>
      <c r="AF23" s="428"/>
      <c r="AG23" s="429"/>
      <c r="AH23" s="428"/>
      <c r="AI23" s="428"/>
      <c r="AJ23" s="428"/>
      <c r="AK23" s="428"/>
      <c r="AL23" s="429"/>
      <c r="AM23" s="428"/>
      <c r="AN23" s="428"/>
      <c r="AO23" s="428"/>
      <c r="AP23" s="428"/>
      <c r="AQ23" s="429"/>
      <c r="AR23" s="428"/>
      <c r="AS23" s="428"/>
      <c r="AT23" s="428"/>
      <c r="AU23" s="428"/>
      <c r="AV23" s="429"/>
      <c r="AW23" s="428"/>
      <c r="AX23" s="428"/>
      <c r="AY23" s="428"/>
      <c r="AZ23" s="428"/>
      <c r="BA23" s="429"/>
      <c r="BB23" s="428"/>
      <c r="BC23" s="428"/>
      <c r="BD23" s="428"/>
      <c r="BE23" s="428"/>
      <c r="BF23" s="427"/>
      <c r="BG23" s="430"/>
      <c r="BH23" s="430"/>
      <c r="BI23" s="430"/>
      <c r="BJ23" s="430"/>
      <c r="BK23" s="427"/>
      <c r="BL23" s="428"/>
      <c r="BM23" s="428"/>
      <c r="BN23" s="428"/>
      <c r="BO23" s="428"/>
      <c r="BP23" s="429"/>
      <c r="BQ23" s="284">
        <f t="shared" ref="BQ23:BZ23" si="26">+SUM(BQ18:BQ22)</f>
        <v>4.2999999999999989</v>
      </c>
      <c r="BR23" s="284">
        <f t="shared" si="26"/>
        <v>5.5530000000000017</v>
      </c>
      <c r="BS23" s="284">
        <f t="shared" si="26"/>
        <v>1.3419999999999934</v>
      </c>
      <c r="BT23" s="284">
        <f t="shared" si="26"/>
        <v>5.7759999999999989</v>
      </c>
      <c r="BU23" s="272">
        <f t="shared" si="26"/>
        <v>16.970999999999993</v>
      </c>
      <c r="BV23" s="284">
        <f t="shared" si="26"/>
        <v>3.9579999999999904</v>
      </c>
      <c r="BW23" s="284">
        <f t="shared" si="26"/>
        <v>5.7830000000000048</v>
      </c>
      <c r="BX23" s="284">
        <f t="shared" si="26"/>
        <v>-0.54399999999999538</v>
      </c>
      <c r="BY23" s="284">
        <f t="shared" si="26"/>
        <v>2.8520000000000199</v>
      </c>
      <c r="BZ23" s="272">
        <f t="shared" si="26"/>
        <v>12.049000000000021</v>
      </c>
      <c r="CA23" s="284">
        <f t="shared" ref="CA23:DD23" si="27">+SUM(CA18:CA22)</f>
        <v>3.3749999999999845</v>
      </c>
      <c r="CB23" s="284">
        <f t="shared" si="27"/>
        <v>-12.322000000000003</v>
      </c>
      <c r="CC23" s="284">
        <f t="shared" si="27"/>
        <v>-15.918000000000013</v>
      </c>
      <c r="CD23" s="284">
        <f t="shared" si="27"/>
        <v>-0.7849999999999655</v>
      </c>
      <c r="CE23" s="272">
        <f t="shared" si="27"/>
        <v>-25.65</v>
      </c>
      <c r="CF23" s="284">
        <f t="shared" si="27"/>
        <v>-12.93399999999998</v>
      </c>
      <c r="CG23" s="284">
        <f t="shared" si="27"/>
        <v>-11.572999999999972</v>
      </c>
      <c r="CH23" s="284">
        <f t="shared" si="27"/>
        <v>-7.5719999999999841</v>
      </c>
      <c r="CI23" s="284">
        <f t="shared" si="27"/>
        <v>-24.009999999999955</v>
      </c>
      <c r="CJ23" s="272">
        <f t="shared" si="27"/>
        <v>-56.088999999999892</v>
      </c>
      <c r="CK23" s="284">
        <f t="shared" si="27"/>
        <v>7.6920000000000606</v>
      </c>
      <c r="CL23" s="284">
        <f t="shared" si="27"/>
        <v>-4.1620000000000097</v>
      </c>
      <c r="CM23" s="284">
        <f t="shared" si="27"/>
        <v>5.6969999999999601</v>
      </c>
      <c r="CN23" s="284">
        <f t="shared" si="27"/>
        <v>-27.175000000000061</v>
      </c>
      <c r="CO23" s="272">
        <f t="shared" si="27"/>
        <v>-17.948000000000057</v>
      </c>
      <c r="CP23" s="284">
        <f t="shared" si="27"/>
        <v>-117.32499999999999</v>
      </c>
      <c r="CQ23" s="284">
        <f t="shared" si="27"/>
        <v>23.913999999999959</v>
      </c>
      <c r="CR23" s="284">
        <f t="shared" si="27"/>
        <v>-75.696000000000012</v>
      </c>
      <c r="CS23" s="284">
        <f t="shared" si="27"/>
        <v>77.531000000000049</v>
      </c>
      <c r="CT23" s="272">
        <f t="shared" si="27"/>
        <v>-91.575999999999993</v>
      </c>
      <c r="CU23" s="284">
        <f t="shared" si="27"/>
        <v>-63.698000000000249</v>
      </c>
      <c r="CV23" s="284">
        <f t="shared" si="27"/>
        <v>-151.14899999999952</v>
      </c>
      <c r="CW23" s="284">
        <f t="shared" si="27"/>
        <v>-63.172000000000068</v>
      </c>
      <c r="CX23" s="284">
        <f t="shared" si="27"/>
        <v>117.08969999999962</v>
      </c>
      <c r="CY23" s="272">
        <f t="shared" si="27"/>
        <v>-160.92930000000024</v>
      </c>
      <c r="CZ23" s="284">
        <f t="shared" si="27"/>
        <v>-129.57500000000047</v>
      </c>
      <c r="DA23" s="284">
        <f t="shared" si="27"/>
        <v>-54.320999999999941</v>
      </c>
      <c r="DB23" s="284">
        <f t="shared" si="27"/>
        <v>-96.098000000000283</v>
      </c>
      <c r="DC23" s="284">
        <f t="shared" si="27"/>
        <v>255.32700000000028</v>
      </c>
      <c r="DD23" s="272">
        <f t="shared" si="27"/>
        <v>-24.667000000000485</v>
      </c>
      <c r="DE23" s="431">
        <v>104</v>
      </c>
      <c r="DF23" s="431">
        <v>94</v>
      </c>
      <c r="DG23" s="431">
        <v>-27</v>
      </c>
      <c r="DH23" s="432">
        <v>24</v>
      </c>
      <c r="DI23" s="272">
        <f>+SUM(DI18:DI22)</f>
        <v>194.99999999999997</v>
      </c>
      <c r="DJ23" s="432">
        <v>-21</v>
      </c>
      <c r="DK23" s="432">
        <v>-72</v>
      </c>
      <c r="DL23" s="432">
        <v>-46</v>
      </c>
      <c r="DM23" s="432">
        <v>-27</v>
      </c>
      <c r="DN23" s="272">
        <f t="shared" ref="DN23:EC23" si="28">+SUM(DN18:DN22)</f>
        <v>-166</v>
      </c>
      <c r="DO23" s="1284">
        <v>-6</v>
      </c>
      <c r="DP23" s="432">
        <v>-35</v>
      </c>
      <c r="DQ23" s="432">
        <v>-70</v>
      </c>
      <c r="DR23" s="432">
        <v>-6</v>
      </c>
      <c r="DS23" s="272">
        <f t="shared" si="28"/>
        <v>-117</v>
      </c>
      <c r="DT23" s="1284">
        <v>-70</v>
      </c>
      <c r="DU23" s="432">
        <v>-1</v>
      </c>
      <c r="DV23" s="284">
        <f t="shared" si="28"/>
        <v>33.919227398729106</v>
      </c>
      <c r="DW23" s="284">
        <f t="shared" si="28"/>
        <v>-0.18850357456022948</v>
      </c>
      <c r="DX23" s="272">
        <f t="shared" si="28"/>
        <v>-37.269276175831124</v>
      </c>
      <c r="DY23" s="284">
        <f t="shared" si="28"/>
        <v>-196.02446378755781</v>
      </c>
      <c r="DZ23" s="284">
        <f t="shared" si="28"/>
        <v>-25.453529278633397</v>
      </c>
      <c r="EA23" s="284">
        <f t="shared" si="28"/>
        <v>-45.314302488074844</v>
      </c>
      <c r="EB23" s="284">
        <f t="shared" si="28"/>
        <v>84.768170828118457</v>
      </c>
      <c r="EC23" s="272">
        <f t="shared" si="28"/>
        <v>-182.02412472614759</v>
      </c>
      <c r="ED23" s="284">
        <f t="shared" ref="ED23:ER23" si="29">+SUM(ED18:ED22)</f>
        <v>-245.964145695502</v>
      </c>
      <c r="EE23" s="284">
        <f t="shared" si="29"/>
        <v>-14.016143514678589</v>
      </c>
      <c r="EF23" s="284">
        <f t="shared" si="29"/>
        <v>-39.886096527804511</v>
      </c>
      <c r="EG23" s="284">
        <f t="shared" si="29"/>
        <v>142.67821944627929</v>
      </c>
      <c r="EH23" s="272">
        <f t="shared" si="29"/>
        <v>-157.18816629170578</v>
      </c>
      <c r="EI23" s="284">
        <f t="shared" si="29"/>
        <v>-414.47822243944887</v>
      </c>
      <c r="EJ23" s="284">
        <f t="shared" si="29"/>
        <v>1.4016713468399757</v>
      </c>
      <c r="EK23" s="284">
        <f t="shared" si="29"/>
        <v>-37.412940012113097</v>
      </c>
      <c r="EL23" s="284">
        <f t="shared" si="29"/>
        <v>178.62023328709455</v>
      </c>
      <c r="EM23" s="272">
        <f t="shared" si="29"/>
        <v>-271.86925781762744</v>
      </c>
      <c r="EN23" s="284">
        <f t="shared" si="29"/>
        <v>-531.4217355545245</v>
      </c>
      <c r="EO23" s="284">
        <f t="shared" si="29"/>
        <v>5.9985674444758388</v>
      </c>
      <c r="EP23" s="284">
        <f t="shared" si="29"/>
        <v>-34.906804557657608</v>
      </c>
      <c r="EQ23" s="284">
        <f t="shared" si="29"/>
        <v>200.7087477963828</v>
      </c>
      <c r="ER23" s="272">
        <f t="shared" si="29"/>
        <v>-359.62122487132353</v>
      </c>
      <c r="ES23" s="291"/>
    </row>
    <row r="24" spans="1:156" ht="12" customHeight="1">
      <c r="A24" s="794" t="s">
        <v>407</v>
      </c>
      <c r="B24" s="794"/>
      <c r="C24" s="433" t="s">
        <v>40</v>
      </c>
      <c r="D24" s="434"/>
      <c r="E24" s="434"/>
      <c r="F24" s="434"/>
      <c r="G24" s="434"/>
      <c r="H24" s="434"/>
      <c r="I24" s="435"/>
      <c r="J24" s="435"/>
      <c r="K24" s="435"/>
      <c r="L24" s="435"/>
      <c r="M24" s="434"/>
      <c r="N24" s="435"/>
      <c r="O24" s="435"/>
      <c r="P24" s="435"/>
      <c r="Q24" s="435"/>
      <c r="R24" s="434"/>
      <c r="S24" s="435"/>
      <c r="T24" s="435"/>
      <c r="U24" s="435"/>
      <c r="V24" s="435"/>
      <c r="W24" s="434"/>
      <c r="X24" s="435"/>
      <c r="Y24" s="435"/>
      <c r="Z24" s="435"/>
      <c r="AA24" s="435"/>
      <c r="AB24" s="434"/>
      <c r="AC24" s="435"/>
      <c r="AD24" s="435"/>
      <c r="AE24" s="435"/>
      <c r="AF24" s="435"/>
      <c r="AG24" s="434"/>
      <c r="AH24" s="435"/>
      <c r="AI24" s="435"/>
      <c r="AJ24" s="435"/>
      <c r="AK24" s="435"/>
      <c r="AL24" s="434"/>
      <c r="AM24" s="435"/>
      <c r="AN24" s="435"/>
      <c r="AO24" s="435"/>
      <c r="AP24" s="435"/>
      <c r="AQ24" s="434"/>
      <c r="AR24" s="435"/>
      <c r="AS24" s="435"/>
      <c r="AT24" s="435"/>
      <c r="AU24" s="435"/>
      <c r="AV24" s="434"/>
      <c r="AW24" s="435"/>
      <c r="AX24" s="435"/>
      <c r="AY24" s="435"/>
      <c r="AZ24" s="435"/>
      <c r="BA24" s="434"/>
      <c r="BB24" s="435"/>
      <c r="BC24" s="435"/>
      <c r="BD24" s="435"/>
      <c r="BE24" s="435"/>
      <c r="BF24" s="434"/>
      <c r="BG24" s="435"/>
      <c r="BH24" s="435"/>
      <c r="BI24" s="435"/>
      <c r="BJ24" s="435"/>
      <c r="BK24" s="434"/>
      <c r="BL24" s="435"/>
      <c r="BM24" s="435"/>
      <c r="BN24" s="435"/>
      <c r="BO24" s="435"/>
      <c r="BP24" s="434"/>
      <c r="BQ24" s="251">
        <f>+SUM(BQ7,BQ10:BQ17,BQ18:BQ22)</f>
        <v>3.9659999999999993</v>
      </c>
      <c r="BR24" s="251">
        <f>+SUM(BR7,BR10:BR17,BR18:BR22)</f>
        <v>6.7000000000000046</v>
      </c>
      <c r="BS24" s="251">
        <f>+SUM(BS7,BS10:BS17,BS18:BS22)</f>
        <v>0.13299999999999557</v>
      </c>
      <c r="BT24" s="251">
        <f>+SUM(BT7,BT10:BT17,BT18:BT22)</f>
        <v>4.9570000000000007</v>
      </c>
      <c r="BU24" s="252">
        <f>SUM(BQ24:BT24)</f>
        <v>15.756</v>
      </c>
      <c r="BV24" s="251">
        <f>+SUM(BV7,BV10:BV17,BV18:BV22)</f>
        <v>0.65500000000000047</v>
      </c>
      <c r="BW24" s="251">
        <f>+SUM(BW7,BW10:BW17,BW18:BW22)</f>
        <v>5.5499999999999989</v>
      </c>
      <c r="BX24" s="251">
        <f>+SUM(BX7,BX10:BX17,BX18:BX22)</f>
        <v>1.0970000000000002</v>
      </c>
      <c r="BY24" s="251">
        <f>+SUM(BY7,BY10:BY17,BY18:BY22)</f>
        <v>6.7150000000000016</v>
      </c>
      <c r="BZ24" s="252">
        <f>SUM(BV24:BY24)</f>
        <v>14.017000000000001</v>
      </c>
      <c r="CA24" s="251">
        <f>+SUM(CA7,CA10:CA17,CA18:CA22)</f>
        <v>3.9989999999999992</v>
      </c>
      <c r="CB24" s="251">
        <f>+SUM(CB7,CB10:CB17,CB18:CB22)</f>
        <v>-8.8580000000000005</v>
      </c>
      <c r="CC24" s="251">
        <f>+SUM(CC7,CC10:CC17,CC18:CC22)</f>
        <v>-6.2349999999999977</v>
      </c>
      <c r="CD24" s="251">
        <f>+SUM(CD7,CD10:CD17,CD18:CD22)</f>
        <v>18.995000000000001</v>
      </c>
      <c r="CE24" s="252">
        <f>SUM(CA24:CD24)</f>
        <v>7.9010000000000016</v>
      </c>
      <c r="CF24" s="251">
        <f>+SUM(CF7,CF10:CF17,CF18:CF22)</f>
        <v>-1.8750000000000018</v>
      </c>
      <c r="CG24" s="251">
        <f>+SUM(CG7,CG10:CG17,CG18:CG22)</f>
        <v>-0.92199999999999305</v>
      </c>
      <c r="CH24" s="251">
        <f>+SUM(CH7,CH10:CH17,CH18:CH22)</f>
        <v>2.8639999999999946</v>
      </c>
      <c r="CI24" s="251">
        <f>+SUM(CI7,CI10:CI17,CI18:CI22)</f>
        <v>9.2569999999999943</v>
      </c>
      <c r="CJ24" s="252">
        <f>SUM(CF24:CI24)</f>
        <v>9.3239999999999945</v>
      </c>
      <c r="CK24" s="251">
        <f>+SUM(CK7,CK10:CK17,CK18:CK22)</f>
        <v>24.344000000000012</v>
      </c>
      <c r="CL24" s="251">
        <f>+SUM(CL7,CL10:CL17,CL18:CL22)</f>
        <v>23.057999999999986</v>
      </c>
      <c r="CM24" s="251">
        <f>+SUM(CM7,CM10:CM17,CM18:CM22)</f>
        <v>-29.675000000000004</v>
      </c>
      <c r="CN24" s="251">
        <f>+SUM(CN7,CN10:CN17,CN18:CN22)</f>
        <v>52.888000000000005</v>
      </c>
      <c r="CO24" s="252">
        <f>SUM(CK24:CN24)</f>
        <v>70.615000000000009</v>
      </c>
      <c r="CP24" s="251">
        <f>+SUM(CP7,CP10:CP17,CP18:CP22)</f>
        <v>-84.954999999999998</v>
      </c>
      <c r="CQ24" s="251">
        <f>+SUM(CQ7,CQ10:CQ17,CQ18:CQ22)</f>
        <v>175.19</v>
      </c>
      <c r="CR24" s="251">
        <f>+SUM(CR7,CR10:CR17,CR18:CR22)</f>
        <v>89.357000000000014</v>
      </c>
      <c r="CS24" s="251">
        <f>+SUM(CS7,CS10:CS17,CS18:CS22)</f>
        <v>245.36599999999993</v>
      </c>
      <c r="CT24" s="252">
        <f>SUM(CP24:CS24)</f>
        <v>424.95799999999997</v>
      </c>
      <c r="CU24" s="251">
        <f>+SUM(CU7,CU10:CU17,CU18:CU22)</f>
        <v>135.68299999999957</v>
      </c>
      <c r="CV24" s="251">
        <f>+SUM(CV7,CV10:CV17,CV18:CV22)</f>
        <v>66.42100000000039</v>
      </c>
      <c r="CW24" s="251">
        <f>+SUM(CW7,CW10:CW17,CW18:CW22)</f>
        <v>41.866000000000142</v>
      </c>
      <c r="CX24" s="251">
        <f>+SUM(CX7,CX10:CX17,CX18:CX22)</f>
        <v>260.45799999999986</v>
      </c>
      <c r="CY24" s="252">
        <f t="shared" si="21"/>
        <v>504.42799999999994</v>
      </c>
      <c r="CZ24" s="436">
        <v>-53.561</v>
      </c>
      <c r="DA24" s="436">
        <f>-177.727-CZ24</f>
        <v>-124.166</v>
      </c>
      <c r="DB24" s="436">
        <f>-391.833-DA24-CZ24</f>
        <v>-214.10600000000002</v>
      </c>
      <c r="DC24" s="436">
        <f>-136.448-DB24-DA24-CZ24</f>
        <v>255.38500000000002</v>
      </c>
      <c r="DD24" s="252">
        <f t="shared" si="22"/>
        <v>-136.44800000000001</v>
      </c>
      <c r="DE24" s="436">
        <v>100</v>
      </c>
      <c r="DF24" s="436">
        <v>118</v>
      </c>
      <c r="DG24" s="436">
        <v>278</v>
      </c>
      <c r="DH24" s="436">
        <v>448</v>
      </c>
      <c r="DI24" s="252">
        <f t="shared" si="23"/>
        <v>944</v>
      </c>
      <c r="DJ24" s="436">
        <v>238</v>
      </c>
      <c r="DK24" s="436">
        <v>340</v>
      </c>
      <c r="DL24" s="436">
        <v>423</v>
      </c>
      <c r="DM24" s="436">
        <v>615</v>
      </c>
      <c r="DN24" s="252">
        <f t="shared" si="24"/>
        <v>1616</v>
      </c>
      <c r="DO24" s="1281">
        <v>367</v>
      </c>
      <c r="DP24" s="436">
        <v>428</v>
      </c>
      <c r="DQ24" s="436">
        <v>513</v>
      </c>
      <c r="DR24" s="436">
        <v>725</v>
      </c>
      <c r="DS24" s="252">
        <f t="shared" si="25"/>
        <v>2033</v>
      </c>
      <c r="DT24" s="1281">
        <v>481</v>
      </c>
      <c r="DU24" s="436">
        <v>658</v>
      </c>
      <c r="DV24" s="251">
        <f>+SUM(DV7,DV10:DV17,DV18:DV22)</f>
        <v>788.7162013514444</v>
      </c>
      <c r="DW24" s="251">
        <f>+SUM(DW7,DW10:DW17,DW18:DW22)</f>
        <v>1043.0786688213532</v>
      </c>
      <c r="DX24" s="252">
        <f>SUM(DT24:DW24)</f>
        <v>2970.7948701727973</v>
      </c>
      <c r="DY24" s="251">
        <f>+SUM(DY7,DY10:DY17,DY18:DY22)</f>
        <v>550.58915192277357</v>
      </c>
      <c r="DZ24" s="251">
        <f>+SUM(DZ7,DZ10:DZ17,DZ18:DZ22)</f>
        <v>859.23026078526686</v>
      </c>
      <c r="EA24" s="251">
        <f>+SUM(EA7,EA10:EA17,EA18:EA22)</f>
        <v>932.51646239930517</v>
      </c>
      <c r="EB24" s="251">
        <f>+SUM(EB7,EB10:EB17,EB18:EB22)</f>
        <v>1442.8259208920722</v>
      </c>
      <c r="EC24" s="252">
        <f>SUM(DY24:EB24)</f>
        <v>3785.1617959994178</v>
      </c>
      <c r="ED24" s="251">
        <f>+SUM(ED7,ED10:ED17,ED18:ED22)</f>
        <v>651.7430461093013</v>
      </c>
      <c r="EE24" s="251">
        <f>+SUM(EE7,EE10:EE17,EE18:EE22)</f>
        <v>1061.6519978111785</v>
      </c>
      <c r="EF24" s="251">
        <f>+SUM(EF7,EF10:EF17,EF18:EF22)</f>
        <v>1097.18777594628</v>
      </c>
      <c r="EG24" s="251">
        <f>+SUM(EG7,EG10:EG17,EG18:EG22)</f>
        <v>1699.7634105886546</v>
      </c>
      <c r="EH24" s="252">
        <f>SUM(ED24:EG24)</f>
        <v>4510.3462304554141</v>
      </c>
      <c r="EI24" s="251">
        <f>+SUM(EI7,EI10:EI17,EI18:EI22)</f>
        <v>673.88902315406358</v>
      </c>
      <c r="EJ24" s="251">
        <f>+SUM(EJ7,EJ10:EJ17,EJ18:EJ22)</f>
        <v>1303.4836801908677</v>
      </c>
      <c r="EK24" s="251">
        <f>+SUM(EK7,EK10:EK17,EK18:EK22)</f>
        <v>1336.6265555829655</v>
      </c>
      <c r="EL24" s="251">
        <f>+SUM(EL7,EL10:EL17,EL18:EL22)</f>
        <v>2059.090663284434</v>
      </c>
      <c r="EM24" s="252">
        <f>SUM(EI24:EL24)</f>
        <v>5373.0899222123307</v>
      </c>
      <c r="EN24" s="251">
        <f>+SUM(EN7,EN10:EN17,EN18:EN22)</f>
        <v>779.02897417422832</v>
      </c>
      <c r="EO24" s="251">
        <f>+SUM(EO7,EO10:EO17,EO18:EO22)</f>
        <v>1571.615376174798</v>
      </c>
      <c r="EP24" s="251">
        <f>+SUM(EP7,EP10:EP17,EP18:EP22)</f>
        <v>1615.0273663397918</v>
      </c>
      <c r="EQ24" s="251">
        <f>+SUM(EQ7,EQ10:EQ17,EQ18:EQ22)</f>
        <v>2455.3851638403016</v>
      </c>
      <c r="ER24" s="252">
        <f>SUM(EN24:EQ24)</f>
        <v>6421.0568805291205</v>
      </c>
      <c r="ES24" s="254"/>
    </row>
    <row r="25" spans="1:156" ht="12" customHeight="1">
      <c r="A25" s="794"/>
      <c r="B25" s="794"/>
      <c r="C25" s="275" t="s">
        <v>329</v>
      </c>
      <c r="D25" s="437"/>
      <c r="E25" s="437"/>
      <c r="F25" s="437"/>
      <c r="G25" s="437"/>
      <c r="H25" s="437"/>
      <c r="I25" s="438"/>
      <c r="J25" s="438"/>
      <c r="K25" s="438"/>
      <c r="L25" s="438"/>
      <c r="M25" s="439"/>
      <c r="N25" s="438"/>
      <c r="O25" s="438"/>
      <c r="P25" s="438"/>
      <c r="Q25" s="438"/>
      <c r="R25" s="439"/>
      <c r="S25" s="438"/>
      <c r="T25" s="438"/>
      <c r="U25" s="438"/>
      <c r="V25" s="438"/>
      <c r="W25" s="439"/>
      <c r="X25" s="438"/>
      <c r="Y25" s="438"/>
      <c r="Z25" s="438"/>
      <c r="AA25" s="438"/>
      <c r="AB25" s="439"/>
      <c r="AC25" s="438"/>
      <c r="AD25" s="438"/>
      <c r="AE25" s="438"/>
      <c r="AF25" s="438"/>
      <c r="AG25" s="439"/>
      <c r="AH25" s="438"/>
      <c r="AI25" s="438"/>
      <c r="AJ25" s="438"/>
      <c r="AK25" s="438"/>
      <c r="AL25" s="439"/>
      <c r="AM25" s="438"/>
      <c r="AN25" s="438"/>
      <c r="AO25" s="438"/>
      <c r="AP25" s="438"/>
      <c r="AQ25" s="439"/>
      <c r="AR25" s="438"/>
      <c r="AS25" s="438"/>
      <c r="AT25" s="438"/>
      <c r="AU25" s="438"/>
      <c r="AV25" s="439"/>
      <c r="AW25" s="438"/>
      <c r="AX25" s="438"/>
      <c r="AY25" s="438"/>
      <c r="AZ25" s="438"/>
      <c r="BA25" s="439"/>
      <c r="BB25" s="438"/>
      <c r="BC25" s="438"/>
      <c r="BD25" s="438"/>
      <c r="BE25" s="438"/>
      <c r="BF25" s="437"/>
      <c r="BG25" s="440"/>
      <c r="BH25" s="440"/>
      <c r="BI25" s="440"/>
      <c r="BJ25" s="440"/>
      <c r="BK25" s="437"/>
      <c r="BL25" s="438"/>
      <c r="BM25" s="438"/>
      <c r="BN25" s="438"/>
      <c r="BO25" s="438"/>
      <c r="BP25" s="439"/>
      <c r="BQ25" s="231">
        <f t="shared" ref="BQ25:CV25" si="30">+SUM(BQ10:BQ17,BQ7)</f>
        <v>-0.33399999999999963</v>
      </c>
      <c r="BR25" s="231">
        <f t="shared" si="30"/>
        <v>1.1470000000000011</v>
      </c>
      <c r="BS25" s="231">
        <f t="shared" si="30"/>
        <v>-1.2089999999999979</v>
      </c>
      <c r="BT25" s="231">
        <f t="shared" si="30"/>
        <v>-0.81899999999999906</v>
      </c>
      <c r="BU25" s="416">
        <f t="shared" si="30"/>
        <v>-1.2149999999999928</v>
      </c>
      <c r="BV25" s="231">
        <f t="shared" si="30"/>
        <v>-3.3029999999999902</v>
      </c>
      <c r="BW25" s="231">
        <f t="shared" si="30"/>
        <v>-0.23300000000000587</v>
      </c>
      <c r="BX25" s="231">
        <f t="shared" si="30"/>
        <v>1.6409999999999947</v>
      </c>
      <c r="BY25" s="231">
        <f t="shared" si="30"/>
        <v>3.8629999999999818</v>
      </c>
      <c r="BZ25" s="416">
        <f t="shared" si="30"/>
        <v>1.9679999999999822</v>
      </c>
      <c r="CA25" s="231">
        <f t="shared" si="30"/>
        <v>0.62400000000001477</v>
      </c>
      <c r="CB25" s="231">
        <f t="shared" si="30"/>
        <v>3.464000000000004</v>
      </c>
      <c r="CC25" s="231">
        <f t="shared" si="30"/>
        <v>9.683000000000014</v>
      </c>
      <c r="CD25" s="231">
        <f t="shared" si="30"/>
        <v>19.779999999999966</v>
      </c>
      <c r="CE25" s="416">
        <f t="shared" si="30"/>
        <v>33.550999999999995</v>
      </c>
      <c r="CF25" s="231">
        <f t="shared" si="30"/>
        <v>11.058999999999976</v>
      </c>
      <c r="CG25" s="231">
        <f t="shared" si="30"/>
        <v>10.650999999999975</v>
      </c>
      <c r="CH25" s="231">
        <f t="shared" si="30"/>
        <v>10.435999999999979</v>
      </c>
      <c r="CI25" s="231">
        <f t="shared" si="30"/>
        <v>33.266999999999953</v>
      </c>
      <c r="CJ25" s="416">
        <f t="shared" si="30"/>
        <v>65.412999999999855</v>
      </c>
      <c r="CK25" s="231">
        <f t="shared" si="30"/>
        <v>16.651999999999948</v>
      </c>
      <c r="CL25" s="231">
        <f t="shared" si="30"/>
        <v>27.219999999999992</v>
      </c>
      <c r="CM25" s="231">
        <f t="shared" si="30"/>
        <v>-35.371999999999957</v>
      </c>
      <c r="CN25" s="231">
        <f t="shared" si="30"/>
        <v>80.063000000000059</v>
      </c>
      <c r="CO25" s="416">
        <f t="shared" si="30"/>
        <v>88.563000000000045</v>
      </c>
      <c r="CP25" s="231">
        <f t="shared" si="30"/>
        <v>32.36999999999999</v>
      </c>
      <c r="CQ25" s="231">
        <f t="shared" si="30"/>
        <v>151.27600000000004</v>
      </c>
      <c r="CR25" s="231">
        <f t="shared" si="30"/>
        <v>165.05300000000003</v>
      </c>
      <c r="CS25" s="231">
        <f t="shared" si="30"/>
        <v>167.83499999999995</v>
      </c>
      <c r="CT25" s="416">
        <f t="shared" si="30"/>
        <v>516.53399999999999</v>
      </c>
      <c r="CU25" s="231">
        <f t="shared" si="30"/>
        <v>199.38100000000009</v>
      </c>
      <c r="CV25" s="231">
        <f t="shared" si="30"/>
        <v>217.56999999999994</v>
      </c>
      <c r="CW25" s="231">
        <f t="shared" ref="CW25:EC25" si="31">+SUM(CW10:CW17,CW7)</f>
        <v>105.03800000000024</v>
      </c>
      <c r="CX25" s="231">
        <f t="shared" si="31"/>
        <v>143.36830000000026</v>
      </c>
      <c r="CY25" s="416">
        <f t="shared" si="31"/>
        <v>665.35730000000058</v>
      </c>
      <c r="CZ25" s="231">
        <f t="shared" si="31"/>
        <v>76.014000000000124</v>
      </c>
      <c r="DA25" s="231">
        <f t="shared" si="31"/>
        <v>-69.845000000000027</v>
      </c>
      <c r="DB25" s="231">
        <f t="shared" si="31"/>
        <v>-118.0079999999997</v>
      </c>
      <c r="DC25" s="231">
        <f t="shared" si="31"/>
        <v>5.799999999976535E-2</v>
      </c>
      <c r="DD25" s="416">
        <f t="shared" si="31"/>
        <v>-111.78099999999949</v>
      </c>
      <c r="DE25" s="231">
        <f t="shared" si="31"/>
        <v>-4</v>
      </c>
      <c r="DF25" s="231">
        <f t="shared" si="31"/>
        <v>24</v>
      </c>
      <c r="DG25" s="231">
        <f t="shared" si="31"/>
        <v>305</v>
      </c>
      <c r="DH25" s="231">
        <f t="shared" si="31"/>
        <v>424</v>
      </c>
      <c r="DI25" s="416">
        <f t="shared" si="31"/>
        <v>749</v>
      </c>
      <c r="DJ25" s="231">
        <f t="shared" si="31"/>
        <v>259</v>
      </c>
      <c r="DK25" s="231">
        <f t="shared" si="31"/>
        <v>412</v>
      </c>
      <c r="DL25" s="231">
        <f t="shared" si="31"/>
        <v>469</v>
      </c>
      <c r="DM25" s="231">
        <f t="shared" si="31"/>
        <v>642</v>
      </c>
      <c r="DN25" s="416">
        <f t="shared" si="31"/>
        <v>1782</v>
      </c>
      <c r="DO25" s="231">
        <f>+SUM(DO10:DO17,DO7)</f>
        <v>373</v>
      </c>
      <c r="DP25" s="231">
        <f t="shared" ref="DP25:DR25" si="32">+SUM(DP10:DP17,DP7)</f>
        <v>463</v>
      </c>
      <c r="DQ25" s="231">
        <f t="shared" si="32"/>
        <v>583</v>
      </c>
      <c r="DR25" s="231">
        <f t="shared" si="32"/>
        <v>731</v>
      </c>
      <c r="DS25" s="416">
        <f t="shared" si="31"/>
        <v>2150</v>
      </c>
      <c r="DT25" s="231">
        <f>+SUM(DT10:DT17,DT7)</f>
        <v>551</v>
      </c>
      <c r="DU25" s="231">
        <f t="shared" ref="DU25" si="33">+SUM(DU10:DU17,DU7)</f>
        <v>659</v>
      </c>
      <c r="DV25" s="231">
        <f t="shared" si="31"/>
        <v>754.79697395271535</v>
      </c>
      <c r="DW25" s="231">
        <f t="shared" si="31"/>
        <v>1043.2671723959138</v>
      </c>
      <c r="DX25" s="416">
        <f t="shared" si="31"/>
        <v>3008.064146348629</v>
      </c>
      <c r="DY25" s="231">
        <f t="shared" si="31"/>
        <v>746.61361571033137</v>
      </c>
      <c r="DZ25" s="231">
        <f t="shared" si="31"/>
        <v>884.68379006390023</v>
      </c>
      <c r="EA25" s="231">
        <f t="shared" si="31"/>
        <v>977.83076488738004</v>
      </c>
      <c r="EB25" s="231">
        <f t="shared" si="31"/>
        <v>1358.0577500639536</v>
      </c>
      <c r="EC25" s="416">
        <f t="shared" si="31"/>
        <v>3967.1859207255652</v>
      </c>
      <c r="ED25" s="231">
        <f t="shared" ref="ED25:ER25" si="34">+SUM(ED10:ED17,ED7)</f>
        <v>897.7071918048033</v>
      </c>
      <c r="EE25" s="231">
        <f t="shared" si="34"/>
        <v>1075.6681413258571</v>
      </c>
      <c r="EF25" s="231">
        <f t="shared" si="34"/>
        <v>1137.0738724740845</v>
      </c>
      <c r="EG25" s="231">
        <f t="shared" si="34"/>
        <v>1557.0851911423752</v>
      </c>
      <c r="EH25" s="416">
        <f t="shared" si="34"/>
        <v>4667.5343967471199</v>
      </c>
      <c r="EI25" s="231">
        <f t="shared" si="34"/>
        <v>1088.3672455935125</v>
      </c>
      <c r="EJ25" s="231">
        <f t="shared" si="34"/>
        <v>1302.0820088440278</v>
      </c>
      <c r="EK25" s="231">
        <f t="shared" si="34"/>
        <v>1374.0394955950783</v>
      </c>
      <c r="EL25" s="231">
        <f t="shared" si="34"/>
        <v>1880.4704299973396</v>
      </c>
      <c r="EM25" s="416">
        <f t="shared" si="34"/>
        <v>5644.9591800299577</v>
      </c>
      <c r="EN25" s="231">
        <f t="shared" si="34"/>
        <v>1310.4507097287528</v>
      </c>
      <c r="EO25" s="231">
        <f t="shared" si="34"/>
        <v>1565.6168087303222</v>
      </c>
      <c r="EP25" s="231">
        <f t="shared" si="34"/>
        <v>1649.9341708974493</v>
      </c>
      <c r="EQ25" s="231">
        <f t="shared" si="34"/>
        <v>2254.6764160439188</v>
      </c>
      <c r="ER25" s="416">
        <f t="shared" si="34"/>
        <v>6780.6781054004432</v>
      </c>
      <c r="ES25" s="275"/>
    </row>
    <row r="26" spans="1:156" ht="12" customHeight="1">
      <c r="A26" s="794"/>
      <c r="B26" s="794"/>
      <c r="C26" s="403" t="s">
        <v>106</v>
      </c>
      <c r="D26" s="380"/>
      <c r="E26" s="380"/>
      <c r="F26" s="380"/>
      <c r="G26" s="380"/>
      <c r="H26" s="380"/>
      <c r="I26" s="160"/>
      <c r="J26" s="160"/>
      <c r="K26" s="160"/>
      <c r="L26" s="160"/>
      <c r="M26" s="380"/>
      <c r="N26" s="160"/>
      <c r="O26" s="160"/>
      <c r="P26" s="160"/>
      <c r="Q26" s="160"/>
      <c r="R26" s="380"/>
      <c r="S26" s="160"/>
      <c r="T26" s="160"/>
      <c r="U26" s="160"/>
      <c r="V26" s="160"/>
      <c r="W26" s="380"/>
      <c r="X26" s="160"/>
      <c r="Y26" s="160"/>
      <c r="Z26" s="160"/>
      <c r="AA26" s="160"/>
      <c r="AB26" s="380"/>
      <c r="AC26" s="160"/>
      <c r="AD26" s="160"/>
      <c r="AE26" s="160"/>
      <c r="AF26" s="160"/>
      <c r="AG26" s="380"/>
      <c r="AH26" s="160"/>
      <c r="AI26" s="160"/>
      <c r="AJ26" s="160"/>
      <c r="AK26" s="160"/>
      <c r="AL26" s="380"/>
      <c r="AM26" s="160"/>
      <c r="AN26" s="160"/>
      <c r="AO26" s="160"/>
      <c r="AP26" s="160"/>
      <c r="AQ26" s="380"/>
      <c r="AR26" s="160"/>
      <c r="AS26" s="160"/>
      <c r="AT26" s="160"/>
      <c r="AU26" s="160"/>
      <c r="AV26" s="380"/>
      <c r="AW26" s="160"/>
      <c r="AX26" s="160"/>
      <c r="AY26" s="160"/>
      <c r="AZ26" s="160"/>
      <c r="BA26" s="380"/>
      <c r="BB26" s="160"/>
      <c r="BC26" s="160"/>
      <c r="BD26" s="160"/>
      <c r="BE26" s="160"/>
      <c r="BF26" s="380"/>
      <c r="BG26" s="410"/>
      <c r="BH26" s="410"/>
      <c r="BI26" s="410"/>
      <c r="BJ26" s="410"/>
      <c r="BK26" s="380"/>
      <c r="BL26" s="160"/>
      <c r="BM26" s="160"/>
      <c r="BN26" s="160"/>
      <c r="BO26" s="160"/>
      <c r="BP26" s="380"/>
      <c r="BQ26" s="441">
        <f t="shared" ref="BQ26:CV26" si="35">ROUND(+BQ23+BQ25-BQ24,1)</f>
        <v>0</v>
      </c>
      <c r="BR26" s="441">
        <f t="shared" si="35"/>
        <v>0</v>
      </c>
      <c r="BS26" s="441">
        <f t="shared" si="35"/>
        <v>0</v>
      </c>
      <c r="BT26" s="441">
        <f t="shared" si="35"/>
        <v>0</v>
      </c>
      <c r="BU26" s="442">
        <f t="shared" si="35"/>
        <v>0</v>
      </c>
      <c r="BV26" s="441">
        <f t="shared" si="35"/>
        <v>0</v>
      </c>
      <c r="BW26" s="441">
        <f t="shared" si="35"/>
        <v>0</v>
      </c>
      <c r="BX26" s="441">
        <f t="shared" si="35"/>
        <v>0</v>
      </c>
      <c r="BY26" s="441">
        <f t="shared" si="35"/>
        <v>0</v>
      </c>
      <c r="BZ26" s="442">
        <f t="shared" si="35"/>
        <v>0</v>
      </c>
      <c r="CA26" s="441">
        <f t="shared" si="35"/>
        <v>0</v>
      </c>
      <c r="CB26" s="441">
        <f t="shared" si="35"/>
        <v>0</v>
      </c>
      <c r="CC26" s="441">
        <f t="shared" si="35"/>
        <v>0</v>
      </c>
      <c r="CD26" s="441">
        <f t="shared" si="35"/>
        <v>0</v>
      </c>
      <c r="CE26" s="442">
        <f t="shared" si="35"/>
        <v>0</v>
      </c>
      <c r="CF26" s="441">
        <f t="shared" si="35"/>
        <v>0</v>
      </c>
      <c r="CG26" s="441">
        <f t="shared" si="35"/>
        <v>0</v>
      </c>
      <c r="CH26" s="441">
        <f t="shared" si="35"/>
        <v>0</v>
      </c>
      <c r="CI26" s="441">
        <f t="shared" si="35"/>
        <v>0</v>
      </c>
      <c r="CJ26" s="442">
        <f t="shared" si="35"/>
        <v>0</v>
      </c>
      <c r="CK26" s="441">
        <f t="shared" si="35"/>
        <v>0</v>
      </c>
      <c r="CL26" s="441">
        <f t="shared" si="35"/>
        <v>0</v>
      </c>
      <c r="CM26" s="441">
        <f t="shared" si="35"/>
        <v>0</v>
      </c>
      <c r="CN26" s="441">
        <f t="shared" si="35"/>
        <v>0</v>
      </c>
      <c r="CO26" s="442">
        <f t="shared" si="35"/>
        <v>0</v>
      </c>
      <c r="CP26" s="441">
        <f t="shared" si="35"/>
        <v>0</v>
      </c>
      <c r="CQ26" s="441">
        <f t="shared" si="35"/>
        <v>0</v>
      </c>
      <c r="CR26" s="441">
        <f t="shared" si="35"/>
        <v>0</v>
      </c>
      <c r="CS26" s="441">
        <f t="shared" si="35"/>
        <v>0</v>
      </c>
      <c r="CT26" s="442">
        <f t="shared" si="35"/>
        <v>0</v>
      </c>
      <c r="CU26" s="441">
        <f t="shared" si="35"/>
        <v>0</v>
      </c>
      <c r="CV26" s="441">
        <f t="shared" si="35"/>
        <v>0</v>
      </c>
      <c r="CW26" s="441">
        <f t="shared" ref="CW26:EB26" si="36">ROUND(+CW23+CW25-CW24,1)</f>
        <v>0</v>
      </c>
      <c r="CX26" s="441">
        <f t="shared" si="36"/>
        <v>0</v>
      </c>
      <c r="CY26" s="442">
        <f t="shared" si="36"/>
        <v>0</v>
      </c>
      <c r="CZ26" s="441">
        <f t="shared" si="36"/>
        <v>0</v>
      </c>
      <c r="DA26" s="441">
        <f t="shared" si="36"/>
        <v>0</v>
      </c>
      <c r="DB26" s="441">
        <f t="shared" si="36"/>
        <v>0</v>
      </c>
      <c r="DC26" s="441">
        <f t="shared" si="36"/>
        <v>0</v>
      </c>
      <c r="DD26" s="442">
        <f t="shared" si="36"/>
        <v>0</v>
      </c>
      <c r="DE26" s="441">
        <f t="shared" si="36"/>
        <v>0</v>
      </c>
      <c r="DF26" s="441">
        <f t="shared" si="36"/>
        <v>0</v>
      </c>
      <c r="DG26" s="441">
        <f t="shared" si="36"/>
        <v>0</v>
      </c>
      <c r="DH26" s="441">
        <f t="shared" si="36"/>
        <v>0</v>
      </c>
      <c r="DI26" s="1499">
        <f t="shared" si="36"/>
        <v>0</v>
      </c>
      <c r="DJ26" s="1500">
        <f t="shared" si="36"/>
        <v>0</v>
      </c>
      <c r="DK26" s="1500">
        <f t="shared" si="36"/>
        <v>0</v>
      </c>
      <c r="DL26" s="1500">
        <f t="shared" si="36"/>
        <v>0</v>
      </c>
      <c r="DM26" s="1500">
        <f t="shared" si="36"/>
        <v>0</v>
      </c>
      <c r="DN26" s="1499">
        <f t="shared" si="36"/>
        <v>0</v>
      </c>
      <c r="DO26" s="1500">
        <f>ROUND(+DO23+DO25-DO24,1)</f>
        <v>0</v>
      </c>
      <c r="DP26" s="1500">
        <f t="shared" ref="DP26:DR26" si="37">ROUND(+DP23+DP25-DP24,1)</f>
        <v>0</v>
      </c>
      <c r="DQ26" s="1500">
        <f t="shared" si="37"/>
        <v>0</v>
      </c>
      <c r="DR26" s="1555">
        <f t="shared" si="37"/>
        <v>0</v>
      </c>
      <c r="DS26" s="1499">
        <f t="shared" si="36"/>
        <v>0</v>
      </c>
      <c r="DT26" s="1500">
        <f>ROUND(+DT23+DT25-DT24,1)</f>
        <v>0</v>
      </c>
      <c r="DU26" s="1500">
        <f t="shared" ref="DU26" si="38">ROUND(+DU23+DU25-DU24,1)</f>
        <v>0</v>
      </c>
      <c r="DV26" s="1500">
        <f t="shared" si="36"/>
        <v>0</v>
      </c>
      <c r="DW26" s="1500">
        <f t="shared" si="36"/>
        <v>0</v>
      </c>
      <c r="DX26" s="1499">
        <f t="shared" si="36"/>
        <v>0</v>
      </c>
      <c r="DY26" s="1500">
        <f t="shared" si="36"/>
        <v>0</v>
      </c>
      <c r="DZ26" s="1500">
        <f t="shared" si="36"/>
        <v>0</v>
      </c>
      <c r="EA26" s="1500">
        <f t="shared" si="36"/>
        <v>0</v>
      </c>
      <c r="EB26" s="1500">
        <f t="shared" si="36"/>
        <v>0</v>
      </c>
      <c r="EC26" s="1499">
        <f t="shared" ref="EC26:EG26" si="39">ROUND(+EC23+EC25-EC24,1)</f>
        <v>0</v>
      </c>
      <c r="ED26" s="1500">
        <f t="shared" si="39"/>
        <v>0</v>
      </c>
      <c r="EE26" s="1500">
        <f t="shared" si="39"/>
        <v>0</v>
      </c>
      <c r="EF26" s="1500">
        <f t="shared" si="39"/>
        <v>0</v>
      </c>
      <c r="EG26" s="1500">
        <f t="shared" si="39"/>
        <v>0</v>
      </c>
      <c r="EH26" s="1499">
        <f t="shared" ref="EH26:ER26" si="40">ROUND(+EH23+EH25-EH24,1)</f>
        <v>0</v>
      </c>
      <c r="EI26" s="1500">
        <f t="shared" si="40"/>
        <v>0</v>
      </c>
      <c r="EJ26" s="1500">
        <f t="shared" si="40"/>
        <v>0</v>
      </c>
      <c r="EK26" s="1500">
        <f t="shared" si="40"/>
        <v>0</v>
      </c>
      <c r="EL26" s="1500">
        <f t="shared" si="40"/>
        <v>0</v>
      </c>
      <c r="EM26" s="1499">
        <f t="shared" si="40"/>
        <v>0</v>
      </c>
      <c r="EN26" s="1500">
        <f t="shared" si="40"/>
        <v>0</v>
      </c>
      <c r="EO26" s="1500">
        <f t="shared" si="40"/>
        <v>0</v>
      </c>
      <c r="EP26" s="1500">
        <f t="shared" si="40"/>
        <v>0</v>
      </c>
      <c r="EQ26" s="1500">
        <f t="shared" si="40"/>
        <v>0</v>
      </c>
      <c r="ER26" s="1499">
        <f t="shared" si="40"/>
        <v>0</v>
      </c>
      <c r="ES26" s="254"/>
    </row>
    <row r="27" spans="1:156" ht="12" customHeight="1">
      <c r="A27" s="794"/>
      <c r="B27" s="794"/>
      <c r="C27" s="388" t="s">
        <v>41</v>
      </c>
      <c r="D27" s="443"/>
      <c r="E27" s="443"/>
      <c r="F27" s="443"/>
      <c r="G27" s="443"/>
      <c r="H27" s="443"/>
      <c r="I27" s="400"/>
      <c r="J27" s="400"/>
      <c r="K27" s="400"/>
      <c r="L27" s="400"/>
      <c r="M27" s="395"/>
      <c r="N27" s="400"/>
      <c r="O27" s="400"/>
      <c r="P27" s="400"/>
      <c r="Q27" s="400"/>
      <c r="R27" s="395"/>
      <c r="S27" s="400"/>
      <c r="T27" s="400"/>
      <c r="U27" s="400"/>
      <c r="V27" s="400"/>
      <c r="W27" s="395"/>
      <c r="X27" s="400"/>
      <c r="Y27" s="400"/>
      <c r="Z27" s="400"/>
      <c r="AA27" s="400"/>
      <c r="AB27" s="395"/>
      <c r="AC27" s="400"/>
      <c r="AD27" s="400"/>
      <c r="AE27" s="400"/>
      <c r="AF27" s="400"/>
      <c r="AG27" s="395"/>
      <c r="AH27" s="400"/>
      <c r="AI27" s="400"/>
      <c r="AJ27" s="400"/>
      <c r="AK27" s="400"/>
      <c r="AL27" s="395"/>
      <c r="AM27" s="400"/>
      <c r="AN27" s="400"/>
      <c r="AO27" s="400"/>
      <c r="AP27" s="400"/>
      <c r="AQ27" s="395"/>
      <c r="AR27" s="400"/>
      <c r="AS27" s="400"/>
      <c r="AT27" s="400"/>
      <c r="AU27" s="400"/>
      <c r="AV27" s="395"/>
      <c r="AW27" s="400"/>
      <c r="AX27" s="400"/>
      <c r="AY27" s="400"/>
      <c r="AZ27" s="400"/>
      <c r="BA27" s="395"/>
      <c r="BB27" s="400"/>
      <c r="BC27" s="400"/>
      <c r="BD27" s="400"/>
      <c r="BE27" s="400"/>
      <c r="BF27" s="443"/>
      <c r="BG27" s="410"/>
      <c r="BH27" s="410"/>
      <c r="BI27" s="410"/>
      <c r="BJ27" s="410"/>
      <c r="BK27" s="443"/>
      <c r="BL27" s="400"/>
      <c r="BM27" s="400"/>
      <c r="BN27" s="400"/>
      <c r="BO27" s="400"/>
      <c r="BP27" s="395"/>
      <c r="BQ27" s="401"/>
      <c r="BR27" s="401"/>
      <c r="BS27" s="401"/>
      <c r="BT27" s="401"/>
      <c r="BU27" s="398"/>
      <c r="BV27" s="401"/>
      <c r="BW27" s="401"/>
      <c r="BX27" s="401"/>
      <c r="BY27" s="401"/>
      <c r="BZ27" s="398"/>
      <c r="CA27" s="401"/>
      <c r="CB27" s="401"/>
      <c r="CC27" s="401"/>
      <c r="CD27" s="401"/>
      <c r="CE27" s="398"/>
      <c r="CF27" s="401"/>
      <c r="CG27" s="401"/>
      <c r="CH27" s="401"/>
      <c r="CI27" s="401"/>
      <c r="CJ27" s="398"/>
      <c r="CK27" s="401"/>
      <c r="CL27" s="401"/>
      <c r="CM27" s="401"/>
      <c r="CN27" s="401"/>
      <c r="CO27" s="398"/>
      <c r="CP27" s="401"/>
      <c r="CQ27" s="401"/>
      <c r="CR27" s="401"/>
      <c r="CS27" s="401"/>
      <c r="CT27" s="398"/>
      <c r="CU27" s="401"/>
      <c r="CV27" s="401"/>
      <c r="CW27" s="401"/>
      <c r="CX27" s="401"/>
      <c r="CY27" s="398"/>
      <c r="CZ27" s="401"/>
      <c r="DA27" s="401"/>
      <c r="DB27" s="401"/>
      <c r="DC27" s="415"/>
      <c r="DD27" s="398"/>
      <c r="DE27" s="401"/>
      <c r="DF27" s="401"/>
      <c r="DG27" s="401"/>
      <c r="DH27" s="401"/>
      <c r="DI27" s="398"/>
      <c r="DJ27" s="444"/>
      <c r="DK27" s="444"/>
      <c r="DL27" s="444"/>
      <c r="DM27" s="444"/>
      <c r="DN27" s="398"/>
      <c r="DO27" s="1282"/>
      <c r="DP27" s="444"/>
      <c r="DQ27" s="444"/>
      <c r="DR27" s="444"/>
      <c r="DS27" s="398"/>
      <c r="DT27" s="1282"/>
      <c r="DU27" s="444"/>
      <c r="DV27" s="445"/>
      <c r="DW27" s="445"/>
      <c r="DX27" s="398"/>
      <c r="DY27" s="445"/>
      <c r="DZ27" s="445"/>
      <c r="EA27" s="445"/>
      <c r="EB27" s="445"/>
      <c r="EC27" s="398"/>
      <c r="ED27" s="445"/>
      <c r="EE27" s="445"/>
      <c r="EF27" s="445"/>
      <c r="EG27" s="445"/>
      <c r="EH27" s="398"/>
      <c r="EI27" s="445"/>
      <c r="EJ27" s="445"/>
      <c r="EK27" s="445"/>
      <c r="EL27" s="445"/>
      <c r="EM27" s="398"/>
      <c r="EN27" s="445"/>
      <c r="EO27" s="445"/>
      <c r="EP27" s="445"/>
      <c r="EQ27" s="445"/>
      <c r="ER27" s="398"/>
      <c r="ES27" s="253"/>
    </row>
    <row r="28" spans="1:156" ht="12" customHeight="1">
      <c r="A28" s="794" t="s">
        <v>164</v>
      </c>
      <c r="B28" s="794"/>
      <c r="C28" s="265" t="s">
        <v>45</v>
      </c>
      <c r="D28" s="315"/>
      <c r="E28" s="315"/>
      <c r="F28" s="315"/>
      <c r="G28" s="315"/>
      <c r="H28" s="315"/>
      <c r="I28" s="316"/>
      <c r="J28" s="316"/>
      <c r="K28" s="316"/>
      <c r="L28" s="316"/>
      <c r="M28" s="380"/>
      <c r="N28" s="316"/>
      <c r="O28" s="316"/>
      <c r="P28" s="316"/>
      <c r="Q28" s="316"/>
      <c r="R28" s="380"/>
      <c r="S28" s="316"/>
      <c r="T28" s="316"/>
      <c r="U28" s="316"/>
      <c r="V28" s="316"/>
      <c r="W28" s="380"/>
      <c r="X28" s="316"/>
      <c r="Y28" s="316"/>
      <c r="Z28" s="316"/>
      <c r="AA28" s="316"/>
      <c r="AB28" s="380"/>
      <c r="AC28" s="316"/>
      <c r="AD28" s="316"/>
      <c r="AE28" s="316"/>
      <c r="AF28" s="316"/>
      <c r="AG28" s="380"/>
      <c r="AH28" s="316"/>
      <c r="AI28" s="316"/>
      <c r="AJ28" s="316"/>
      <c r="AK28" s="316"/>
      <c r="AL28" s="380"/>
      <c r="AM28" s="316"/>
      <c r="AN28" s="316"/>
      <c r="AO28" s="316"/>
      <c r="AP28" s="316"/>
      <c r="AQ28" s="380"/>
      <c r="AR28" s="316"/>
      <c r="AS28" s="316"/>
      <c r="AT28" s="316"/>
      <c r="AU28" s="316"/>
      <c r="AV28" s="380"/>
      <c r="AW28" s="316"/>
      <c r="AX28" s="316"/>
      <c r="AY28" s="316"/>
      <c r="AZ28" s="316"/>
      <c r="BA28" s="380"/>
      <c r="BB28" s="316"/>
      <c r="BC28" s="316"/>
      <c r="BD28" s="316"/>
      <c r="BE28" s="316"/>
      <c r="BF28" s="315"/>
      <c r="BG28" s="447"/>
      <c r="BH28" s="447"/>
      <c r="BI28" s="447"/>
      <c r="BJ28" s="447"/>
      <c r="BK28" s="315"/>
      <c r="BL28" s="316"/>
      <c r="BM28" s="316"/>
      <c r="BN28" s="316"/>
      <c r="BO28" s="316"/>
      <c r="BP28" s="380"/>
      <c r="BQ28" s="393">
        <v>-2.5274000000000001</v>
      </c>
      <c r="BR28" s="393">
        <f>-5.219-BQ28</f>
        <v>-2.6916000000000002</v>
      </c>
      <c r="BS28" s="393">
        <f>-11.367-BR28-BQ28</f>
        <v>-6.1479999999999997</v>
      </c>
      <c r="BT28" s="393">
        <f>-16.525-SUM(BQ28:BS28)</f>
        <v>-5.1579999999999977</v>
      </c>
      <c r="BU28" s="286">
        <f>SUM(BQ28:BT28)</f>
        <v>-16.524999999999999</v>
      </c>
      <c r="BV28" s="393">
        <v>-2.7149999999999999</v>
      </c>
      <c r="BW28" s="393">
        <f>-10.057-BV28</f>
        <v>-7.3420000000000005</v>
      </c>
      <c r="BX28" s="393">
        <f>-15.286-BW28-BV28</f>
        <v>-5.2289999999999992</v>
      </c>
      <c r="BY28" s="393">
        <f>-23.773-BX28-BW28-BV28</f>
        <v>-8.4870000000000001</v>
      </c>
      <c r="BZ28" s="286">
        <f>SUM(BV28:BY28)</f>
        <v>-23.773</v>
      </c>
      <c r="CA28" s="393">
        <v>-2.633</v>
      </c>
      <c r="CB28" s="393">
        <f>-5.29-CA28</f>
        <v>-2.657</v>
      </c>
      <c r="CC28" s="393">
        <f>-9.258-CB28-CA28</f>
        <v>-3.9679999999999991</v>
      </c>
      <c r="CD28" s="393">
        <f>-20.043-CC28-CB28-CA28</f>
        <v>-10.785</v>
      </c>
      <c r="CE28" s="286">
        <f>SUM(CA28:CD28)</f>
        <v>-20.042999999999999</v>
      </c>
      <c r="CF28" s="393">
        <v>-5.4050000000000002</v>
      </c>
      <c r="CG28" s="393">
        <f>-15.107-CF28</f>
        <v>-9.7019999999999982</v>
      </c>
      <c r="CH28" s="393">
        <f>-20.432-CG28-CF28</f>
        <v>-5.3250000000000002</v>
      </c>
      <c r="CI28" s="393">
        <f>-27.95-CH28-CG28-CF28</f>
        <v>-7.5180000000000016</v>
      </c>
      <c r="CJ28" s="286">
        <f>SUM(CF28:CI28)</f>
        <v>-27.95</v>
      </c>
      <c r="CK28" s="393">
        <v>-9.5519999999999996</v>
      </c>
      <c r="CL28" s="393">
        <f>-30.437-CK28</f>
        <v>-20.885000000000002</v>
      </c>
      <c r="CM28" s="393">
        <f>-43.357-CL28-CK28</f>
        <v>-12.919999999999998</v>
      </c>
      <c r="CN28" s="393">
        <f>-56.759-CM28-CL28-CK28</f>
        <v>-13.401999999999997</v>
      </c>
      <c r="CO28" s="286">
        <f>SUM(CK28:CN28)</f>
        <v>-56.759</v>
      </c>
      <c r="CP28" s="393">
        <v>-16.739999999999998</v>
      </c>
      <c r="CQ28" s="393">
        <f>-25.329-CP28</f>
        <v>-8.5890000000000022</v>
      </c>
      <c r="CR28" s="393">
        <f>-35.377-CQ28-CP28</f>
        <v>-10.048000000000002</v>
      </c>
      <c r="CS28" s="393">
        <f>-41.733-CR28-CQ28-CP28</f>
        <v>-6.3559999999999945</v>
      </c>
      <c r="CT28" s="286">
        <f>SUM(CP28:CS28)</f>
        <v>-41.732999999999997</v>
      </c>
      <c r="CU28" s="393">
        <v>-5.1879999999999997</v>
      </c>
      <c r="CV28" s="393">
        <f>-13.451-CU28</f>
        <v>-8.2630000000000017</v>
      </c>
      <c r="CW28" s="393">
        <f>-24.813-CV28-CU28</f>
        <v>-11.361999999999998</v>
      </c>
      <c r="CX28" s="393">
        <f>-50.788-SUM(CU28:CW28)</f>
        <v>-25.974999999999998</v>
      </c>
      <c r="CY28" s="286">
        <f>SUM(CU28:CX28)</f>
        <v>-50.787999999999997</v>
      </c>
      <c r="CZ28" s="393">
        <v>-15.94</v>
      </c>
      <c r="DA28" s="393">
        <f>-28.489-CZ28</f>
        <v>-12.549000000000001</v>
      </c>
      <c r="DB28" s="393">
        <f>-42.394-DA28-CZ28</f>
        <v>-13.904999999999999</v>
      </c>
      <c r="DC28" s="424">
        <f>-50.018-DB28-DA28-CZ28</f>
        <v>-7.6240000000000006</v>
      </c>
      <c r="DD28" s="286">
        <f>SUM(CZ28:DC28)</f>
        <v>-50.018000000000001</v>
      </c>
      <c r="DE28" s="393">
        <v>-14</v>
      </c>
      <c r="DF28" s="393">
        <v>-21</v>
      </c>
      <c r="DG28" s="393">
        <v>-2</v>
      </c>
      <c r="DH28" s="446">
        <v>-2</v>
      </c>
      <c r="DI28" s="286">
        <f>SUM(DE28:DH28)</f>
        <v>-39</v>
      </c>
      <c r="DJ28" s="446">
        <v>-6</v>
      </c>
      <c r="DK28" s="446">
        <v>-7</v>
      </c>
      <c r="DL28" s="446">
        <v>-2</v>
      </c>
      <c r="DM28" s="446">
        <v>-4</v>
      </c>
      <c r="DN28" s="286">
        <f>SUM(DJ28:DM28)</f>
        <v>-19</v>
      </c>
      <c r="DO28" s="446">
        <v>-4</v>
      </c>
      <c r="DP28" s="446">
        <v>-6</v>
      </c>
      <c r="DQ28" s="446">
        <v>-6</v>
      </c>
      <c r="DR28" s="446">
        <v>-10</v>
      </c>
      <c r="DS28" s="286">
        <f>SUM(DO28:DR28)</f>
        <v>-26</v>
      </c>
      <c r="DT28" s="446">
        <v>-5</v>
      </c>
      <c r="DU28" s="446">
        <v>-4</v>
      </c>
      <c r="DV28" s="384">
        <f>+DQ28*1.2</f>
        <v>-7.1999999999999993</v>
      </c>
      <c r="DW28" s="384">
        <f>+DR28*1.2</f>
        <v>-12</v>
      </c>
      <c r="DX28" s="286">
        <f>SUM(DT28:DW28)</f>
        <v>-28.2</v>
      </c>
      <c r="DY28" s="384">
        <f>+DT28*1.2</f>
        <v>-6</v>
      </c>
      <c r="DZ28" s="384">
        <f>+DU28*1.2</f>
        <v>-4.8</v>
      </c>
      <c r="EA28" s="384">
        <f>+DV28*1.2</f>
        <v>-8.6399999999999988</v>
      </c>
      <c r="EB28" s="384">
        <f>+DW28*1.2</f>
        <v>-14.399999999999999</v>
      </c>
      <c r="EC28" s="286">
        <f>SUM(DY28:EB28)</f>
        <v>-33.839999999999996</v>
      </c>
      <c r="ED28" s="384">
        <f>+DY28*1.2</f>
        <v>-7.1999999999999993</v>
      </c>
      <c r="EE28" s="384">
        <f>+DZ28*1.2</f>
        <v>-5.76</v>
      </c>
      <c r="EF28" s="384">
        <f>+EA28*1.2</f>
        <v>-10.367999999999999</v>
      </c>
      <c r="EG28" s="384">
        <f>+EB28*1.2</f>
        <v>-17.279999999999998</v>
      </c>
      <c r="EH28" s="286">
        <f>SUM(ED28:EG28)</f>
        <v>-40.60799999999999</v>
      </c>
      <c r="EI28" s="384">
        <f>+ED28*1.2</f>
        <v>-8.6399999999999988</v>
      </c>
      <c r="EJ28" s="384">
        <f>+EE28*1.2</f>
        <v>-6.9119999999999999</v>
      </c>
      <c r="EK28" s="384">
        <f>+EF28*1.2</f>
        <v>-12.441599999999998</v>
      </c>
      <c r="EL28" s="384">
        <f>+EG28*1.2</f>
        <v>-20.735999999999997</v>
      </c>
      <c r="EM28" s="286">
        <f>SUM(EI28:EL28)</f>
        <v>-48.729599999999991</v>
      </c>
      <c r="EN28" s="384">
        <f>+EI28*1.2</f>
        <v>-10.367999999999999</v>
      </c>
      <c r="EO28" s="384">
        <f>+EJ28*1.2</f>
        <v>-8.2943999999999996</v>
      </c>
      <c r="EP28" s="384">
        <f>+EK28*1.2</f>
        <v>-14.929919999999996</v>
      </c>
      <c r="EQ28" s="384">
        <f>+EL28*1.2</f>
        <v>-24.883199999999995</v>
      </c>
      <c r="ER28" s="286">
        <f>SUM(EN28:EQ28)</f>
        <v>-58.475519999999989</v>
      </c>
      <c r="ES28" s="253"/>
    </row>
    <row r="29" spans="1:156" ht="12" customHeight="1">
      <c r="A29" s="794"/>
      <c r="B29" s="794"/>
      <c r="C29" s="265" t="s">
        <v>235</v>
      </c>
      <c r="D29" s="380"/>
      <c r="E29" s="380"/>
      <c r="F29" s="380"/>
      <c r="G29" s="380"/>
      <c r="H29" s="380"/>
      <c r="I29" s="160"/>
      <c r="J29" s="160"/>
      <c r="K29" s="160"/>
      <c r="L29" s="160"/>
      <c r="M29" s="380"/>
      <c r="N29" s="160"/>
      <c r="O29" s="160"/>
      <c r="P29" s="160"/>
      <c r="Q29" s="160"/>
      <c r="R29" s="380"/>
      <c r="S29" s="160"/>
      <c r="T29" s="160"/>
      <c r="U29" s="160"/>
      <c r="V29" s="160"/>
      <c r="W29" s="380"/>
      <c r="X29" s="160"/>
      <c r="Y29" s="160"/>
      <c r="Z29" s="160"/>
      <c r="AA29" s="160"/>
      <c r="AB29" s="380"/>
      <c r="AC29" s="160"/>
      <c r="AD29" s="160"/>
      <c r="AE29" s="160"/>
      <c r="AF29" s="160"/>
      <c r="AG29" s="380"/>
      <c r="AH29" s="160"/>
      <c r="AI29" s="160"/>
      <c r="AJ29" s="160"/>
      <c r="AK29" s="160"/>
      <c r="AL29" s="380"/>
      <c r="AM29" s="160"/>
      <c r="AN29" s="160"/>
      <c r="AO29" s="160"/>
      <c r="AP29" s="160"/>
      <c r="AQ29" s="380"/>
      <c r="AR29" s="160"/>
      <c r="AS29" s="160"/>
      <c r="AT29" s="160"/>
      <c r="AU29" s="160"/>
      <c r="AV29" s="380"/>
      <c r="AW29" s="160"/>
      <c r="AX29" s="160"/>
      <c r="AY29" s="160"/>
      <c r="AZ29" s="160"/>
      <c r="BA29" s="380"/>
      <c r="BB29" s="160"/>
      <c r="BC29" s="160"/>
      <c r="BD29" s="160"/>
      <c r="BE29" s="160"/>
      <c r="BF29" s="380"/>
      <c r="BG29" s="410"/>
      <c r="BH29" s="410"/>
      <c r="BI29" s="410"/>
      <c r="BJ29" s="410"/>
      <c r="BK29" s="380"/>
      <c r="BL29" s="160"/>
      <c r="BM29" s="160"/>
      <c r="BN29" s="160"/>
      <c r="BO29" s="160"/>
      <c r="BP29" s="380"/>
      <c r="BQ29" s="393">
        <v>0</v>
      </c>
      <c r="BR29" s="393">
        <f>-45.686-BQ29</f>
        <v>-45.686</v>
      </c>
      <c r="BS29" s="393">
        <f>-82.812-BR29-BQ29</f>
        <v>-37.125999999999998</v>
      </c>
      <c r="BT29" s="393">
        <f>-111.154-SUM(BQ29:BS29)</f>
        <v>-28.341999999999999</v>
      </c>
      <c r="BU29" s="286">
        <f t="shared" ref="BU29:BU36" si="41">SUM(BQ29:BT29)</f>
        <v>-111.154</v>
      </c>
      <c r="BV29" s="393">
        <v>-46.439</v>
      </c>
      <c r="BW29" s="393">
        <f>-81.393-BV29</f>
        <v>-34.954000000000001</v>
      </c>
      <c r="BX29" s="393">
        <f>-223.65-BW29-BV29</f>
        <v>-142.25700000000001</v>
      </c>
      <c r="BY29" s="393">
        <f>-369.208-BX29-BW29-BV29</f>
        <v>-145.55800000000002</v>
      </c>
      <c r="BZ29" s="286">
        <f t="shared" ref="BZ29:BZ35" si="42">SUM(BV29:BY29)</f>
        <v>-369.20800000000003</v>
      </c>
      <c r="CA29" s="393">
        <v>-97.674999999999997</v>
      </c>
      <c r="CB29" s="393">
        <f>-638.212-CA29</f>
        <v>-540.53700000000003</v>
      </c>
      <c r="CC29" s="393">
        <f>-949.202-CB29-CA29</f>
        <v>-310.98999999999995</v>
      </c>
      <c r="CD29" s="393">
        <f>-1129.263-CC29-CB29-CA29</f>
        <v>-180.06099999999986</v>
      </c>
      <c r="CE29" s="286">
        <f t="shared" ref="CE29:CE36" si="43">SUM(CA29:CD29)</f>
        <v>-1129.2629999999999</v>
      </c>
      <c r="CF29" s="393">
        <v>-933.30700000000002</v>
      </c>
      <c r="CG29" s="393">
        <f>-1297.346-CF29</f>
        <v>-364.03899999999999</v>
      </c>
      <c r="CH29" s="393">
        <f>-1689.553-CG29-CF29</f>
        <v>-392.20700000000011</v>
      </c>
      <c r="CI29" s="393">
        <f>-2447.955-CH29-CG29-CF29</f>
        <v>-758.40199999999959</v>
      </c>
      <c r="CJ29" s="286">
        <f t="shared" ref="CJ29:CJ36" si="44">SUM(CF29:CI29)</f>
        <v>-2447.9549999999999</v>
      </c>
      <c r="CK29" s="393">
        <v>-700.05200000000002</v>
      </c>
      <c r="CL29" s="393">
        <f>-1022.814-CK29</f>
        <v>-322.76199999999994</v>
      </c>
      <c r="CM29" s="393">
        <f>-2003.102-CL29-CK29</f>
        <v>-980.28800000000012</v>
      </c>
      <c r="CN29" s="393">
        <f>-2718.604-CM29-CL29-CK29</f>
        <v>-715.50199999999984</v>
      </c>
      <c r="CO29" s="286">
        <f t="shared" ref="CO29:CO36" si="45">SUM(CK29:CN29)</f>
        <v>-2718.6039999999998</v>
      </c>
      <c r="CP29" s="393">
        <v>-496.24400000000003</v>
      </c>
      <c r="CQ29" s="393">
        <f>-1970.693-CP29</f>
        <v>-1474.4490000000001</v>
      </c>
      <c r="CR29" s="393">
        <f>-3661.092-CQ29-CP29</f>
        <v>-1690.3989999999999</v>
      </c>
      <c r="CS29" s="393">
        <f>-5600.207-CR29-CQ29-CP29</f>
        <v>-1939.1150000000002</v>
      </c>
      <c r="CT29" s="286">
        <f t="shared" ref="CT29:CT36" si="46">SUM(CP29:CS29)</f>
        <v>-5600.2070000000003</v>
      </c>
      <c r="CU29" s="393">
        <v>-2444.9549999999999</v>
      </c>
      <c r="CV29" s="393">
        <f>-4149.857-CU29</f>
        <v>-1704.902</v>
      </c>
      <c r="CW29" s="393">
        <f>-5616.479-CV29-CU29</f>
        <v>-1466.6220000000003</v>
      </c>
      <c r="CX29" s="393">
        <f>-7337.366-SUM(CU29:CW29)</f>
        <v>-1720.8869999999997</v>
      </c>
      <c r="CY29" s="286">
        <f t="shared" ref="CY29:CY36" si="47">SUM(CU29:CX29)</f>
        <v>-7337.366</v>
      </c>
      <c r="CZ29" s="393">
        <v>-1463.7049999999999</v>
      </c>
      <c r="DA29" s="393">
        <f>-2033.099-CZ29</f>
        <v>-569.39400000000001</v>
      </c>
      <c r="DB29" s="393">
        <f>-3568.229-DA29-CZ29</f>
        <v>-1535.13</v>
      </c>
      <c r="DC29" s="424">
        <f>-5011.129-DB29-DA29-CZ29</f>
        <v>-1442.8999999999996</v>
      </c>
      <c r="DD29" s="286">
        <f t="shared" ref="DD29:DD36" si="48">SUM(CZ29:DC29)</f>
        <v>-5011.1289999999999</v>
      </c>
      <c r="DE29" s="393">
        <v>-1098</v>
      </c>
      <c r="DF29" s="393">
        <v>-1279</v>
      </c>
      <c r="DG29" s="393">
        <v>-1781</v>
      </c>
      <c r="DH29" s="446">
        <v>-1683</v>
      </c>
      <c r="DI29" s="286">
        <f t="shared" ref="DI29:DI37" si="49">SUM(DE29:DH29)</f>
        <v>-5841</v>
      </c>
      <c r="DJ29" s="446">
        <v>-2137</v>
      </c>
      <c r="DK29" s="446">
        <v>-1834</v>
      </c>
      <c r="DL29" s="446">
        <v>-2086</v>
      </c>
      <c r="DM29" s="446">
        <v>-2339</v>
      </c>
      <c r="DN29" s="286">
        <f t="shared" ref="DN29:DN37" si="50">SUM(DJ29:DM29)</f>
        <v>-8396</v>
      </c>
      <c r="DO29" s="446">
        <v>-1718</v>
      </c>
      <c r="DP29" s="446">
        <v>-1464</v>
      </c>
      <c r="DQ29" s="446">
        <v>-1460</v>
      </c>
      <c r="DR29" s="446">
        <v>-2398</v>
      </c>
      <c r="DS29" s="286">
        <f t="shared" ref="DS29:DS37" si="51">SUM(DO29:DR29)</f>
        <v>-7040</v>
      </c>
      <c r="DT29" s="446">
        <v>-843</v>
      </c>
      <c r="DU29" s="446">
        <v>-654</v>
      </c>
      <c r="DV29" s="384">
        <v>0</v>
      </c>
      <c r="DW29" s="384">
        <v>0</v>
      </c>
      <c r="DX29" s="286">
        <f t="shared" ref="DX29:DX37" si="52">SUM(DT29:DW29)</f>
        <v>-1497</v>
      </c>
      <c r="DY29" s="384">
        <v>0</v>
      </c>
      <c r="DZ29" s="384">
        <v>0</v>
      </c>
      <c r="EA29" s="384">
        <v>0</v>
      </c>
      <c r="EB29" s="384">
        <v>0</v>
      </c>
      <c r="EC29" s="286">
        <f t="shared" ref="EC29:EC37" si="53">SUM(DY29:EB29)</f>
        <v>0</v>
      </c>
      <c r="ED29" s="384">
        <v>0</v>
      </c>
      <c r="EE29" s="384">
        <v>0</v>
      </c>
      <c r="EF29" s="384">
        <v>0</v>
      </c>
      <c r="EG29" s="384">
        <v>0</v>
      </c>
      <c r="EH29" s="286">
        <f t="shared" ref="EH29:EH37" si="54">SUM(ED29:EG29)</f>
        <v>0</v>
      </c>
      <c r="EI29" s="384">
        <v>0</v>
      </c>
      <c r="EJ29" s="384">
        <v>0</v>
      </c>
      <c r="EK29" s="384">
        <v>0</v>
      </c>
      <c r="EL29" s="384">
        <v>0</v>
      </c>
      <c r="EM29" s="286">
        <f t="shared" ref="EM29:EM37" si="55">SUM(EI29:EL29)</f>
        <v>0</v>
      </c>
      <c r="EN29" s="384">
        <v>0</v>
      </c>
      <c r="EO29" s="384">
        <v>0</v>
      </c>
      <c r="EP29" s="384">
        <v>0</v>
      </c>
      <c r="EQ29" s="384">
        <v>0</v>
      </c>
      <c r="ER29" s="286">
        <f t="shared" ref="ER29:ER37" si="56">SUM(EN29:EQ29)</f>
        <v>0</v>
      </c>
      <c r="ES29" s="253"/>
    </row>
    <row r="30" spans="1:156" ht="12" customHeight="1">
      <c r="A30" s="794"/>
      <c r="B30" s="794"/>
      <c r="C30" s="265" t="s">
        <v>236</v>
      </c>
      <c r="D30" s="380"/>
      <c r="E30" s="380"/>
      <c r="F30" s="380"/>
      <c r="G30" s="380"/>
      <c r="H30" s="380"/>
      <c r="I30" s="160"/>
      <c r="J30" s="160"/>
      <c r="K30" s="160"/>
      <c r="L30" s="160"/>
      <c r="M30" s="380"/>
      <c r="N30" s="160"/>
      <c r="O30" s="160"/>
      <c r="P30" s="160"/>
      <c r="Q30" s="160"/>
      <c r="R30" s="380"/>
      <c r="S30" s="160"/>
      <c r="T30" s="160"/>
      <c r="U30" s="160"/>
      <c r="V30" s="160"/>
      <c r="W30" s="380"/>
      <c r="X30" s="160"/>
      <c r="Y30" s="160"/>
      <c r="Z30" s="160"/>
      <c r="AA30" s="160"/>
      <c r="AB30" s="380"/>
      <c r="AC30" s="160"/>
      <c r="AD30" s="160"/>
      <c r="AE30" s="160"/>
      <c r="AF30" s="160"/>
      <c r="AG30" s="380"/>
      <c r="AH30" s="160"/>
      <c r="AI30" s="160"/>
      <c r="AJ30" s="160"/>
      <c r="AK30" s="160"/>
      <c r="AL30" s="380"/>
      <c r="AM30" s="160"/>
      <c r="AN30" s="160"/>
      <c r="AO30" s="160"/>
      <c r="AP30" s="160"/>
      <c r="AQ30" s="380"/>
      <c r="AR30" s="160"/>
      <c r="AS30" s="160"/>
      <c r="AT30" s="160"/>
      <c r="AU30" s="160"/>
      <c r="AV30" s="380"/>
      <c r="AW30" s="160"/>
      <c r="AX30" s="160"/>
      <c r="AY30" s="160"/>
      <c r="AZ30" s="160"/>
      <c r="BA30" s="380"/>
      <c r="BB30" s="160"/>
      <c r="BC30" s="160"/>
      <c r="BD30" s="160"/>
      <c r="BE30" s="160"/>
      <c r="BF30" s="380"/>
      <c r="BG30" s="410"/>
      <c r="BH30" s="410"/>
      <c r="BI30" s="410"/>
      <c r="BJ30" s="410"/>
      <c r="BK30" s="380"/>
      <c r="BL30" s="160"/>
      <c r="BM30" s="160"/>
      <c r="BN30" s="160"/>
      <c r="BO30" s="160"/>
      <c r="BP30" s="380"/>
      <c r="BQ30" s="393">
        <v>4.6959999999999997</v>
      </c>
      <c r="BR30" s="393">
        <f>11.196-BQ30</f>
        <v>6.5</v>
      </c>
      <c r="BS30" s="393">
        <f>23.972-BR30-BQ30</f>
        <v>12.776000000000002</v>
      </c>
      <c r="BT30" s="393">
        <f>48.35-SUM(BQ30:BS30)</f>
        <v>24.378</v>
      </c>
      <c r="BU30" s="286">
        <f t="shared" si="41"/>
        <v>48.35</v>
      </c>
      <c r="BV30" s="393">
        <v>20.7</v>
      </c>
      <c r="BW30" s="393">
        <f>49.457-BV30</f>
        <v>28.757000000000001</v>
      </c>
      <c r="BX30" s="393">
        <f>90.083-BW30-BV30</f>
        <v>40.625999999999991</v>
      </c>
      <c r="BY30" s="393">
        <f>139.872-BX30-BW30-BV30</f>
        <v>49.789000000000016</v>
      </c>
      <c r="BZ30" s="286">
        <f t="shared" si="42"/>
        <v>139.87200000000001</v>
      </c>
      <c r="CA30" s="393">
        <v>111.535</v>
      </c>
      <c r="CB30" s="393">
        <f>213.609-CA30</f>
        <v>102.07400000000001</v>
      </c>
      <c r="CC30" s="393">
        <f>451.509-CB30-CA30</f>
        <v>237.9</v>
      </c>
      <c r="CD30" s="393">
        <f>642.073-CC30-CB30-CA30</f>
        <v>190.56399999999999</v>
      </c>
      <c r="CE30" s="286">
        <f t="shared" si="43"/>
        <v>642.07299999999998</v>
      </c>
      <c r="CF30" s="393">
        <v>347.90199999999999</v>
      </c>
      <c r="CG30" s="393">
        <f>744.406-CF30</f>
        <v>396.50399999999996</v>
      </c>
      <c r="CH30" s="393">
        <f>1160.003-CG30-CF30</f>
        <v>415.59700000000004</v>
      </c>
      <c r="CI30" s="393">
        <f>1698.264-CH30-CG30-CF30</f>
        <v>538.26099999999997</v>
      </c>
      <c r="CJ30" s="286">
        <f t="shared" si="44"/>
        <v>1698.2639999999999</v>
      </c>
      <c r="CK30" s="393">
        <v>679.46699999999998</v>
      </c>
      <c r="CL30" s="393">
        <f>1249.319-CK30</f>
        <v>569.85199999999998</v>
      </c>
      <c r="CM30" s="393">
        <f>2034.933-CL30-CK30</f>
        <v>785.61400000000015</v>
      </c>
      <c r="CN30" s="393">
        <f>2477.038-CM30-CL30-CK30</f>
        <v>442.10500000000013</v>
      </c>
      <c r="CO30" s="286">
        <f t="shared" si="45"/>
        <v>2477.038</v>
      </c>
      <c r="CP30" s="393">
        <v>913.178</v>
      </c>
      <c r="CQ30" s="393">
        <f>1659.159-CP30</f>
        <v>745.98100000000011</v>
      </c>
      <c r="CR30" s="393">
        <f>2436.216-CQ30-CP30</f>
        <v>777.05699999999968</v>
      </c>
      <c r="CS30" s="393">
        <f>3721.405-CR30-CQ30-CP30</f>
        <v>1285.1890000000003</v>
      </c>
      <c r="CT30" s="286">
        <f t="shared" si="46"/>
        <v>3721.4050000000002</v>
      </c>
      <c r="CU30" s="393">
        <v>1038.316</v>
      </c>
      <c r="CV30" s="393">
        <f>2437.951-CU30</f>
        <v>1399.635</v>
      </c>
      <c r="CW30" s="393">
        <f>3965.755-CV30-CU30</f>
        <v>1527.8039999999999</v>
      </c>
      <c r="CX30" s="393">
        <f>5750.224-SUM(CU30:CW30)</f>
        <v>1784.4690000000001</v>
      </c>
      <c r="CY30" s="286">
        <f t="shared" si="47"/>
        <v>5750.2240000000002</v>
      </c>
      <c r="CZ30" s="393">
        <v>1929.395</v>
      </c>
      <c r="DA30" s="393">
        <f>3689.564-CZ30</f>
        <v>1760.1689999999999</v>
      </c>
      <c r="DB30" s="393">
        <f>5273.944-DA30-CZ30</f>
        <v>1584.3800000000006</v>
      </c>
      <c r="DC30" s="424">
        <f>6890.167-DB30-DA30-CZ30</f>
        <v>1616.2230000000004</v>
      </c>
      <c r="DD30" s="286">
        <f t="shared" si="48"/>
        <v>6890.1670000000013</v>
      </c>
      <c r="DE30" s="393">
        <v>1397</v>
      </c>
      <c r="DF30" s="393">
        <v>1245</v>
      </c>
      <c r="DG30" s="393">
        <v>1336</v>
      </c>
      <c r="DH30" s="393">
        <v>1612</v>
      </c>
      <c r="DI30" s="286">
        <f t="shared" si="49"/>
        <v>5590</v>
      </c>
      <c r="DJ30" s="393">
        <v>2147</v>
      </c>
      <c r="DK30" s="393">
        <v>1663</v>
      </c>
      <c r="DL30" s="393">
        <v>1837</v>
      </c>
      <c r="DM30" s="393">
        <v>1810</v>
      </c>
      <c r="DN30" s="286">
        <f t="shared" si="50"/>
        <v>7457</v>
      </c>
      <c r="DO30" s="393">
        <v>1331</v>
      </c>
      <c r="DP30" s="393">
        <v>1464</v>
      </c>
      <c r="DQ30" s="393">
        <v>1956</v>
      </c>
      <c r="DR30" s="393">
        <v>1801</v>
      </c>
      <c r="DS30" s="286">
        <f t="shared" si="51"/>
        <v>6552</v>
      </c>
      <c r="DT30" s="393">
        <v>1463</v>
      </c>
      <c r="DU30" s="393">
        <v>1450</v>
      </c>
      <c r="DV30" s="392">
        <f>DV29*-1</f>
        <v>0</v>
      </c>
      <c r="DW30" s="392">
        <f>DW29*-1</f>
        <v>0</v>
      </c>
      <c r="DX30" s="286">
        <f t="shared" si="52"/>
        <v>2913</v>
      </c>
      <c r="DY30" s="392">
        <f>DY29*-1</f>
        <v>0</v>
      </c>
      <c r="DZ30" s="392">
        <f>DZ29*-1</f>
        <v>0</v>
      </c>
      <c r="EA30" s="392">
        <f>EA29*-1</f>
        <v>0</v>
      </c>
      <c r="EB30" s="392">
        <f>EB29*-1</f>
        <v>0</v>
      </c>
      <c r="EC30" s="286">
        <f t="shared" si="53"/>
        <v>0</v>
      </c>
      <c r="ED30" s="392">
        <f>ED29*-1</f>
        <v>0</v>
      </c>
      <c r="EE30" s="392">
        <f>EE29*-1</f>
        <v>0</v>
      </c>
      <c r="EF30" s="392">
        <f>EF29*-1</f>
        <v>0</v>
      </c>
      <c r="EG30" s="392">
        <f>EG29*-1</f>
        <v>0</v>
      </c>
      <c r="EH30" s="286">
        <f t="shared" si="54"/>
        <v>0</v>
      </c>
      <c r="EI30" s="392">
        <f>EI29*-1</f>
        <v>0</v>
      </c>
      <c r="EJ30" s="392">
        <f>EJ29*-1</f>
        <v>0</v>
      </c>
      <c r="EK30" s="392">
        <f>EK29*-1</f>
        <v>0</v>
      </c>
      <c r="EL30" s="392">
        <f>EL29*-1</f>
        <v>0</v>
      </c>
      <c r="EM30" s="286">
        <f t="shared" si="55"/>
        <v>0</v>
      </c>
      <c r="EN30" s="392">
        <f>EN29*-1</f>
        <v>0</v>
      </c>
      <c r="EO30" s="392">
        <f>EO29*-1</f>
        <v>0</v>
      </c>
      <c r="EP30" s="392">
        <f>EP29*-1</f>
        <v>0</v>
      </c>
      <c r="EQ30" s="392">
        <f>EQ29*-1</f>
        <v>0</v>
      </c>
      <c r="ER30" s="286">
        <f t="shared" si="56"/>
        <v>0</v>
      </c>
      <c r="ES30" s="253"/>
    </row>
    <row r="31" spans="1:156" ht="12" customHeight="1">
      <c r="A31" s="794"/>
      <c r="B31" s="794"/>
      <c r="C31" s="265" t="s">
        <v>376</v>
      </c>
      <c r="D31" s="380"/>
      <c r="E31" s="380"/>
      <c r="F31" s="380"/>
      <c r="G31" s="380"/>
      <c r="H31" s="380"/>
      <c r="I31" s="160"/>
      <c r="J31" s="160"/>
      <c r="K31" s="160"/>
      <c r="L31" s="160"/>
      <c r="M31" s="380"/>
      <c r="N31" s="160"/>
      <c r="O31" s="160"/>
      <c r="P31" s="160"/>
      <c r="Q31" s="160"/>
      <c r="R31" s="380"/>
      <c r="S31" s="160"/>
      <c r="T31" s="160"/>
      <c r="U31" s="160"/>
      <c r="V31" s="160"/>
      <c r="W31" s="380"/>
      <c r="X31" s="160"/>
      <c r="Y31" s="160"/>
      <c r="Z31" s="160"/>
      <c r="AA31" s="160"/>
      <c r="AB31" s="380"/>
      <c r="AC31" s="160"/>
      <c r="AD31" s="160"/>
      <c r="AE31" s="160"/>
      <c r="AF31" s="160"/>
      <c r="AG31" s="380"/>
      <c r="AH31" s="160"/>
      <c r="AI31" s="160"/>
      <c r="AJ31" s="160"/>
      <c r="AK31" s="160"/>
      <c r="AL31" s="380"/>
      <c r="AM31" s="160"/>
      <c r="AN31" s="160"/>
      <c r="AO31" s="160"/>
      <c r="AP31" s="160"/>
      <c r="AQ31" s="380"/>
      <c r="AR31" s="160"/>
      <c r="AS31" s="160"/>
      <c r="AT31" s="160"/>
      <c r="AU31" s="160"/>
      <c r="AV31" s="380"/>
      <c r="AW31" s="160"/>
      <c r="AX31" s="160"/>
      <c r="AY31" s="160"/>
      <c r="AZ31" s="160"/>
      <c r="BA31" s="380"/>
      <c r="BB31" s="160"/>
      <c r="BC31" s="160"/>
      <c r="BD31" s="160"/>
      <c r="BE31" s="160"/>
      <c r="BF31" s="380"/>
      <c r="BG31" s="410"/>
      <c r="BH31" s="410"/>
      <c r="BI31" s="410"/>
      <c r="BJ31" s="410"/>
      <c r="BK31" s="380"/>
      <c r="BL31" s="160"/>
      <c r="BM31" s="160"/>
      <c r="BN31" s="160"/>
      <c r="BO31" s="160"/>
      <c r="BP31" s="380"/>
      <c r="BQ31" s="239">
        <v>0</v>
      </c>
      <c r="BR31" s="239">
        <v>0</v>
      </c>
      <c r="BS31" s="239">
        <v>0</v>
      </c>
      <c r="BT31" s="239">
        <v>0</v>
      </c>
      <c r="BU31" s="257">
        <f t="shared" ref="BU31:BU33" si="57">SUM(BQ31:BT31)</f>
        <v>0</v>
      </c>
      <c r="BV31" s="239">
        <v>0</v>
      </c>
      <c r="BW31" s="239">
        <v>0</v>
      </c>
      <c r="BX31" s="239">
        <v>0</v>
      </c>
      <c r="BY31" s="239">
        <v>0</v>
      </c>
      <c r="BZ31" s="257">
        <f t="shared" ref="BZ31:BZ33" si="58">SUM(BV31:BY31)</f>
        <v>0</v>
      </c>
      <c r="CA31" s="239">
        <v>0</v>
      </c>
      <c r="CB31" s="239">
        <v>0</v>
      </c>
      <c r="CC31" s="239">
        <v>0</v>
      </c>
      <c r="CD31" s="239">
        <v>0</v>
      </c>
      <c r="CE31" s="257">
        <f t="shared" ref="CE31:CE33" si="59">SUM(CA31:CD31)</f>
        <v>0</v>
      </c>
      <c r="CF31" s="239">
        <v>0</v>
      </c>
      <c r="CG31" s="239">
        <v>0</v>
      </c>
      <c r="CH31" s="239">
        <v>0</v>
      </c>
      <c r="CI31" s="239">
        <v>0</v>
      </c>
      <c r="CJ31" s="257">
        <f t="shared" ref="CJ31:CJ33" si="60">SUM(CF31:CI31)</f>
        <v>0</v>
      </c>
      <c r="CK31" s="239">
        <v>0</v>
      </c>
      <c r="CL31" s="239">
        <v>0</v>
      </c>
      <c r="CM31" s="239">
        <v>0</v>
      </c>
      <c r="CN31" s="239">
        <v>0</v>
      </c>
      <c r="CO31" s="257">
        <f t="shared" ref="CO31:CO33" si="61">SUM(CK31:CN31)</f>
        <v>0</v>
      </c>
      <c r="CP31" s="239">
        <v>0</v>
      </c>
      <c r="CQ31" s="239">
        <v>0</v>
      </c>
      <c r="CR31" s="239">
        <v>0</v>
      </c>
      <c r="CS31" s="239">
        <v>0</v>
      </c>
      <c r="CT31" s="257">
        <f t="shared" ref="CT31:CT33" si="62">SUM(CP31:CS31)</f>
        <v>0</v>
      </c>
      <c r="CU31" s="239">
        <v>0</v>
      </c>
      <c r="CV31" s="239">
        <v>0</v>
      </c>
      <c r="CW31" s="239">
        <v>0</v>
      </c>
      <c r="CX31" s="239">
        <v>0</v>
      </c>
      <c r="CY31" s="257">
        <f t="shared" ref="CY31:CY33" si="63">SUM(CU31:CX31)</f>
        <v>0</v>
      </c>
      <c r="CZ31" s="239">
        <v>0</v>
      </c>
      <c r="DA31" s="239">
        <v>0</v>
      </c>
      <c r="DB31" s="239">
        <v>0</v>
      </c>
      <c r="DC31" s="239">
        <v>0</v>
      </c>
      <c r="DD31" s="257">
        <f t="shared" ref="DD31:DD33" si="64">SUM(CZ31:DC31)</f>
        <v>0</v>
      </c>
      <c r="DE31" s="239">
        <v>0</v>
      </c>
      <c r="DF31" s="239">
        <v>0</v>
      </c>
      <c r="DG31" s="239">
        <v>0</v>
      </c>
      <c r="DH31" s="239">
        <v>0</v>
      </c>
      <c r="DI31" s="257">
        <f t="shared" ref="DI31:DI33" si="65">SUM(DE31:DH31)</f>
        <v>0</v>
      </c>
      <c r="DJ31" s="239">
        <v>0</v>
      </c>
      <c r="DK31" s="393">
        <v>-710</v>
      </c>
      <c r="DL31" s="446">
        <v>-844</v>
      </c>
      <c r="DM31" s="446">
        <v>-877</v>
      </c>
      <c r="DN31" s="257">
        <f>SUM(DJ31:DM31)</f>
        <v>-2431</v>
      </c>
      <c r="DO31" s="393">
        <v>-805</v>
      </c>
      <c r="DP31" s="393">
        <v>-944</v>
      </c>
      <c r="DQ31" s="393">
        <v>-996</v>
      </c>
      <c r="DR31" s="393">
        <v>-1269</v>
      </c>
      <c r="DS31" s="257">
        <f>SUM(DO31:DR31)</f>
        <v>-4014</v>
      </c>
      <c r="DT31" s="393">
        <v>-1349</v>
      </c>
      <c r="DU31" s="393">
        <v>-1584</v>
      </c>
      <c r="DV31" s="384">
        <f>DQ31*1.25</f>
        <v>-1245</v>
      </c>
      <c r="DW31" s="384">
        <f>DR31*1.25</f>
        <v>-1586.25</v>
      </c>
      <c r="DX31" s="257">
        <f t="shared" si="52"/>
        <v>-5764.25</v>
      </c>
      <c r="DY31" s="384">
        <f>+DT31*1.25</f>
        <v>-1686.25</v>
      </c>
      <c r="DZ31" s="384">
        <f t="shared" ref="DZ31:EB31" si="66">+DU31*1.25</f>
        <v>-1980</v>
      </c>
      <c r="EA31" s="384">
        <f t="shared" si="66"/>
        <v>-1556.25</v>
      </c>
      <c r="EB31" s="384">
        <f t="shared" si="66"/>
        <v>-1982.8125</v>
      </c>
      <c r="EC31" s="257">
        <f t="shared" si="53"/>
        <v>-7205.3125</v>
      </c>
      <c r="ED31" s="384">
        <f>+DY31*1.25</f>
        <v>-2107.8125</v>
      </c>
      <c r="EE31" s="384">
        <f t="shared" ref="EE31" si="67">+DZ31*1.25</f>
        <v>-2475</v>
      </c>
      <c r="EF31" s="384">
        <f t="shared" ref="EF31" si="68">+EA31*1.25</f>
        <v>-1945.3125</v>
      </c>
      <c r="EG31" s="384">
        <f t="shared" ref="EG31" si="69">+EB31*1.25</f>
        <v>-2478.515625</v>
      </c>
      <c r="EH31" s="257">
        <f t="shared" si="54"/>
        <v>-9006.640625</v>
      </c>
      <c r="EI31" s="384">
        <f>+ED31*1.25</f>
        <v>-2634.765625</v>
      </c>
      <c r="EJ31" s="384">
        <f t="shared" ref="EJ31" si="70">+EE31*1.25</f>
        <v>-3093.75</v>
      </c>
      <c r="EK31" s="384">
        <f t="shared" ref="EK31" si="71">+EF31*1.25</f>
        <v>-2431.640625</v>
      </c>
      <c r="EL31" s="384">
        <f t="shared" ref="EL31" si="72">+EG31*1.25</f>
        <v>-3098.14453125</v>
      </c>
      <c r="EM31" s="257">
        <f t="shared" si="55"/>
        <v>-11258.30078125</v>
      </c>
      <c r="EN31" s="384">
        <f>+EI31*1.25</f>
        <v>-3293.45703125</v>
      </c>
      <c r="EO31" s="384">
        <f t="shared" ref="EO31" si="73">+EJ31*1.25</f>
        <v>-3867.1875</v>
      </c>
      <c r="EP31" s="384">
        <f t="shared" ref="EP31" si="74">+EK31*1.25</f>
        <v>-3039.55078125</v>
      </c>
      <c r="EQ31" s="384">
        <f t="shared" ref="EQ31" si="75">+EL31*1.25</f>
        <v>-3872.6806640625</v>
      </c>
      <c r="ER31" s="257">
        <f t="shared" si="56"/>
        <v>-14072.8759765625</v>
      </c>
      <c r="ES31" s="253"/>
    </row>
    <row r="32" spans="1:156" ht="12" customHeight="1">
      <c r="A32" s="794"/>
      <c r="B32" s="794"/>
      <c r="C32" s="265" t="s">
        <v>377</v>
      </c>
      <c r="D32" s="380"/>
      <c r="E32" s="380"/>
      <c r="F32" s="380"/>
      <c r="G32" s="380"/>
      <c r="H32" s="380"/>
      <c r="I32" s="160"/>
      <c r="J32" s="160"/>
      <c r="K32" s="160"/>
      <c r="L32" s="160"/>
      <c r="M32" s="380"/>
      <c r="N32" s="160"/>
      <c r="O32" s="160"/>
      <c r="P32" s="160"/>
      <c r="Q32" s="160"/>
      <c r="R32" s="380"/>
      <c r="S32" s="160"/>
      <c r="T32" s="160"/>
      <c r="U32" s="160"/>
      <c r="V32" s="160"/>
      <c r="W32" s="380"/>
      <c r="X32" s="160"/>
      <c r="Y32" s="160"/>
      <c r="Z32" s="160"/>
      <c r="AA32" s="160"/>
      <c r="AB32" s="380"/>
      <c r="AC32" s="160"/>
      <c r="AD32" s="160"/>
      <c r="AE32" s="160"/>
      <c r="AF32" s="160"/>
      <c r="AG32" s="380"/>
      <c r="AH32" s="160"/>
      <c r="AI32" s="160"/>
      <c r="AJ32" s="160"/>
      <c r="AK32" s="160"/>
      <c r="AL32" s="380"/>
      <c r="AM32" s="160"/>
      <c r="AN32" s="160"/>
      <c r="AO32" s="160"/>
      <c r="AP32" s="160"/>
      <c r="AQ32" s="380"/>
      <c r="AR32" s="160"/>
      <c r="AS32" s="160"/>
      <c r="AT32" s="160"/>
      <c r="AU32" s="160"/>
      <c r="AV32" s="380"/>
      <c r="AW32" s="160"/>
      <c r="AX32" s="160"/>
      <c r="AY32" s="160"/>
      <c r="AZ32" s="160"/>
      <c r="BA32" s="380"/>
      <c r="BB32" s="160"/>
      <c r="BC32" s="160"/>
      <c r="BD32" s="160"/>
      <c r="BE32" s="160"/>
      <c r="BF32" s="380"/>
      <c r="BG32" s="410"/>
      <c r="BH32" s="410"/>
      <c r="BI32" s="410"/>
      <c r="BJ32" s="410"/>
      <c r="BK32" s="380"/>
      <c r="BL32" s="160"/>
      <c r="BM32" s="160"/>
      <c r="BN32" s="160"/>
      <c r="BO32" s="160"/>
      <c r="BP32" s="380"/>
      <c r="BQ32" s="239">
        <v>0</v>
      </c>
      <c r="BR32" s="239">
        <v>0</v>
      </c>
      <c r="BS32" s="239">
        <v>0</v>
      </c>
      <c r="BT32" s="239">
        <v>0</v>
      </c>
      <c r="BU32" s="257">
        <f t="shared" si="57"/>
        <v>0</v>
      </c>
      <c r="BV32" s="239">
        <v>0</v>
      </c>
      <c r="BW32" s="239">
        <v>0</v>
      </c>
      <c r="BX32" s="239">
        <v>0</v>
      </c>
      <c r="BY32" s="239">
        <v>0</v>
      </c>
      <c r="BZ32" s="257">
        <f t="shared" si="58"/>
        <v>0</v>
      </c>
      <c r="CA32" s="239">
        <v>0</v>
      </c>
      <c r="CB32" s="239">
        <v>0</v>
      </c>
      <c r="CC32" s="239">
        <v>0</v>
      </c>
      <c r="CD32" s="239">
        <v>0</v>
      </c>
      <c r="CE32" s="257">
        <f t="shared" si="59"/>
        <v>0</v>
      </c>
      <c r="CF32" s="239">
        <v>0</v>
      </c>
      <c r="CG32" s="239">
        <v>0</v>
      </c>
      <c r="CH32" s="239">
        <v>0</v>
      </c>
      <c r="CI32" s="239">
        <v>0</v>
      </c>
      <c r="CJ32" s="257">
        <f t="shared" si="60"/>
        <v>0</v>
      </c>
      <c r="CK32" s="239">
        <v>0</v>
      </c>
      <c r="CL32" s="239">
        <v>0</v>
      </c>
      <c r="CM32" s="239">
        <v>0</v>
      </c>
      <c r="CN32" s="239">
        <v>0</v>
      </c>
      <c r="CO32" s="257">
        <f t="shared" si="61"/>
        <v>0</v>
      </c>
      <c r="CP32" s="239">
        <v>0</v>
      </c>
      <c r="CQ32" s="239">
        <v>0</v>
      </c>
      <c r="CR32" s="239">
        <v>0</v>
      </c>
      <c r="CS32" s="239">
        <v>0</v>
      </c>
      <c r="CT32" s="257">
        <f t="shared" si="62"/>
        <v>0</v>
      </c>
      <c r="CU32" s="239">
        <v>0</v>
      </c>
      <c r="CV32" s="239">
        <v>0</v>
      </c>
      <c r="CW32" s="239">
        <v>0</v>
      </c>
      <c r="CX32" s="239">
        <v>0</v>
      </c>
      <c r="CY32" s="257">
        <f t="shared" si="63"/>
        <v>0</v>
      </c>
      <c r="CZ32" s="239">
        <v>0</v>
      </c>
      <c r="DA32" s="239">
        <v>0</v>
      </c>
      <c r="DB32" s="239">
        <v>0</v>
      </c>
      <c r="DC32" s="239">
        <v>0</v>
      </c>
      <c r="DD32" s="257">
        <f t="shared" si="64"/>
        <v>0</v>
      </c>
      <c r="DE32" s="239">
        <v>0</v>
      </c>
      <c r="DF32" s="239">
        <v>0</v>
      </c>
      <c r="DG32" s="239">
        <v>0</v>
      </c>
      <c r="DH32" s="239">
        <v>0</v>
      </c>
      <c r="DI32" s="257">
        <f t="shared" si="65"/>
        <v>0</v>
      </c>
      <c r="DJ32" s="239">
        <v>0</v>
      </c>
      <c r="DK32" s="393">
        <v>594</v>
      </c>
      <c r="DL32" s="393">
        <v>628</v>
      </c>
      <c r="DM32" s="393">
        <v>775</v>
      </c>
      <c r="DN32" s="257">
        <f>SUM(DJ32:DM32)</f>
        <v>1997</v>
      </c>
      <c r="DO32" s="393">
        <v>637</v>
      </c>
      <c r="DP32" s="393">
        <v>767</v>
      </c>
      <c r="DQ32" s="393">
        <v>849</v>
      </c>
      <c r="DR32" s="393">
        <v>1182</v>
      </c>
      <c r="DS32" s="257">
        <f>SUM(DO32:DR32)</f>
        <v>3435</v>
      </c>
      <c r="DT32" s="393">
        <v>1043</v>
      </c>
      <c r="DU32" s="393">
        <v>1417</v>
      </c>
      <c r="DV32" s="392">
        <f t="shared" ref="DV32" si="76">+DV31*-0.95</f>
        <v>1182.75</v>
      </c>
      <c r="DW32" s="392">
        <f>+DW31*-0.95</f>
        <v>1506.9375</v>
      </c>
      <c r="DX32" s="257">
        <f t="shared" si="52"/>
        <v>5149.6875</v>
      </c>
      <c r="DY32" s="392">
        <f t="shared" ref="DY32" si="77">+DY31*-0.95</f>
        <v>1601.9375</v>
      </c>
      <c r="DZ32" s="392">
        <f t="shared" ref="DZ32" si="78">+DZ31*-0.95</f>
        <v>1881</v>
      </c>
      <c r="EA32" s="392">
        <f t="shared" ref="EA32" si="79">+EA31*-0.95</f>
        <v>1478.4375</v>
      </c>
      <c r="EB32" s="392">
        <f t="shared" ref="EB32" si="80">+EB31*-0.95</f>
        <v>1883.671875</v>
      </c>
      <c r="EC32" s="257">
        <f t="shared" si="53"/>
        <v>6845.046875</v>
      </c>
      <c r="ED32" s="392">
        <f t="shared" ref="ED32:EG32" si="81">+ED31*-0.95</f>
        <v>2002.421875</v>
      </c>
      <c r="EE32" s="392">
        <f t="shared" si="81"/>
        <v>2351.25</v>
      </c>
      <c r="EF32" s="392">
        <f t="shared" si="81"/>
        <v>1848.046875</v>
      </c>
      <c r="EG32" s="392">
        <f t="shared" si="81"/>
        <v>2354.58984375</v>
      </c>
      <c r="EH32" s="257">
        <f t="shared" si="54"/>
        <v>8556.30859375</v>
      </c>
      <c r="EI32" s="392">
        <f t="shared" ref="EI32:EL32" si="82">+EI31*-0.95</f>
        <v>2503.02734375</v>
      </c>
      <c r="EJ32" s="392">
        <f t="shared" si="82"/>
        <v>2939.0625</v>
      </c>
      <c r="EK32" s="392">
        <f t="shared" si="82"/>
        <v>2310.05859375</v>
      </c>
      <c r="EL32" s="392">
        <f t="shared" si="82"/>
        <v>2943.2373046875</v>
      </c>
      <c r="EM32" s="257">
        <f t="shared" si="55"/>
        <v>10695.3857421875</v>
      </c>
      <c r="EN32" s="392">
        <f t="shared" ref="EN32:EQ32" si="83">+EN31*-0.95</f>
        <v>3128.7841796875</v>
      </c>
      <c r="EO32" s="392">
        <f t="shared" si="83"/>
        <v>3673.828125</v>
      </c>
      <c r="EP32" s="392">
        <f t="shared" si="83"/>
        <v>2887.5732421875</v>
      </c>
      <c r="EQ32" s="392">
        <f t="shared" si="83"/>
        <v>3679.046630859375</v>
      </c>
      <c r="ER32" s="257">
        <f t="shared" si="56"/>
        <v>13369.232177734375</v>
      </c>
      <c r="ES32" s="619"/>
      <c r="ET32" s="619"/>
      <c r="EU32" s="619"/>
      <c r="EV32" s="619"/>
      <c r="EW32" s="619"/>
      <c r="EX32" s="619"/>
      <c r="EY32" s="619"/>
      <c r="EZ32" s="619"/>
    </row>
    <row r="33" spans="1:149" ht="12" customHeight="1">
      <c r="A33" s="794"/>
      <c r="B33" s="794"/>
      <c r="C33" s="265" t="s">
        <v>378</v>
      </c>
      <c r="D33" s="380"/>
      <c r="E33" s="380"/>
      <c r="F33" s="380"/>
      <c r="G33" s="380"/>
      <c r="H33" s="380"/>
      <c r="I33" s="160"/>
      <c r="J33" s="160"/>
      <c r="K33" s="160"/>
      <c r="L33" s="160"/>
      <c r="M33" s="380"/>
      <c r="N33" s="160"/>
      <c r="O33" s="160"/>
      <c r="P33" s="160"/>
      <c r="Q33" s="160"/>
      <c r="R33" s="380"/>
      <c r="S33" s="160"/>
      <c r="T33" s="160"/>
      <c r="U33" s="160"/>
      <c r="V33" s="160"/>
      <c r="W33" s="380"/>
      <c r="X33" s="160"/>
      <c r="Y33" s="160"/>
      <c r="Z33" s="160"/>
      <c r="AA33" s="160"/>
      <c r="AB33" s="380"/>
      <c r="AC33" s="160"/>
      <c r="AD33" s="160"/>
      <c r="AE33" s="160"/>
      <c r="AF33" s="160"/>
      <c r="AG33" s="380"/>
      <c r="AH33" s="160"/>
      <c r="AI33" s="160"/>
      <c r="AJ33" s="160"/>
      <c r="AK33" s="160"/>
      <c r="AL33" s="380"/>
      <c r="AM33" s="160"/>
      <c r="AN33" s="160"/>
      <c r="AO33" s="160"/>
      <c r="AP33" s="160"/>
      <c r="AQ33" s="380"/>
      <c r="AR33" s="160"/>
      <c r="AS33" s="160"/>
      <c r="AT33" s="160"/>
      <c r="AU33" s="160"/>
      <c r="AV33" s="380"/>
      <c r="AW33" s="160"/>
      <c r="AX33" s="160"/>
      <c r="AY33" s="160"/>
      <c r="AZ33" s="160"/>
      <c r="BA33" s="380"/>
      <c r="BB33" s="160"/>
      <c r="BC33" s="160"/>
      <c r="BD33" s="160"/>
      <c r="BE33" s="160"/>
      <c r="BF33" s="380"/>
      <c r="BG33" s="410"/>
      <c r="BH33" s="410"/>
      <c r="BI33" s="410"/>
      <c r="BJ33" s="410"/>
      <c r="BK33" s="380"/>
      <c r="BL33" s="160"/>
      <c r="BM33" s="160"/>
      <c r="BN33" s="160"/>
      <c r="BO33" s="160"/>
      <c r="BP33" s="380"/>
      <c r="BQ33" s="239">
        <v>0</v>
      </c>
      <c r="BR33" s="239">
        <v>0</v>
      </c>
      <c r="BS33" s="239">
        <v>0</v>
      </c>
      <c r="BT33" s="239">
        <v>0</v>
      </c>
      <c r="BU33" s="257">
        <f t="shared" si="57"/>
        <v>0</v>
      </c>
      <c r="BV33" s="239">
        <v>0</v>
      </c>
      <c r="BW33" s="239">
        <v>0</v>
      </c>
      <c r="BX33" s="239">
        <v>0</v>
      </c>
      <c r="BY33" s="239">
        <v>0</v>
      </c>
      <c r="BZ33" s="257">
        <f t="shared" si="58"/>
        <v>0</v>
      </c>
      <c r="CA33" s="239">
        <v>0</v>
      </c>
      <c r="CB33" s="239">
        <v>0</v>
      </c>
      <c r="CC33" s="239">
        <v>0</v>
      </c>
      <c r="CD33" s="239">
        <v>0</v>
      </c>
      <c r="CE33" s="257">
        <f t="shared" si="59"/>
        <v>0</v>
      </c>
      <c r="CF33" s="239">
        <v>0</v>
      </c>
      <c r="CG33" s="239">
        <v>0</v>
      </c>
      <c r="CH33" s="239">
        <v>0</v>
      </c>
      <c r="CI33" s="239">
        <v>0</v>
      </c>
      <c r="CJ33" s="257">
        <f t="shared" si="60"/>
        <v>0</v>
      </c>
      <c r="CK33" s="239">
        <v>0</v>
      </c>
      <c r="CL33" s="239">
        <v>0</v>
      </c>
      <c r="CM33" s="239">
        <v>0</v>
      </c>
      <c r="CN33" s="239">
        <v>0</v>
      </c>
      <c r="CO33" s="257">
        <f t="shared" si="61"/>
        <v>0</v>
      </c>
      <c r="CP33" s="239">
        <v>0</v>
      </c>
      <c r="CQ33" s="239">
        <v>0</v>
      </c>
      <c r="CR33" s="239">
        <v>0</v>
      </c>
      <c r="CS33" s="239">
        <v>0</v>
      </c>
      <c r="CT33" s="257">
        <f t="shared" si="62"/>
        <v>0</v>
      </c>
      <c r="CU33" s="239">
        <v>0</v>
      </c>
      <c r="CV33" s="239">
        <v>0</v>
      </c>
      <c r="CW33" s="239">
        <v>0</v>
      </c>
      <c r="CX33" s="239">
        <v>0</v>
      </c>
      <c r="CY33" s="257">
        <f t="shared" si="63"/>
        <v>0</v>
      </c>
      <c r="CZ33" s="239">
        <v>0</v>
      </c>
      <c r="DA33" s="239">
        <v>0</v>
      </c>
      <c r="DB33" s="239">
        <v>0</v>
      </c>
      <c r="DC33" s="239">
        <v>0</v>
      </c>
      <c r="DD33" s="257">
        <f t="shared" si="64"/>
        <v>0</v>
      </c>
      <c r="DE33" s="239">
        <v>0</v>
      </c>
      <c r="DF33" s="239">
        <v>0</v>
      </c>
      <c r="DG33" s="239">
        <v>0</v>
      </c>
      <c r="DH33" s="239">
        <v>0</v>
      </c>
      <c r="DI33" s="257">
        <f t="shared" si="65"/>
        <v>0</v>
      </c>
      <c r="DJ33" s="239">
        <v>0</v>
      </c>
      <c r="DK33" s="393">
        <v>-106</v>
      </c>
      <c r="DL33" s="446">
        <v>-4</v>
      </c>
      <c r="DM33" s="446">
        <v>-26</v>
      </c>
      <c r="DN33" s="257">
        <f>SUM(DJ33:DM33)</f>
        <v>-136</v>
      </c>
      <c r="DO33" s="393">
        <v>-4</v>
      </c>
      <c r="DP33" s="393">
        <v>-71</v>
      </c>
      <c r="DQ33" s="393">
        <v>-8</v>
      </c>
      <c r="DR33" s="393">
        <v>-16</v>
      </c>
      <c r="DS33" s="257">
        <f>SUM(DO33:DR33)</f>
        <v>-99</v>
      </c>
      <c r="DT33" s="393">
        <v>-1</v>
      </c>
      <c r="DU33" s="393">
        <v>-55</v>
      </c>
      <c r="DV33" s="384">
        <v>0</v>
      </c>
      <c r="DW33" s="384">
        <v>0</v>
      </c>
      <c r="DX33" s="257">
        <f t="shared" si="52"/>
        <v>-56</v>
      </c>
      <c r="DY33" s="384">
        <v>0</v>
      </c>
      <c r="DZ33" s="384">
        <v>0</v>
      </c>
      <c r="EA33" s="384">
        <v>0</v>
      </c>
      <c r="EB33" s="384">
        <v>0</v>
      </c>
      <c r="EC33" s="257">
        <f t="shared" si="53"/>
        <v>0</v>
      </c>
      <c r="ED33" s="384">
        <v>0</v>
      </c>
      <c r="EE33" s="384">
        <v>0</v>
      </c>
      <c r="EF33" s="384">
        <v>0</v>
      </c>
      <c r="EG33" s="384">
        <v>0</v>
      </c>
      <c r="EH33" s="257">
        <f t="shared" si="54"/>
        <v>0</v>
      </c>
      <c r="EI33" s="384">
        <v>0</v>
      </c>
      <c r="EJ33" s="384">
        <v>0</v>
      </c>
      <c r="EK33" s="384">
        <v>0</v>
      </c>
      <c r="EL33" s="384">
        <v>0</v>
      </c>
      <c r="EM33" s="257">
        <f t="shared" si="55"/>
        <v>0</v>
      </c>
      <c r="EN33" s="384">
        <v>0</v>
      </c>
      <c r="EO33" s="384">
        <v>0</v>
      </c>
      <c r="EP33" s="384">
        <v>0</v>
      </c>
      <c r="EQ33" s="384">
        <v>0</v>
      </c>
      <c r="ER33" s="257">
        <f t="shared" si="56"/>
        <v>0</v>
      </c>
      <c r="ES33" s="253"/>
    </row>
    <row r="34" spans="1:149" ht="12" customHeight="1">
      <c r="A34" s="794"/>
      <c r="B34" s="794"/>
      <c r="C34" s="265" t="s">
        <v>233</v>
      </c>
      <c r="D34" s="315"/>
      <c r="E34" s="315"/>
      <c r="F34" s="315"/>
      <c r="G34" s="315"/>
      <c r="H34" s="315"/>
      <c r="I34" s="316"/>
      <c r="J34" s="316"/>
      <c r="K34" s="316"/>
      <c r="L34" s="316"/>
      <c r="M34" s="380"/>
      <c r="N34" s="316"/>
      <c r="O34" s="316"/>
      <c r="P34" s="316"/>
      <c r="Q34" s="316"/>
      <c r="R34" s="380"/>
      <c r="S34" s="316"/>
      <c r="T34" s="316"/>
      <c r="U34" s="316"/>
      <c r="V34" s="316"/>
      <c r="W34" s="380"/>
      <c r="X34" s="316"/>
      <c r="Y34" s="316"/>
      <c r="Z34" s="316"/>
      <c r="AA34" s="316"/>
      <c r="AB34" s="380"/>
      <c r="AC34" s="316"/>
      <c r="AD34" s="316"/>
      <c r="AE34" s="316"/>
      <c r="AF34" s="316"/>
      <c r="AG34" s="380"/>
      <c r="AH34" s="316"/>
      <c r="AI34" s="316"/>
      <c r="AJ34" s="316"/>
      <c r="AK34" s="316"/>
      <c r="AL34" s="380"/>
      <c r="AM34" s="316"/>
      <c r="AN34" s="316"/>
      <c r="AO34" s="316"/>
      <c r="AP34" s="316"/>
      <c r="AQ34" s="380"/>
      <c r="AR34" s="316"/>
      <c r="AS34" s="316"/>
      <c r="AT34" s="316"/>
      <c r="AU34" s="316"/>
      <c r="AV34" s="380"/>
      <c r="AW34" s="316"/>
      <c r="AX34" s="316"/>
      <c r="AY34" s="316"/>
      <c r="AZ34" s="316"/>
      <c r="BA34" s="380"/>
      <c r="BB34" s="316"/>
      <c r="BC34" s="316"/>
      <c r="BD34" s="316"/>
      <c r="BE34" s="316"/>
      <c r="BF34" s="315"/>
      <c r="BG34" s="447"/>
      <c r="BH34" s="447"/>
      <c r="BI34" s="447"/>
      <c r="BJ34" s="447"/>
      <c r="BK34" s="315"/>
      <c r="BL34" s="316"/>
      <c r="BM34" s="316"/>
      <c r="BN34" s="316"/>
      <c r="BO34" s="316"/>
      <c r="BP34" s="380"/>
      <c r="BQ34" s="239">
        <v>-1.02</v>
      </c>
      <c r="BR34" s="239">
        <f>-1.813-BQ34</f>
        <v>-0.79299999999999993</v>
      </c>
      <c r="BS34" s="239">
        <f>-2.397-BR34-BQ34</f>
        <v>-0.58399999999999985</v>
      </c>
      <c r="BT34" s="239">
        <f>-4.511-SUM(BQ34:BS34)</f>
        <v>-2.1140000000000003</v>
      </c>
      <c r="BU34" s="257">
        <f t="shared" si="41"/>
        <v>-4.5110000000000001</v>
      </c>
      <c r="BV34" s="239">
        <v>-0.33</v>
      </c>
      <c r="BW34" s="239">
        <f>-1.256-BV34</f>
        <v>-0.92599999999999993</v>
      </c>
      <c r="BX34" s="239">
        <f>-2.004-BW34-BV34</f>
        <v>-0.748</v>
      </c>
      <c r="BY34" s="239">
        <f>-2.463-BX34-BW34-BV34</f>
        <v>-0.45900000000000013</v>
      </c>
      <c r="BZ34" s="257">
        <f t="shared" si="42"/>
        <v>-2.4630000000000001</v>
      </c>
      <c r="CA34" s="239">
        <v>-0.92400000000000004</v>
      </c>
      <c r="CB34" s="239">
        <f>-2.024-CA34</f>
        <v>-1.1000000000000001</v>
      </c>
      <c r="CC34" s="239">
        <f>-2.882-CB34-CA34</f>
        <v>-0.85799999999999998</v>
      </c>
      <c r="CD34" s="239">
        <f>-4.219-CC34-CB34-CA34</f>
        <v>-1.3370000000000002</v>
      </c>
      <c r="CE34" s="257">
        <f t="shared" si="43"/>
        <v>-4.2190000000000003</v>
      </c>
      <c r="CF34" s="239">
        <v>-5.4470000000000001</v>
      </c>
      <c r="CG34" s="239">
        <f>-9.353-CF34</f>
        <v>-3.9059999999999997</v>
      </c>
      <c r="CH34" s="239">
        <f>-12.328-CG34-CF34</f>
        <v>-2.9750000000000005</v>
      </c>
      <c r="CI34" s="239">
        <f>-13.595-CH34-CG34-CF34</f>
        <v>-1.2670000000000012</v>
      </c>
      <c r="CJ34" s="257">
        <f t="shared" si="44"/>
        <v>-13.595000000000001</v>
      </c>
      <c r="CK34" s="239">
        <v>-1.44</v>
      </c>
      <c r="CL34" s="239">
        <f>-1.935-CK34</f>
        <v>-0.49500000000000011</v>
      </c>
      <c r="CM34" s="239">
        <f>-5.484-CL34-CK34</f>
        <v>-3.5489999999999999</v>
      </c>
      <c r="CN34" s="239">
        <f>-5.638-CM34-CL34-CK34</f>
        <v>-0.15399999999999991</v>
      </c>
      <c r="CO34" s="257">
        <f t="shared" si="45"/>
        <v>-5.6379999999999999</v>
      </c>
      <c r="CP34" s="239">
        <v>-0.219</v>
      </c>
      <c r="CQ34" s="239">
        <f>-0.262-CP34</f>
        <v>-4.300000000000001E-2</v>
      </c>
      <c r="CR34" s="239">
        <f>-0.262-CQ34-CP34</f>
        <v>0</v>
      </c>
      <c r="CS34" s="239">
        <f>-0.262-CR34-CQ34-CP34</f>
        <v>0</v>
      </c>
      <c r="CT34" s="257">
        <f t="shared" si="46"/>
        <v>-0.26200000000000001</v>
      </c>
      <c r="CU34" s="239">
        <v>0</v>
      </c>
      <c r="CV34" s="239">
        <f>0-CU34</f>
        <v>0</v>
      </c>
      <c r="CW34" s="239">
        <v>0</v>
      </c>
      <c r="CX34" s="239">
        <v>0</v>
      </c>
      <c r="CY34" s="257">
        <f t="shared" si="47"/>
        <v>0</v>
      </c>
      <c r="CZ34" s="239">
        <v>0</v>
      </c>
      <c r="DA34" s="239">
        <v>0</v>
      </c>
      <c r="DB34" s="239">
        <v>0</v>
      </c>
      <c r="DC34" s="239">
        <v>0</v>
      </c>
      <c r="DD34" s="257">
        <f t="shared" si="48"/>
        <v>0</v>
      </c>
      <c r="DE34" s="239">
        <v>0</v>
      </c>
      <c r="DF34" s="239">
        <v>0</v>
      </c>
      <c r="DG34" s="239">
        <v>0</v>
      </c>
      <c r="DH34" s="239">
        <v>0</v>
      </c>
      <c r="DI34" s="257">
        <f t="shared" si="49"/>
        <v>0</v>
      </c>
      <c r="DJ34" s="239">
        <v>0</v>
      </c>
      <c r="DK34" s="239">
        <v>0</v>
      </c>
      <c r="DL34" s="239">
        <v>0</v>
      </c>
      <c r="DM34" s="239">
        <v>0</v>
      </c>
      <c r="DN34" s="257">
        <f t="shared" si="50"/>
        <v>0</v>
      </c>
      <c r="DO34" s="239">
        <v>0</v>
      </c>
      <c r="DP34" s="239">
        <v>0</v>
      </c>
      <c r="DQ34" s="239">
        <v>0</v>
      </c>
      <c r="DR34" s="239">
        <v>0</v>
      </c>
      <c r="DS34" s="257">
        <f t="shared" si="51"/>
        <v>0</v>
      </c>
      <c r="DT34" s="239">
        <v>0</v>
      </c>
      <c r="DU34" s="239">
        <v>0</v>
      </c>
      <c r="DV34" s="281">
        <v>0</v>
      </c>
      <c r="DW34" s="281">
        <v>0</v>
      </c>
      <c r="DX34" s="257">
        <f t="shared" si="52"/>
        <v>0</v>
      </c>
      <c r="DY34" s="281">
        <v>0</v>
      </c>
      <c r="DZ34" s="281">
        <v>0</v>
      </c>
      <c r="EA34" s="281">
        <v>0</v>
      </c>
      <c r="EB34" s="281">
        <v>0</v>
      </c>
      <c r="EC34" s="257">
        <f t="shared" si="53"/>
        <v>0</v>
      </c>
      <c r="ED34" s="281">
        <v>0</v>
      </c>
      <c r="EE34" s="281">
        <v>0</v>
      </c>
      <c r="EF34" s="281">
        <v>0</v>
      </c>
      <c r="EG34" s="281">
        <v>0</v>
      </c>
      <c r="EH34" s="257">
        <f t="shared" si="54"/>
        <v>0</v>
      </c>
      <c r="EI34" s="281">
        <v>0</v>
      </c>
      <c r="EJ34" s="281">
        <v>0</v>
      </c>
      <c r="EK34" s="281">
        <v>0</v>
      </c>
      <c r="EL34" s="281">
        <v>0</v>
      </c>
      <c r="EM34" s="257">
        <f t="shared" si="55"/>
        <v>0</v>
      </c>
      <c r="EN34" s="281">
        <v>0</v>
      </c>
      <c r="EO34" s="281">
        <v>0</v>
      </c>
      <c r="EP34" s="281">
        <v>0</v>
      </c>
      <c r="EQ34" s="281">
        <v>0</v>
      </c>
      <c r="ER34" s="257">
        <f t="shared" si="56"/>
        <v>0</v>
      </c>
      <c r="ES34" s="253"/>
    </row>
    <row r="35" spans="1:149" ht="12" customHeight="1">
      <c r="A35" s="794"/>
      <c r="B35" s="794"/>
      <c r="C35" s="265" t="s">
        <v>234</v>
      </c>
      <c r="D35" s="315"/>
      <c r="E35" s="315"/>
      <c r="F35" s="315"/>
      <c r="G35" s="315"/>
      <c r="H35" s="315"/>
      <c r="I35" s="316"/>
      <c r="J35" s="316"/>
      <c r="K35" s="316"/>
      <c r="L35" s="316"/>
      <c r="M35" s="380"/>
      <c r="N35" s="316"/>
      <c r="O35" s="316"/>
      <c r="P35" s="316"/>
      <c r="Q35" s="316"/>
      <c r="R35" s="380"/>
      <c r="S35" s="316"/>
      <c r="T35" s="316"/>
      <c r="U35" s="316"/>
      <c r="V35" s="316"/>
      <c r="W35" s="380"/>
      <c r="X35" s="316"/>
      <c r="Y35" s="316"/>
      <c r="Z35" s="316"/>
      <c r="AA35" s="316"/>
      <c r="AB35" s="380"/>
      <c r="AC35" s="316"/>
      <c r="AD35" s="316"/>
      <c r="AE35" s="316"/>
      <c r="AF35" s="316"/>
      <c r="AG35" s="380"/>
      <c r="AH35" s="316"/>
      <c r="AI35" s="316"/>
      <c r="AJ35" s="316"/>
      <c r="AK35" s="316"/>
      <c r="AL35" s="380"/>
      <c r="AM35" s="316"/>
      <c r="AN35" s="316"/>
      <c r="AO35" s="316"/>
      <c r="AP35" s="316"/>
      <c r="AQ35" s="380"/>
      <c r="AR35" s="316"/>
      <c r="AS35" s="316"/>
      <c r="AT35" s="316"/>
      <c r="AU35" s="316"/>
      <c r="AV35" s="380"/>
      <c r="AW35" s="316"/>
      <c r="AX35" s="316"/>
      <c r="AY35" s="316"/>
      <c r="AZ35" s="316"/>
      <c r="BA35" s="380"/>
      <c r="BB35" s="316"/>
      <c r="BC35" s="316"/>
      <c r="BD35" s="316"/>
      <c r="BE35" s="316"/>
      <c r="BF35" s="315"/>
      <c r="BG35" s="410"/>
      <c r="BH35" s="410"/>
      <c r="BI35" s="410"/>
      <c r="BJ35" s="410"/>
      <c r="BK35" s="315"/>
      <c r="BL35" s="316"/>
      <c r="BM35" s="316"/>
      <c r="BN35" s="316"/>
      <c r="BO35" s="316"/>
      <c r="BP35" s="380"/>
      <c r="BQ35" s="239">
        <v>0</v>
      </c>
      <c r="BR35" s="239">
        <v>0</v>
      </c>
      <c r="BS35" s="239">
        <f>0-BR35-BQ35</f>
        <v>0</v>
      </c>
      <c r="BT35" s="239">
        <f>0-BS35-BR35-BQ35</f>
        <v>0</v>
      </c>
      <c r="BU35" s="257">
        <f t="shared" si="41"/>
        <v>0</v>
      </c>
      <c r="BV35" s="239">
        <v>0</v>
      </c>
      <c r="BW35" s="239">
        <f>-7.969-BV35</f>
        <v>-7.9690000000000003</v>
      </c>
      <c r="BX35" s="239">
        <f>-7.969-BW35-BV35</f>
        <v>0</v>
      </c>
      <c r="BY35" s="239">
        <f>-14.114-BX35-BW35-BV35</f>
        <v>-6.1450000000000005</v>
      </c>
      <c r="BZ35" s="257">
        <f t="shared" si="42"/>
        <v>-14.114000000000001</v>
      </c>
      <c r="CA35" s="239">
        <v>0</v>
      </c>
      <c r="CB35" s="239">
        <f>-15.718-CA35</f>
        <v>-15.718</v>
      </c>
      <c r="CC35" s="239">
        <f>-15.718-CB35-CA35</f>
        <v>0</v>
      </c>
      <c r="CD35" s="239">
        <f>-15.718-CC35-CB35-CA35</f>
        <v>0</v>
      </c>
      <c r="CE35" s="257">
        <f t="shared" si="43"/>
        <v>-15.718</v>
      </c>
      <c r="CF35" s="239">
        <v>0</v>
      </c>
      <c r="CG35" s="239">
        <f>-3.718-CF35</f>
        <v>-3.718</v>
      </c>
      <c r="CH35" s="239">
        <f>-3.718-CG35-CF35</f>
        <v>0</v>
      </c>
      <c r="CI35" s="239">
        <f>-19.397-CH35-CG35-CF35</f>
        <v>-15.678999999999998</v>
      </c>
      <c r="CJ35" s="257">
        <f t="shared" si="44"/>
        <v>-19.396999999999998</v>
      </c>
      <c r="CK35" s="239">
        <v>-5.7140000000000004</v>
      </c>
      <c r="CL35" s="239">
        <f>-12.476-CK35</f>
        <v>-6.7620000000000005</v>
      </c>
      <c r="CM35" s="239">
        <f>-12.476-CL35-CK35</f>
        <v>0</v>
      </c>
      <c r="CN35" s="239">
        <f>-265.512-CM35-CL35-CK35</f>
        <v>-253.036</v>
      </c>
      <c r="CO35" s="257">
        <f t="shared" si="45"/>
        <v>-265.512</v>
      </c>
      <c r="CP35" s="239">
        <v>0</v>
      </c>
      <c r="CQ35" s="239">
        <v>0</v>
      </c>
      <c r="CR35" s="239">
        <v>0</v>
      </c>
      <c r="CS35" s="239">
        <f>0-CR35-CQ35-CP35</f>
        <v>0</v>
      </c>
      <c r="CT35" s="257">
        <f t="shared" si="46"/>
        <v>0</v>
      </c>
      <c r="CU35" s="239">
        <v>0</v>
      </c>
      <c r="CV35" s="239">
        <v>0</v>
      </c>
      <c r="CW35" s="239">
        <f>-49.8-CV35-CU35</f>
        <v>-49.8</v>
      </c>
      <c r="CX35" s="239">
        <f>-59.627-SUM(CU35:CW35)</f>
        <v>-9.8270000000000053</v>
      </c>
      <c r="CY35" s="257">
        <f t="shared" si="47"/>
        <v>-59.627000000000002</v>
      </c>
      <c r="CZ35" s="239">
        <v>-453.94499999999999</v>
      </c>
      <c r="DA35" s="239">
        <f>-569.649-CZ35-30.008</f>
        <v>-145.71200000000002</v>
      </c>
      <c r="DB35" s="239">
        <f>-1753.748-DA35-CZ35-630.135</f>
        <v>-1784.2260000000001</v>
      </c>
      <c r="DC35" s="415">
        <f>-1753.748-DB35-DA35-CZ35-635.156</f>
        <v>-5.0209999999998445</v>
      </c>
      <c r="DD35" s="257">
        <f t="shared" si="48"/>
        <v>-2388.904</v>
      </c>
      <c r="DE35" s="239">
        <f>-90-31</f>
        <v>-121</v>
      </c>
      <c r="DF35" s="239">
        <v>-14</v>
      </c>
      <c r="DG35" s="239">
        <v>0</v>
      </c>
      <c r="DH35" s="239">
        <v>0</v>
      </c>
      <c r="DI35" s="257">
        <f t="shared" si="49"/>
        <v>-135</v>
      </c>
      <c r="DJ35" s="239">
        <v>0</v>
      </c>
      <c r="DK35" s="239">
        <v>-26</v>
      </c>
      <c r="DL35" s="259">
        <v>-4</v>
      </c>
      <c r="DM35" s="259">
        <v>0</v>
      </c>
      <c r="DN35" s="257">
        <f t="shared" si="50"/>
        <v>-30</v>
      </c>
      <c r="DO35" s="239">
        <v>-56</v>
      </c>
      <c r="DP35" s="239">
        <v>0</v>
      </c>
      <c r="DQ35" s="239">
        <v>0</v>
      </c>
      <c r="DR35" s="239">
        <v>0</v>
      </c>
      <c r="DS35" s="257">
        <f t="shared" si="51"/>
        <v>-56</v>
      </c>
      <c r="DT35" s="239">
        <v>2</v>
      </c>
      <c r="DU35" s="239">
        <v>0</v>
      </c>
      <c r="DV35" s="281">
        <v>0</v>
      </c>
      <c r="DW35" s="281">
        <v>0</v>
      </c>
      <c r="DX35" s="257">
        <f t="shared" si="52"/>
        <v>2</v>
      </c>
      <c r="DY35" s="281">
        <v>0</v>
      </c>
      <c r="DZ35" s="281">
        <v>0</v>
      </c>
      <c r="EA35" s="281">
        <v>0</v>
      </c>
      <c r="EB35" s="281">
        <v>0</v>
      </c>
      <c r="EC35" s="257">
        <f t="shared" si="53"/>
        <v>0</v>
      </c>
      <c r="ED35" s="281">
        <v>0</v>
      </c>
      <c r="EE35" s="281">
        <v>0</v>
      </c>
      <c r="EF35" s="281">
        <v>0</v>
      </c>
      <c r="EG35" s="281">
        <v>0</v>
      </c>
      <c r="EH35" s="257">
        <f t="shared" si="54"/>
        <v>0</v>
      </c>
      <c r="EI35" s="281">
        <v>0</v>
      </c>
      <c r="EJ35" s="281">
        <v>0</v>
      </c>
      <c r="EK35" s="281">
        <v>0</v>
      </c>
      <c r="EL35" s="281">
        <v>0</v>
      </c>
      <c r="EM35" s="257">
        <f t="shared" si="55"/>
        <v>0</v>
      </c>
      <c r="EN35" s="281">
        <v>0</v>
      </c>
      <c r="EO35" s="281">
        <v>0</v>
      </c>
      <c r="EP35" s="281">
        <v>0</v>
      </c>
      <c r="EQ35" s="281">
        <v>0</v>
      </c>
      <c r="ER35" s="257">
        <f t="shared" si="56"/>
        <v>0</v>
      </c>
      <c r="ES35" s="253"/>
    </row>
    <row r="36" spans="1:149" ht="12" customHeight="1">
      <c r="A36" s="794"/>
      <c r="B36" s="794"/>
      <c r="C36" s="265" t="s">
        <v>67</v>
      </c>
      <c r="D36" s="315"/>
      <c r="E36" s="315"/>
      <c r="F36" s="315"/>
      <c r="G36" s="315"/>
      <c r="H36" s="315"/>
      <c r="I36" s="316"/>
      <c r="J36" s="316"/>
      <c r="K36" s="316"/>
      <c r="L36" s="316"/>
      <c r="M36" s="380"/>
      <c r="N36" s="316"/>
      <c r="O36" s="316"/>
      <c r="P36" s="316"/>
      <c r="Q36" s="316"/>
      <c r="R36" s="380"/>
      <c r="S36" s="316"/>
      <c r="T36" s="316"/>
      <c r="U36" s="316"/>
      <c r="V36" s="316"/>
      <c r="W36" s="380"/>
      <c r="X36" s="316"/>
      <c r="Y36" s="316"/>
      <c r="Z36" s="316"/>
      <c r="AA36" s="316"/>
      <c r="AB36" s="380"/>
      <c r="AC36" s="316"/>
      <c r="AD36" s="316"/>
      <c r="AE36" s="316"/>
      <c r="AF36" s="316"/>
      <c r="AG36" s="380"/>
      <c r="AH36" s="316"/>
      <c r="AI36" s="316"/>
      <c r="AJ36" s="316"/>
      <c r="AK36" s="316"/>
      <c r="AL36" s="380"/>
      <c r="AM36" s="316"/>
      <c r="AN36" s="316"/>
      <c r="AO36" s="316"/>
      <c r="AP36" s="316"/>
      <c r="AQ36" s="380"/>
      <c r="AR36" s="316"/>
      <c r="AS36" s="316"/>
      <c r="AT36" s="316"/>
      <c r="AU36" s="316"/>
      <c r="AV36" s="380"/>
      <c r="AW36" s="316"/>
      <c r="AX36" s="316"/>
      <c r="AY36" s="316"/>
      <c r="AZ36" s="316"/>
      <c r="BA36" s="380"/>
      <c r="BB36" s="316"/>
      <c r="BC36" s="316"/>
      <c r="BD36" s="316"/>
      <c r="BE36" s="316"/>
      <c r="BF36" s="315"/>
      <c r="BG36" s="132"/>
      <c r="BH36" s="132"/>
      <c r="BI36" s="132"/>
      <c r="BJ36" s="132"/>
      <c r="BK36" s="315"/>
      <c r="BL36" s="316"/>
      <c r="BM36" s="316"/>
      <c r="BN36" s="316"/>
      <c r="BO36" s="316"/>
      <c r="BP36" s="380"/>
      <c r="BQ36" s="239">
        <f>1.152-SUM(BQ28:BQ35)</f>
        <v>3.4000000000002917E-3</v>
      </c>
      <c r="BR36" s="239">
        <f>-41.522-BQ37-SUM(BR28:BR35)</f>
        <v>-3.3999999999991815E-3</v>
      </c>
      <c r="BS36" s="239">
        <f>-72.601-BR37-BQ37-SUM(BS28:BS35)</f>
        <v>2.999999999996561E-3</v>
      </c>
      <c r="BT36" s="239">
        <f>-83.84-BS37-BR37-BQ37-SUM(BT28:BT35)</f>
        <v>-3.00000000000189E-3</v>
      </c>
      <c r="BU36" s="257">
        <f t="shared" si="41"/>
        <v>-4.2188474935755949E-15</v>
      </c>
      <c r="BV36" s="239"/>
      <c r="BW36" s="239"/>
      <c r="BX36" s="239"/>
      <c r="BY36" s="239"/>
      <c r="BZ36" s="257"/>
      <c r="CA36" s="239">
        <f>10.303-SUM(CA28:CA35)</f>
        <v>0</v>
      </c>
      <c r="CB36" s="239">
        <f>-447.635-CA37-SUM(CB28:CB35)</f>
        <v>0</v>
      </c>
      <c r="CC36" s="239">
        <f>-525.551-CB37-CA37-SUM(CC28:CC35)</f>
        <v>0</v>
      </c>
      <c r="CD36" s="239">
        <f>-527.17-CC37-CB37-CA37-SUM(CD28:CD35)</f>
        <v>-5.2846615972157451E-14</v>
      </c>
      <c r="CE36" s="257">
        <f t="shared" si="43"/>
        <v>-5.2846615972157451E-14</v>
      </c>
      <c r="CF36" s="239">
        <f>-596.257-SUM(CF28:CF35)</f>
        <v>0</v>
      </c>
      <c r="CG36" s="239">
        <f>-581.118-CF37-SUM(CG28:CG35)</f>
        <v>-8.1712414612411521E-14</v>
      </c>
      <c r="CH36" s="239">
        <f>-566.028-CG37-CF37-SUM(CH28:CH35)</f>
        <v>9.2370555648813024E-14</v>
      </c>
      <c r="CI36" s="239">
        <f>-810.633-CH37-CG37-CF37-SUM(CI28:CI35)</f>
        <v>-3.694822225952521E-13</v>
      </c>
      <c r="CJ36" s="257">
        <f t="shared" si="44"/>
        <v>-3.5882408155885059E-13</v>
      </c>
      <c r="CK36" s="239">
        <f>-37.292-SUM(CK28:CK35)</f>
        <v>-9.99999999940826E-4</v>
      </c>
      <c r="CL36" s="239">
        <f>181.657-CK37-SUM(CL28:CL35)</f>
        <v>9.9999999997635314E-4</v>
      </c>
      <c r="CM36" s="239">
        <f>-29.486-CL37-CK37-SUM(CM28:CM35)</f>
        <v>0</v>
      </c>
      <c r="CN36" s="239">
        <f>-569.475-CM37-CL37-CK37-SUM(CN28:CN35)</f>
        <v>0</v>
      </c>
      <c r="CO36" s="257">
        <f t="shared" si="45"/>
        <v>3.5527136788005009E-14</v>
      </c>
      <c r="CP36" s="239">
        <f>399.995-SUM(CP28:CP35)</f>
        <v>2.0000000000038654E-2</v>
      </c>
      <c r="CQ36" s="239">
        <f>-347.125-CP37-SUM(CQ28:CQ35)</f>
        <v>-10.020000000000095</v>
      </c>
      <c r="CR36" s="239">
        <f>-1270.566-CQ37-CP37-SUM(CR28:CR35)</f>
        <v>-5.0999999999817192E-2</v>
      </c>
      <c r="CS36" s="239">
        <f>-1931.848-CR37-CQ37-CP37-SUM(CS28:CS35)</f>
        <v>-1</v>
      </c>
      <c r="CT36" s="257">
        <f t="shared" si="46"/>
        <v>-11.050999999999874</v>
      </c>
      <c r="CU36" s="239">
        <f>-1618.379-SUM(CU28:CU35)</f>
        <v>-206.55199999999991</v>
      </c>
      <c r="CV36" s="239">
        <f>-2127.231-CU37-SUM(CV28:CV35)</f>
        <v>-195.32200000000034</v>
      </c>
      <c r="CW36" s="239">
        <f>-2367.903-CV37-CU37-SUM(CW28:CW35)</f>
        <v>-240.69199999999904</v>
      </c>
      <c r="CX36" s="239">
        <f>-2347.79-CW37-CV37-CU37-SUM(CX28:CX35)</f>
        <v>-7.6670000000005913</v>
      </c>
      <c r="CY36" s="257">
        <f t="shared" si="47"/>
        <v>-650.23299999999995</v>
      </c>
      <c r="CZ36" s="239">
        <v>0</v>
      </c>
      <c r="DA36" s="239">
        <v>0</v>
      </c>
      <c r="DB36" s="239">
        <v>0</v>
      </c>
      <c r="DC36" s="239">
        <f>-525.538+366.855</f>
        <v>-158.68299999999999</v>
      </c>
      <c r="DD36" s="257">
        <f t="shared" si="48"/>
        <v>-158.68299999999999</v>
      </c>
      <c r="DE36" s="239">
        <f>166-349</f>
        <v>-183</v>
      </c>
      <c r="DF36" s="239">
        <f>-457+279-26</f>
        <v>-204</v>
      </c>
      <c r="DG36" s="239">
        <f>-528+379-10</f>
        <v>-159</v>
      </c>
      <c r="DH36" s="259">
        <f>-527+514-260</f>
        <v>-273</v>
      </c>
      <c r="DI36" s="257">
        <f t="shared" si="49"/>
        <v>-819</v>
      </c>
      <c r="DJ36" s="259">
        <f>-575+545-1</f>
        <v>-31</v>
      </c>
      <c r="DK36" s="259">
        <v>2</v>
      </c>
      <c r="DL36" s="259">
        <v>1</v>
      </c>
      <c r="DM36" s="259">
        <v>0</v>
      </c>
      <c r="DN36" s="257">
        <f t="shared" si="50"/>
        <v>-28</v>
      </c>
      <c r="DO36" s="259">
        <v>0</v>
      </c>
      <c r="DP36" s="259">
        <v>2</v>
      </c>
      <c r="DQ36" s="259">
        <v>0</v>
      </c>
      <c r="DR36" s="259">
        <v>56</v>
      </c>
      <c r="DS36" s="257">
        <f t="shared" si="51"/>
        <v>58</v>
      </c>
      <c r="DT36" s="259">
        <v>0</v>
      </c>
      <c r="DU36" s="259">
        <v>1</v>
      </c>
      <c r="DV36" s="281">
        <v>0</v>
      </c>
      <c r="DW36" s="281">
        <v>0</v>
      </c>
      <c r="DX36" s="257">
        <f t="shared" si="52"/>
        <v>1</v>
      </c>
      <c r="DY36" s="281">
        <v>0</v>
      </c>
      <c r="DZ36" s="281">
        <v>0</v>
      </c>
      <c r="EA36" s="281">
        <v>0</v>
      </c>
      <c r="EB36" s="281">
        <v>0</v>
      </c>
      <c r="EC36" s="257">
        <f t="shared" si="53"/>
        <v>0</v>
      </c>
      <c r="ED36" s="281">
        <v>0</v>
      </c>
      <c r="EE36" s="281">
        <v>0</v>
      </c>
      <c r="EF36" s="281">
        <v>0</v>
      </c>
      <c r="EG36" s="281">
        <v>0</v>
      </c>
      <c r="EH36" s="257">
        <f t="shared" si="54"/>
        <v>0</v>
      </c>
      <c r="EI36" s="281">
        <v>0</v>
      </c>
      <c r="EJ36" s="281">
        <v>0</v>
      </c>
      <c r="EK36" s="281">
        <v>0</v>
      </c>
      <c r="EL36" s="281">
        <v>0</v>
      </c>
      <c r="EM36" s="257">
        <f t="shared" si="55"/>
        <v>0</v>
      </c>
      <c r="EN36" s="281">
        <v>0</v>
      </c>
      <c r="EO36" s="281">
        <v>0</v>
      </c>
      <c r="EP36" s="281">
        <v>0</v>
      </c>
      <c r="EQ36" s="281">
        <v>0</v>
      </c>
      <c r="ER36" s="257">
        <f t="shared" si="56"/>
        <v>0</v>
      </c>
      <c r="ES36" s="291"/>
    </row>
    <row r="37" spans="1:149" ht="12" customHeight="1">
      <c r="A37" s="794"/>
      <c r="B37" s="794"/>
      <c r="C37" s="433" t="s">
        <v>41</v>
      </c>
      <c r="D37" s="434"/>
      <c r="E37" s="434"/>
      <c r="F37" s="434"/>
      <c r="G37" s="434"/>
      <c r="H37" s="434"/>
      <c r="I37" s="435"/>
      <c r="J37" s="435"/>
      <c r="K37" s="435"/>
      <c r="L37" s="435"/>
      <c r="M37" s="434"/>
      <c r="N37" s="435"/>
      <c r="O37" s="435"/>
      <c r="P37" s="435"/>
      <c r="Q37" s="435"/>
      <c r="R37" s="434"/>
      <c r="S37" s="435"/>
      <c r="T37" s="435"/>
      <c r="U37" s="435"/>
      <c r="V37" s="435"/>
      <c r="W37" s="434"/>
      <c r="X37" s="435"/>
      <c r="Y37" s="435"/>
      <c r="Z37" s="435"/>
      <c r="AA37" s="435"/>
      <c r="AB37" s="434"/>
      <c r="AC37" s="435"/>
      <c r="AD37" s="435"/>
      <c r="AE37" s="435"/>
      <c r="AF37" s="435"/>
      <c r="AG37" s="434"/>
      <c r="AH37" s="435"/>
      <c r="AI37" s="435"/>
      <c r="AJ37" s="435"/>
      <c r="AK37" s="435"/>
      <c r="AL37" s="434"/>
      <c r="AM37" s="435"/>
      <c r="AN37" s="435"/>
      <c r="AO37" s="435"/>
      <c r="AP37" s="435"/>
      <c r="AQ37" s="434"/>
      <c r="AR37" s="435"/>
      <c r="AS37" s="435"/>
      <c r="AT37" s="435"/>
      <c r="AU37" s="435"/>
      <c r="AV37" s="434"/>
      <c r="AW37" s="435"/>
      <c r="AX37" s="435"/>
      <c r="AY37" s="435"/>
      <c r="AZ37" s="435"/>
      <c r="BA37" s="434"/>
      <c r="BB37" s="435"/>
      <c r="BC37" s="435"/>
      <c r="BD37" s="435"/>
      <c r="BE37" s="435"/>
      <c r="BF37" s="434"/>
      <c r="BG37" s="435"/>
      <c r="BH37" s="435"/>
      <c r="BI37" s="435"/>
      <c r="BJ37" s="435"/>
      <c r="BK37" s="434"/>
      <c r="BL37" s="435"/>
      <c r="BM37" s="435"/>
      <c r="BN37" s="435"/>
      <c r="BO37" s="435"/>
      <c r="BP37" s="434"/>
      <c r="BQ37" s="294">
        <f>SUM(BQ28:BQ36)</f>
        <v>1.1519999999999999</v>
      </c>
      <c r="BR37" s="251">
        <f>SUM(BR28:BR36)</f>
        <v>-42.673999999999999</v>
      </c>
      <c r="BS37" s="251">
        <f>SUM(BS28:BS36)</f>
        <v>-31.079000000000001</v>
      </c>
      <c r="BT37" s="251">
        <f>SUM(BT28:BT36)</f>
        <v>-11.239000000000003</v>
      </c>
      <c r="BU37" s="252">
        <f>SUM(BQ37:BT37)</f>
        <v>-83.84</v>
      </c>
      <c r="BV37" s="251">
        <f>SUM(BV28:BV36)</f>
        <v>-28.783999999999995</v>
      </c>
      <c r="BW37" s="251">
        <f>SUM(BW28:BW36)</f>
        <v>-22.433999999999997</v>
      </c>
      <c r="BX37" s="251">
        <f>SUM(BX28:BX36)</f>
        <v>-107.608</v>
      </c>
      <c r="BY37" s="251">
        <f>SUM(BY28:BY36)</f>
        <v>-110.86</v>
      </c>
      <c r="BZ37" s="252">
        <f>SUM(BV37:BY37)</f>
        <v>-269.68599999999998</v>
      </c>
      <c r="CA37" s="251">
        <f>SUM(CA28:CA36)</f>
        <v>10.303000000000004</v>
      </c>
      <c r="CB37" s="251">
        <f>SUM(CB28:CB36)</f>
        <v>-457.9380000000001</v>
      </c>
      <c r="CC37" s="251">
        <f>SUM(CC28:CC36)</f>
        <v>-77.915999999999968</v>
      </c>
      <c r="CD37" s="251">
        <f>SUM(CD28:CD36)</f>
        <v>-1.6189999999999216</v>
      </c>
      <c r="CE37" s="252">
        <f>SUM(CA37:CD37)</f>
        <v>-527.16999999999996</v>
      </c>
      <c r="CF37" s="251">
        <f>SUM(CF28:CF36)</f>
        <v>-596.25699999999995</v>
      </c>
      <c r="CG37" s="251">
        <f>SUM(CG28:CG36)</f>
        <v>15.138999999999896</v>
      </c>
      <c r="CH37" s="251">
        <f>SUM(CH28:CH36)</f>
        <v>15.090000000000032</v>
      </c>
      <c r="CI37" s="251">
        <f>SUM(CI28:CI36)</f>
        <v>-244.60500000000002</v>
      </c>
      <c r="CJ37" s="252">
        <f>SUM(CF37:CI37)</f>
        <v>-810.63300000000004</v>
      </c>
      <c r="CK37" s="251">
        <f>SUM(CK28:CK36)</f>
        <v>-37.292000000000002</v>
      </c>
      <c r="CL37" s="251">
        <f>SUM(CL28:CL36)</f>
        <v>218.94900000000001</v>
      </c>
      <c r="CM37" s="251">
        <f>SUM(CM28:CM36)</f>
        <v>-211.14299999999994</v>
      </c>
      <c r="CN37" s="251">
        <f>SUM(CN28:CN36)</f>
        <v>-539.98899999999981</v>
      </c>
      <c r="CO37" s="252">
        <f>SUM(CK37:CN37)</f>
        <v>-569.47499999999968</v>
      </c>
      <c r="CP37" s="251">
        <f>SUM(CP28:CP36)</f>
        <v>399.995</v>
      </c>
      <c r="CQ37" s="251">
        <f>SUM(CQ28:CQ36)</f>
        <v>-747.12</v>
      </c>
      <c r="CR37" s="251">
        <f>SUM(CR28:CR36)</f>
        <v>-923.44100000000003</v>
      </c>
      <c r="CS37" s="251">
        <f>SUM(CS28:CS36)</f>
        <v>-661.28199999999993</v>
      </c>
      <c r="CT37" s="252">
        <f>SUM(CP37:CS37)</f>
        <v>-1931.848</v>
      </c>
      <c r="CU37" s="251">
        <f>SUM(CU28:CU36)</f>
        <v>-1618.3789999999999</v>
      </c>
      <c r="CV37" s="251">
        <f>SUM(CV28:CV36)</f>
        <v>-508.85200000000032</v>
      </c>
      <c r="CW37" s="251">
        <f>SUM(CW28:CW36)</f>
        <v>-240.67199999999957</v>
      </c>
      <c r="CX37" s="251">
        <f>SUM(CX28:CX36)</f>
        <v>20.112999999999829</v>
      </c>
      <c r="CY37" s="252">
        <f>SUM(CU37:CX37)</f>
        <v>-2347.79</v>
      </c>
      <c r="CZ37" s="251">
        <f>SUM(CZ28:CZ36)</f>
        <v>-4.1949999999999932</v>
      </c>
      <c r="DA37" s="251">
        <f>SUM(DA28:DA36)</f>
        <v>1032.5139999999999</v>
      </c>
      <c r="DB37" s="251">
        <f>SUM(DB28:DB36)</f>
        <v>-1748.8809999999996</v>
      </c>
      <c r="DC37" s="251">
        <f>SUM(DC28:DC36)</f>
        <v>1.995000000000914</v>
      </c>
      <c r="DD37" s="252">
        <f>SUM(CZ37:DC37)</f>
        <v>-718.56699999999876</v>
      </c>
      <c r="DE37" s="251">
        <f>SUM(DE28:DE36)</f>
        <v>-19</v>
      </c>
      <c r="DF37" s="251">
        <f>SUM(DF28:DF36)</f>
        <v>-273</v>
      </c>
      <c r="DG37" s="251">
        <f>SUM(DG28:DG36)</f>
        <v>-606</v>
      </c>
      <c r="DH37" s="251">
        <f>SUM(DH28:DH36)</f>
        <v>-346</v>
      </c>
      <c r="DI37" s="252">
        <f t="shared" si="49"/>
        <v>-1244</v>
      </c>
      <c r="DJ37" s="251">
        <f>SUM(DJ28:DJ36)</f>
        <v>-27</v>
      </c>
      <c r="DK37" s="251">
        <f>SUM(DK28:DK36)</f>
        <v>-424</v>
      </c>
      <c r="DL37" s="251">
        <f>SUM(DL28:DL36)</f>
        <v>-474</v>
      </c>
      <c r="DM37" s="251">
        <f>SUM(DM28:DM36)</f>
        <v>-661</v>
      </c>
      <c r="DN37" s="252">
        <f t="shared" si="50"/>
        <v>-1586</v>
      </c>
      <c r="DO37" s="251">
        <f>SUM(DO28:DO36)</f>
        <v>-619</v>
      </c>
      <c r="DP37" s="251">
        <f>SUM(DP28:DP36)</f>
        <v>-252</v>
      </c>
      <c r="DQ37" s="251">
        <f>SUM(DQ28:DQ36)</f>
        <v>335</v>
      </c>
      <c r="DR37" s="251">
        <f>SUM(DR28:DR36)</f>
        <v>-654</v>
      </c>
      <c r="DS37" s="252">
        <f t="shared" si="51"/>
        <v>-1190</v>
      </c>
      <c r="DT37" s="251">
        <f>SUM(DT28:DT36)</f>
        <v>310</v>
      </c>
      <c r="DU37" s="251">
        <f>SUM(DU28:DU36)</f>
        <v>571</v>
      </c>
      <c r="DV37" s="251">
        <f>SUM(DV28:DV36)</f>
        <v>-69.450000000000045</v>
      </c>
      <c r="DW37" s="251">
        <f>SUM(DW28:DW36)</f>
        <v>-91.3125</v>
      </c>
      <c r="DX37" s="252">
        <f t="shared" si="52"/>
        <v>720.23749999999995</v>
      </c>
      <c r="DY37" s="251">
        <f>SUM(DY28:DY36)</f>
        <v>-90.3125</v>
      </c>
      <c r="DZ37" s="251">
        <f>SUM(DZ28:DZ36)</f>
        <v>-103.79999999999995</v>
      </c>
      <c r="EA37" s="251">
        <f>SUM(EA28:EA36)</f>
        <v>-86.4525000000001</v>
      </c>
      <c r="EB37" s="251">
        <f>SUM(EB28:EB36)</f>
        <v>-113.54062500000009</v>
      </c>
      <c r="EC37" s="252">
        <f t="shared" si="53"/>
        <v>-394.10562500000015</v>
      </c>
      <c r="ED37" s="251">
        <f>SUM(ED28:ED36)</f>
        <v>-112.59062499999982</v>
      </c>
      <c r="EE37" s="251">
        <f>SUM(EE28:EE36)</f>
        <v>-129.51000000000022</v>
      </c>
      <c r="EF37" s="251">
        <f>SUM(EF28:EF36)</f>
        <v>-107.63362499999994</v>
      </c>
      <c r="EG37" s="251">
        <f>SUM(EG28:EG36)</f>
        <v>-141.2057812500002</v>
      </c>
      <c r="EH37" s="252">
        <f t="shared" si="54"/>
        <v>-490.94003125000017</v>
      </c>
      <c r="EI37" s="251">
        <f>SUM(EI28:EI36)</f>
        <v>-140.37828124999987</v>
      </c>
      <c r="EJ37" s="251">
        <f>SUM(EJ28:EJ36)</f>
        <v>-161.59949999999981</v>
      </c>
      <c r="EK37" s="251">
        <f>SUM(EK28:EK36)</f>
        <v>-134.02363125000011</v>
      </c>
      <c r="EL37" s="251">
        <f>SUM(EL28:EL36)</f>
        <v>-175.64322656249988</v>
      </c>
      <c r="EM37" s="252">
        <f t="shared" si="55"/>
        <v>-611.64463906249966</v>
      </c>
      <c r="EN37" s="251">
        <f>SUM(EN28:EN36)</f>
        <v>-175.04085156249994</v>
      </c>
      <c r="EO37" s="251">
        <f>SUM(EO28:EO36)</f>
        <v>-201.65377500000022</v>
      </c>
      <c r="EP37" s="251">
        <f>SUM(EP28:EP36)</f>
        <v>-166.90745906250004</v>
      </c>
      <c r="EQ37" s="251">
        <f>SUM(EQ28:EQ36)</f>
        <v>-218.51723320312522</v>
      </c>
      <c r="ER37" s="252">
        <f t="shared" si="56"/>
        <v>-762.11931882812542</v>
      </c>
      <c r="ES37" s="254"/>
    </row>
    <row r="38" spans="1:149" ht="12" customHeight="1">
      <c r="A38" s="794"/>
      <c r="B38" s="794"/>
      <c r="C38" s="388" t="s">
        <v>10</v>
      </c>
      <c r="D38" s="380"/>
      <c r="E38" s="380"/>
      <c r="F38" s="380"/>
      <c r="G38" s="380"/>
      <c r="H38" s="380"/>
      <c r="I38" s="160"/>
      <c r="J38" s="160"/>
      <c r="K38" s="160"/>
      <c r="L38" s="160"/>
      <c r="M38" s="380"/>
      <c r="N38" s="160"/>
      <c r="O38" s="160"/>
      <c r="P38" s="160"/>
      <c r="Q38" s="160"/>
      <c r="R38" s="380"/>
      <c r="S38" s="160"/>
      <c r="T38" s="160"/>
      <c r="U38" s="160"/>
      <c r="V38" s="160"/>
      <c r="W38" s="380"/>
      <c r="X38" s="160"/>
      <c r="Y38" s="160"/>
      <c r="Z38" s="160"/>
      <c r="AA38" s="160"/>
      <c r="AB38" s="380"/>
      <c r="AC38" s="160"/>
      <c r="AD38" s="160"/>
      <c r="AE38" s="160"/>
      <c r="AF38" s="160"/>
      <c r="AG38" s="380"/>
      <c r="AH38" s="160"/>
      <c r="AI38" s="160"/>
      <c r="AJ38" s="160"/>
      <c r="AK38" s="160"/>
      <c r="AL38" s="380"/>
      <c r="AM38" s="160"/>
      <c r="AN38" s="160"/>
      <c r="AO38" s="160"/>
      <c r="AP38" s="160"/>
      <c r="AQ38" s="380"/>
      <c r="AR38" s="160"/>
      <c r="AS38" s="160"/>
      <c r="AT38" s="160"/>
      <c r="AU38" s="160"/>
      <c r="AV38" s="380"/>
      <c r="AW38" s="160"/>
      <c r="AX38" s="160"/>
      <c r="AY38" s="160"/>
      <c r="AZ38" s="160"/>
      <c r="BA38" s="380"/>
      <c r="BB38" s="160"/>
      <c r="BC38" s="160"/>
      <c r="BD38" s="160"/>
      <c r="BE38" s="160"/>
      <c r="BF38" s="380"/>
      <c r="BG38" s="410"/>
      <c r="BH38" s="410"/>
      <c r="BI38" s="410"/>
      <c r="BJ38" s="410"/>
      <c r="BK38" s="380"/>
      <c r="BL38" s="160"/>
      <c r="BM38" s="160"/>
      <c r="BN38" s="160"/>
      <c r="BO38" s="160"/>
      <c r="BP38" s="380"/>
      <c r="BQ38" s="120"/>
      <c r="BR38" s="120"/>
      <c r="BS38" s="120"/>
      <c r="BT38" s="120"/>
      <c r="BU38" s="257"/>
      <c r="BV38" s="120"/>
      <c r="BW38" s="120"/>
      <c r="BX38" s="120"/>
      <c r="BY38" s="120"/>
      <c r="BZ38" s="257"/>
      <c r="CA38" s="120"/>
      <c r="CB38" s="120"/>
      <c r="CC38" s="120"/>
      <c r="CD38" s="120"/>
      <c r="CE38" s="257"/>
      <c r="CF38" s="120"/>
      <c r="CG38" s="120"/>
      <c r="CH38" s="120"/>
      <c r="CI38" s="120"/>
      <c r="CJ38" s="257"/>
      <c r="CK38" s="120"/>
      <c r="CL38" s="120"/>
      <c r="CM38" s="120"/>
      <c r="CN38" s="120"/>
      <c r="CO38" s="257"/>
      <c r="CP38" s="120"/>
      <c r="CQ38" s="120"/>
      <c r="CR38" s="120"/>
      <c r="CS38" s="120"/>
      <c r="CT38" s="257"/>
      <c r="CU38" s="120"/>
      <c r="CV38" s="120"/>
      <c r="CW38" s="120"/>
      <c r="CX38" s="120"/>
      <c r="CY38" s="257"/>
      <c r="CZ38" s="120"/>
      <c r="DA38" s="120"/>
      <c r="DB38" s="120"/>
      <c r="DC38" s="120"/>
      <c r="DD38" s="257"/>
      <c r="DE38" s="120"/>
      <c r="DF38" s="120"/>
      <c r="DG38" s="120"/>
      <c r="DH38" s="120"/>
      <c r="DI38" s="257"/>
      <c r="DJ38" s="120"/>
      <c r="DK38" s="120"/>
      <c r="DL38" s="120"/>
      <c r="DM38" s="120"/>
      <c r="DN38" s="257"/>
      <c r="DO38" s="120"/>
      <c r="DP38" s="120"/>
      <c r="DQ38" s="120"/>
      <c r="DR38" s="120"/>
      <c r="DS38" s="257"/>
      <c r="DT38" s="120"/>
      <c r="DU38" s="120"/>
      <c r="DV38" s="120"/>
      <c r="DW38" s="120"/>
      <c r="DX38" s="257"/>
      <c r="DY38" s="120"/>
      <c r="DZ38" s="120"/>
      <c r="EA38" s="120"/>
      <c r="EB38" s="120"/>
      <c r="EC38" s="257"/>
      <c r="ED38" s="120"/>
      <c r="EE38" s="120"/>
      <c r="EF38" s="120"/>
      <c r="EG38" s="120"/>
      <c r="EH38" s="257"/>
      <c r="EI38" s="120"/>
      <c r="EJ38" s="120"/>
      <c r="EK38" s="120"/>
      <c r="EL38" s="120"/>
      <c r="EM38" s="257"/>
      <c r="EN38" s="120"/>
      <c r="EO38" s="120"/>
      <c r="EP38" s="120"/>
      <c r="EQ38" s="120"/>
      <c r="ER38" s="257"/>
      <c r="ES38" s="253"/>
    </row>
    <row r="39" spans="1:149" ht="12" customHeight="1">
      <c r="A39" s="794"/>
      <c r="B39" s="794"/>
      <c r="C39" s="265" t="s">
        <v>46</v>
      </c>
      <c r="D39" s="315"/>
      <c r="E39" s="315"/>
      <c r="F39" s="315"/>
      <c r="G39" s="315"/>
      <c r="H39" s="315"/>
      <c r="I39" s="316"/>
      <c r="J39" s="316"/>
      <c r="K39" s="316"/>
      <c r="L39" s="316"/>
      <c r="M39" s="380"/>
      <c r="N39" s="316"/>
      <c r="O39" s="316"/>
      <c r="P39" s="316"/>
      <c r="Q39" s="316"/>
      <c r="R39" s="380"/>
      <c r="S39" s="316"/>
      <c r="T39" s="316"/>
      <c r="U39" s="316"/>
      <c r="V39" s="316"/>
      <c r="W39" s="380"/>
      <c r="X39" s="316"/>
      <c r="Y39" s="316"/>
      <c r="Z39" s="316"/>
      <c r="AA39" s="316"/>
      <c r="AB39" s="380"/>
      <c r="AC39" s="316"/>
      <c r="AD39" s="316"/>
      <c r="AE39" s="316"/>
      <c r="AF39" s="316"/>
      <c r="AG39" s="380"/>
      <c r="AH39" s="316"/>
      <c r="AI39" s="316"/>
      <c r="AJ39" s="316"/>
      <c r="AK39" s="316"/>
      <c r="AL39" s="380"/>
      <c r="AM39" s="316"/>
      <c r="AN39" s="316"/>
      <c r="AO39" s="316"/>
      <c r="AP39" s="316"/>
      <c r="AQ39" s="380"/>
      <c r="AR39" s="316"/>
      <c r="AS39" s="316"/>
      <c r="AT39" s="316"/>
      <c r="AU39" s="316"/>
      <c r="AV39" s="380"/>
      <c r="AW39" s="316"/>
      <c r="AX39" s="316"/>
      <c r="AY39" s="316"/>
      <c r="AZ39" s="316"/>
      <c r="BA39" s="380"/>
      <c r="BB39" s="316"/>
      <c r="BC39" s="316"/>
      <c r="BD39" s="316"/>
      <c r="BE39" s="316"/>
      <c r="BF39" s="315"/>
      <c r="BG39" s="410"/>
      <c r="BH39" s="410"/>
      <c r="BI39" s="410"/>
      <c r="BJ39" s="410"/>
      <c r="BK39" s="448"/>
      <c r="BL39" s="449"/>
      <c r="BM39" s="316"/>
      <c r="BN39" s="449"/>
      <c r="BO39" s="316"/>
      <c r="BP39" s="380"/>
      <c r="BQ39" s="239">
        <v>0</v>
      </c>
      <c r="BR39" s="239">
        <v>0</v>
      </c>
      <c r="BS39" s="239">
        <v>0</v>
      </c>
      <c r="BT39" s="239">
        <v>0</v>
      </c>
      <c r="BU39" s="257">
        <f t="shared" ref="BU39:BU44" si="84">SUM(BQ39:BT39)</f>
        <v>0</v>
      </c>
      <c r="BV39" s="239">
        <v>0</v>
      </c>
      <c r="BW39" s="239">
        <v>0</v>
      </c>
      <c r="BX39" s="239">
        <v>0</v>
      </c>
      <c r="BY39" s="239">
        <v>0</v>
      </c>
      <c r="BZ39" s="257">
        <f t="shared" ref="BZ39:BZ44" si="85">SUM(BV39:BY39)</f>
        <v>0</v>
      </c>
      <c r="CA39" s="239">
        <v>0</v>
      </c>
      <c r="CB39" s="239">
        <v>0</v>
      </c>
      <c r="CC39" s="239">
        <v>0</v>
      </c>
      <c r="CD39" s="239">
        <v>0</v>
      </c>
      <c r="CE39" s="257">
        <f t="shared" ref="CE39:CE44" si="86">SUM(CA39:CD39)</f>
        <v>0</v>
      </c>
      <c r="CF39" s="239">
        <v>0</v>
      </c>
      <c r="CG39" s="239">
        <v>0</v>
      </c>
      <c r="CH39" s="239">
        <v>0</v>
      </c>
      <c r="CI39" s="239">
        <v>0</v>
      </c>
      <c r="CJ39" s="257">
        <f t="shared" ref="CJ39:CJ44" si="87">SUM(CF39:CI39)</f>
        <v>0</v>
      </c>
      <c r="CK39" s="239">
        <v>0</v>
      </c>
      <c r="CL39" s="239">
        <f>0-CK39</f>
        <v>0</v>
      </c>
      <c r="CM39" s="239">
        <v>0</v>
      </c>
      <c r="CN39" s="239">
        <v>0</v>
      </c>
      <c r="CO39" s="257">
        <f t="shared" ref="CO39:CO44" si="88">SUM(CK39:CN39)</f>
        <v>0</v>
      </c>
      <c r="CP39" s="239">
        <v>0</v>
      </c>
      <c r="CQ39" s="239">
        <v>0</v>
      </c>
      <c r="CR39" s="239">
        <f>907.95-CQ39-CP39</f>
        <v>907.95</v>
      </c>
      <c r="CS39" s="239">
        <f>907.95-CR39-CQ39-CP39</f>
        <v>0</v>
      </c>
      <c r="CT39" s="257">
        <f t="shared" ref="CT39:CT44" si="89">SUM(CP39:CS39)</f>
        <v>907.95</v>
      </c>
      <c r="CU39" s="239">
        <v>0</v>
      </c>
      <c r="CV39" s="239">
        <f>0-CU39</f>
        <v>0</v>
      </c>
      <c r="CW39" s="239">
        <v>0</v>
      </c>
      <c r="CX39" s="239">
        <v>0</v>
      </c>
      <c r="CY39" s="286">
        <f t="shared" ref="CY39:CY46" si="90">SUM(CU39:CX39)</f>
        <v>0</v>
      </c>
      <c r="CZ39" s="239">
        <v>0</v>
      </c>
      <c r="DA39" s="239">
        <v>0</v>
      </c>
      <c r="DB39" s="239">
        <v>0</v>
      </c>
      <c r="DC39" s="239">
        <v>0</v>
      </c>
      <c r="DD39" s="286">
        <f t="shared" ref="DD39:DD46" si="91">SUM(CZ39:DC39)</f>
        <v>0</v>
      </c>
      <c r="DE39" s="239">
        <v>0</v>
      </c>
      <c r="DF39" s="239">
        <v>0</v>
      </c>
      <c r="DG39" s="239">
        <v>0</v>
      </c>
      <c r="DH39" s="239">
        <v>0</v>
      </c>
      <c r="DI39" s="286">
        <f>SUM(DE39:DH39)</f>
        <v>0</v>
      </c>
      <c r="DJ39" s="239">
        <v>0</v>
      </c>
      <c r="DK39" s="239">
        <v>0</v>
      </c>
      <c r="DL39" s="239">
        <v>0</v>
      </c>
      <c r="DM39" s="239">
        <v>0</v>
      </c>
      <c r="DN39" s="286">
        <f t="shared" ref="DN39:DN44" si="92">SUM(DJ39:DM39)</f>
        <v>0</v>
      </c>
      <c r="DO39" s="239">
        <v>0</v>
      </c>
      <c r="DP39" s="239">
        <v>0</v>
      </c>
      <c r="DQ39" s="239">
        <v>0</v>
      </c>
      <c r="DR39" s="239">
        <v>-1043</v>
      </c>
      <c r="DS39" s="286">
        <f t="shared" ref="DS39:DS46" si="93">SUM(DO39:DR39)</f>
        <v>-1043</v>
      </c>
      <c r="DT39" s="239">
        <v>0</v>
      </c>
      <c r="DU39" s="239">
        <v>0</v>
      </c>
      <c r="DV39" s="281">
        <v>0</v>
      </c>
      <c r="DW39" s="281">
        <v>0</v>
      </c>
      <c r="DX39" s="286">
        <f t="shared" ref="DX39:DX45" si="94">SUM(DT39:DW39)</f>
        <v>0</v>
      </c>
      <c r="DY39" s="281">
        <v>0</v>
      </c>
      <c r="DZ39" s="281">
        <v>0</v>
      </c>
      <c r="EA39" s="281">
        <v>0</v>
      </c>
      <c r="EB39" s="281">
        <v>0</v>
      </c>
      <c r="EC39" s="286">
        <f t="shared" ref="EC39:EC45" si="95">SUM(DY39:EB39)</f>
        <v>0</v>
      </c>
      <c r="ED39" s="281">
        <v>0</v>
      </c>
      <c r="EE39" s="281">
        <v>0</v>
      </c>
      <c r="EF39" s="281">
        <v>0</v>
      </c>
      <c r="EG39" s="281">
        <v>0</v>
      </c>
      <c r="EH39" s="286">
        <f t="shared" ref="EH39:EH45" si="96">SUM(ED39:EG39)</f>
        <v>0</v>
      </c>
      <c r="EI39" s="281">
        <v>0</v>
      </c>
      <c r="EJ39" s="281">
        <v>0</v>
      </c>
      <c r="EK39" s="281">
        <v>0</v>
      </c>
      <c r="EL39" s="281">
        <v>0</v>
      </c>
      <c r="EM39" s="286">
        <f t="shared" ref="EM39:EM45" si="97">SUM(EI39:EL39)</f>
        <v>0</v>
      </c>
      <c r="EN39" s="281">
        <v>0</v>
      </c>
      <c r="EO39" s="281">
        <v>0</v>
      </c>
      <c r="EP39" s="281">
        <v>0</v>
      </c>
      <c r="EQ39" s="281">
        <v>0</v>
      </c>
      <c r="ER39" s="286">
        <f t="shared" ref="ER39:ER45" si="98">SUM(EN39:EQ39)</f>
        <v>0</v>
      </c>
      <c r="ES39" s="253"/>
    </row>
    <row r="40" spans="1:149" ht="12" customHeight="1">
      <c r="A40" s="794"/>
      <c r="B40" s="794"/>
      <c r="C40" s="265" t="s">
        <v>230</v>
      </c>
      <c r="D40" s="315"/>
      <c r="E40" s="315"/>
      <c r="F40" s="315"/>
      <c r="G40" s="315"/>
      <c r="H40" s="315"/>
      <c r="I40" s="316"/>
      <c r="J40" s="316"/>
      <c r="K40" s="316"/>
      <c r="L40" s="316"/>
      <c r="M40" s="380"/>
      <c r="N40" s="316"/>
      <c r="O40" s="316"/>
      <c r="P40" s="316"/>
      <c r="Q40" s="316"/>
      <c r="R40" s="380"/>
      <c r="S40" s="316"/>
      <c r="T40" s="316"/>
      <c r="U40" s="316"/>
      <c r="V40" s="316"/>
      <c r="W40" s="380"/>
      <c r="X40" s="316"/>
      <c r="Y40" s="316"/>
      <c r="Z40" s="316"/>
      <c r="AA40" s="316"/>
      <c r="AB40" s="380"/>
      <c r="AC40" s="316"/>
      <c r="AD40" s="316"/>
      <c r="AE40" s="316"/>
      <c r="AF40" s="316"/>
      <c r="AG40" s="380"/>
      <c r="AH40" s="316"/>
      <c r="AI40" s="316"/>
      <c r="AJ40" s="316"/>
      <c r="AK40" s="316"/>
      <c r="AL40" s="380"/>
      <c r="AM40" s="316"/>
      <c r="AN40" s="316"/>
      <c r="AO40" s="316"/>
      <c r="AP40" s="316"/>
      <c r="AQ40" s="380"/>
      <c r="AR40" s="316"/>
      <c r="AS40" s="316"/>
      <c r="AT40" s="316"/>
      <c r="AU40" s="316"/>
      <c r="AV40" s="380"/>
      <c r="AW40" s="316"/>
      <c r="AX40" s="316"/>
      <c r="AY40" s="316"/>
      <c r="AZ40" s="316"/>
      <c r="BA40" s="380"/>
      <c r="BB40" s="316"/>
      <c r="BC40" s="316"/>
      <c r="BD40" s="316"/>
      <c r="BE40" s="316"/>
      <c r="BF40" s="315"/>
      <c r="BG40" s="410"/>
      <c r="BH40" s="410"/>
      <c r="BI40" s="410"/>
      <c r="BJ40" s="410"/>
      <c r="BK40" s="448"/>
      <c r="BL40" s="449"/>
      <c r="BM40" s="316"/>
      <c r="BN40" s="449"/>
      <c r="BO40" s="449"/>
      <c r="BP40" s="380"/>
      <c r="BQ40" s="239">
        <v>0</v>
      </c>
      <c r="BR40" s="239">
        <f>136.251-BQ40</f>
        <v>136.251</v>
      </c>
      <c r="BS40" s="239">
        <f>136.251-BR40-BQ40</f>
        <v>0</v>
      </c>
      <c r="BT40" s="239">
        <f>136.251-SUM(BQ40:BS40)</f>
        <v>0</v>
      </c>
      <c r="BU40" s="257">
        <f t="shared" si="84"/>
        <v>136.251</v>
      </c>
      <c r="BV40" s="239">
        <v>0</v>
      </c>
      <c r="BW40" s="239">
        <v>0</v>
      </c>
      <c r="BX40" s="239">
        <f>224.423-BW40-BV40</f>
        <v>224.423</v>
      </c>
      <c r="BY40" s="239">
        <f>224.423-BX40-BW40-BV40</f>
        <v>0</v>
      </c>
      <c r="BZ40" s="257">
        <f t="shared" si="85"/>
        <v>224.423</v>
      </c>
      <c r="CA40" s="239">
        <v>0</v>
      </c>
      <c r="CB40" s="239">
        <f>560.057-CA40</f>
        <v>560.05700000000002</v>
      </c>
      <c r="CC40" s="239">
        <f>560.057-CB40-CA40</f>
        <v>0</v>
      </c>
      <c r="CD40" s="239">
        <f>560.057-CC40-CB40-CA40</f>
        <v>0</v>
      </c>
      <c r="CE40" s="257">
        <f t="shared" si="86"/>
        <v>560.05700000000002</v>
      </c>
      <c r="CF40" s="239">
        <v>646.98400000000004</v>
      </c>
      <c r="CG40" s="239">
        <f>646.984-CF40</f>
        <v>0</v>
      </c>
      <c r="CH40" s="239">
        <f>646.984-CG40-CF40</f>
        <v>0</v>
      </c>
      <c r="CI40" s="239">
        <f>1041.688-CH40-CG40-CF40</f>
        <v>394.70400000000006</v>
      </c>
      <c r="CJ40" s="257">
        <f t="shared" si="87"/>
        <v>1041.6880000000001</v>
      </c>
      <c r="CK40" s="239">
        <v>0</v>
      </c>
      <c r="CL40" s="239">
        <f>0-CK40</f>
        <v>0</v>
      </c>
      <c r="CM40" s="402">
        <f>688.014-CL40-CK40</f>
        <v>688.01400000000001</v>
      </c>
      <c r="CN40" s="239">
        <f>688.014-CM40-CL40-CK40</f>
        <v>0</v>
      </c>
      <c r="CO40" s="257">
        <f t="shared" si="88"/>
        <v>688.01400000000001</v>
      </c>
      <c r="CP40" s="239">
        <v>0</v>
      </c>
      <c r="CQ40" s="239">
        <f>1460.945-CP40</f>
        <v>1460.9449999999999</v>
      </c>
      <c r="CR40" s="402">
        <f>2578.591-CQ40-CP40</f>
        <v>1117.646</v>
      </c>
      <c r="CS40" s="239">
        <f>2578.591-CR40-CQ40-CP40</f>
        <v>0</v>
      </c>
      <c r="CT40" s="257">
        <f t="shared" si="89"/>
        <v>2578.5909999999999</v>
      </c>
      <c r="CU40" s="239">
        <v>1541.1679999999999</v>
      </c>
      <c r="CV40" s="239">
        <f>1541.168-CU40</f>
        <v>0</v>
      </c>
      <c r="CW40" s="239">
        <f>1541.168-CV40-CU40</f>
        <v>0</v>
      </c>
      <c r="CX40" s="239">
        <f>1541.168-SUM(CU40:CW40)</f>
        <v>0</v>
      </c>
      <c r="CY40" s="286">
        <f t="shared" si="90"/>
        <v>1541.1679999999999</v>
      </c>
      <c r="CZ40" s="239">
        <v>0</v>
      </c>
      <c r="DA40" s="239">
        <v>0</v>
      </c>
      <c r="DB40" s="239">
        <v>0</v>
      </c>
      <c r="DC40" s="239">
        <v>0</v>
      </c>
      <c r="DD40" s="286">
        <f t="shared" si="91"/>
        <v>0</v>
      </c>
      <c r="DE40" s="239">
        <v>0</v>
      </c>
      <c r="DF40" s="239">
        <v>0</v>
      </c>
      <c r="DG40" s="239">
        <v>0</v>
      </c>
      <c r="DH40" s="239">
        <v>0</v>
      </c>
      <c r="DI40" s="286">
        <f t="shared" ref="DI40:DI44" si="99">SUM(DE40:DH40)</f>
        <v>0</v>
      </c>
      <c r="DJ40" s="239">
        <v>0</v>
      </c>
      <c r="DK40" s="239">
        <v>0</v>
      </c>
      <c r="DL40" s="239">
        <v>0</v>
      </c>
      <c r="DM40" s="239">
        <v>0</v>
      </c>
      <c r="DN40" s="286">
        <f t="shared" si="92"/>
        <v>0</v>
      </c>
      <c r="DO40" s="239">
        <v>0</v>
      </c>
      <c r="DP40" s="239">
        <v>0</v>
      </c>
      <c r="DQ40" s="239">
        <v>0</v>
      </c>
      <c r="DR40" s="239">
        <v>0</v>
      </c>
      <c r="DS40" s="286">
        <f t="shared" si="93"/>
        <v>0</v>
      </c>
      <c r="DT40" s="239">
        <v>0</v>
      </c>
      <c r="DU40" s="239">
        <v>0</v>
      </c>
      <c r="DV40" s="281">
        <v>0</v>
      </c>
      <c r="DW40" s="281">
        <v>0</v>
      </c>
      <c r="DX40" s="286">
        <f t="shared" si="94"/>
        <v>0</v>
      </c>
      <c r="DY40" s="281">
        <v>0</v>
      </c>
      <c r="DZ40" s="281">
        <v>0</v>
      </c>
      <c r="EA40" s="281">
        <v>0</v>
      </c>
      <c r="EB40" s="281">
        <v>0</v>
      </c>
      <c r="EC40" s="286">
        <f t="shared" si="95"/>
        <v>0</v>
      </c>
      <c r="ED40" s="281">
        <v>0</v>
      </c>
      <c r="EE40" s="281">
        <v>0</v>
      </c>
      <c r="EF40" s="281">
        <v>0</v>
      </c>
      <c r="EG40" s="281">
        <v>0</v>
      </c>
      <c r="EH40" s="286">
        <f t="shared" si="96"/>
        <v>0</v>
      </c>
      <c r="EI40" s="281">
        <v>0</v>
      </c>
      <c r="EJ40" s="281">
        <v>0</v>
      </c>
      <c r="EK40" s="281">
        <v>0</v>
      </c>
      <c r="EL40" s="281">
        <v>0</v>
      </c>
      <c r="EM40" s="286">
        <f t="shared" si="97"/>
        <v>0</v>
      </c>
      <c r="EN40" s="281">
        <v>0</v>
      </c>
      <c r="EO40" s="281">
        <v>0</v>
      </c>
      <c r="EP40" s="281">
        <v>0</v>
      </c>
      <c r="EQ40" s="281">
        <v>0</v>
      </c>
      <c r="ER40" s="286">
        <f t="shared" si="98"/>
        <v>0</v>
      </c>
      <c r="ES40" s="253"/>
    </row>
    <row r="41" spans="1:149" ht="12" customHeight="1">
      <c r="A41" s="794"/>
      <c r="B41" s="794"/>
      <c r="C41" s="265" t="s">
        <v>231</v>
      </c>
      <c r="D41" s="448"/>
      <c r="E41" s="448"/>
      <c r="F41" s="448"/>
      <c r="G41" s="448"/>
      <c r="H41" s="448"/>
      <c r="I41" s="449"/>
      <c r="J41" s="449"/>
      <c r="K41" s="449"/>
      <c r="L41" s="449"/>
      <c r="M41" s="450"/>
      <c r="N41" s="449"/>
      <c r="O41" s="449"/>
      <c r="P41" s="449"/>
      <c r="Q41" s="449"/>
      <c r="R41" s="450"/>
      <c r="S41" s="449"/>
      <c r="T41" s="449"/>
      <c r="U41" s="449"/>
      <c r="V41" s="449"/>
      <c r="W41" s="450"/>
      <c r="X41" s="449"/>
      <c r="Y41" s="449"/>
      <c r="Z41" s="449"/>
      <c r="AA41" s="449"/>
      <c r="AB41" s="450"/>
      <c r="AC41" s="449"/>
      <c r="AD41" s="449"/>
      <c r="AE41" s="449"/>
      <c r="AF41" s="449"/>
      <c r="AG41" s="450"/>
      <c r="AH41" s="449"/>
      <c r="AI41" s="449"/>
      <c r="AJ41" s="449"/>
      <c r="AK41" s="449"/>
      <c r="AL41" s="450"/>
      <c r="AM41" s="449"/>
      <c r="AN41" s="449"/>
      <c r="AO41" s="449"/>
      <c r="AP41" s="449"/>
      <c r="AQ41" s="450"/>
      <c r="AR41" s="449"/>
      <c r="AS41" s="449"/>
      <c r="AT41" s="449"/>
      <c r="AU41" s="449"/>
      <c r="AV41" s="450"/>
      <c r="AW41" s="449"/>
      <c r="AX41" s="449"/>
      <c r="AY41" s="449"/>
      <c r="AZ41" s="449"/>
      <c r="BA41" s="450"/>
      <c r="BB41" s="449"/>
      <c r="BC41" s="449"/>
      <c r="BD41" s="449"/>
      <c r="BE41" s="449"/>
      <c r="BF41" s="448"/>
      <c r="BG41" s="451"/>
      <c r="BH41" s="451"/>
      <c r="BI41" s="451"/>
      <c r="BJ41" s="451"/>
      <c r="BK41" s="448"/>
      <c r="BL41" s="449"/>
      <c r="BM41" s="449"/>
      <c r="BN41" s="449"/>
      <c r="BO41" s="449"/>
      <c r="BP41" s="450"/>
      <c r="BQ41" s="391">
        <v>5.5E-2</v>
      </c>
      <c r="BR41" s="391">
        <f>0.164-BQ41</f>
        <v>0.10900000000000001</v>
      </c>
      <c r="BS41" s="391">
        <f>0.241-BR41-BQ41</f>
        <v>7.6999999999999985E-2</v>
      </c>
      <c r="BT41" s="393">
        <f>1.604-SUM(BQ41:BS41)</f>
        <v>1.363</v>
      </c>
      <c r="BU41" s="286">
        <f t="shared" si="84"/>
        <v>1.6040000000000001</v>
      </c>
      <c r="BV41" s="391">
        <v>0.84399999999999997</v>
      </c>
      <c r="BW41" s="391">
        <f>1.832-BV41</f>
        <v>0.9880000000000001</v>
      </c>
      <c r="BX41" s="391">
        <f>3.23-BW41-BV41</f>
        <v>1.3980000000000001</v>
      </c>
      <c r="BY41" s="393">
        <f>4.162-BX41-BW41-BV41</f>
        <v>0.93199999999999983</v>
      </c>
      <c r="BZ41" s="286">
        <f t="shared" si="85"/>
        <v>4.1619999999999999</v>
      </c>
      <c r="CA41" s="391">
        <v>2.98</v>
      </c>
      <c r="CB41" s="391">
        <f>6.932-CA41</f>
        <v>3.9520000000000004</v>
      </c>
      <c r="CC41" s="391">
        <f>10.5-CB41-CA41</f>
        <v>3.5680000000000001</v>
      </c>
      <c r="CD41" s="393">
        <f>14.774-CC41-CB41-CA41</f>
        <v>4.2739999999999991</v>
      </c>
      <c r="CE41" s="286">
        <f t="shared" si="86"/>
        <v>14.773999999999999</v>
      </c>
      <c r="CF41" s="391">
        <v>6.2939999999999996</v>
      </c>
      <c r="CG41" s="391">
        <f>16.14-CF41</f>
        <v>9.8460000000000001</v>
      </c>
      <c r="CH41" s="391">
        <f>22.273-CG41-CF41</f>
        <v>6.133</v>
      </c>
      <c r="CI41" s="393">
        <f>30.494-CH41-CG41-CF41</f>
        <v>8.2210000000000001</v>
      </c>
      <c r="CJ41" s="286">
        <f t="shared" si="87"/>
        <v>30.494</v>
      </c>
      <c r="CK41" s="391">
        <v>12.055999999999999</v>
      </c>
      <c r="CL41" s="391">
        <f>27.624-CK41</f>
        <v>15.568</v>
      </c>
      <c r="CM41" s="391">
        <f>37.301-CL41-CK41</f>
        <v>9.6770000000000049</v>
      </c>
      <c r="CN41" s="393">
        <f>48.337-CM41-CL41-CK41</f>
        <v>11.036</v>
      </c>
      <c r="CO41" s="286">
        <f t="shared" si="88"/>
        <v>48.337000000000003</v>
      </c>
      <c r="CP41" s="391">
        <v>19.427</v>
      </c>
      <c r="CQ41" s="391">
        <f>37.595-CP41</f>
        <v>18.167999999999999</v>
      </c>
      <c r="CR41" s="391">
        <f>50.076-CQ41-CP41</f>
        <v>12.481000000000002</v>
      </c>
      <c r="CS41" s="393">
        <f>70.809-CR41-CQ41-CP41</f>
        <v>20.732999999999997</v>
      </c>
      <c r="CT41" s="286">
        <f t="shared" si="89"/>
        <v>70.808999999999997</v>
      </c>
      <c r="CU41" s="393">
        <v>22.925000000000001</v>
      </c>
      <c r="CV41" s="393">
        <f>43.29-CU41</f>
        <v>20.364999999999998</v>
      </c>
      <c r="CW41" s="393">
        <f>72.444-CV41-CU41</f>
        <v>29.154000000000007</v>
      </c>
      <c r="CX41" s="393">
        <f>108.594-SUM(CU41:CW41)</f>
        <v>36.149999999999991</v>
      </c>
      <c r="CY41" s="304">
        <f t="shared" si="90"/>
        <v>108.59399999999999</v>
      </c>
      <c r="CZ41" s="393">
        <v>6.282</v>
      </c>
      <c r="DA41" s="393">
        <f>7.837-CZ41</f>
        <v>1.5549999999999997</v>
      </c>
      <c r="DB41" s="393">
        <f>11.257-DA41-CZ41</f>
        <v>3.42</v>
      </c>
      <c r="DC41" s="424">
        <f>17.549-DB41-DA41-CZ41</f>
        <v>6.2919999999999998</v>
      </c>
      <c r="DD41" s="304">
        <f t="shared" si="91"/>
        <v>17.548999999999999</v>
      </c>
      <c r="DE41" s="393">
        <v>6</v>
      </c>
      <c r="DF41" s="393">
        <v>26</v>
      </c>
      <c r="DG41" s="393">
        <v>11</v>
      </c>
      <c r="DH41" s="393">
        <v>17</v>
      </c>
      <c r="DI41" s="304">
        <f t="shared" si="99"/>
        <v>60</v>
      </c>
      <c r="DJ41" s="393">
        <v>3</v>
      </c>
      <c r="DK41" s="393">
        <v>3</v>
      </c>
      <c r="DL41" s="393">
        <v>6</v>
      </c>
      <c r="DM41" s="393">
        <v>49</v>
      </c>
      <c r="DN41" s="304">
        <f t="shared" si="92"/>
        <v>61</v>
      </c>
      <c r="DO41" s="393">
        <v>59</v>
      </c>
      <c r="DP41" s="393">
        <v>44</v>
      </c>
      <c r="DQ41" s="393">
        <v>24</v>
      </c>
      <c r="DR41" s="393">
        <v>105</v>
      </c>
      <c r="DS41" s="304">
        <f t="shared" si="93"/>
        <v>232</v>
      </c>
      <c r="DT41" s="393">
        <v>6</v>
      </c>
      <c r="DU41" s="393">
        <v>3</v>
      </c>
      <c r="DV41" s="384">
        <f>DU41</f>
        <v>3</v>
      </c>
      <c r="DW41" s="384">
        <f>DV41</f>
        <v>3</v>
      </c>
      <c r="DX41" s="304">
        <f t="shared" si="94"/>
        <v>15</v>
      </c>
      <c r="DY41" s="384">
        <f>DW41</f>
        <v>3</v>
      </c>
      <c r="DZ41" s="384">
        <f>DY41</f>
        <v>3</v>
      </c>
      <c r="EA41" s="384">
        <f>DZ41</f>
        <v>3</v>
      </c>
      <c r="EB41" s="384">
        <f>EA41</f>
        <v>3</v>
      </c>
      <c r="EC41" s="304">
        <f t="shared" si="95"/>
        <v>12</v>
      </c>
      <c r="ED41" s="384">
        <f>EB41</f>
        <v>3</v>
      </c>
      <c r="EE41" s="384">
        <f>ED41</f>
        <v>3</v>
      </c>
      <c r="EF41" s="384">
        <f>EE41</f>
        <v>3</v>
      </c>
      <c r="EG41" s="384">
        <f>EF41</f>
        <v>3</v>
      </c>
      <c r="EH41" s="304">
        <f t="shared" si="96"/>
        <v>12</v>
      </c>
      <c r="EI41" s="384">
        <f>EG41</f>
        <v>3</v>
      </c>
      <c r="EJ41" s="384">
        <f>EI41</f>
        <v>3</v>
      </c>
      <c r="EK41" s="384">
        <f>EJ41</f>
        <v>3</v>
      </c>
      <c r="EL41" s="384">
        <f>EK41</f>
        <v>3</v>
      </c>
      <c r="EM41" s="304">
        <f t="shared" si="97"/>
        <v>12</v>
      </c>
      <c r="EN41" s="384">
        <f>EL41</f>
        <v>3</v>
      </c>
      <c r="EO41" s="384">
        <f>EN41</f>
        <v>3</v>
      </c>
      <c r="EP41" s="384">
        <f>EO41</f>
        <v>3</v>
      </c>
      <c r="EQ41" s="384">
        <f>EP41</f>
        <v>3</v>
      </c>
      <c r="ER41" s="304">
        <f t="shared" si="98"/>
        <v>12</v>
      </c>
      <c r="ES41" s="452"/>
    </row>
    <row r="42" spans="1:149" ht="12" customHeight="1">
      <c r="A42" s="794"/>
      <c r="B42" s="794"/>
      <c r="C42" s="265" t="s">
        <v>197</v>
      </c>
      <c r="D42" s="315"/>
      <c r="E42" s="315"/>
      <c r="F42" s="315"/>
      <c r="G42" s="315"/>
      <c r="H42" s="315"/>
      <c r="I42" s="316"/>
      <c r="J42" s="316"/>
      <c r="K42" s="316"/>
      <c r="L42" s="316"/>
      <c r="M42" s="380"/>
      <c r="N42" s="316"/>
      <c r="O42" s="316"/>
      <c r="P42" s="316"/>
      <c r="Q42" s="316"/>
      <c r="R42" s="380"/>
      <c r="S42" s="316"/>
      <c r="T42" s="316"/>
      <c r="U42" s="316"/>
      <c r="V42" s="316"/>
      <c r="W42" s="380"/>
      <c r="X42" s="316"/>
      <c r="Y42" s="316"/>
      <c r="Z42" s="316"/>
      <c r="AA42" s="316"/>
      <c r="AB42" s="380"/>
      <c r="AC42" s="316"/>
      <c r="AD42" s="316"/>
      <c r="AE42" s="316"/>
      <c r="AF42" s="316"/>
      <c r="AG42" s="380"/>
      <c r="AH42" s="316"/>
      <c r="AI42" s="316"/>
      <c r="AJ42" s="316"/>
      <c r="AK42" s="316"/>
      <c r="AL42" s="380"/>
      <c r="AM42" s="316"/>
      <c r="AN42" s="316"/>
      <c r="AO42" s="316"/>
      <c r="AP42" s="316"/>
      <c r="AQ42" s="380"/>
      <c r="AR42" s="316"/>
      <c r="AS42" s="316"/>
      <c r="AT42" s="316"/>
      <c r="AU42" s="316"/>
      <c r="AV42" s="380"/>
      <c r="AW42" s="316"/>
      <c r="AX42" s="316"/>
      <c r="AY42" s="316"/>
      <c r="AZ42" s="316"/>
      <c r="BA42" s="380"/>
      <c r="BB42" s="316"/>
      <c r="BC42" s="316"/>
      <c r="BD42" s="316"/>
      <c r="BE42" s="316"/>
      <c r="BF42" s="315"/>
      <c r="BG42" s="132"/>
      <c r="BH42" s="132"/>
      <c r="BI42" s="132"/>
      <c r="BJ42" s="132"/>
      <c r="BK42" s="315"/>
      <c r="BL42" s="316"/>
      <c r="BM42" s="316"/>
      <c r="BN42" s="316"/>
      <c r="BO42" s="316"/>
      <c r="BP42" s="380"/>
      <c r="BQ42" s="391">
        <f>0.055-SUM(BQ39:BQ41)</f>
        <v>0</v>
      </c>
      <c r="BR42" s="391">
        <f>136.415-BQ43-SUM(BR39:BR41)</f>
        <v>0</v>
      </c>
      <c r="BS42" s="391">
        <f>136.492-BR43-BQ43-SUM(BS39:BS41)</f>
        <v>-2.3397950243975174E-14</v>
      </c>
      <c r="BT42" s="391">
        <f>137.855-BS43-BR43-BQ43-SUM(BT39:BT41)</f>
        <v>6.4392935428259079E-15</v>
      </c>
      <c r="BU42" s="286">
        <f t="shared" si="84"/>
        <v>-1.6958656701149266E-14</v>
      </c>
      <c r="BV42" s="391">
        <f>0.844-SUM(BV39:BV41)</f>
        <v>0</v>
      </c>
      <c r="BW42" s="391">
        <f>1.832-BV43-SUM(BW39:BW41)</f>
        <v>0</v>
      </c>
      <c r="BX42" s="391">
        <f>227.653-BW43-BV43-SUM(BX39:BX41)</f>
        <v>0</v>
      </c>
      <c r="BY42" s="391">
        <f>228.585-BX43-BW43-BV43-SUM(BY39:BY41)</f>
        <v>1.021405182655144E-14</v>
      </c>
      <c r="BZ42" s="286">
        <f t="shared" si="85"/>
        <v>1.021405182655144E-14</v>
      </c>
      <c r="CA42" s="391">
        <f>2.98-SUM(CA39:CA41)</f>
        <v>0</v>
      </c>
      <c r="CB42" s="391">
        <f>566.989-CA43-SUM(CB39:CB41)</f>
        <v>0</v>
      </c>
      <c r="CC42" s="391">
        <f>570.557-CB43-CA43-SUM(CC39:CC41)</f>
        <v>0</v>
      </c>
      <c r="CD42" s="391">
        <f>574.831-CC43-CB43-CA43-SUM(CD39:CD41)</f>
        <v>1.9539925233402755E-14</v>
      </c>
      <c r="CE42" s="286">
        <f t="shared" si="86"/>
        <v>1.9539925233402755E-14</v>
      </c>
      <c r="CF42" s="391">
        <f>653.278-SUM(CF39:CF41)</f>
        <v>0</v>
      </c>
      <c r="CG42" s="391">
        <f>663.124-CF43-SUM(CG39:CG41)</f>
        <v>0</v>
      </c>
      <c r="CH42" s="391">
        <f>669.257-CG43-CF43-SUM(CH39:CH41)</f>
        <v>-7.5495165674510645E-14</v>
      </c>
      <c r="CI42" s="391">
        <f>1072.182-CH43-CG43-CF43-SUM(CI39:CI41)</f>
        <v>0</v>
      </c>
      <c r="CJ42" s="286">
        <f t="shared" si="87"/>
        <v>-7.5495165674510645E-14</v>
      </c>
      <c r="CK42" s="391">
        <f>12.056-SUM(CK39:CK41)</f>
        <v>0</v>
      </c>
      <c r="CL42" s="391">
        <f>27.624-CK43-SUM(CL39:CL41)</f>
        <v>0</v>
      </c>
      <c r="CM42" s="391">
        <f>725.315-CL43-CK43-SUM(CM39:CM41)</f>
        <v>0</v>
      </c>
      <c r="CN42" s="391">
        <f>736.351-CM43-CL43-CK43-SUM(CN39:CN41)</f>
        <v>-2.8421709430404007E-14</v>
      </c>
      <c r="CO42" s="286">
        <f t="shared" si="88"/>
        <v>-2.8421709430404007E-14</v>
      </c>
      <c r="CP42" s="391">
        <f>19.427-SUM(CP39:CP41)</f>
        <v>0</v>
      </c>
      <c r="CQ42" s="391">
        <f>1498.54-CP43-SUM(CQ39:CQ41)</f>
        <v>0</v>
      </c>
      <c r="CR42" s="391">
        <f>3536.617-CQ43-CP43-SUM(CR39:CR41)</f>
        <v>0</v>
      </c>
      <c r="CS42" s="391">
        <f>3557.35-CR43-CQ43-CP43-SUM(CS39:CS41)</f>
        <v>8.5265128291212022E-14</v>
      </c>
      <c r="CT42" s="286">
        <f t="shared" si="89"/>
        <v>8.5265128291212022E-14</v>
      </c>
      <c r="CU42" s="391">
        <f>1564.093-SUM(CU39:CU41)</f>
        <v>0</v>
      </c>
      <c r="CV42" s="391">
        <f>1584.458-CU43-SUM(CV39:CV41)</f>
        <v>2.3803181647963356E-13</v>
      </c>
      <c r="CW42" s="391">
        <f>1613.612-CV43-CU43-SUM(CW39:CW41)</f>
        <v>0</v>
      </c>
      <c r="CX42" s="391">
        <f>1649.762-CW43-CV43-CU43-SUM(CX39:CX41)</f>
        <v>-1.2789769243681803E-13</v>
      </c>
      <c r="CY42" s="286">
        <f t="shared" si="90"/>
        <v>1.1013412404281553E-13</v>
      </c>
      <c r="CZ42" s="391">
        <v>0</v>
      </c>
      <c r="DA42" s="391">
        <v>0</v>
      </c>
      <c r="DB42" s="391">
        <v>0</v>
      </c>
      <c r="DC42" s="391">
        <v>0</v>
      </c>
      <c r="DD42" s="286">
        <f t="shared" si="91"/>
        <v>0</v>
      </c>
      <c r="DE42" s="391">
        <v>0</v>
      </c>
      <c r="DF42" s="391">
        <v>0</v>
      </c>
      <c r="DG42" s="391">
        <v>0</v>
      </c>
      <c r="DH42" s="391">
        <v>0</v>
      </c>
      <c r="DI42" s="286">
        <f t="shared" si="99"/>
        <v>0</v>
      </c>
      <c r="DJ42" s="391">
        <v>0</v>
      </c>
      <c r="DK42" s="391">
        <v>0</v>
      </c>
      <c r="DL42" s="391">
        <v>0</v>
      </c>
      <c r="DM42" s="391">
        <v>0</v>
      </c>
      <c r="DN42" s="286">
        <f t="shared" si="92"/>
        <v>0</v>
      </c>
      <c r="DO42" s="1283">
        <v>0</v>
      </c>
      <c r="DP42" s="391">
        <v>0</v>
      </c>
      <c r="DQ42" s="391">
        <v>0</v>
      </c>
      <c r="DR42" s="391">
        <v>0</v>
      </c>
      <c r="DS42" s="286">
        <f t="shared" si="93"/>
        <v>0</v>
      </c>
      <c r="DT42" s="1283">
        <v>-491</v>
      </c>
      <c r="DU42" s="391">
        <v>-1420</v>
      </c>
      <c r="DV42" s="384">
        <v>0</v>
      </c>
      <c r="DW42" s="384">
        <v>0</v>
      </c>
      <c r="DX42" s="286">
        <f t="shared" si="94"/>
        <v>-1911</v>
      </c>
      <c r="DY42" s="384">
        <v>0</v>
      </c>
      <c r="DZ42" s="384">
        <v>0</v>
      </c>
      <c r="EA42" s="384">
        <v>0</v>
      </c>
      <c r="EB42" s="384">
        <v>0</v>
      </c>
      <c r="EC42" s="286">
        <f t="shared" si="95"/>
        <v>0</v>
      </c>
      <c r="ED42" s="384">
        <v>0</v>
      </c>
      <c r="EE42" s="384">
        <v>0</v>
      </c>
      <c r="EF42" s="384">
        <v>0</v>
      </c>
      <c r="EG42" s="384">
        <v>0</v>
      </c>
      <c r="EH42" s="286">
        <f t="shared" si="96"/>
        <v>0</v>
      </c>
      <c r="EI42" s="384">
        <v>0</v>
      </c>
      <c r="EJ42" s="384">
        <v>0</v>
      </c>
      <c r="EK42" s="384">
        <v>0</v>
      </c>
      <c r="EL42" s="384">
        <v>0</v>
      </c>
      <c r="EM42" s="286">
        <f t="shared" si="97"/>
        <v>0</v>
      </c>
      <c r="EN42" s="384">
        <v>0</v>
      </c>
      <c r="EO42" s="384">
        <v>0</v>
      </c>
      <c r="EP42" s="384">
        <v>0</v>
      </c>
      <c r="EQ42" s="384">
        <v>0</v>
      </c>
      <c r="ER42" s="286">
        <f t="shared" si="98"/>
        <v>0</v>
      </c>
      <c r="ES42" s="291"/>
    </row>
    <row r="43" spans="1:149" ht="12" customHeight="1">
      <c r="A43" s="794"/>
      <c r="B43" s="794"/>
      <c r="C43" s="433" t="s">
        <v>11</v>
      </c>
      <c r="D43" s="434"/>
      <c r="E43" s="434"/>
      <c r="F43" s="434"/>
      <c r="G43" s="434"/>
      <c r="H43" s="434"/>
      <c r="I43" s="435"/>
      <c r="J43" s="435"/>
      <c r="K43" s="435"/>
      <c r="L43" s="435"/>
      <c r="M43" s="434"/>
      <c r="N43" s="435"/>
      <c r="O43" s="435"/>
      <c r="P43" s="435"/>
      <c r="Q43" s="435"/>
      <c r="R43" s="434"/>
      <c r="S43" s="435"/>
      <c r="T43" s="435"/>
      <c r="U43" s="435"/>
      <c r="V43" s="435"/>
      <c r="W43" s="434"/>
      <c r="X43" s="435"/>
      <c r="Y43" s="435"/>
      <c r="Z43" s="435"/>
      <c r="AA43" s="435"/>
      <c r="AB43" s="434"/>
      <c r="AC43" s="435"/>
      <c r="AD43" s="435"/>
      <c r="AE43" s="435"/>
      <c r="AF43" s="435"/>
      <c r="AG43" s="434"/>
      <c r="AH43" s="435"/>
      <c r="AI43" s="435"/>
      <c r="AJ43" s="435"/>
      <c r="AK43" s="435"/>
      <c r="AL43" s="434"/>
      <c r="AM43" s="435"/>
      <c r="AN43" s="435"/>
      <c r="AO43" s="435"/>
      <c r="AP43" s="435"/>
      <c r="AQ43" s="434"/>
      <c r="AR43" s="435"/>
      <c r="AS43" s="435"/>
      <c r="AT43" s="435"/>
      <c r="AU43" s="435"/>
      <c r="AV43" s="434"/>
      <c r="AW43" s="435"/>
      <c r="AX43" s="435"/>
      <c r="AY43" s="435"/>
      <c r="AZ43" s="435"/>
      <c r="BA43" s="434"/>
      <c r="BB43" s="435"/>
      <c r="BC43" s="435"/>
      <c r="BD43" s="435"/>
      <c r="BE43" s="435"/>
      <c r="BF43" s="434"/>
      <c r="BG43" s="435"/>
      <c r="BH43" s="435"/>
      <c r="BI43" s="435"/>
      <c r="BJ43" s="435"/>
      <c r="BK43" s="434"/>
      <c r="BL43" s="435"/>
      <c r="BM43" s="435"/>
      <c r="BN43" s="435"/>
      <c r="BO43" s="435"/>
      <c r="BP43" s="434"/>
      <c r="BQ43" s="453">
        <f>SUM(BQ39:BQ42)</f>
        <v>5.5E-2</v>
      </c>
      <c r="BR43" s="453">
        <f>SUM(BR39:BR42)</f>
        <v>136.36000000000001</v>
      </c>
      <c r="BS43" s="453">
        <f>SUM(BS39:BS42)</f>
        <v>7.6999999999976587E-2</v>
      </c>
      <c r="BT43" s="453">
        <f>SUM(BT39:BT42)</f>
        <v>1.3630000000000064</v>
      </c>
      <c r="BU43" s="454">
        <f t="shared" si="84"/>
        <v>137.85499999999999</v>
      </c>
      <c r="BV43" s="453">
        <f>SUM(BV39:BV42)</f>
        <v>0.84399999999999997</v>
      </c>
      <c r="BW43" s="453">
        <f>SUM(BW39:BW42)</f>
        <v>0.9880000000000001</v>
      </c>
      <c r="BX43" s="453">
        <f>SUM(BX39:BX42)</f>
        <v>225.821</v>
      </c>
      <c r="BY43" s="453">
        <f>SUM(BY39:BY42)</f>
        <v>0.93200000000001004</v>
      </c>
      <c r="BZ43" s="454">
        <f t="shared" si="85"/>
        <v>228.58500000000001</v>
      </c>
      <c r="CA43" s="453">
        <f>SUM(CA39:CA42)</f>
        <v>2.98</v>
      </c>
      <c r="CB43" s="453">
        <f>SUM(CB39:CB42)</f>
        <v>564.00900000000001</v>
      </c>
      <c r="CC43" s="453">
        <f>SUM(CC39:CC42)</f>
        <v>3.5680000000000001</v>
      </c>
      <c r="CD43" s="453">
        <f>SUM(CD39:CD42)</f>
        <v>4.2740000000000187</v>
      </c>
      <c r="CE43" s="454">
        <f t="shared" si="86"/>
        <v>574.83100000000002</v>
      </c>
      <c r="CF43" s="453">
        <f>SUM(CF39:CF42)</f>
        <v>653.27800000000002</v>
      </c>
      <c r="CG43" s="453">
        <f>SUM(CG39:CG42)</f>
        <v>9.8460000000000001</v>
      </c>
      <c r="CH43" s="453">
        <f>SUM(CH39:CH42)</f>
        <v>6.1329999999999245</v>
      </c>
      <c r="CI43" s="453">
        <f>SUM(CI39:CI42)</f>
        <v>402.92500000000007</v>
      </c>
      <c r="CJ43" s="454">
        <f t="shared" si="87"/>
        <v>1072.182</v>
      </c>
      <c r="CK43" s="453">
        <f>SUM(CK39:CK42)</f>
        <v>12.055999999999999</v>
      </c>
      <c r="CL43" s="453">
        <f>SUM(CL39:CL42)</f>
        <v>15.568</v>
      </c>
      <c r="CM43" s="453">
        <f>SUM(CM39:CM42)</f>
        <v>697.69100000000003</v>
      </c>
      <c r="CN43" s="453">
        <f>SUM(CN39:CN42)</f>
        <v>11.035999999999971</v>
      </c>
      <c r="CO43" s="454">
        <f t="shared" si="88"/>
        <v>736.351</v>
      </c>
      <c r="CP43" s="453">
        <f>SUM(CP39:CP42)</f>
        <v>19.427</v>
      </c>
      <c r="CQ43" s="453">
        <f>SUM(CQ39:CQ42)</f>
        <v>1479.1129999999998</v>
      </c>
      <c r="CR43" s="453">
        <f>SUM(CR39:CR42)</f>
        <v>2038.077</v>
      </c>
      <c r="CS43" s="453">
        <f>SUM(CS39:CS42)</f>
        <v>20.733000000000082</v>
      </c>
      <c r="CT43" s="454">
        <f t="shared" si="89"/>
        <v>3557.35</v>
      </c>
      <c r="CU43" s="453">
        <f>SUM(CU39:CU42)</f>
        <v>1564.0929999999998</v>
      </c>
      <c r="CV43" s="453">
        <f>SUM(CV39:CV42)</f>
        <v>20.365000000000236</v>
      </c>
      <c r="CW43" s="453">
        <f>SUM(CW39:CW42)</f>
        <v>29.154000000000007</v>
      </c>
      <c r="CX43" s="453">
        <f>SUM(CX39:CX42)</f>
        <v>36.149999999999864</v>
      </c>
      <c r="CY43" s="455">
        <f t="shared" si="90"/>
        <v>1649.7619999999999</v>
      </c>
      <c r="CZ43" s="453">
        <f>SUM(CZ39:CZ42)</f>
        <v>6.282</v>
      </c>
      <c r="DA43" s="453">
        <f>SUM(DA39:DA42)</f>
        <v>1.5549999999999997</v>
      </c>
      <c r="DB43" s="453">
        <f>SUM(DB39:DB42)</f>
        <v>3.42</v>
      </c>
      <c r="DC43" s="453">
        <f>SUM(DC39:DC42)</f>
        <v>6.2919999999999998</v>
      </c>
      <c r="DD43" s="455">
        <f t="shared" si="91"/>
        <v>17.548999999999999</v>
      </c>
      <c r="DE43" s="453">
        <f>SUM(DE39:DE42)</f>
        <v>6</v>
      </c>
      <c r="DF43" s="453">
        <f>SUM(DF39:DF42)</f>
        <v>26</v>
      </c>
      <c r="DG43" s="453">
        <f>SUM(DG39:DG42)</f>
        <v>11</v>
      </c>
      <c r="DH43" s="453">
        <f>SUM(DH39:DH42)</f>
        <v>17</v>
      </c>
      <c r="DI43" s="455">
        <f t="shared" si="99"/>
        <v>60</v>
      </c>
      <c r="DJ43" s="453">
        <f>SUM(DJ39:DJ42)</f>
        <v>3</v>
      </c>
      <c r="DK43" s="453">
        <f>SUM(DK39:DK42)</f>
        <v>3</v>
      </c>
      <c r="DL43" s="453">
        <f>SUM(DL39:DL42)</f>
        <v>6</v>
      </c>
      <c r="DM43" s="453">
        <f>SUM(DM39:DM42)</f>
        <v>49</v>
      </c>
      <c r="DN43" s="455">
        <f t="shared" si="92"/>
        <v>61</v>
      </c>
      <c r="DO43" s="453">
        <f>SUM(DO39:DO42)</f>
        <v>59</v>
      </c>
      <c r="DP43" s="453">
        <f>SUM(DP39:DP42)</f>
        <v>44</v>
      </c>
      <c r="DQ43" s="453">
        <f>SUM(DQ39:DQ42)</f>
        <v>24</v>
      </c>
      <c r="DR43" s="453">
        <f>SUM(DR39:DR42)</f>
        <v>-938</v>
      </c>
      <c r="DS43" s="455">
        <f t="shared" si="93"/>
        <v>-811</v>
      </c>
      <c r="DT43" s="453">
        <f>SUM(DT39:DT42)</f>
        <v>-485</v>
      </c>
      <c r="DU43" s="453">
        <f>SUM(DU39:DU42)</f>
        <v>-1417</v>
      </c>
      <c r="DV43" s="453">
        <f>SUM(DV39:DV42)</f>
        <v>3</v>
      </c>
      <c r="DW43" s="453">
        <f>SUM(DW39:DW42)</f>
        <v>3</v>
      </c>
      <c r="DX43" s="455">
        <f t="shared" si="94"/>
        <v>-1896</v>
      </c>
      <c r="DY43" s="453">
        <f>SUM(DY39:DY42)</f>
        <v>3</v>
      </c>
      <c r="DZ43" s="453">
        <f>SUM(DZ39:DZ42)</f>
        <v>3</v>
      </c>
      <c r="EA43" s="453">
        <f>SUM(EA39:EA42)</f>
        <v>3</v>
      </c>
      <c r="EB43" s="453">
        <f>SUM(EB39:EB42)</f>
        <v>3</v>
      </c>
      <c r="EC43" s="455">
        <f t="shared" si="95"/>
        <v>12</v>
      </c>
      <c r="ED43" s="453">
        <f>SUM(ED39:ED42)</f>
        <v>3</v>
      </c>
      <c r="EE43" s="453">
        <f>SUM(EE39:EE42)</f>
        <v>3</v>
      </c>
      <c r="EF43" s="453">
        <f>SUM(EF39:EF42)</f>
        <v>3</v>
      </c>
      <c r="EG43" s="453">
        <f>SUM(EG39:EG42)</f>
        <v>3</v>
      </c>
      <c r="EH43" s="455">
        <f t="shared" si="96"/>
        <v>12</v>
      </c>
      <c r="EI43" s="453">
        <f>SUM(EI39:EI42)</f>
        <v>3</v>
      </c>
      <c r="EJ43" s="453">
        <f>SUM(EJ39:EJ42)</f>
        <v>3</v>
      </c>
      <c r="EK43" s="453">
        <f>SUM(EK39:EK42)</f>
        <v>3</v>
      </c>
      <c r="EL43" s="453">
        <f>SUM(EL39:EL42)</f>
        <v>3</v>
      </c>
      <c r="EM43" s="455">
        <f t="shared" si="97"/>
        <v>12</v>
      </c>
      <c r="EN43" s="453">
        <f>SUM(EN39:EN42)</f>
        <v>3</v>
      </c>
      <c r="EO43" s="453">
        <f>SUM(EO39:EO42)</f>
        <v>3</v>
      </c>
      <c r="EP43" s="453">
        <f>SUM(EP39:EP42)</f>
        <v>3</v>
      </c>
      <c r="EQ43" s="453">
        <f>SUM(EQ39:EQ42)</f>
        <v>3</v>
      </c>
      <c r="ER43" s="455">
        <f t="shared" si="98"/>
        <v>12</v>
      </c>
      <c r="ES43" s="254"/>
    </row>
    <row r="44" spans="1:149" ht="12" customHeight="1">
      <c r="A44" s="794"/>
      <c r="B44" s="794"/>
      <c r="C44" s="265" t="s">
        <v>42</v>
      </c>
      <c r="D44" s="315"/>
      <c r="E44" s="315"/>
      <c r="F44" s="315"/>
      <c r="G44" s="315"/>
      <c r="H44" s="315"/>
      <c r="I44" s="316"/>
      <c r="J44" s="316"/>
      <c r="K44" s="316"/>
      <c r="L44" s="316"/>
      <c r="M44" s="380"/>
      <c r="N44" s="316"/>
      <c r="O44" s="316"/>
      <c r="P44" s="316"/>
      <c r="Q44" s="316"/>
      <c r="R44" s="380"/>
      <c r="S44" s="316"/>
      <c r="T44" s="316"/>
      <c r="U44" s="316"/>
      <c r="V44" s="316"/>
      <c r="W44" s="380"/>
      <c r="X44" s="316"/>
      <c r="Y44" s="316"/>
      <c r="Z44" s="316"/>
      <c r="AA44" s="316"/>
      <c r="AB44" s="380"/>
      <c r="AC44" s="316"/>
      <c r="AD44" s="316"/>
      <c r="AE44" s="316"/>
      <c r="AF44" s="316"/>
      <c r="AG44" s="380"/>
      <c r="AH44" s="316"/>
      <c r="AI44" s="316"/>
      <c r="AJ44" s="316"/>
      <c r="AK44" s="316"/>
      <c r="AL44" s="380"/>
      <c r="AM44" s="316"/>
      <c r="AN44" s="316"/>
      <c r="AO44" s="316"/>
      <c r="AP44" s="316"/>
      <c r="AQ44" s="380"/>
      <c r="AR44" s="316"/>
      <c r="AS44" s="316"/>
      <c r="AT44" s="316"/>
      <c r="AU44" s="316"/>
      <c r="AV44" s="380"/>
      <c r="AW44" s="316"/>
      <c r="AX44" s="316"/>
      <c r="AY44" s="316"/>
      <c r="AZ44" s="316"/>
      <c r="BA44" s="380"/>
      <c r="BB44" s="316"/>
      <c r="BC44" s="316"/>
      <c r="BD44" s="316"/>
      <c r="BE44" s="316"/>
      <c r="BF44" s="315"/>
      <c r="BG44" s="410"/>
      <c r="BH44" s="410"/>
      <c r="BI44" s="410"/>
      <c r="BJ44" s="410"/>
      <c r="BK44" s="315"/>
      <c r="BL44" s="316"/>
      <c r="BM44" s="316"/>
      <c r="BN44" s="316"/>
      <c r="BO44" s="316"/>
      <c r="BP44" s="380"/>
      <c r="BQ44" s="393">
        <v>-0.97799999999999998</v>
      </c>
      <c r="BR44" s="393">
        <f>-0.844-BQ44</f>
        <v>0.13400000000000001</v>
      </c>
      <c r="BS44" s="393">
        <f>-1.328-BR44-BQ44</f>
        <v>-0.48400000000000021</v>
      </c>
      <c r="BT44" s="391">
        <f>-1.654-SUM(BQ44:BS44)</f>
        <v>-0.32599999999999962</v>
      </c>
      <c r="BU44" s="286">
        <f t="shared" si="84"/>
        <v>-1.6539999999999999</v>
      </c>
      <c r="BV44" s="393">
        <v>1.079</v>
      </c>
      <c r="BW44" s="393">
        <f>1.251-BV44</f>
        <v>0.17199999999999993</v>
      </c>
      <c r="BX44" s="393">
        <f>1.161-BW44-BV44</f>
        <v>-8.9999999999999858E-2</v>
      </c>
      <c r="BY44" s="391">
        <f>1.027-BX44-BW44-BV44</f>
        <v>-0.13400000000000012</v>
      </c>
      <c r="BZ44" s="286">
        <f t="shared" si="85"/>
        <v>1.0269999999999999</v>
      </c>
      <c r="CA44" s="393">
        <v>-2.7E-2</v>
      </c>
      <c r="CB44" s="393">
        <f>0.889-CA44</f>
        <v>0.91600000000000004</v>
      </c>
      <c r="CC44" s="393">
        <f>1.924-CB44-CA44</f>
        <v>1.0349999999999999</v>
      </c>
      <c r="CD44" s="391">
        <f>2.102-CC44-CB44-CA44</f>
        <v>0.17799999999999991</v>
      </c>
      <c r="CE44" s="286">
        <f t="shared" si="86"/>
        <v>2.1019999999999999</v>
      </c>
      <c r="CF44" s="393">
        <v>-0.245</v>
      </c>
      <c r="CG44" s="393">
        <f>-1.085-CF44</f>
        <v>-0.84</v>
      </c>
      <c r="CH44" s="393">
        <f>-1.552-CG44-CF44</f>
        <v>-0.46700000000000008</v>
      </c>
      <c r="CI44" s="391">
        <f>-1.867-CH44-CG44-CF44</f>
        <v>-0.31499999999999995</v>
      </c>
      <c r="CJ44" s="286">
        <f t="shared" si="87"/>
        <v>-1.867</v>
      </c>
      <c r="CK44" s="393">
        <v>0.65500000000000003</v>
      </c>
      <c r="CL44" s="393">
        <f>1.624-CK44</f>
        <v>0.96900000000000008</v>
      </c>
      <c r="CM44" s="393">
        <f>0.29-CL44-CK44</f>
        <v>-1.3340000000000001</v>
      </c>
      <c r="CN44" s="391">
        <f>1.742-CM44-CL44-CK44</f>
        <v>1.4520000000000002</v>
      </c>
      <c r="CO44" s="286">
        <f t="shared" si="88"/>
        <v>1.7420000000000002</v>
      </c>
      <c r="CP44" s="393">
        <v>-15.02</v>
      </c>
      <c r="CQ44" s="393">
        <f>-9.204-CP44</f>
        <v>5.8159999999999989</v>
      </c>
      <c r="CR44" s="393">
        <f>-5.675-CQ44-CP44</f>
        <v>3.5289999999999999</v>
      </c>
      <c r="CS44" s="391">
        <f>3.221-CR44-CQ44-CP44</f>
        <v>8.8960000000000008</v>
      </c>
      <c r="CT44" s="286">
        <f t="shared" si="89"/>
        <v>3.2210000000000001</v>
      </c>
      <c r="CU44" s="391">
        <v>0.57699999999999996</v>
      </c>
      <c r="CV44" s="391">
        <f>1.742-CU44</f>
        <v>1.165</v>
      </c>
      <c r="CW44" s="391">
        <f>-3.663-CV44-CU44</f>
        <v>-5.4049999999999994</v>
      </c>
      <c r="CX44" s="391">
        <f>-7.005-SUM(CU44:CW44)</f>
        <v>-3.3420000000000005</v>
      </c>
      <c r="CY44" s="304">
        <f t="shared" si="90"/>
        <v>-7.0049999999999999</v>
      </c>
      <c r="CZ44" s="391">
        <v>2.1999999999999999E-2</v>
      </c>
      <c r="DA44" s="391">
        <f>-10.64-CZ44</f>
        <v>-10.662000000000001</v>
      </c>
      <c r="DB44" s="391">
        <f>-23.603-DA44-CZ44</f>
        <v>-12.963000000000001</v>
      </c>
      <c r="DC44" s="424">
        <f>-16.198-DB44-DA44-CZ44</f>
        <v>7.4050000000000011</v>
      </c>
      <c r="DD44" s="304">
        <f t="shared" si="91"/>
        <v>-16.198</v>
      </c>
      <c r="DE44" s="391">
        <v>2</v>
      </c>
      <c r="DF44" s="391">
        <v>2</v>
      </c>
      <c r="DG44" s="391">
        <v>-7</v>
      </c>
      <c r="DH44" s="456">
        <v>7</v>
      </c>
      <c r="DI44" s="304">
        <f t="shared" si="99"/>
        <v>4</v>
      </c>
      <c r="DJ44" s="456">
        <v>-4</v>
      </c>
      <c r="DK44" s="456">
        <v>-1</v>
      </c>
      <c r="DL44" s="456">
        <v>11</v>
      </c>
      <c r="DM44" s="456">
        <v>-12</v>
      </c>
      <c r="DN44" s="304">
        <f t="shared" si="92"/>
        <v>-6</v>
      </c>
      <c r="DO44" s="1285">
        <v>4</v>
      </c>
      <c r="DP44" s="456">
        <v>13</v>
      </c>
      <c r="DQ44" s="456">
        <v>0</v>
      </c>
      <c r="DR44" s="456">
        <v>-2</v>
      </c>
      <c r="DS44" s="304">
        <f t="shared" si="93"/>
        <v>15</v>
      </c>
      <c r="DT44" s="1285">
        <v>-3</v>
      </c>
      <c r="DU44" s="456">
        <v>-4</v>
      </c>
      <c r="DV44" s="384">
        <v>0</v>
      </c>
      <c r="DW44" s="384">
        <v>0</v>
      </c>
      <c r="DX44" s="304">
        <f t="shared" si="94"/>
        <v>-7</v>
      </c>
      <c r="DY44" s="384">
        <v>0</v>
      </c>
      <c r="DZ44" s="384">
        <v>0</v>
      </c>
      <c r="EA44" s="384">
        <v>0</v>
      </c>
      <c r="EB44" s="384">
        <v>0</v>
      </c>
      <c r="EC44" s="304">
        <f t="shared" si="95"/>
        <v>0</v>
      </c>
      <c r="ED44" s="384">
        <v>0</v>
      </c>
      <c r="EE44" s="384">
        <v>0</v>
      </c>
      <c r="EF44" s="384">
        <v>0</v>
      </c>
      <c r="EG44" s="384">
        <v>0</v>
      </c>
      <c r="EH44" s="304">
        <f t="shared" si="96"/>
        <v>0</v>
      </c>
      <c r="EI44" s="384">
        <v>0</v>
      </c>
      <c r="EJ44" s="384">
        <v>0</v>
      </c>
      <c r="EK44" s="384">
        <v>0</v>
      </c>
      <c r="EL44" s="384">
        <v>0</v>
      </c>
      <c r="EM44" s="304">
        <f t="shared" si="97"/>
        <v>0</v>
      </c>
      <c r="EN44" s="384">
        <v>0</v>
      </c>
      <c r="EO44" s="384">
        <v>0</v>
      </c>
      <c r="EP44" s="384">
        <v>0</v>
      </c>
      <c r="EQ44" s="384">
        <v>0</v>
      </c>
      <c r="ER44" s="304">
        <f t="shared" si="98"/>
        <v>0</v>
      </c>
      <c r="ES44" s="253"/>
    </row>
    <row r="45" spans="1:149">
      <c r="A45" s="794"/>
      <c r="B45" s="794"/>
      <c r="C45" s="457" t="s">
        <v>43</v>
      </c>
      <c r="D45" s="448"/>
      <c r="E45" s="448"/>
      <c r="F45" s="448"/>
      <c r="G45" s="448"/>
      <c r="H45" s="448"/>
      <c r="I45" s="458"/>
      <c r="J45" s="458"/>
      <c r="K45" s="458"/>
      <c r="L45" s="458"/>
      <c r="M45" s="304"/>
      <c r="N45" s="458"/>
      <c r="O45" s="458"/>
      <c r="P45" s="458"/>
      <c r="Q45" s="458"/>
      <c r="R45" s="304"/>
      <c r="S45" s="458"/>
      <c r="T45" s="458"/>
      <c r="U45" s="458"/>
      <c r="V45" s="458"/>
      <c r="W45" s="304"/>
      <c r="X45" s="458"/>
      <c r="Y45" s="458"/>
      <c r="Z45" s="458"/>
      <c r="AA45" s="458"/>
      <c r="AB45" s="304"/>
      <c r="AC45" s="458"/>
      <c r="AD45" s="458"/>
      <c r="AE45" s="458"/>
      <c r="AF45" s="458"/>
      <c r="AG45" s="304"/>
      <c r="AH45" s="458"/>
      <c r="AI45" s="458"/>
      <c r="AJ45" s="458"/>
      <c r="AK45" s="458"/>
      <c r="AL45" s="304"/>
      <c r="AM45" s="458"/>
      <c r="AN45" s="458"/>
      <c r="AO45" s="458"/>
      <c r="AP45" s="458"/>
      <c r="AQ45" s="304"/>
      <c r="AR45" s="458"/>
      <c r="AS45" s="458"/>
      <c r="AT45" s="458"/>
      <c r="AU45" s="458"/>
      <c r="AV45" s="304"/>
      <c r="AW45" s="458"/>
      <c r="AX45" s="458"/>
      <c r="AY45" s="458"/>
      <c r="AZ45" s="458"/>
      <c r="BA45" s="304"/>
      <c r="BB45" s="458"/>
      <c r="BC45" s="458"/>
      <c r="BD45" s="458"/>
      <c r="BE45" s="458"/>
      <c r="BF45" s="304"/>
      <c r="BG45" s="458"/>
      <c r="BH45" s="458"/>
      <c r="BI45" s="458"/>
      <c r="BJ45" s="458"/>
      <c r="BK45" s="304"/>
      <c r="BL45" s="458"/>
      <c r="BM45" s="458"/>
      <c r="BN45" s="458"/>
      <c r="BO45" s="458"/>
      <c r="BP45" s="304"/>
      <c r="BQ45" s="391">
        <v>0</v>
      </c>
      <c r="BR45" s="391">
        <v>0</v>
      </c>
      <c r="BS45" s="391">
        <v>0</v>
      </c>
      <c r="BT45" s="391">
        <v>0</v>
      </c>
      <c r="BU45" s="286">
        <f t="shared" ref="BU45" si="100">SUM(BQ45:BT45)</f>
        <v>0</v>
      </c>
      <c r="BV45" s="391">
        <v>0</v>
      </c>
      <c r="BW45" s="391">
        <v>0</v>
      </c>
      <c r="BX45" s="391">
        <v>0</v>
      </c>
      <c r="BY45" s="391">
        <v>0</v>
      </c>
      <c r="BZ45" s="286">
        <f t="shared" ref="BZ45" si="101">SUM(BV45:BY45)</f>
        <v>0</v>
      </c>
      <c r="CA45" s="391">
        <v>0</v>
      </c>
      <c r="CB45" s="391">
        <v>0</v>
      </c>
      <c r="CC45" s="391">
        <v>0</v>
      </c>
      <c r="CD45" s="391">
        <v>0</v>
      </c>
      <c r="CE45" s="286">
        <f t="shared" ref="CE45" si="102">SUM(CA45:CD45)</f>
        <v>0</v>
      </c>
      <c r="CF45" s="391">
        <v>0</v>
      </c>
      <c r="CG45" s="391">
        <v>0</v>
      </c>
      <c r="CH45" s="391">
        <v>0</v>
      </c>
      <c r="CI45" s="391">
        <v>0</v>
      </c>
      <c r="CJ45" s="286">
        <f t="shared" ref="CJ45" si="103">SUM(CF45:CI45)</f>
        <v>0</v>
      </c>
      <c r="CK45" s="391">
        <v>0</v>
      </c>
      <c r="CL45" s="391">
        <v>0</v>
      </c>
      <c r="CM45" s="391">
        <v>0</v>
      </c>
      <c r="CN45" s="391">
        <v>0</v>
      </c>
      <c r="CO45" s="286">
        <f t="shared" ref="CO45" si="104">SUM(CK45:CN45)</f>
        <v>0</v>
      </c>
      <c r="CP45" s="391">
        <v>0</v>
      </c>
      <c r="CQ45" s="391">
        <v>0</v>
      </c>
      <c r="CR45" s="391">
        <v>0</v>
      </c>
      <c r="CS45" s="391">
        <v>0</v>
      </c>
      <c r="CT45" s="286">
        <f t="shared" ref="CT45" si="105">SUM(CP45:CS45)</f>
        <v>0</v>
      </c>
      <c r="CU45" s="391">
        <v>0</v>
      </c>
      <c r="CV45" s="391">
        <v>0</v>
      </c>
      <c r="CW45" s="391">
        <v>0</v>
      </c>
      <c r="CX45" s="391">
        <v>0</v>
      </c>
      <c r="CY45" s="286">
        <f t="shared" si="90"/>
        <v>0</v>
      </c>
      <c r="CZ45" s="391">
        <v>0</v>
      </c>
      <c r="DA45" s="391">
        <v>0</v>
      </c>
      <c r="DB45" s="391">
        <v>0</v>
      </c>
      <c r="DC45" s="391">
        <v>0</v>
      </c>
      <c r="DD45" s="286">
        <f t="shared" si="91"/>
        <v>0</v>
      </c>
      <c r="DE45" s="391">
        <v>0</v>
      </c>
      <c r="DF45" s="391">
        <v>0</v>
      </c>
      <c r="DG45" s="391">
        <v>0</v>
      </c>
      <c r="DH45" s="391">
        <v>0</v>
      </c>
      <c r="DI45" s="286">
        <f t="shared" ref="DI45" si="106">SUM(DE45:DH45)</f>
        <v>0</v>
      </c>
      <c r="DJ45" s="391">
        <v>0</v>
      </c>
      <c r="DK45" s="391">
        <v>0</v>
      </c>
      <c r="DL45" s="391">
        <v>0</v>
      </c>
      <c r="DM45" s="391">
        <v>0</v>
      </c>
      <c r="DN45" s="286">
        <f t="shared" ref="DN45" si="107">SUM(DJ45:DM45)</f>
        <v>0</v>
      </c>
      <c r="DO45" s="1283">
        <v>0</v>
      </c>
      <c r="DP45" s="391">
        <v>0</v>
      </c>
      <c r="DQ45" s="391">
        <v>0</v>
      </c>
      <c r="DR45" s="391">
        <v>0</v>
      </c>
      <c r="DS45" s="304">
        <f t="shared" si="93"/>
        <v>0</v>
      </c>
      <c r="DT45" s="1283">
        <v>0</v>
      </c>
      <c r="DU45" s="391">
        <v>0</v>
      </c>
      <c r="DV45" s="458"/>
      <c r="DW45" s="458"/>
      <c r="DX45" s="304">
        <f t="shared" si="94"/>
        <v>0</v>
      </c>
      <c r="DY45" s="458"/>
      <c r="DZ45" s="458"/>
      <c r="EA45" s="458"/>
      <c r="EB45" s="458"/>
      <c r="EC45" s="304">
        <f t="shared" si="95"/>
        <v>0</v>
      </c>
      <c r="ED45" s="458"/>
      <c r="EE45" s="458"/>
      <c r="EF45" s="458"/>
      <c r="EG45" s="458"/>
      <c r="EH45" s="304">
        <f t="shared" si="96"/>
        <v>0</v>
      </c>
      <c r="EI45" s="458"/>
      <c r="EJ45" s="458"/>
      <c r="EK45" s="458"/>
      <c r="EL45" s="458"/>
      <c r="EM45" s="304">
        <f t="shared" si="97"/>
        <v>0</v>
      </c>
      <c r="EN45" s="458"/>
      <c r="EO45" s="458"/>
      <c r="EP45" s="458"/>
      <c r="EQ45" s="458"/>
      <c r="ER45" s="304">
        <f t="shared" si="98"/>
        <v>0</v>
      </c>
      <c r="ES45" s="452"/>
    </row>
    <row r="46" spans="1:149" ht="12" customHeight="1">
      <c r="A46" s="794"/>
      <c r="B46" s="794"/>
      <c r="C46" s="426" t="s">
        <v>179</v>
      </c>
      <c r="D46" s="459"/>
      <c r="E46" s="459"/>
      <c r="F46" s="459"/>
      <c r="G46" s="459"/>
      <c r="H46" s="459"/>
      <c r="I46" s="284"/>
      <c r="J46" s="284"/>
      <c r="K46" s="284"/>
      <c r="L46" s="284"/>
      <c r="M46" s="459"/>
      <c r="N46" s="284"/>
      <c r="O46" s="284"/>
      <c r="P46" s="284"/>
      <c r="Q46" s="284"/>
      <c r="R46" s="459"/>
      <c r="S46" s="284"/>
      <c r="T46" s="284"/>
      <c r="U46" s="284"/>
      <c r="V46" s="284"/>
      <c r="W46" s="459"/>
      <c r="X46" s="284"/>
      <c r="Y46" s="284"/>
      <c r="Z46" s="284"/>
      <c r="AA46" s="284"/>
      <c r="AB46" s="459"/>
      <c r="AC46" s="284"/>
      <c r="AD46" s="284"/>
      <c r="AE46" s="284"/>
      <c r="AF46" s="284"/>
      <c r="AG46" s="459"/>
      <c r="AH46" s="284"/>
      <c r="AI46" s="284"/>
      <c r="AJ46" s="284"/>
      <c r="AK46" s="284"/>
      <c r="AL46" s="459"/>
      <c r="AM46" s="284"/>
      <c r="AN46" s="284"/>
      <c r="AO46" s="284"/>
      <c r="AP46" s="284"/>
      <c r="AQ46" s="459"/>
      <c r="AR46" s="284"/>
      <c r="AS46" s="284"/>
      <c r="AT46" s="284"/>
      <c r="AU46" s="284"/>
      <c r="AV46" s="459"/>
      <c r="AW46" s="284"/>
      <c r="AX46" s="284"/>
      <c r="AY46" s="284"/>
      <c r="AZ46" s="284"/>
      <c r="BA46" s="459"/>
      <c r="BB46" s="284"/>
      <c r="BC46" s="284"/>
      <c r="BD46" s="284"/>
      <c r="BE46" s="284"/>
      <c r="BF46" s="459"/>
      <c r="BG46" s="430"/>
      <c r="BH46" s="430"/>
      <c r="BI46" s="430"/>
      <c r="BJ46" s="430"/>
      <c r="BK46" s="459"/>
      <c r="BL46" s="284"/>
      <c r="BM46" s="284"/>
      <c r="BN46" s="284"/>
      <c r="BO46" s="284"/>
      <c r="BP46" s="459"/>
      <c r="BQ46" s="460">
        <f>BQ24+BQ37+BQ43+BQ44</f>
        <v>4.1949999999999994</v>
      </c>
      <c r="BR46" s="271">
        <f>BR24+BR37+BR43+BR44</f>
        <v>100.52000000000002</v>
      </c>
      <c r="BS46" s="271">
        <f>BS24+BS37+BS43+BS44</f>
        <v>-31.35300000000003</v>
      </c>
      <c r="BT46" s="271">
        <f>BT24+BT37+BT43+BT44</f>
        <v>-5.2449999999999948</v>
      </c>
      <c r="BU46" s="272">
        <f>SUM(BQ46:BT46)</f>
        <v>68.117000000000004</v>
      </c>
      <c r="BV46" s="271">
        <f>BV24+BV37+BV43+BV44</f>
        <v>-26.205999999999992</v>
      </c>
      <c r="BW46" s="271">
        <f>BW24+BW37+BW43+BW44</f>
        <v>-15.724</v>
      </c>
      <c r="BX46" s="271">
        <f>BX24+BX37+BX43+BX44</f>
        <v>119.21999999999998</v>
      </c>
      <c r="BY46" s="271">
        <f>BY24+BY37+BY43+BY44</f>
        <v>-103.34699999999998</v>
      </c>
      <c r="BZ46" s="272">
        <f>SUM(BV46:BY46)</f>
        <v>-26.056999999999988</v>
      </c>
      <c r="CA46" s="271">
        <f>CA24+CA37+CA43+CA44</f>
        <v>17.255000000000003</v>
      </c>
      <c r="CB46" s="271">
        <f>CB24+CB37+CB43+CB44</f>
        <v>98.128999999999905</v>
      </c>
      <c r="CC46" s="271">
        <f>CC24+CC37+CC43+CC44</f>
        <v>-79.547999999999973</v>
      </c>
      <c r="CD46" s="271">
        <f>CD24+CD37+CD43+CD44</f>
        <v>21.828000000000099</v>
      </c>
      <c r="CE46" s="272">
        <f>SUM(CA46:CD46)</f>
        <v>57.66400000000003</v>
      </c>
      <c r="CF46" s="271">
        <f>CF24+CF37+CF43+CF44</f>
        <v>54.901000000000074</v>
      </c>
      <c r="CG46" s="271">
        <f>CG24+CG37+CG43+CG44</f>
        <v>23.222999999999903</v>
      </c>
      <c r="CH46" s="271">
        <f>CH24+CH37+CH43+CH44</f>
        <v>23.619999999999951</v>
      </c>
      <c r="CI46" s="271">
        <f>CI24+CI37+CI43+CI44</f>
        <v>167.26200000000006</v>
      </c>
      <c r="CJ46" s="272">
        <f>SUM(CF46:CI46)</f>
        <v>269.00599999999997</v>
      </c>
      <c r="CK46" s="271">
        <f>CK24+CK37+CK43+CK44</f>
        <v>-0.23699999999999055</v>
      </c>
      <c r="CL46" s="271">
        <f>CL24+CL37+CL43+CL44</f>
        <v>258.54399999999998</v>
      </c>
      <c r="CM46" s="271">
        <f>CM24+CM37+CM43+CM44</f>
        <v>455.53900000000004</v>
      </c>
      <c r="CN46" s="271">
        <f>CN24+CN37+CN43+CN44</f>
        <v>-474.61299999999983</v>
      </c>
      <c r="CO46" s="272">
        <f>SUM(CK46:CN46)</f>
        <v>239.23300000000017</v>
      </c>
      <c r="CP46" s="271">
        <f>CP24+CP37+CP43+CP44</f>
        <v>319.44700000000006</v>
      </c>
      <c r="CQ46" s="271">
        <f>CQ24+CQ37+CQ43+CQ44</f>
        <v>912.9989999999998</v>
      </c>
      <c r="CR46" s="271">
        <f>CR24+CR37+CR43+CR44</f>
        <v>1207.5219999999999</v>
      </c>
      <c r="CS46" s="271">
        <f>CS24+CS37+CS43+CS44</f>
        <v>-386.28699999999992</v>
      </c>
      <c r="CT46" s="272">
        <f>SUM(CP46:CS46)</f>
        <v>2053.681</v>
      </c>
      <c r="CU46" s="271">
        <f>CU24+CU37+CU43+CU44</f>
        <v>81.973999999999478</v>
      </c>
      <c r="CV46" s="271">
        <f>CV24+CV37+CV43+CV44</f>
        <v>-420.90099999999967</v>
      </c>
      <c r="CW46" s="271">
        <f>CW24+CW37+CW43+CW44</f>
        <v>-175.05699999999942</v>
      </c>
      <c r="CX46" s="271">
        <f>CX24+CX37+CX43+CX44</f>
        <v>313.37899999999956</v>
      </c>
      <c r="CY46" s="272">
        <f t="shared" si="90"/>
        <v>-200.60500000000002</v>
      </c>
      <c r="CZ46" s="271">
        <f>CZ24+CZ37+CZ43+CZ44</f>
        <v>-51.451999999999991</v>
      </c>
      <c r="DA46" s="271">
        <f>DA24+DA37+DA43+DA44</f>
        <v>899.24099999999987</v>
      </c>
      <c r="DB46" s="271">
        <f>DB24+DB37+DB43+DB44</f>
        <v>-1972.5299999999995</v>
      </c>
      <c r="DC46" s="271">
        <f>DC24+DC37+DC43+DC44</f>
        <v>271.07700000000091</v>
      </c>
      <c r="DD46" s="272">
        <f t="shared" si="91"/>
        <v>-853.66399999999862</v>
      </c>
      <c r="DE46" s="271">
        <f>DE24+DE37+DE43+DE44</f>
        <v>89</v>
      </c>
      <c r="DF46" s="271">
        <f>DF24+DF37+DF43+DF44</f>
        <v>-127</v>
      </c>
      <c r="DG46" s="271">
        <f>DG24+DG37+DG43+DG44</f>
        <v>-324</v>
      </c>
      <c r="DH46" s="271">
        <f>DH24+DH37+DH43+DH44</f>
        <v>126</v>
      </c>
      <c r="DI46" s="272">
        <f>SUM(DE46:DH46)</f>
        <v>-236</v>
      </c>
      <c r="DJ46" s="271">
        <f>DJ24+DJ37+DJ43+DJ44</f>
        <v>210</v>
      </c>
      <c r="DK46" s="271">
        <f>DK24+DK37+DK43+DK44</f>
        <v>-82</v>
      </c>
      <c r="DL46" s="271">
        <f>DL24+DL37+DL43+DL44</f>
        <v>-34</v>
      </c>
      <c r="DM46" s="271">
        <f>DM24+DM37+DM43+DM44</f>
        <v>-9</v>
      </c>
      <c r="DN46" s="272">
        <f>SUM(DJ46:DM46)</f>
        <v>85</v>
      </c>
      <c r="DO46" s="271">
        <f>DO24+DO37+DO43+DO44</f>
        <v>-189</v>
      </c>
      <c r="DP46" s="271">
        <f>DP24+DP37+DP43+DP44</f>
        <v>233</v>
      </c>
      <c r="DQ46" s="271">
        <f>DQ24+DQ37+DQ43+DQ44</f>
        <v>872</v>
      </c>
      <c r="DR46" s="271">
        <f>DR24+DR37+DR43+DR44</f>
        <v>-869</v>
      </c>
      <c r="DS46" s="272">
        <f t="shared" si="93"/>
        <v>47</v>
      </c>
      <c r="DT46" s="271">
        <f>DT24+DT37+DT43+DT44</f>
        <v>303</v>
      </c>
      <c r="DU46" s="271">
        <f>DU24+DU37+DU43+DU44</f>
        <v>-192</v>
      </c>
      <c r="DV46" s="271">
        <f>DV24+DV37+DV43+DV44</f>
        <v>722.26620135144435</v>
      </c>
      <c r="DW46" s="271">
        <f>DW24+DW37+DW43+DW44</f>
        <v>954.76616882135318</v>
      </c>
      <c r="DX46" s="272">
        <f>SUM(DT46:DW46)</f>
        <v>1788.0323701727975</v>
      </c>
      <c r="DY46" s="271">
        <f>DY24+DY37+DY43+DY44</f>
        <v>463.27665192277357</v>
      </c>
      <c r="DZ46" s="271">
        <f>DZ24+DZ37+DZ43+DZ44</f>
        <v>758.43026078526691</v>
      </c>
      <c r="EA46" s="271">
        <f>EA24+EA37+EA43+EA44</f>
        <v>849.06396239930507</v>
      </c>
      <c r="EB46" s="271">
        <f>EB24+EB37+EB43+EB44</f>
        <v>1332.2852958920721</v>
      </c>
      <c r="EC46" s="272">
        <f>SUM(DY46:EB46)</f>
        <v>3403.0561709994176</v>
      </c>
      <c r="ED46" s="271">
        <f>ED24+ED37+ED43+ED44</f>
        <v>542.15242110930149</v>
      </c>
      <c r="EE46" s="271">
        <f>EE24+EE37+EE43+EE44</f>
        <v>935.14199781117827</v>
      </c>
      <c r="EF46" s="271">
        <f>EF24+EF37+EF43+EF44</f>
        <v>992.55415094628006</v>
      </c>
      <c r="EG46" s="271">
        <f>EG24+EG37+EG43+EG44</f>
        <v>1561.5576293386544</v>
      </c>
      <c r="EH46" s="272">
        <f>SUM(ED46:EG46)</f>
        <v>4031.4061992054144</v>
      </c>
      <c r="EI46" s="271">
        <f>EI24+EI37+EI43+EI44</f>
        <v>536.51074190406371</v>
      </c>
      <c r="EJ46" s="271">
        <f>EJ24+EJ37+EJ43+EJ44</f>
        <v>1144.8841801908679</v>
      </c>
      <c r="EK46" s="271">
        <f>EK24+EK37+EK43+EK44</f>
        <v>1205.6029243329654</v>
      </c>
      <c r="EL46" s="271">
        <f>EL24+EL37+EL43+EL44</f>
        <v>1886.4474367219341</v>
      </c>
      <c r="EM46" s="272">
        <f>SUM(EI46:EL46)</f>
        <v>4773.4452831498311</v>
      </c>
      <c r="EN46" s="271">
        <f>EN24+EN37+EN43+EN44</f>
        <v>606.98812261172839</v>
      </c>
      <c r="EO46" s="271">
        <f>EO24+EO37+EO43+EO44</f>
        <v>1372.9616011747978</v>
      </c>
      <c r="EP46" s="271">
        <f>EP24+EP37+EP43+EP44</f>
        <v>1451.1199072772918</v>
      </c>
      <c r="EQ46" s="271">
        <f>EQ24+EQ37+EQ43+EQ44</f>
        <v>2239.8679306371764</v>
      </c>
      <c r="ER46" s="272">
        <f>SUM(EN46:EQ46)</f>
        <v>5670.9375617009937</v>
      </c>
      <c r="ES46" s="253"/>
    </row>
    <row r="47" spans="1:149" ht="12" customHeight="1">
      <c r="A47" s="794"/>
      <c r="B47" s="794"/>
      <c r="C47" s="265" t="s">
        <v>180</v>
      </c>
      <c r="D47" s="421"/>
      <c r="E47" s="380"/>
      <c r="F47" s="380"/>
      <c r="G47" s="380"/>
      <c r="H47" s="380"/>
      <c r="I47" s="160"/>
      <c r="J47" s="160"/>
      <c r="K47" s="160"/>
      <c r="L47" s="160"/>
      <c r="M47" s="380"/>
      <c r="N47" s="160"/>
      <c r="O47" s="160"/>
      <c r="P47" s="160"/>
      <c r="Q47" s="160"/>
      <c r="R47" s="380"/>
      <c r="S47" s="160"/>
      <c r="T47" s="160"/>
      <c r="U47" s="160"/>
      <c r="V47" s="160"/>
      <c r="W47" s="380"/>
      <c r="X47" s="160"/>
      <c r="Y47" s="160"/>
      <c r="Z47" s="160"/>
      <c r="AA47" s="160"/>
      <c r="AB47" s="380"/>
      <c r="AC47" s="160"/>
      <c r="AD47" s="160"/>
      <c r="AE47" s="160"/>
      <c r="AF47" s="160"/>
      <c r="AG47" s="380"/>
      <c r="AH47" s="160"/>
      <c r="AI47" s="160"/>
      <c r="AJ47" s="160"/>
      <c r="AK47" s="160"/>
      <c r="AL47" s="380"/>
      <c r="AM47" s="160"/>
      <c r="AN47" s="160"/>
      <c r="AO47" s="160"/>
      <c r="AP47" s="160"/>
      <c r="AQ47" s="380"/>
      <c r="AR47" s="160"/>
      <c r="AS47" s="160"/>
      <c r="AT47" s="160"/>
      <c r="AU47" s="160"/>
      <c r="AV47" s="380"/>
      <c r="AW47" s="160"/>
      <c r="AX47" s="160"/>
      <c r="AY47" s="160"/>
      <c r="AZ47" s="160"/>
      <c r="BA47" s="380"/>
      <c r="BB47" s="160"/>
      <c r="BC47" s="160"/>
      <c r="BD47" s="160"/>
      <c r="BE47" s="160"/>
      <c r="BF47" s="315"/>
      <c r="BG47" s="410"/>
      <c r="BH47" s="410"/>
      <c r="BI47" s="410"/>
      <c r="BJ47" s="410"/>
      <c r="BK47" s="380"/>
      <c r="BL47" s="160"/>
      <c r="BM47" s="160"/>
      <c r="BN47" s="160"/>
      <c r="BO47" s="160"/>
      <c r="BP47" s="380"/>
      <c r="BQ47" s="120">
        <f>BO48</f>
        <v>41.953000000000003</v>
      </c>
      <c r="BR47" s="120">
        <f>BQ48</f>
        <v>46.148000000000003</v>
      </c>
      <c r="BS47" s="120">
        <f>BR48</f>
        <v>146.66800000000003</v>
      </c>
      <c r="BT47" s="120">
        <f>BS48</f>
        <v>115.315</v>
      </c>
      <c r="BU47" s="257">
        <f>+BO48</f>
        <v>41.953000000000003</v>
      </c>
      <c r="BV47" s="120">
        <f>BT48</f>
        <v>110.07000000000001</v>
      </c>
      <c r="BW47" s="120">
        <f>BV48</f>
        <v>83.864000000000019</v>
      </c>
      <c r="BX47" s="120">
        <f>BW48</f>
        <v>68.140000000000015</v>
      </c>
      <c r="BY47" s="120">
        <f>BX48</f>
        <v>187.36</v>
      </c>
      <c r="BZ47" s="257">
        <f>BU48</f>
        <v>110.07000000000001</v>
      </c>
      <c r="CA47" s="120">
        <f>BY48</f>
        <v>84.013000000000034</v>
      </c>
      <c r="CB47" s="120">
        <f>CA48</f>
        <v>101.26800000000003</v>
      </c>
      <c r="CC47" s="120">
        <f>CB48</f>
        <v>199.39699999999993</v>
      </c>
      <c r="CD47" s="120">
        <f>CC48</f>
        <v>119.84899999999996</v>
      </c>
      <c r="CE47" s="257">
        <f>BZ48</f>
        <v>84.013000000000034</v>
      </c>
      <c r="CF47" s="120">
        <f>CD48</f>
        <v>141.67700000000005</v>
      </c>
      <c r="CG47" s="120">
        <f>CF48</f>
        <v>196.57800000000012</v>
      </c>
      <c r="CH47" s="120">
        <f>CG48</f>
        <v>219.80100000000002</v>
      </c>
      <c r="CI47" s="120">
        <f>CH48</f>
        <v>243.42099999999996</v>
      </c>
      <c r="CJ47" s="257">
        <f>CE48</f>
        <v>141.67700000000005</v>
      </c>
      <c r="CK47" s="120">
        <f>CI48</f>
        <v>410.68299999999999</v>
      </c>
      <c r="CL47" s="120">
        <f>CK48</f>
        <v>410.44600000000003</v>
      </c>
      <c r="CM47" s="120">
        <f>CL48</f>
        <v>668.99</v>
      </c>
      <c r="CN47" s="120">
        <f>CM48</f>
        <v>1124.529</v>
      </c>
      <c r="CO47" s="257">
        <f>CJ48</f>
        <v>410.68299999999999</v>
      </c>
      <c r="CP47" s="120">
        <f>CN48</f>
        <v>649.91600000000017</v>
      </c>
      <c r="CQ47" s="120">
        <f>CP48</f>
        <v>969.36300000000028</v>
      </c>
      <c r="CR47" s="120">
        <f>CQ48</f>
        <v>1882.3620000000001</v>
      </c>
      <c r="CS47" s="120">
        <f>CR48</f>
        <v>3089.884</v>
      </c>
      <c r="CT47" s="257">
        <f>CO48</f>
        <v>649.91600000000017</v>
      </c>
      <c r="CU47" s="120">
        <f>CS48</f>
        <v>2703.5970000000002</v>
      </c>
      <c r="CV47" s="120">
        <f>CU48</f>
        <v>2785.5709999999999</v>
      </c>
      <c r="CW47" s="120">
        <f>CV48</f>
        <v>2364.67</v>
      </c>
      <c r="CX47" s="120">
        <f>CW48</f>
        <v>2189.6130000000007</v>
      </c>
      <c r="CY47" s="257">
        <f>CT48</f>
        <v>2703.5970000000002</v>
      </c>
      <c r="CZ47" s="120">
        <f>CX48</f>
        <v>2502.9920000000002</v>
      </c>
      <c r="DA47" s="120">
        <f>+CZ48</f>
        <v>2451.5400000000004</v>
      </c>
      <c r="DB47" s="120">
        <f>+DA48</f>
        <v>3350.7810000000004</v>
      </c>
      <c r="DC47" s="120">
        <f>+DB48</f>
        <v>1378.2510000000009</v>
      </c>
      <c r="DD47" s="257">
        <f>CY48</f>
        <v>2502.9920000000002</v>
      </c>
      <c r="DE47" s="120">
        <f>+DD48</f>
        <v>1649.3280000000018</v>
      </c>
      <c r="DF47" s="120">
        <f>+DE48</f>
        <v>1738.3280000000018</v>
      </c>
      <c r="DG47" s="120">
        <f>+DF48</f>
        <v>1611.3280000000018</v>
      </c>
      <c r="DH47" s="120">
        <f>+DG48</f>
        <v>1287.3280000000018</v>
      </c>
      <c r="DI47" s="257">
        <f>DD48</f>
        <v>1649.3280000000018</v>
      </c>
      <c r="DJ47" s="120">
        <f>+DI48</f>
        <v>1413.0000000000018</v>
      </c>
      <c r="DK47" s="120">
        <f>+DJ48</f>
        <v>1623.0000000000018</v>
      </c>
      <c r="DL47" s="120">
        <f>+DK48</f>
        <v>1541.0000000000018</v>
      </c>
      <c r="DM47" s="120">
        <f>+DL48</f>
        <v>1507.0000000000018</v>
      </c>
      <c r="DN47" s="257">
        <f>DI48</f>
        <v>1413.0000000000018</v>
      </c>
      <c r="DO47" s="120">
        <f>+DN48</f>
        <v>1498.0000000000018</v>
      </c>
      <c r="DP47" s="120">
        <f>+DO48</f>
        <v>1309.0000000000018</v>
      </c>
      <c r="DQ47" s="120">
        <f>+DP48</f>
        <v>1542.0000000000018</v>
      </c>
      <c r="DR47" s="120">
        <f>+DQ48</f>
        <v>2414.0000000000018</v>
      </c>
      <c r="DS47" s="257">
        <f>DN48</f>
        <v>1498.0000000000018</v>
      </c>
      <c r="DT47" s="120">
        <f>+DS48</f>
        <v>1544.6720000000018</v>
      </c>
      <c r="DU47" s="120">
        <f>+DT48</f>
        <v>1847.6720000000018</v>
      </c>
      <c r="DV47" s="120">
        <f>DU48</f>
        <v>1655.6720000000018</v>
      </c>
      <c r="DW47" s="120">
        <f>DV48</f>
        <v>2377.938201351446</v>
      </c>
      <c r="DX47" s="257">
        <f>DS48</f>
        <v>1544.6720000000018</v>
      </c>
      <c r="DY47" s="120">
        <f>DW48</f>
        <v>3332.7043701727989</v>
      </c>
      <c r="DZ47" s="120">
        <f>DY48</f>
        <v>3795.9810220955724</v>
      </c>
      <c r="EA47" s="120">
        <f>DZ48</f>
        <v>4554.4112828808393</v>
      </c>
      <c r="EB47" s="120">
        <f>EA48</f>
        <v>5403.475245280144</v>
      </c>
      <c r="EC47" s="257">
        <f>DX48</f>
        <v>3332.7043701727989</v>
      </c>
      <c r="ED47" s="120">
        <f>EB48</f>
        <v>6735.7605411722161</v>
      </c>
      <c r="EE47" s="120">
        <f>ED48</f>
        <v>7277.912962281518</v>
      </c>
      <c r="EF47" s="120">
        <f>EE48</f>
        <v>8213.054960092697</v>
      </c>
      <c r="EG47" s="120">
        <f>EF48</f>
        <v>9205.6091110389771</v>
      </c>
      <c r="EH47" s="257">
        <f>EC48</f>
        <v>6735.7605411722161</v>
      </c>
      <c r="EI47" s="120">
        <f>EG48</f>
        <v>10767.166740377632</v>
      </c>
      <c r="EJ47" s="120">
        <f>EI48</f>
        <v>11303.677482281695</v>
      </c>
      <c r="EK47" s="120">
        <f>EJ48</f>
        <v>12448.561662472563</v>
      </c>
      <c r="EL47" s="120">
        <f>EK48</f>
        <v>13654.164586805528</v>
      </c>
      <c r="EM47" s="257">
        <f>EH48</f>
        <v>10767.166740377632</v>
      </c>
      <c r="EN47" s="120">
        <f>EL48</f>
        <v>15540.612023527461</v>
      </c>
      <c r="EO47" s="120">
        <f>EN48</f>
        <v>16147.60014613919</v>
      </c>
      <c r="EP47" s="120">
        <f>EO48</f>
        <v>17520.561747313986</v>
      </c>
      <c r="EQ47" s="120">
        <f>EP48</f>
        <v>18971.681654591277</v>
      </c>
      <c r="ER47" s="257">
        <f>EM48</f>
        <v>15540.612023527461</v>
      </c>
      <c r="ES47" s="253"/>
    </row>
    <row r="48" spans="1:149" ht="12" customHeight="1">
      <c r="A48" s="794"/>
      <c r="B48" s="794"/>
      <c r="C48" s="433" t="s">
        <v>181</v>
      </c>
      <c r="D48" s="434"/>
      <c r="E48" s="434"/>
      <c r="F48" s="434"/>
      <c r="G48" s="434"/>
      <c r="H48" s="434"/>
      <c r="I48" s="435"/>
      <c r="J48" s="435"/>
      <c r="K48" s="435"/>
      <c r="L48" s="435"/>
      <c r="M48" s="434"/>
      <c r="N48" s="435"/>
      <c r="O48" s="435"/>
      <c r="P48" s="435"/>
      <c r="Q48" s="435"/>
      <c r="R48" s="434"/>
      <c r="S48" s="435"/>
      <c r="T48" s="435"/>
      <c r="U48" s="435"/>
      <c r="V48" s="435"/>
      <c r="W48" s="434"/>
      <c r="X48" s="435"/>
      <c r="Y48" s="435"/>
      <c r="Z48" s="435"/>
      <c r="AA48" s="435"/>
      <c r="AB48" s="434"/>
      <c r="AC48" s="435"/>
      <c r="AD48" s="435"/>
      <c r="AE48" s="435"/>
      <c r="AF48" s="435"/>
      <c r="AG48" s="434"/>
      <c r="AH48" s="435"/>
      <c r="AI48" s="435"/>
      <c r="AJ48" s="435"/>
      <c r="AK48" s="435"/>
      <c r="AL48" s="434"/>
      <c r="AM48" s="435"/>
      <c r="AN48" s="435"/>
      <c r="AO48" s="435"/>
      <c r="AP48" s="435"/>
      <c r="AQ48" s="434"/>
      <c r="AR48" s="435"/>
      <c r="AS48" s="435"/>
      <c r="AT48" s="435"/>
      <c r="AU48" s="435"/>
      <c r="AV48" s="434"/>
      <c r="AW48" s="435"/>
      <c r="AX48" s="435"/>
      <c r="AY48" s="435"/>
      <c r="AZ48" s="435"/>
      <c r="BA48" s="434"/>
      <c r="BB48" s="435"/>
      <c r="BC48" s="435"/>
      <c r="BD48" s="435"/>
      <c r="BE48" s="435"/>
      <c r="BF48" s="434"/>
      <c r="BG48" s="435"/>
      <c r="BH48" s="435"/>
      <c r="BI48" s="435"/>
      <c r="BJ48" s="435"/>
      <c r="BK48" s="434"/>
      <c r="BL48" s="435"/>
      <c r="BM48" s="435"/>
      <c r="BN48" s="435"/>
      <c r="BO48" s="436">
        <v>41.953000000000003</v>
      </c>
      <c r="BP48" s="434"/>
      <c r="BQ48" s="251">
        <f t="shared" ref="BQ48:BY48" si="108">BQ46+BQ47</f>
        <v>46.148000000000003</v>
      </c>
      <c r="BR48" s="251">
        <f t="shared" si="108"/>
        <v>146.66800000000003</v>
      </c>
      <c r="BS48" s="251">
        <f t="shared" si="108"/>
        <v>115.315</v>
      </c>
      <c r="BT48" s="251">
        <f t="shared" si="108"/>
        <v>110.07000000000001</v>
      </c>
      <c r="BU48" s="252">
        <f t="shared" si="108"/>
        <v>110.07000000000001</v>
      </c>
      <c r="BV48" s="251">
        <f t="shared" si="108"/>
        <v>83.864000000000019</v>
      </c>
      <c r="BW48" s="251">
        <f t="shared" si="108"/>
        <v>68.140000000000015</v>
      </c>
      <c r="BX48" s="251">
        <f t="shared" si="108"/>
        <v>187.36</v>
      </c>
      <c r="BY48" s="251">
        <f t="shared" si="108"/>
        <v>84.013000000000034</v>
      </c>
      <c r="BZ48" s="252">
        <f>BY48</f>
        <v>84.013000000000034</v>
      </c>
      <c r="CA48" s="251">
        <f>CA46+CA47</f>
        <v>101.26800000000003</v>
      </c>
      <c r="CB48" s="251">
        <f>CB46+CB47</f>
        <v>199.39699999999993</v>
      </c>
      <c r="CC48" s="251">
        <f>CC46+CC47</f>
        <v>119.84899999999996</v>
      </c>
      <c r="CD48" s="251">
        <f>CD46+CD47</f>
        <v>141.67700000000005</v>
      </c>
      <c r="CE48" s="252">
        <f>CD48</f>
        <v>141.67700000000005</v>
      </c>
      <c r="CF48" s="251">
        <f>CF46+CF47</f>
        <v>196.57800000000012</v>
      </c>
      <c r="CG48" s="251">
        <f>CG46+CG47</f>
        <v>219.80100000000002</v>
      </c>
      <c r="CH48" s="251">
        <f>CH46+CH47</f>
        <v>243.42099999999996</v>
      </c>
      <c r="CI48" s="251">
        <f>CI46+CI47</f>
        <v>410.68299999999999</v>
      </c>
      <c r="CJ48" s="252">
        <f>CI48</f>
        <v>410.68299999999999</v>
      </c>
      <c r="CK48" s="251">
        <f>CK46+CK47</f>
        <v>410.44600000000003</v>
      </c>
      <c r="CL48" s="251">
        <f>CL46+CL47</f>
        <v>668.99</v>
      </c>
      <c r="CM48" s="251">
        <f>CM46+CM47</f>
        <v>1124.529</v>
      </c>
      <c r="CN48" s="251">
        <f>CN46+CN47</f>
        <v>649.91600000000017</v>
      </c>
      <c r="CO48" s="252">
        <f>CN48</f>
        <v>649.91600000000017</v>
      </c>
      <c r="CP48" s="251">
        <f>CP46+CP47</f>
        <v>969.36300000000028</v>
      </c>
      <c r="CQ48" s="251">
        <f>CQ46+CQ47</f>
        <v>1882.3620000000001</v>
      </c>
      <c r="CR48" s="251">
        <f>CR46+CR47</f>
        <v>3089.884</v>
      </c>
      <c r="CS48" s="251">
        <f>CS46+CS47</f>
        <v>2703.5970000000002</v>
      </c>
      <c r="CT48" s="252">
        <f>CS48</f>
        <v>2703.5970000000002</v>
      </c>
      <c r="CU48" s="251">
        <f>CU46+CU47</f>
        <v>2785.5709999999999</v>
      </c>
      <c r="CV48" s="251">
        <f>CV46+CV47</f>
        <v>2364.67</v>
      </c>
      <c r="CW48" s="251">
        <f>CW46+CW47</f>
        <v>2189.6130000000007</v>
      </c>
      <c r="CX48" s="251">
        <f>CX46+CX47</f>
        <v>2502.9920000000002</v>
      </c>
      <c r="CY48" s="252">
        <f>CX48</f>
        <v>2502.9920000000002</v>
      </c>
      <c r="CZ48" s="251">
        <f>CZ46+CZ47</f>
        <v>2451.5400000000004</v>
      </c>
      <c r="DA48" s="251">
        <f>+DA47+DA46</f>
        <v>3350.7810000000004</v>
      </c>
      <c r="DB48" s="251">
        <f>+DB47+DB46</f>
        <v>1378.2510000000009</v>
      </c>
      <c r="DC48" s="251">
        <f>+DC47+DC46</f>
        <v>1649.3280000000018</v>
      </c>
      <c r="DD48" s="252">
        <f>DC48</f>
        <v>1649.3280000000018</v>
      </c>
      <c r="DE48" s="251">
        <f>+DE47+DE46</f>
        <v>1738.3280000000018</v>
      </c>
      <c r="DF48" s="251">
        <f>+DF47+DF46</f>
        <v>1611.3280000000018</v>
      </c>
      <c r="DG48" s="251">
        <f>+DG47+DG46</f>
        <v>1287.3280000000018</v>
      </c>
      <c r="DH48" s="251">
        <f>+DH47+DH46-0.328</f>
        <v>1413.0000000000018</v>
      </c>
      <c r="DI48" s="252">
        <f>DH48</f>
        <v>1413.0000000000018</v>
      </c>
      <c r="DJ48" s="251">
        <f>+DJ47+DJ46</f>
        <v>1623.0000000000018</v>
      </c>
      <c r="DK48" s="251">
        <f>+DK47+DK46</f>
        <v>1541.0000000000018</v>
      </c>
      <c r="DL48" s="251">
        <f>+DL47+DL46</f>
        <v>1507.0000000000018</v>
      </c>
      <c r="DM48" s="251">
        <f>+DM47+DM46</f>
        <v>1498.0000000000018</v>
      </c>
      <c r="DN48" s="252">
        <f>DM48</f>
        <v>1498.0000000000018</v>
      </c>
      <c r="DO48" s="251">
        <f>+DO47+DO46</f>
        <v>1309.0000000000018</v>
      </c>
      <c r="DP48" s="251">
        <f>+DP47+DP46</f>
        <v>1542.0000000000018</v>
      </c>
      <c r="DQ48" s="251">
        <f>+DQ47+DQ46</f>
        <v>2414.0000000000018</v>
      </c>
      <c r="DR48" s="251">
        <f>+DR47+DR46-0.328</f>
        <v>1544.6720000000018</v>
      </c>
      <c r="DS48" s="252">
        <f>DR48</f>
        <v>1544.6720000000018</v>
      </c>
      <c r="DT48" s="251">
        <f>+DT47+DT46</f>
        <v>1847.6720000000018</v>
      </c>
      <c r="DU48" s="251">
        <f>+DU47+DU46</f>
        <v>1655.6720000000018</v>
      </c>
      <c r="DV48" s="251">
        <f>DV46+DV47</f>
        <v>2377.938201351446</v>
      </c>
      <c r="DW48" s="251">
        <f>DW46+DW47</f>
        <v>3332.7043701727989</v>
      </c>
      <c r="DX48" s="252">
        <f>DW48</f>
        <v>3332.7043701727989</v>
      </c>
      <c r="DY48" s="251">
        <f>DY46+DY47</f>
        <v>3795.9810220955724</v>
      </c>
      <c r="DZ48" s="251">
        <f>DZ46+DZ47</f>
        <v>4554.4112828808393</v>
      </c>
      <c r="EA48" s="251">
        <f>EA46+EA47</f>
        <v>5403.475245280144</v>
      </c>
      <c r="EB48" s="251">
        <f>EB46+EB47</f>
        <v>6735.7605411722161</v>
      </c>
      <c r="EC48" s="252">
        <f>EB48</f>
        <v>6735.7605411722161</v>
      </c>
      <c r="ED48" s="251">
        <f>ED46+ED47</f>
        <v>7277.912962281518</v>
      </c>
      <c r="EE48" s="251">
        <f>EE46+EE47</f>
        <v>8213.054960092697</v>
      </c>
      <c r="EF48" s="251">
        <f>EF46+EF47</f>
        <v>9205.6091110389771</v>
      </c>
      <c r="EG48" s="251">
        <f>EG46+EG47</f>
        <v>10767.166740377632</v>
      </c>
      <c r="EH48" s="252">
        <f>EG48</f>
        <v>10767.166740377632</v>
      </c>
      <c r="EI48" s="251">
        <f>EI46+EI47</f>
        <v>11303.677482281695</v>
      </c>
      <c r="EJ48" s="251">
        <f>EJ46+EJ47</f>
        <v>12448.561662472563</v>
      </c>
      <c r="EK48" s="251">
        <f>EK46+EK47</f>
        <v>13654.164586805528</v>
      </c>
      <c r="EL48" s="251">
        <f>EL46+EL47</f>
        <v>15540.612023527461</v>
      </c>
      <c r="EM48" s="252">
        <f>EL48</f>
        <v>15540.612023527461</v>
      </c>
      <c r="EN48" s="251">
        <f>EN46+EN47</f>
        <v>16147.60014613919</v>
      </c>
      <c r="EO48" s="251">
        <f>EO46+EO47</f>
        <v>17520.561747313986</v>
      </c>
      <c r="EP48" s="251">
        <f>EP46+EP47</f>
        <v>18971.681654591277</v>
      </c>
      <c r="EQ48" s="251">
        <f>EQ46+EQ47</f>
        <v>21211.549585228455</v>
      </c>
      <c r="ER48" s="252">
        <f>EQ48</f>
        <v>21211.549585228455</v>
      </c>
      <c r="ES48" s="254"/>
    </row>
    <row r="49" spans="1:149" ht="12" customHeight="1">
      <c r="A49" s="794"/>
      <c r="B49" s="794"/>
      <c r="C49" s="414" t="s">
        <v>182</v>
      </c>
      <c r="D49" s="395"/>
      <c r="E49" s="395"/>
      <c r="F49" s="395"/>
      <c r="G49" s="395"/>
      <c r="H49" s="395"/>
      <c r="I49" s="396"/>
      <c r="J49" s="396"/>
      <c r="K49" s="396"/>
      <c r="L49" s="396"/>
      <c r="M49" s="395"/>
      <c r="N49" s="396"/>
      <c r="O49" s="396"/>
      <c r="P49" s="396"/>
      <c r="Q49" s="396"/>
      <c r="R49" s="395"/>
      <c r="S49" s="396"/>
      <c r="T49" s="396"/>
      <c r="U49" s="396"/>
      <c r="V49" s="396"/>
      <c r="W49" s="395"/>
      <c r="X49" s="396"/>
      <c r="Y49" s="396"/>
      <c r="Z49" s="396"/>
      <c r="AA49" s="396"/>
      <c r="AB49" s="395"/>
      <c r="AC49" s="396"/>
      <c r="AD49" s="396"/>
      <c r="AE49" s="396"/>
      <c r="AF49" s="396"/>
      <c r="AG49" s="395"/>
      <c r="AH49" s="396"/>
      <c r="AI49" s="396"/>
      <c r="AJ49" s="396"/>
      <c r="AK49" s="396"/>
      <c r="AL49" s="395"/>
      <c r="AM49" s="396"/>
      <c r="AN49" s="396"/>
      <c r="AO49" s="396"/>
      <c r="AP49" s="396"/>
      <c r="AQ49" s="395"/>
      <c r="AR49" s="396"/>
      <c r="AS49" s="396"/>
      <c r="AT49" s="396"/>
      <c r="AU49" s="396"/>
      <c r="AV49" s="395"/>
      <c r="AW49" s="396"/>
      <c r="AX49" s="396"/>
      <c r="AY49" s="396"/>
      <c r="AZ49" s="396"/>
      <c r="BA49" s="395"/>
      <c r="BB49" s="396"/>
      <c r="BC49" s="396"/>
      <c r="BD49" s="396"/>
      <c r="BE49" s="396"/>
      <c r="BF49" s="395"/>
      <c r="BG49" s="396"/>
      <c r="BH49" s="396"/>
      <c r="BI49" s="396"/>
      <c r="BJ49" s="396"/>
      <c r="BK49" s="395"/>
      <c r="BL49" s="396"/>
      <c r="BM49" s="396"/>
      <c r="BN49" s="396"/>
      <c r="BO49" s="396"/>
      <c r="BP49" s="395"/>
      <c r="BQ49" s="397"/>
      <c r="BR49" s="397"/>
      <c r="BS49" s="397"/>
      <c r="BT49" s="397"/>
      <c r="BU49" s="398"/>
      <c r="BV49" s="397"/>
      <c r="BW49" s="397"/>
      <c r="BX49" s="397"/>
      <c r="BY49" s="397"/>
      <c r="BZ49" s="398"/>
      <c r="CA49" s="397"/>
      <c r="CB49" s="397"/>
      <c r="CC49" s="397"/>
      <c r="CD49" s="397"/>
      <c r="CE49" s="398"/>
      <c r="CF49" s="397"/>
      <c r="CG49" s="397"/>
      <c r="CH49" s="397"/>
      <c r="CI49" s="397"/>
      <c r="CJ49" s="398"/>
      <c r="CK49" s="397"/>
      <c r="CL49" s="397"/>
      <c r="CM49" s="397"/>
      <c r="CN49" s="397"/>
      <c r="CO49" s="398"/>
      <c r="CP49" s="397"/>
      <c r="CQ49" s="397"/>
      <c r="CR49" s="397"/>
      <c r="CS49" s="397"/>
      <c r="CT49" s="398"/>
      <c r="CU49" s="397"/>
      <c r="CV49" s="397"/>
      <c r="CW49" s="397"/>
      <c r="CX49" s="397"/>
      <c r="CY49" s="398"/>
      <c r="CZ49" s="397"/>
      <c r="DA49" s="397"/>
      <c r="DB49" s="397"/>
      <c r="DC49" s="397"/>
      <c r="DD49" s="398"/>
      <c r="DE49" s="397"/>
      <c r="DF49" s="397"/>
      <c r="DG49" s="397"/>
      <c r="DH49" s="397"/>
      <c r="DI49" s="398"/>
      <c r="DJ49" s="397"/>
      <c r="DK49" s="397"/>
      <c r="DL49" s="397"/>
      <c r="DM49" s="397"/>
      <c r="DN49" s="398"/>
      <c r="DO49" s="397"/>
      <c r="DP49" s="397"/>
      <c r="DQ49" s="397"/>
      <c r="DR49" s="397"/>
      <c r="DS49" s="398"/>
      <c r="DT49" s="397"/>
      <c r="DU49" s="397"/>
      <c r="DV49" s="397"/>
      <c r="DW49" s="397"/>
      <c r="DX49" s="398"/>
      <c r="DY49" s="397"/>
      <c r="DZ49" s="397"/>
      <c r="EA49" s="397"/>
      <c r="EB49" s="397"/>
      <c r="EC49" s="398"/>
      <c r="ED49" s="397"/>
      <c r="EE49" s="397"/>
      <c r="EF49" s="397"/>
      <c r="EG49" s="397"/>
      <c r="EH49" s="398"/>
      <c r="EI49" s="397"/>
      <c r="EJ49" s="397"/>
      <c r="EK49" s="397"/>
      <c r="EL49" s="397"/>
      <c r="EM49" s="398"/>
      <c r="EN49" s="397"/>
      <c r="EO49" s="397"/>
      <c r="EP49" s="397"/>
      <c r="EQ49" s="397"/>
      <c r="ER49" s="398"/>
      <c r="ES49" s="254"/>
    </row>
    <row r="50" spans="1:149" ht="12" customHeight="1">
      <c r="A50" s="794"/>
      <c r="B50" s="794"/>
      <c r="C50" s="265" t="s">
        <v>183</v>
      </c>
      <c r="D50" s="421"/>
      <c r="E50" s="380"/>
      <c r="F50" s="380"/>
      <c r="G50" s="380"/>
      <c r="H50" s="380"/>
      <c r="I50" s="160"/>
      <c r="J50" s="160"/>
      <c r="K50" s="160"/>
      <c r="L50" s="160"/>
      <c r="M50" s="380"/>
      <c r="N50" s="160"/>
      <c r="O50" s="160"/>
      <c r="P50" s="160"/>
      <c r="Q50" s="160"/>
      <c r="R50" s="380"/>
      <c r="S50" s="160"/>
      <c r="T50" s="160"/>
      <c r="U50" s="160"/>
      <c r="V50" s="160"/>
      <c r="W50" s="380"/>
      <c r="X50" s="160"/>
      <c r="Y50" s="160"/>
      <c r="Z50" s="160"/>
      <c r="AA50" s="160"/>
      <c r="AB50" s="380"/>
      <c r="AC50" s="160"/>
      <c r="AD50" s="160"/>
      <c r="AE50" s="160"/>
      <c r="AF50" s="160"/>
      <c r="AG50" s="380"/>
      <c r="AH50" s="160"/>
      <c r="AI50" s="160"/>
      <c r="AJ50" s="160"/>
      <c r="AK50" s="160"/>
      <c r="AL50" s="380"/>
      <c r="AM50" s="160"/>
      <c r="AN50" s="160"/>
      <c r="AO50" s="160"/>
      <c r="AP50" s="160"/>
      <c r="AQ50" s="380"/>
      <c r="AR50" s="160"/>
      <c r="AS50" s="160"/>
      <c r="AT50" s="160"/>
      <c r="AU50" s="160"/>
      <c r="AV50" s="380"/>
      <c r="AW50" s="160"/>
      <c r="AX50" s="160"/>
      <c r="AY50" s="160"/>
      <c r="AZ50" s="160"/>
      <c r="BA50" s="380"/>
      <c r="BB50" s="160"/>
      <c r="BC50" s="160"/>
      <c r="BD50" s="160"/>
      <c r="BE50" s="160"/>
      <c r="BF50" s="315"/>
      <c r="BG50" s="410"/>
      <c r="BH50" s="410"/>
      <c r="BI50" s="410"/>
      <c r="BJ50" s="410"/>
      <c r="BK50" s="380"/>
      <c r="BL50" s="160"/>
      <c r="BM50" s="160"/>
      <c r="BN50" s="160"/>
      <c r="BO50" s="160"/>
      <c r="BP50" s="380"/>
      <c r="BQ50" s="160">
        <f>BQ48</f>
        <v>46.148000000000003</v>
      </c>
      <c r="BR50" s="160">
        <f>BR48</f>
        <v>146.66800000000003</v>
      </c>
      <c r="BS50" s="160">
        <f>BS48</f>
        <v>115.315</v>
      </c>
      <c r="BT50" s="160">
        <f>BT48</f>
        <v>110.07000000000001</v>
      </c>
      <c r="BU50" s="257">
        <f>BT50</f>
        <v>110.07000000000001</v>
      </c>
      <c r="BV50" s="160">
        <f>BV48</f>
        <v>83.864000000000019</v>
      </c>
      <c r="BW50" s="160">
        <f>BW48</f>
        <v>68.140000000000015</v>
      </c>
      <c r="BX50" s="160">
        <f>BX48</f>
        <v>187.36</v>
      </c>
      <c r="BY50" s="160">
        <f>BY48</f>
        <v>84.013000000000034</v>
      </c>
      <c r="BZ50" s="257">
        <f>BY50</f>
        <v>84.013000000000034</v>
      </c>
      <c r="CA50" s="160">
        <f>CA48</f>
        <v>101.26800000000003</v>
      </c>
      <c r="CB50" s="160">
        <f>CB48</f>
        <v>199.39699999999993</v>
      </c>
      <c r="CC50" s="160">
        <f>CC48</f>
        <v>119.84899999999996</v>
      </c>
      <c r="CD50" s="160">
        <f>CD48</f>
        <v>141.67700000000005</v>
      </c>
      <c r="CE50" s="257">
        <f>CD50</f>
        <v>141.67700000000005</v>
      </c>
      <c r="CF50" s="160">
        <f>CF48</f>
        <v>196.57800000000012</v>
      </c>
      <c r="CG50" s="160">
        <f>CG48</f>
        <v>219.80100000000002</v>
      </c>
      <c r="CH50" s="160">
        <f>CH48</f>
        <v>243.42099999999996</v>
      </c>
      <c r="CI50" s="160">
        <f>CI48</f>
        <v>410.68299999999999</v>
      </c>
      <c r="CJ50" s="257">
        <f>CI50</f>
        <v>410.68299999999999</v>
      </c>
      <c r="CK50" s="160">
        <f>CK48</f>
        <v>410.44600000000003</v>
      </c>
      <c r="CL50" s="160">
        <f>CL48</f>
        <v>668.99</v>
      </c>
      <c r="CM50" s="160">
        <f>CM48</f>
        <v>1124.529</v>
      </c>
      <c r="CN50" s="160">
        <f>CN48</f>
        <v>649.91600000000017</v>
      </c>
      <c r="CO50" s="257">
        <f>CN50</f>
        <v>649.91600000000017</v>
      </c>
      <c r="CP50" s="160">
        <f>CP48</f>
        <v>969.36300000000028</v>
      </c>
      <c r="CQ50" s="160">
        <f>CQ48</f>
        <v>1882.3620000000001</v>
      </c>
      <c r="CR50" s="160">
        <f>CR48</f>
        <v>3089.884</v>
      </c>
      <c r="CS50" s="160">
        <f>CS48</f>
        <v>2703.5970000000002</v>
      </c>
      <c r="CT50" s="257">
        <f>CS50</f>
        <v>2703.5970000000002</v>
      </c>
      <c r="CU50" s="120">
        <f>CU48</f>
        <v>2785.5709999999999</v>
      </c>
      <c r="CV50" s="120">
        <f>CV48</f>
        <v>2364.67</v>
      </c>
      <c r="CW50" s="120">
        <f>CW48</f>
        <v>2189.6130000000007</v>
      </c>
      <c r="CX50" s="120">
        <f>CX48</f>
        <v>2502.9920000000002</v>
      </c>
      <c r="CY50" s="257">
        <f>CX50</f>
        <v>2502.9920000000002</v>
      </c>
      <c r="CZ50" s="120">
        <f>CZ48</f>
        <v>2451.5400000000004</v>
      </c>
      <c r="DA50" s="120">
        <f>DA48</f>
        <v>3350.7810000000004</v>
      </c>
      <c r="DB50" s="120">
        <f>DB48</f>
        <v>1378.2510000000009</v>
      </c>
      <c r="DC50" s="120">
        <f>DC48</f>
        <v>1649.3280000000018</v>
      </c>
      <c r="DD50" s="257">
        <f>DC50</f>
        <v>1649.3280000000018</v>
      </c>
      <c r="DE50" s="120">
        <f>DE48</f>
        <v>1738.3280000000018</v>
      </c>
      <c r="DF50" s="120">
        <f>DF48</f>
        <v>1611.3280000000018</v>
      </c>
      <c r="DG50" s="120">
        <f>DG48</f>
        <v>1287.3280000000018</v>
      </c>
      <c r="DH50" s="120">
        <f>DH48</f>
        <v>1413.0000000000018</v>
      </c>
      <c r="DI50" s="257">
        <f>DH50</f>
        <v>1413.0000000000018</v>
      </c>
      <c r="DJ50" s="120">
        <f>DJ48</f>
        <v>1623.0000000000018</v>
      </c>
      <c r="DK50" s="120">
        <f>DK48</f>
        <v>1541.0000000000018</v>
      </c>
      <c r="DL50" s="120">
        <f>DL48</f>
        <v>1507.0000000000018</v>
      </c>
      <c r="DM50" s="120">
        <f>DM48</f>
        <v>1498.0000000000018</v>
      </c>
      <c r="DN50" s="257">
        <f>DM50</f>
        <v>1498.0000000000018</v>
      </c>
      <c r="DO50" s="120">
        <f>DO48</f>
        <v>1309.0000000000018</v>
      </c>
      <c r="DP50" s="120">
        <f>DP48</f>
        <v>1542.0000000000018</v>
      </c>
      <c r="DQ50" s="120">
        <f>DQ48</f>
        <v>2414.0000000000018</v>
      </c>
      <c r="DR50" s="120">
        <f>DR48</f>
        <v>1544.6720000000018</v>
      </c>
      <c r="DS50" s="257">
        <f>DR50</f>
        <v>1544.6720000000018</v>
      </c>
      <c r="DT50" s="120">
        <f>DT48</f>
        <v>1847.6720000000018</v>
      </c>
      <c r="DU50" s="120">
        <f>DU48</f>
        <v>1655.6720000000018</v>
      </c>
      <c r="DV50" s="120">
        <f>DV48</f>
        <v>2377.938201351446</v>
      </c>
      <c r="DW50" s="120">
        <f>DW48</f>
        <v>3332.7043701727989</v>
      </c>
      <c r="DX50" s="257">
        <f>DW50</f>
        <v>3332.7043701727989</v>
      </c>
      <c r="DY50" s="120">
        <f>DY48</f>
        <v>3795.9810220955724</v>
      </c>
      <c r="DZ50" s="120">
        <f>DZ48</f>
        <v>4554.4112828808393</v>
      </c>
      <c r="EA50" s="120">
        <f>EA48</f>
        <v>5403.475245280144</v>
      </c>
      <c r="EB50" s="120">
        <f>EB48</f>
        <v>6735.7605411722161</v>
      </c>
      <c r="EC50" s="257">
        <f>EB50</f>
        <v>6735.7605411722161</v>
      </c>
      <c r="ED50" s="120">
        <f>ED48</f>
        <v>7277.912962281518</v>
      </c>
      <c r="EE50" s="120">
        <f>EE48</f>
        <v>8213.054960092697</v>
      </c>
      <c r="EF50" s="120">
        <f>EF48</f>
        <v>9205.6091110389771</v>
      </c>
      <c r="EG50" s="120">
        <f>EG48</f>
        <v>10767.166740377632</v>
      </c>
      <c r="EH50" s="257">
        <f>EG50</f>
        <v>10767.166740377632</v>
      </c>
      <c r="EI50" s="120">
        <f>EI48</f>
        <v>11303.677482281695</v>
      </c>
      <c r="EJ50" s="120">
        <f>EJ48</f>
        <v>12448.561662472563</v>
      </c>
      <c r="EK50" s="120">
        <f>EK48</f>
        <v>13654.164586805528</v>
      </c>
      <c r="EL50" s="120">
        <f>EL48</f>
        <v>15540.612023527461</v>
      </c>
      <c r="EM50" s="257">
        <f>EL50</f>
        <v>15540.612023527461</v>
      </c>
      <c r="EN50" s="120">
        <f>EN48</f>
        <v>16147.60014613919</v>
      </c>
      <c r="EO50" s="120">
        <f>EO48</f>
        <v>17520.561747313986</v>
      </c>
      <c r="EP50" s="120">
        <f>EP48</f>
        <v>18971.681654591277</v>
      </c>
      <c r="EQ50" s="120">
        <f>EQ48</f>
        <v>21211.549585228455</v>
      </c>
      <c r="ER50" s="257">
        <f>EQ50</f>
        <v>21211.549585228455</v>
      </c>
      <c r="ES50" s="253"/>
    </row>
    <row r="51" spans="1:149" ht="12" customHeight="1">
      <c r="A51" s="794"/>
      <c r="B51" s="794"/>
      <c r="C51" s="265" t="s">
        <v>184</v>
      </c>
      <c r="D51" s="421"/>
      <c r="E51" s="380"/>
      <c r="F51" s="380"/>
      <c r="G51" s="380"/>
      <c r="H51" s="380"/>
      <c r="I51" s="160"/>
      <c r="J51" s="160"/>
      <c r="K51" s="160"/>
      <c r="L51" s="160"/>
      <c r="M51" s="380"/>
      <c r="N51" s="160"/>
      <c r="O51" s="160"/>
      <c r="P51" s="160"/>
      <c r="Q51" s="160"/>
      <c r="R51" s="380"/>
      <c r="S51" s="160"/>
      <c r="T51" s="160"/>
      <c r="U51" s="160"/>
      <c r="V51" s="160"/>
      <c r="W51" s="380"/>
      <c r="X51" s="160"/>
      <c r="Y51" s="160"/>
      <c r="Z51" s="160"/>
      <c r="AA51" s="160"/>
      <c r="AB51" s="380"/>
      <c r="AC51" s="160"/>
      <c r="AD51" s="160"/>
      <c r="AE51" s="160"/>
      <c r="AF51" s="160"/>
      <c r="AG51" s="380"/>
      <c r="AH51" s="160"/>
      <c r="AI51" s="160"/>
      <c r="AJ51" s="160"/>
      <c r="AK51" s="160"/>
      <c r="AL51" s="380"/>
      <c r="AM51" s="160"/>
      <c r="AN51" s="160"/>
      <c r="AO51" s="160"/>
      <c r="AP51" s="160"/>
      <c r="AQ51" s="380"/>
      <c r="AR51" s="160"/>
      <c r="AS51" s="160"/>
      <c r="AT51" s="160"/>
      <c r="AU51" s="160"/>
      <c r="AV51" s="380"/>
      <c r="AW51" s="160"/>
      <c r="AX51" s="160"/>
      <c r="AY51" s="160"/>
      <c r="AZ51" s="160"/>
      <c r="BA51" s="380"/>
      <c r="BB51" s="160"/>
      <c r="BC51" s="160"/>
      <c r="BD51" s="160"/>
      <c r="BE51" s="160"/>
      <c r="BF51" s="315"/>
      <c r="BG51" s="410"/>
      <c r="BH51" s="410"/>
      <c r="BI51" s="410"/>
      <c r="BJ51" s="410"/>
      <c r="BK51" s="380"/>
      <c r="BL51" s="160"/>
      <c r="BM51" s="160"/>
      <c r="BN51" s="160"/>
      <c r="BO51" s="160"/>
      <c r="BP51" s="380"/>
      <c r="BQ51" s="239">
        <v>0</v>
      </c>
      <c r="BR51" s="160">
        <f>+BR52-BR50</f>
        <v>0</v>
      </c>
      <c r="BS51" s="239">
        <v>0</v>
      </c>
      <c r="BT51" s="239">
        <v>0</v>
      </c>
      <c r="BU51" s="238">
        <f>BT51</f>
        <v>0</v>
      </c>
      <c r="BV51" s="239">
        <v>0</v>
      </c>
      <c r="BW51" s="239">
        <v>0</v>
      </c>
      <c r="BX51" s="239">
        <v>0</v>
      </c>
      <c r="BY51" s="239">
        <v>0</v>
      </c>
      <c r="BZ51" s="313">
        <f>BY51</f>
        <v>0</v>
      </c>
      <c r="CA51" s="239">
        <v>0</v>
      </c>
      <c r="CB51" s="239">
        <v>0</v>
      </c>
      <c r="CC51" s="239">
        <v>0</v>
      </c>
      <c r="CD51" s="239">
        <v>0</v>
      </c>
      <c r="CE51" s="313">
        <f>CD51</f>
        <v>0</v>
      </c>
      <c r="CF51" s="239">
        <v>0</v>
      </c>
      <c r="CG51" s="239">
        <v>0</v>
      </c>
      <c r="CH51" s="239">
        <v>0</v>
      </c>
      <c r="CI51" s="239">
        <v>0</v>
      </c>
      <c r="CJ51" s="313">
        <f>CI51</f>
        <v>0</v>
      </c>
      <c r="CK51" s="239">
        <v>0</v>
      </c>
      <c r="CL51" s="239">
        <v>0</v>
      </c>
      <c r="CM51" s="239">
        <v>0</v>
      </c>
      <c r="CN51" s="239">
        <v>0</v>
      </c>
      <c r="CO51" s="313">
        <f>CN51</f>
        <v>0</v>
      </c>
      <c r="CP51" s="239">
        <v>0</v>
      </c>
      <c r="CQ51" s="239">
        <v>0</v>
      </c>
      <c r="CR51" s="239">
        <f>CQ51</f>
        <v>0</v>
      </c>
      <c r="CS51" s="239">
        <v>0</v>
      </c>
      <c r="CT51" s="313">
        <f>CS51</f>
        <v>0</v>
      </c>
      <c r="CU51" s="239">
        <f>CT51</f>
        <v>0</v>
      </c>
      <c r="CV51" s="239">
        <f>CU51</f>
        <v>0</v>
      </c>
      <c r="CW51" s="239">
        <f>CV51</f>
        <v>0</v>
      </c>
      <c r="CX51" s="239">
        <f>CW51</f>
        <v>0</v>
      </c>
      <c r="CY51" s="313">
        <f>CX51</f>
        <v>0</v>
      </c>
      <c r="CZ51" s="239">
        <f>CX51</f>
        <v>0</v>
      </c>
      <c r="DA51" s="239">
        <f>CZ51</f>
        <v>0</v>
      </c>
      <c r="DB51" s="239">
        <f>DA51</f>
        <v>0</v>
      </c>
      <c r="DC51" s="239">
        <f>DB51</f>
        <v>0</v>
      </c>
      <c r="DD51" s="313">
        <f>DC51</f>
        <v>0</v>
      </c>
      <c r="DE51" s="239">
        <f>DC51</f>
        <v>0</v>
      </c>
      <c r="DF51" s="239">
        <f>DE51</f>
        <v>0</v>
      </c>
      <c r="DG51" s="239">
        <f t="shared" ref="DG51:DM51" si="109">DF51</f>
        <v>0</v>
      </c>
      <c r="DH51" s="239">
        <f t="shared" si="109"/>
        <v>0</v>
      </c>
      <c r="DI51" s="313">
        <f>DH51</f>
        <v>0</v>
      </c>
      <c r="DJ51" s="239">
        <f t="shared" si="109"/>
        <v>0</v>
      </c>
      <c r="DK51" s="239">
        <f t="shared" si="109"/>
        <v>0</v>
      </c>
      <c r="DL51" s="239">
        <f t="shared" si="109"/>
        <v>0</v>
      </c>
      <c r="DM51" s="239">
        <f t="shared" si="109"/>
        <v>0</v>
      </c>
      <c r="DN51" s="313">
        <f>DM51</f>
        <v>0</v>
      </c>
      <c r="DO51" s="239">
        <f>DN51</f>
        <v>0</v>
      </c>
      <c r="DP51" s="239">
        <f t="shared" ref="DP51:DR51" si="110">DO51</f>
        <v>0</v>
      </c>
      <c r="DQ51" s="239">
        <f t="shared" si="110"/>
        <v>0</v>
      </c>
      <c r="DR51" s="239">
        <f t="shared" si="110"/>
        <v>0</v>
      </c>
      <c r="DS51" s="313">
        <f>DR51</f>
        <v>0</v>
      </c>
      <c r="DT51" s="239">
        <f>DS51</f>
        <v>0</v>
      </c>
      <c r="DU51" s="239">
        <f t="shared" ref="DU51" si="111">DT51</f>
        <v>0</v>
      </c>
      <c r="DV51" s="281">
        <f>DU51</f>
        <v>0</v>
      </c>
      <c r="DW51" s="281">
        <f>DV51</f>
        <v>0</v>
      </c>
      <c r="DX51" s="313">
        <f>DW51</f>
        <v>0</v>
      </c>
      <c r="DY51" s="281">
        <f>DW51</f>
        <v>0</v>
      </c>
      <c r="DZ51" s="281">
        <f>DY51</f>
        <v>0</v>
      </c>
      <c r="EA51" s="281">
        <f>DZ51</f>
        <v>0</v>
      </c>
      <c r="EB51" s="281">
        <f>EA51</f>
        <v>0</v>
      </c>
      <c r="EC51" s="313">
        <f>EB51</f>
        <v>0</v>
      </c>
      <c r="ED51" s="281">
        <f>EB51</f>
        <v>0</v>
      </c>
      <c r="EE51" s="281">
        <f>ED51</f>
        <v>0</v>
      </c>
      <c r="EF51" s="281">
        <f>EE51</f>
        <v>0</v>
      </c>
      <c r="EG51" s="281">
        <f>EF51</f>
        <v>0</v>
      </c>
      <c r="EH51" s="313">
        <f>EG51</f>
        <v>0</v>
      </c>
      <c r="EI51" s="281">
        <f>EG51</f>
        <v>0</v>
      </c>
      <c r="EJ51" s="281">
        <f>EI51</f>
        <v>0</v>
      </c>
      <c r="EK51" s="281">
        <f>EJ51</f>
        <v>0</v>
      </c>
      <c r="EL51" s="281">
        <f>EK51</f>
        <v>0</v>
      </c>
      <c r="EM51" s="313">
        <f>EL51</f>
        <v>0</v>
      </c>
      <c r="EN51" s="281">
        <f>EL51</f>
        <v>0</v>
      </c>
      <c r="EO51" s="281">
        <f>EN51</f>
        <v>0</v>
      </c>
      <c r="EP51" s="281">
        <f>EO51</f>
        <v>0</v>
      </c>
      <c r="EQ51" s="281">
        <f>EP51</f>
        <v>0</v>
      </c>
      <c r="ER51" s="313">
        <f>EQ51</f>
        <v>0</v>
      </c>
      <c r="ES51" s="253"/>
    </row>
    <row r="52" spans="1:149" ht="12" customHeight="1">
      <c r="A52" s="794"/>
      <c r="B52" s="794"/>
      <c r="C52" s="433" t="s">
        <v>185</v>
      </c>
      <c r="D52" s="434"/>
      <c r="E52" s="434"/>
      <c r="F52" s="434"/>
      <c r="G52" s="434"/>
      <c r="H52" s="434"/>
      <c r="I52" s="435"/>
      <c r="J52" s="435"/>
      <c r="K52" s="435"/>
      <c r="L52" s="435"/>
      <c r="M52" s="434"/>
      <c r="N52" s="435"/>
      <c r="O52" s="435"/>
      <c r="P52" s="435"/>
      <c r="Q52" s="435"/>
      <c r="R52" s="434"/>
      <c r="S52" s="435"/>
      <c r="T52" s="435"/>
      <c r="U52" s="435"/>
      <c r="V52" s="435"/>
      <c r="W52" s="434"/>
      <c r="X52" s="435"/>
      <c r="Y52" s="435"/>
      <c r="Z52" s="435"/>
      <c r="AA52" s="435"/>
      <c r="AB52" s="434"/>
      <c r="AC52" s="435"/>
      <c r="AD52" s="435"/>
      <c r="AE52" s="435"/>
      <c r="AF52" s="435"/>
      <c r="AG52" s="434"/>
      <c r="AH52" s="435"/>
      <c r="AI52" s="435"/>
      <c r="AJ52" s="435"/>
      <c r="AK52" s="435"/>
      <c r="AL52" s="434"/>
      <c r="AM52" s="435"/>
      <c r="AN52" s="435"/>
      <c r="AO52" s="435"/>
      <c r="AP52" s="435"/>
      <c r="AQ52" s="434"/>
      <c r="AR52" s="435"/>
      <c r="AS52" s="435"/>
      <c r="AT52" s="435"/>
      <c r="AU52" s="435"/>
      <c r="AV52" s="434"/>
      <c r="AW52" s="435"/>
      <c r="AX52" s="435"/>
      <c r="AY52" s="435"/>
      <c r="AZ52" s="435"/>
      <c r="BA52" s="434"/>
      <c r="BB52" s="435"/>
      <c r="BC52" s="435"/>
      <c r="BD52" s="435"/>
      <c r="BE52" s="435"/>
      <c r="BF52" s="434"/>
      <c r="BG52" s="435"/>
      <c r="BH52" s="435"/>
      <c r="BI52" s="435"/>
      <c r="BJ52" s="435"/>
      <c r="BK52" s="434"/>
      <c r="BL52" s="435"/>
      <c r="BM52" s="435"/>
      <c r="BN52" s="435"/>
      <c r="BO52" s="435"/>
      <c r="BP52" s="434"/>
      <c r="BQ52" s="251">
        <f>BQ50-BQ51</f>
        <v>46.148000000000003</v>
      </c>
      <c r="BR52" s="436">
        <v>146.66800000000001</v>
      </c>
      <c r="BS52" s="251">
        <f>BS50-BS51</f>
        <v>115.315</v>
      </c>
      <c r="BT52" s="251">
        <f>BT50-BT51</f>
        <v>110.07000000000001</v>
      </c>
      <c r="BU52" s="252">
        <f>BT52</f>
        <v>110.07000000000001</v>
      </c>
      <c r="BV52" s="251">
        <f>BV50-BV51</f>
        <v>83.864000000000019</v>
      </c>
      <c r="BW52" s="251">
        <f>BW50-BW51</f>
        <v>68.140000000000015</v>
      </c>
      <c r="BX52" s="251">
        <f>BX50-BX51</f>
        <v>187.36</v>
      </c>
      <c r="BY52" s="251">
        <f>BY50-BY51</f>
        <v>84.013000000000034</v>
      </c>
      <c r="BZ52" s="252">
        <f>BY52</f>
        <v>84.013000000000034</v>
      </c>
      <c r="CA52" s="251">
        <f>CA50-CA51</f>
        <v>101.26800000000003</v>
      </c>
      <c r="CB52" s="251">
        <f>CB50-CB51</f>
        <v>199.39699999999993</v>
      </c>
      <c r="CC52" s="251">
        <f>CC50-CC51</f>
        <v>119.84899999999996</v>
      </c>
      <c r="CD52" s="251">
        <f>CD50-CD51</f>
        <v>141.67700000000005</v>
      </c>
      <c r="CE52" s="252">
        <f>CD52</f>
        <v>141.67700000000005</v>
      </c>
      <c r="CF52" s="251">
        <f>CF50-CF51</f>
        <v>196.57800000000012</v>
      </c>
      <c r="CG52" s="251">
        <f>CG50-CG51</f>
        <v>219.80100000000002</v>
      </c>
      <c r="CH52" s="251">
        <f>CH50-CH51</f>
        <v>243.42099999999996</v>
      </c>
      <c r="CI52" s="251">
        <f>CI50-CI51</f>
        <v>410.68299999999999</v>
      </c>
      <c r="CJ52" s="252">
        <f>CI52</f>
        <v>410.68299999999999</v>
      </c>
      <c r="CK52" s="251">
        <f>CK50-CK51</f>
        <v>410.44600000000003</v>
      </c>
      <c r="CL52" s="251">
        <f>CL50-CL51</f>
        <v>668.99</v>
      </c>
      <c r="CM52" s="251">
        <f>CM50-CM51</f>
        <v>1124.529</v>
      </c>
      <c r="CN52" s="251">
        <f>CN50-CN51</f>
        <v>649.91600000000017</v>
      </c>
      <c r="CO52" s="252">
        <f>CN52</f>
        <v>649.91600000000017</v>
      </c>
      <c r="CP52" s="251">
        <f t="shared" ref="CP52:CX52" si="112">CP50-CP51</f>
        <v>969.36300000000028</v>
      </c>
      <c r="CQ52" s="251">
        <f t="shared" si="112"/>
        <v>1882.3620000000001</v>
      </c>
      <c r="CR52" s="251">
        <f t="shared" si="112"/>
        <v>3089.884</v>
      </c>
      <c r="CS52" s="251">
        <f>CS50-CS51</f>
        <v>2703.5970000000002</v>
      </c>
      <c r="CT52" s="252">
        <f>CS52</f>
        <v>2703.5970000000002</v>
      </c>
      <c r="CU52" s="251">
        <f t="shared" si="112"/>
        <v>2785.5709999999999</v>
      </c>
      <c r="CV52" s="251">
        <f t="shared" si="112"/>
        <v>2364.67</v>
      </c>
      <c r="CW52" s="251">
        <f t="shared" si="112"/>
        <v>2189.6130000000007</v>
      </c>
      <c r="CX52" s="251">
        <f t="shared" si="112"/>
        <v>2502.9920000000002</v>
      </c>
      <c r="CY52" s="252">
        <f>CX52</f>
        <v>2502.9920000000002</v>
      </c>
      <c r="CZ52" s="251">
        <f>CZ50-CZ51</f>
        <v>2451.5400000000004</v>
      </c>
      <c r="DA52" s="251">
        <f>DA50-DA51</f>
        <v>3350.7810000000004</v>
      </c>
      <c r="DB52" s="251">
        <f>DB50-DB51</f>
        <v>1378.2510000000009</v>
      </c>
      <c r="DC52" s="251">
        <f>DC50-DC51</f>
        <v>1649.3280000000018</v>
      </c>
      <c r="DD52" s="252">
        <f>DC52</f>
        <v>1649.3280000000018</v>
      </c>
      <c r="DE52" s="251">
        <f>DE50-DE51</f>
        <v>1738.3280000000018</v>
      </c>
      <c r="DF52" s="251">
        <f>DF50-DF51</f>
        <v>1611.3280000000018</v>
      </c>
      <c r="DG52" s="251">
        <f>DG50-DG51</f>
        <v>1287.3280000000018</v>
      </c>
      <c r="DH52" s="251">
        <f>DH50-DH51</f>
        <v>1413.0000000000018</v>
      </c>
      <c r="DI52" s="252">
        <f>DH52</f>
        <v>1413.0000000000018</v>
      </c>
      <c r="DJ52" s="251">
        <f>DJ50-DJ51</f>
        <v>1623.0000000000018</v>
      </c>
      <c r="DK52" s="251">
        <f>DK50-DK51</f>
        <v>1541.0000000000018</v>
      </c>
      <c r="DL52" s="251">
        <f>DL50-DL51</f>
        <v>1507.0000000000018</v>
      </c>
      <c r="DM52" s="251">
        <f>DM50-DM51</f>
        <v>1498.0000000000018</v>
      </c>
      <c r="DN52" s="252">
        <f>DM52</f>
        <v>1498.0000000000018</v>
      </c>
      <c r="DO52" s="251">
        <f>DO50-DO51</f>
        <v>1309.0000000000018</v>
      </c>
      <c r="DP52" s="251">
        <f>DP50-DP51</f>
        <v>1542.0000000000018</v>
      </c>
      <c r="DQ52" s="251">
        <f>DQ50-DQ51</f>
        <v>2414.0000000000018</v>
      </c>
      <c r="DR52" s="251">
        <f>DR50-DR51</f>
        <v>1544.6720000000018</v>
      </c>
      <c r="DS52" s="252">
        <f>DR52</f>
        <v>1544.6720000000018</v>
      </c>
      <c r="DT52" s="251">
        <f>DT50-DT51</f>
        <v>1847.6720000000018</v>
      </c>
      <c r="DU52" s="251">
        <f>DU50-DU51</f>
        <v>1655.6720000000018</v>
      </c>
      <c r="DV52" s="251">
        <f>DV50-DV51</f>
        <v>2377.938201351446</v>
      </c>
      <c r="DW52" s="251">
        <f>DW50-DW51</f>
        <v>3332.7043701727989</v>
      </c>
      <c r="DX52" s="252">
        <f>DW52</f>
        <v>3332.7043701727989</v>
      </c>
      <c r="DY52" s="251">
        <f>DY50-DY51</f>
        <v>3795.9810220955724</v>
      </c>
      <c r="DZ52" s="251">
        <f>DZ50-DZ51</f>
        <v>4554.4112828808393</v>
      </c>
      <c r="EA52" s="251">
        <f>EA50-EA51</f>
        <v>5403.475245280144</v>
      </c>
      <c r="EB52" s="251">
        <f>EB50-EB51</f>
        <v>6735.7605411722161</v>
      </c>
      <c r="EC52" s="252">
        <f>EB52</f>
        <v>6735.7605411722161</v>
      </c>
      <c r="ED52" s="251">
        <f>ED50-ED51</f>
        <v>7277.912962281518</v>
      </c>
      <c r="EE52" s="251">
        <f>EE50-EE51</f>
        <v>8213.054960092697</v>
      </c>
      <c r="EF52" s="251">
        <f>EF50-EF51</f>
        <v>9205.6091110389771</v>
      </c>
      <c r="EG52" s="251">
        <f>EG50-EG51</f>
        <v>10767.166740377632</v>
      </c>
      <c r="EH52" s="252">
        <f>EG52</f>
        <v>10767.166740377632</v>
      </c>
      <c r="EI52" s="251">
        <f>EI50-EI51</f>
        <v>11303.677482281695</v>
      </c>
      <c r="EJ52" s="251">
        <f>EJ50-EJ51</f>
        <v>12448.561662472563</v>
      </c>
      <c r="EK52" s="251">
        <f>EK50-EK51</f>
        <v>13654.164586805528</v>
      </c>
      <c r="EL52" s="251">
        <f>EL50-EL51</f>
        <v>15540.612023527461</v>
      </c>
      <c r="EM52" s="252">
        <f>EL52</f>
        <v>15540.612023527461</v>
      </c>
      <c r="EN52" s="251">
        <f>EN50-EN51</f>
        <v>16147.60014613919</v>
      </c>
      <c r="EO52" s="251">
        <f>EO50-EO51</f>
        <v>17520.561747313986</v>
      </c>
      <c r="EP52" s="251">
        <f>EP50-EP51</f>
        <v>18971.681654591277</v>
      </c>
      <c r="EQ52" s="251">
        <f>EQ50-EQ51</f>
        <v>21211.549585228455</v>
      </c>
      <c r="ER52" s="252">
        <f>EQ52</f>
        <v>21211.549585228455</v>
      </c>
      <c r="ES52" s="254"/>
    </row>
    <row r="53" spans="1:149">
      <c r="A53" s="794"/>
      <c r="B53" s="794"/>
      <c r="C53" s="472" t="s">
        <v>35</v>
      </c>
      <c r="D53" s="461"/>
      <c r="E53" s="461"/>
      <c r="F53" s="461"/>
      <c r="G53" s="461"/>
      <c r="H53" s="461"/>
      <c r="I53" s="242"/>
      <c r="J53" s="242"/>
      <c r="K53" s="242"/>
      <c r="L53" s="242"/>
      <c r="M53" s="461"/>
      <c r="N53" s="242"/>
      <c r="O53" s="242"/>
      <c r="P53" s="242"/>
      <c r="Q53" s="242"/>
      <c r="R53" s="461"/>
      <c r="S53" s="242"/>
      <c r="T53" s="242"/>
      <c r="U53" s="242"/>
      <c r="V53" s="242"/>
      <c r="W53" s="461"/>
      <c r="X53" s="242"/>
      <c r="Y53" s="242"/>
      <c r="Z53" s="242"/>
      <c r="AA53" s="242"/>
      <c r="AB53" s="461"/>
      <c r="AC53" s="242"/>
      <c r="AD53" s="242"/>
      <c r="AE53" s="242"/>
      <c r="AF53" s="242"/>
      <c r="AG53" s="461"/>
      <c r="AH53" s="242"/>
      <c r="AI53" s="242"/>
      <c r="AJ53" s="242"/>
      <c r="AK53" s="242"/>
      <c r="AL53" s="461"/>
      <c r="AM53" s="242"/>
      <c r="AN53" s="242"/>
      <c r="AO53" s="242"/>
      <c r="AP53" s="242"/>
      <c r="AQ53" s="461"/>
      <c r="AR53" s="242"/>
      <c r="AS53" s="242"/>
      <c r="AT53" s="242"/>
      <c r="AU53" s="242"/>
      <c r="AV53" s="461"/>
      <c r="AW53" s="242"/>
      <c r="AX53" s="242"/>
      <c r="AY53" s="242"/>
      <c r="AZ53" s="242"/>
      <c r="BA53" s="461"/>
      <c r="BB53" s="242"/>
      <c r="BC53" s="242"/>
      <c r="BD53" s="242"/>
      <c r="BE53" s="242"/>
      <c r="BF53" s="461"/>
      <c r="BG53" s="242"/>
      <c r="BH53" s="242"/>
      <c r="BI53" s="242"/>
      <c r="BJ53" s="242"/>
      <c r="BK53" s="461"/>
      <c r="BL53" s="242"/>
      <c r="BM53" s="242"/>
      <c r="BN53" s="242"/>
      <c r="BO53" s="242"/>
      <c r="BP53" s="462"/>
      <c r="BQ53" s="242"/>
      <c r="BR53" s="242"/>
      <c r="BS53" s="242"/>
      <c r="BT53" s="242"/>
      <c r="BU53" s="462"/>
      <c r="BV53" s="242"/>
      <c r="BW53" s="242"/>
      <c r="BX53" s="242"/>
      <c r="BY53" s="242"/>
      <c r="BZ53" s="463"/>
      <c r="CA53" s="242"/>
      <c r="CB53" s="242"/>
      <c r="CC53" s="242"/>
      <c r="CD53" s="242"/>
      <c r="CE53" s="463"/>
      <c r="CF53" s="242"/>
      <c r="CG53" s="242"/>
      <c r="CH53" s="242"/>
      <c r="CI53" s="242"/>
      <c r="CJ53" s="463"/>
      <c r="CK53" s="464"/>
      <c r="CL53" s="464"/>
      <c r="CM53" s="464"/>
      <c r="CN53" s="464"/>
      <c r="CO53" s="463"/>
      <c r="CP53" s="464"/>
      <c r="CQ53" s="464"/>
      <c r="CR53" s="464"/>
      <c r="CS53" s="464"/>
      <c r="CT53" s="463"/>
      <c r="CU53" s="464"/>
      <c r="CV53" s="464"/>
      <c r="CW53" s="464"/>
      <c r="CX53" s="464"/>
      <c r="CY53" s="463"/>
      <c r="CZ53" s="464"/>
      <c r="DA53" s="464"/>
      <c r="DB53" s="464"/>
      <c r="DC53" s="464"/>
      <c r="DD53" s="463"/>
      <c r="DE53" s="464"/>
      <c r="DF53" s="464"/>
      <c r="DG53" s="464"/>
      <c r="DH53" s="464"/>
      <c r="DI53" s="463"/>
      <c r="DJ53" s="464"/>
      <c r="DK53" s="464"/>
      <c r="DL53" s="464"/>
      <c r="DM53" s="464"/>
      <c r="DN53" s="463"/>
      <c r="DO53" s="464"/>
      <c r="DP53" s="464"/>
      <c r="DQ53" s="464"/>
      <c r="DR53" s="464"/>
      <c r="DS53" s="463"/>
      <c r="DT53" s="464"/>
      <c r="DU53" s="464"/>
      <c r="DV53" s="464"/>
      <c r="DW53" s="464"/>
      <c r="DX53" s="463"/>
      <c r="DY53" s="464"/>
      <c r="DZ53" s="464"/>
      <c r="EA53" s="464"/>
      <c r="EB53" s="464"/>
      <c r="EC53" s="463"/>
      <c r="ED53" s="464"/>
      <c r="EE53" s="464"/>
      <c r="EF53" s="464"/>
      <c r="EG53" s="464"/>
      <c r="EH53" s="463"/>
      <c r="EI53" s="464"/>
      <c r="EJ53" s="464"/>
      <c r="EK53" s="464"/>
      <c r="EL53" s="464"/>
      <c r="EM53" s="463"/>
      <c r="EN53" s="464"/>
      <c r="EO53" s="464"/>
      <c r="EP53" s="464"/>
      <c r="EQ53" s="464"/>
      <c r="ER53" s="463"/>
      <c r="ES53" s="465"/>
    </row>
    <row r="54" spans="1:149">
      <c r="A54" s="794"/>
      <c r="B54" s="794"/>
      <c r="C54" s="474" t="s">
        <v>79</v>
      </c>
      <c r="D54" s="462"/>
      <c r="E54" s="462"/>
      <c r="F54" s="462"/>
      <c r="G54" s="462"/>
      <c r="H54" s="462"/>
      <c r="I54" s="242"/>
      <c r="J54" s="242"/>
      <c r="K54" s="242"/>
      <c r="L54" s="242"/>
      <c r="M54" s="462"/>
      <c r="N54" s="242"/>
      <c r="O54" s="242"/>
      <c r="P54" s="242"/>
      <c r="Q54" s="242"/>
      <c r="R54" s="462"/>
      <c r="S54" s="242"/>
      <c r="T54" s="242"/>
      <c r="U54" s="242"/>
      <c r="V54" s="242"/>
      <c r="W54" s="462"/>
      <c r="X54" s="242"/>
      <c r="Y54" s="242"/>
      <c r="Z54" s="242"/>
      <c r="AA54" s="242"/>
      <c r="AB54" s="462"/>
      <c r="AC54" s="242"/>
      <c r="AD54" s="242"/>
      <c r="AE54" s="242"/>
      <c r="AF54" s="242"/>
      <c r="AG54" s="462"/>
      <c r="AH54" s="242"/>
      <c r="AI54" s="242"/>
      <c r="AJ54" s="242"/>
      <c r="AK54" s="242"/>
      <c r="AL54" s="462"/>
      <c r="AM54" s="242"/>
      <c r="AN54" s="242"/>
      <c r="AO54" s="242"/>
      <c r="AP54" s="242"/>
      <c r="AQ54" s="462"/>
      <c r="AR54" s="242"/>
      <c r="AS54" s="242"/>
      <c r="AT54" s="242"/>
      <c r="AU54" s="242"/>
      <c r="AV54" s="462"/>
      <c r="AW54" s="242"/>
      <c r="AX54" s="242"/>
      <c r="AY54" s="242"/>
      <c r="AZ54" s="242"/>
      <c r="BA54" s="462"/>
      <c r="BB54" s="242"/>
      <c r="BC54" s="242"/>
      <c r="BD54" s="242"/>
      <c r="BE54" s="242"/>
      <c r="BF54" s="462"/>
      <c r="BG54" s="242"/>
      <c r="BH54" s="242"/>
      <c r="BI54" s="242"/>
      <c r="BJ54" s="242"/>
      <c r="BK54" s="462"/>
      <c r="BL54" s="242"/>
      <c r="BM54" s="242"/>
      <c r="BN54" s="242"/>
      <c r="BO54" s="242"/>
      <c r="BP54" s="462"/>
      <c r="BQ54" s="837">
        <f t="shared" ref="BQ54:DL54" si="113">BQ24</f>
        <v>3.9659999999999993</v>
      </c>
      <c r="BR54" s="837">
        <f t="shared" si="113"/>
        <v>6.7000000000000046</v>
      </c>
      <c r="BS54" s="837">
        <f t="shared" si="113"/>
        <v>0.13299999999999557</v>
      </c>
      <c r="BT54" s="837">
        <f t="shared" si="113"/>
        <v>4.9570000000000007</v>
      </c>
      <c r="BU54" s="462">
        <f t="shared" si="113"/>
        <v>15.756</v>
      </c>
      <c r="BV54" s="837">
        <f t="shared" si="113"/>
        <v>0.65500000000000047</v>
      </c>
      <c r="BW54" s="837">
        <f t="shared" si="113"/>
        <v>5.5499999999999989</v>
      </c>
      <c r="BX54" s="837">
        <f t="shared" si="113"/>
        <v>1.0970000000000002</v>
      </c>
      <c r="BY54" s="837">
        <f t="shared" si="113"/>
        <v>6.7150000000000016</v>
      </c>
      <c r="BZ54" s="462">
        <f t="shared" si="113"/>
        <v>14.017000000000001</v>
      </c>
      <c r="CA54" s="837">
        <f t="shared" si="113"/>
        <v>3.9989999999999992</v>
      </c>
      <c r="CB54" s="837">
        <f t="shared" si="113"/>
        <v>-8.8580000000000005</v>
      </c>
      <c r="CC54" s="837">
        <f t="shared" si="113"/>
        <v>-6.2349999999999977</v>
      </c>
      <c r="CD54" s="837">
        <f t="shared" si="113"/>
        <v>18.995000000000001</v>
      </c>
      <c r="CE54" s="462">
        <f t="shared" si="113"/>
        <v>7.9010000000000016</v>
      </c>
      <c r="CF54" s="837">
        <f t="shared" si="113"/>
        <v>-1.8750000000000018</v>
      </c>
      <c r="CG54" s="837">
        <f t="shared" si="113"/>
        <v>-0.92199999999999305</v>
      </c>
      <c r="CH54" s="837">
        <f t="shared" si="113"/>
        <v>2.8639999999999946</v>
      </c>
      <c r="CI54" s="837">
        <f t="shared" si="113"/>
        <v>9.2569999999999943</v>
      </c>
      <c r="CJ54" s="462">
        <f t="shared" si="113"/>
        <v>9.3239999999999945</v>
      </c>
      <c r="CK54" s="837">
        <f t="shared" si="113"/>
        <v>24.344000000000012</v>
      </c>
      <c r="CL54" s="837">
        <f t="shared" si="113"/>
        <v>23.057999999999986</v>
      </c>
      <c r="CM54" s="837">
        <f t="shared" si="113"/>
        <v>-29.675000000000004</v>
      </c>
      <c r="CN54" s="837">
        <f t="shared" si="113"/>
        <v>52.888000000000005</v>
      </c>
      <c r="CO54" s="462">
        <f t="shared" si="113"/>
        <v>70.615000000000009</v>
      </c>
      <c r="CP54" s="837">
        <f t="shared" si="113"/>
        <v>-84.954999999999998</v>
      </c>
      <c r="CQ54" s="837">
        <f t="shared" si="113"/>
        <v>175.19</v>
      </c>
      <c r="CR54" s="837">
        <f t="shared" si="113"/>
        <v>89.357000000000014</v>
      </c>
      <c r="CS54" s="837">
        <f t="shared" si="113"/>
        <v>245.36599999999993</v>
      </c>
      <c r="CT54" s="462">
        <f t="shared" si="113"/>
        <v>424.95799999999997</v>
      </c>
      <c r="CU54" s="837">
        <f t="shared" si="113"/>
        <v>135.68299999999957</v>
      </c>
      <c r="CV54" s="837">
        <f t="shared" si="113"/>
        <v>66.42100000000039</v>
      </c>
      <c r="CW54" s="837">
        <f t="shared" si="113"/>
        <v>41.866000000000142</v>
      </c>
      <c r="CX54" s="837">
        <f t="shared" si="113"/>
        <v>260.45799999999986</v>
      </c>
      <c r="CY54" s="462">
        <f t="shared" si="113"/>
        <v>504.42799999999994</v>
      </c>
      <c r="CZ54" s="837">
        <f t="shared" si="113"/>
        <v>-53.561</v>
      </c>
      <c r="DA54" s="837">
        <f t="shared" si="113"/>
        <v>-124.166</v>
      </c>
      <c r="DB54" s="837">
        <f t="shared" si="113"/>
        <v>-214.10600000000002</v>
      </c>
      <c r="DC54" s="837">
        <f t="shared" si="113"/>
        <v>255.38500000000002</v>
      </c>
      <c r="DD54" s="462">
        <f t="shared" si="113"/>
        <v>-136.44800000000001</v>
      </c>
      <c r="DE54" s="837">
        <f t="shared" si="113"/>
        <v>100</v>
      </c>
      <c r="DF54" s="837">
        <f t="shared" si="113"/>
        <v>118</v>
      </c>
      <c r="DG54" s="837">
        <f t="shared" si="113"/>
        <v>278</v>
      </c>
      <c r="DH54" s="837">
        <f t="shared" si="113"/>
        <v>448</v>
      </c>
      <c r="DI54" s="462">
        <f t="shared" si="113"/>
        <v>944</v>
      </c>
      <c r="DJ54" s="837">
        <f t="shared" si="113"/>
        <v>238</v>
      </c>
      <c r="DK54" s="837">
        <f t="shared" si="113"/>
        <v>340</v>
      </c>
      <c r="DL54" s="837">
        <f t="shared" si="113"/>
        <v>423</v>
      </c>
      <c r="DM54" s="837">
        <f>DM24</f>
        <v>615</v>
      </c>
      <c r="DN54" s="462">
        <f t="shared" ref="DN54:EC54" si="114">DN24</f>
        <v>1616</v>
      </c>
      <c r="DO54" s="837">
        <f t="shared" si="114"/>
        <v>367</v>
      </c>
      <c r="DP54" s="837">
        <f t="shared" si="114"/>
        <v>428</v>
      </c>
      <c r="DQ54" s="837">
        <f t="shared" ref="DQ54:DR54" si="115">DQ24</f>
        <v>513</v>
      </c>
      <c r="DR54" s="837">
        <f t="shared" si="115"/>
        <v>725</v>
      </c>
      <c r="DS54" s="462">
        <f t="shared" si="114"/>
        <v>2033</v>
      </c>
      <c r="DT54" s="837">
        <f t="shared" ref="DT54:DU54" si="116">DT24</f>
        <v>481</v>
      </c>
      <c r="DU54" s="837">
        <f t="shared" si="116"/>
        <v>658</v>
      </c>
      <c r="DV54" s="837">
        <f t="shared" si="114"/>
        <v>788.7162013514444</v>
      </c>
      <c r="DW54" s="837">
        <f t="shared" si="114"/>
        <v>1043.0786688213532</v>
      </c>
      <c r="DX54" s="462">
        <f t="shared" si="114"/>
        <v>2970.7948701727973</v>
      </c>
      <c r="DY54" s="837">
        <f t="shared" si="114"/>
        <v>550.58915192277357</v>
      </c>
      <c r="DZ54" s="837">
        <f t="shared" si="114"/>
        <v>859.23026078526686</v>
      </c>
      <c r="EA54" s="837">
        <f t="shared" si="114"/>
        <v>932.51646239930517</v>
      </c>
      <c r="EB54" s="837">
        <f t="shared" si="114"/>
        <v>1442.8259208920722</v>
      </c>
      <c r="EC54" s="462">
        <f t="shared" si="114"/>
        <v>3785.1617959994178</v>
      </c>
      <c r="ED54" s="837">
        <f t="shared" ref="ED54:ER54" si="117">ED24</f>
        <v>651.7430461093013</v>
      </c>
      <c r="EE54" s="837">
        <f t="shared" si="117"/>
        <v>1061.6519978111785</v>
      </c>
      <c r="EF54" s="837">
        <f t="shared" si="117"/>
        <v>1097.18777594628</v>
      </c>
      <c r="EG54" s="837">
        <f t="shared" si="117"/>
        <v>1699.7634105886546</v>
      </c>
      <c r="EH54" s="462">
        <f t="shared" si="117"/>
        <v>4510.3462304554141</v>
      </c>
      <c r="EI54" s="837">
        <f t="shared" si="117"/>
        <v>673.88902315406358</v>
      </c>
      <c r="EJ54" s="837">
        <f t="shared" si="117"/>
        <v>1303.4836801908677</v>
      </c>
      <c r="EK54" s="837">
        <f t="shared" si="117"/>
        <v>1336.6265555829655</v>
      </c>
      <c r="EL54" s="837">
        <f t="shared" si="117"/>
        <v>2059.090663284434</v>
      </c>
      <c r="EM54" s="462">
        <f t="shared" si="117"/>
        <v>5373.0899222123307</v>
      </c>
      <c r="EN54" s="837">
        <f t="shared" si="117"/>
        <v>779.02897417422832</v>
      </c>
      <c r="EO54" s="837">
        <f t="shared" si="117"/>
        <v>1571.615376174798</v>
      </c>
      <c r="EP54" s="837">
        <f t="shared" si="117"/>
        <v>1615.0273663397918</v>
      </c>
      <c r="EQ54" s="837">
        <f t="shared" si="117"/>
        <v>2455.3851638403016</v>
      </c>
      <c r="ER54" s="462">
        <f t="shared" si="117"/>
        <v>6421.0568805291205</v>
      </c>
      <c r="ES54" s="465"/>
    </row>
    <row r="55" spans="1:149">
      <c r="A55" s="794"/>
      <c r="B55" s="794"/>
      <c r="C55" s="475" t="s">
        <v>39</v>
      </c>
      <c r="D55" s="462"/>
      <c r="E55" s="462"/>
      <c r="F55" s="462"/>
      <c r="G55" s="462"/>
      <c r="H55" s="462"/>
      <c r="I55" s="242"/>
      <c r="J55" s="242"/>
      <c r="K55" s="242"/>
      <c r="L55" s="242"/>
      <c r="M55" s="462"/>
      <c r="N55" s="242"/>
      <c r="O55" s="242"/>
      <c r="P55" s="242"/>
      <c r="Q55" s="242"/>
      <c r="R55" s="462"/>
      <c r="S55" s="242"/>
      <c r="T55" s="242"/>
      <c r="U55" s="242"/>
      <c r="V55" s="242"/>
      <c r="W55" s="462"/>
      <c r="X55" s="242"/>
      <c r="Y55" s="242"/>
      <c r="Z55" s="242"/>
      <c r="AA55" s="242"/>
      <c r="AB55" s="462"/>
      <c r="AC55" s="242"/>
      <c r="AD55" s="242"/>
      <c r="AE55" s="242"/>
      <c r="AF55" s="242"/>
      <c r="AG55" s="462"/>
      <c r="AH55" s="242"/>
      <c r="AI55" s="242"/>
      <c r="AJ55" s="242"/>
      <c r="AK55" s="242"/>
      <c r="AL55" s="462"/>
      <c r="AM55" s="242"/>
      <c r="AN55" s="242"/>
      <c r="AO55" s="242"/>
      <c r="AP55" s="242"/>
      <c r="AQ55" s="462"/>
      <c r="AR55" s="242"/>
      <c r="AS55" s="242"/>
      <c r="AT55" s="242"/>
      <c r="AU55" s="242"/>
      <c r="AV55" s="462"/>
      <c r="AW55" s="242"/>
      <c r="AX55" s="242"/>
      <c r="AY55" s="242"/>
      <c r="AZ55" s="242"/>
      <c r="BA55" s="462"/>
      <c r="BB55" s="242"/>
      <c r="BC55" s="242"/>
      <c r="BD55" s="242"/>
      <c r="BE55" s="242"/>
      <c r="BF55" s="462"/>
      <c r="BG55" s="242"/>
      <c r="BH55" s="242"/>
      <c r="BI55" s="242"/>
      <c r="BJ55" s="242"/>
      <c r="BK55" s="462"/>
      <c r="BL55" s="242"/>
      <c r="BM55" s="242"/>
      <c r="BN55" s="242"/>
      <c r="BO55" s="242"/>
      <c r="BP55" s="462"/>
      <c r="BQ55" s="837">
        <f>BQ28</f>
        <v>-2.5274000000000001</v>
      </c>
      <c r="BR55" s="837">
        <f t="shared" ref="BR55:EC55" si="118">BR28</f>
        <v>-2.6916000000000002</v>
      </c>
      <c r="BS55" s="837">
        <f t="shared" si="118"/>
        <v>-6.1479999999999997</v>
      </c>
      <c r="BT55" s="837">
        <f t="shared" si="118"/>
        <v>-5.1579999999999977</v>
      </c>
      <c r="BU55" s="462">
        <f t="shared" si="118"/>
        <v>-16.524999999999999</v>
      </c>
      <c r="BV55" s="837">
        <f t="shared" si="118"/>
        <v>-2.7149999999999999</v>
      </c>
      <c r="BW55" s="837">
        <f t="shared" si="118"/>
        <v>-7.3420000000000005</v>
      </c>
      <c r="BX55" s="837">
        <f t="shared" si="118"/>
        <v>-5.2289999999999992</v>
      </c>
      <c r="BY55" s="837">
        <f t="shared" si="118"/>
        <v>-8.4870000000000001</v>
      </c>
      <c r="BZ55" s="462">
        <f t="shared" si="118"/>
        <v>-23.773</v>
      </c>
      <c r="CA55" s="837">
        <f t="shared" si="118"/>
        <v>-2.633</v>
      </c>
      <c r="CB55" s="837">
        <f t="shared" si="118"/>
        <v>-2.657</v>
      </c>
      <c r="CC55" s="837">
        <f t="shared" si="118"/>
        <v>-3.9679999999999991</v>
      </c>
      <c r="CD55" s="837">
        <f t="shared" si="118"/>
        <v>-10.785</v>
      </c>
      <c r="CE55" s="462">
        <f t="shared" si="118"/>
        <v>-20.042999999999999</v>
      </c>
      <c r="CF55" s="837">
        <f t="shared" si="118"/>
        <v>-5.4050000000000002</v>
      </c>
      <c r="CG55" s="837">
        <f t="shared" si="118"/>
        <v>-9.7019999999999982</v>
      </c>
      <c r="CH55" s="837">
        <f t="shared" si="118"/>
        <v>-5.3250000000000002</v>
      </c>
      <c r="CI55" s="837">
        <f t="shared" si="118"/>
        <v>-7.5180000000000016</v>
      </c>
      <c r="CJ55" s="462">
        <f t="shared" si="118"/>
        <v>-27.95</v>
      </c>
      <c r="CK55" s="837">
        <f t="shared" si="118"/>
        <v>-9.5519999999999996</v>
      </c>
      <c r="CL55" s="837">
        <f t="shared" si="118"/>
        <v>-20.885000000000002</v>
      </c>
      <c r="CM55" s="837">
        <f t="shared" si="118"/>
        <v>-12.919999999999998</v>
      </c>
      <c r="CN55" s="837">
        <f t="shared" si="118"/>
        <v>-13.401999999999997</v>
      </c>
      <c r="CO55" s="462">
        <f t="shared" si="118"/>
        <v>-56.759</v>
      </c>
      <c r="CP55" s="837">
        <f t="shared" si="118"/>
        <v>-16.739999999999998</v>
      </c>
      <c r="CQ55" s="837">
        <f t="shared" si="118"/>
        <v>-8.5890000000000022</v>
      </c>
      <c r="CR55" s="837">
        <f t="shared" si="118"/>
        <v>-10.048000000000002</v>
      </c>
      <c r="CS55" s="837">
        <f t="shared" si="118"/>
        <v>-6.3559999999999945</v>
      </c>
      <c r="CT55" s="462">
        <f t="shared" si="118"/>
        <v>-41.732999999999997</v>
      </c>
      <c r="CU55" s="837">
        <f t="shared" si="118"/>
        <v>-5.1879999999999997</v>
      </c>
      <c r="CV55" s="837">
        <f t="shared" si="118"/>
        <v>-8.2630000000000017</v>
      </c>
      <c r="CW55" s="837">
        <f t="shared" si="118"/>
        <v>-11.361999999999998</v>
      </c>
      <c r="CX55" s="837">
        <f t="shared" si="118"/>
        <v>-25.974999999999998</v>
      </c>
      <c r="CY55" s="462">
        <f t="shared" si="118"/>
        <v>-50.787999999999997</v>
      </c>
      <c r="CZ55" s="837">
        <f t="shared" si="118"/>
        <v>-15.94</v>
      </c>
      <c r="DA55" s="837">
        <f t="shared" si="118"/>
        <v>-12.549000000000001</v>
      </c>
      <c r="DB55" s="837">
        <f t="shared" si="118"/>
        <v>-13.904999999999999</v>
      </c>
      <c r="DC55" s="837">
        <f t="shared" si="118"/>
        <v>-7.6240000000000006</v>
      </c>
      <c r="DD55" s="462">
        <f t="shared" si="118"/>
        <v>-50.018000000000001</v>
      </c>
      <c r="DE55" s="837">
        <f t="shared" si="118"/>
        <v>-14</v>
      </c>
      <c r="DF55" s="837">
        <f t="shared" si="118"/>
        <v>-21</v>
      </c>
      <c r="DG55" s="837">
        <f t="shared" si="118"/>
        <v>-2</v>
      </c>
      <c r="DH55" s="837">
        <f t="shared" si="118"/>
        <v>-2</v>
      </c>
      <c r="DI55" s="462">
        <f t="shared" si="118"/>
        <v>-39</v>
      </c>
      <c r="DJ55" s="837">
        <f t="shared" si="118"/>
        <v>-6</v>
      </c>
      <c r="DK55" s="837">
        <f t="shared" si="118"/>
        <v>-7</v>
      </c>
      <c r="DL55" s="837">
        <f t="shared" si="118"/>
        <v>-2</v>
      </c>
      <c r="DM55" s="837">
        <f t="shared" si="118"/>
        <v>-4</v>
      </c>
      <c r="DN55" s="462">
        <f t="shared" si="118"/>
        <v>-19</v>
      </c>
      <c r="DO55" s="837">
        <f t="shared" si="118"/>
        <v>-4</v>
      </c>
      <c r="DP55" s="837">
        <f t="shared" si="118"/>
        <v>-6</v>
      </c>
      <c r="DQ55" s="837">
        <f t="shared" ref="DQ55:DR55" si="119">DQ28</f>
        <v>-6</v>
      </c>
      <c r="DR55" s="837">
        <f t="shared" si="119"/>
        <v>-10</v>
      </c>
      <c r="DS55" s="462">
        <f t="shared" si="118"/>
        <v>-26</v>
      </c>
      <c r="DT55" s="837">
        <f t="shared" ref="DT55:DU55" si="120">DT28</f>
        <v>-5</v>
      </c>
      <c r="DU55" s="837">
        <f t="shared" si="120"/>
        <v>-4</v>
      </c>
      <c r="DV55" s="837">
        <f t="shared" si="118"/>
        <v>-7.1999999999999993</v>
      </c>
      <c r="DW55" s="837">
        <f t="shared" si="118"/>
        <v>-12</v>
      </c>
      <c r="DX55" s="462">
        <f t="shared" si="118"/>
        <v>-28.2</v>
      </c>
      <c r="DY55" s="837">
        <f t="shared" si="118"/>
        <v>-6</v>
      </c>
      <c r="DZ55" s="837">
        <f t="shared" si="118"/>
        <v>-4.8</v>
      </c>
      <c r="EA55" s="837">
        <f t="shared" si="118"/>
        <v>-8.6399999999999988</v>
      </c>
      <c r="EB55" s="837">
        <f t="shared" si="118"/>
        <v>-14.399999999999999</v>
      </c>
      <c r="EC55" s="462">
        <f t="shared" si="118"/>
        <v>-33.839999999999996</v>
      </c>
      <c r="ED55" s="837">
        <f t="shared" ref="ED55:ER55" si="121">ED28</f>
        <v>-7.1999999999999993</v>
      </c>
      <c r="EE55" s="837">
        <f t="shared" si="121"/>
        <v>-5.76</v>
      </c>
      <c r="EF55" s="837">
        <f t="shared" si="121"/>
        <v>-10.367999999999999</v>
      </c>
      <c r="EG55" s="837">
        <f t="shared" si="121"/>
        <v>-17.279999999999998</v>
      </c>
      <c r="EH55" s="462">
        <f t="shared" si="121"/>
        <v>-40.60799999999999</v>
      </c>
      <c r="EI55" s="837">
        <f t="shared" si="121"/>
        <v>-8.6399999999999988</v>
      </c>
      <c r="EJ55" s="837">
        <f t="shared" si="121"/>
        <v>-6.9119999999999999</v>
      </c>
      <c r="EK55" s="837">
        <f t="shared" si="121"/>
        <v>-12.441599999999998</v>
      </c>
      <c r="EL55" s="837">
        <f t="shared" si="121"/>
        <v>-20.735999999999997</v>
      </c>
      <c r="EM55" s="462">
        <f t="shared" si="121"/>
        <v>-48.729599999999991</v>
      </c>
      <c r="EN55" s="837">
        <f t="shared" si="121"/>
        <v>-10.367999999999999</v>
      </c>
      <c r="EO55" s="837">
        <f t="shared" si="121"/>
        <v>-8.2943999999999996</v>
      </c>
      <c r="EP55" s="837">
        <f t="shared" si="121"/>
        <v>-14.929919999999996</v>
      </c>
      <c r="EQ55" s="837">
        <f t="shared" si="121"/>
        <v>-24.883199999999995</v>
      </c>
      <c r="ER55" s="462">
        <f t="shared" si="121"/>
        <v>-58.475519999999989</v>
      </c>
      <c r="ES55" s="465"/>
    </row>
    <row r="56" spans="1:149" ht="13.8" thickBot="1">
      <c r="A56" s="794" t="s">
        <v>168</v>
      </c>
      <c r="B56" s="794"/>
      <c r="C56" s="476" t="s">
        <v>35</v>
      </c>
      <c r="D56" s="466"/>
      <c r="E56" s="466"/>
      <c r="F56" s="466"/>
      <c r="G56" s="466"/>
      <c r="H56" s="466"/>
      <c r="I56" s="467"/>
      <c r="J56" s="467"/>
      <c r="K56" s="467"/>
      <c r="L56" s="467"/>
      <c r="M56" s="466"/>
      <c r="N56" s="467"/>
      <c r="O56" s="467"/>
      <c r="P56" s="467"/>
      <c r="Q56" s="467"/>
      <c r="R56" s="466"/>
      <c r="S56" s="467"/>
      <c r="T56" s="467"/>
      <c r="U56" s="467"/>
      <c r="V56" s="467"/>
      <c r="W56" s="466"/>
      <c r="X56" s="467"/>
      <c r="Y56" s="467"/>
      <c r="Z56" s="467"/>
      <c r="AA56" s="467"/>
      <c r="AB56" s="466"/>
      <c r="AC56" s="467"/>
      <c r="AD56" s="467"/>
      <c r="AE56" s="467"/>
      <c r="AF56" s="467"/>
      <c r="AG56" s="466"/>
      <c r="AH56" s="467"/>
      <c r="AI56" s="467"/>
      <c r="AJ56" s="467"/>
      <c r="AK56" s="467"/>
      <c r="AL56" s="466"/>
      <c r="AM56" s="467"/>
      <c r="AN56" s="467"/>
      <c r="AO56" s="467"/>
      <c r="AP56" s="467"/>
      <c r="AQ56" s="466"/>
      <c r="AR56" s="467"/>
      <c r="AS56" s="467"/>
      <c r="AT56" s="467"/>
      <c r="AU56" s="467"/>
      <c r="AV56" s="466"/>
      <c r="AW56" s="467"/>
      <c r="AX56" s="467"/>
      <c r="AY56" s="467"/>
      <c r="AZ56" s="467"/>
      <c r="BA56" s="466"/>
      <c r="BB56" s="467"/>
      <c r="BC56" s="467"/>
      <c r="BD56" s="467"/>
      <c r="BE56" s="467"/>
      <c r="BF56" s="466"/>
      <c r="BG56" s="467"/>
      <c r="BH56" s="467"/>
      <c r="BI56" s="467"/>
      <c r="BJ56" s="467"/>
      <c r="BK56" s="466"/>
      <c r="BL56" s="467"/>
      <c r="BM56" s="467"/>
      <c r="BN56" s="467"/>
      <c r="BO56" s="467"/>
      <c r="BP56" s="466"/>
      <c r="BQ56" s="467"/>
      <c r="BR56" s="467"/>
      <c r="BS56" s="467"/>
      <c r="BT56" s="467"/>
      <c r="BU56" s="466"/>
      <c r="BV56" s="477">
        <f t="shared" ref="BV56:DA56" si="122">SUM(BV54:BV55)</f>
        <v>-2.0599999999999996</v>
      </c>
      <c r="BW56" s="477">
        <f t="shared" si="122"/>
        <v>-1.7920000000000016</v>
      </c>
      <c r="BX56" s="477">
        <f t="shared" si="122"/>
        <v>-4.1319999999999988</v>
      </c>
      <c r="BY56" s="477">
        <f t="shared" si="122"/>
        <v>-1.7719999999999985</v>
      </c>
      <c r="BZ56" s="468">
        <f t="shared" si="122"/>
        <v>-9.7559999999999985</v>
      </c>
      <c r="CA56" s="477">
        <f t="shared" si="122"/>
        <v>1.3659999999999992</v>
      </c>
      <c r="CB56" s="477">
        <f t="shared" si="122"/>
        <v>-11.515000000000001</v>
      </c>
      <c r="CC56" s="477">
        <f t="shared" si="122"/>
        <v>-10.202999999999996</v>
      </c>
      <c r="CD56" s="477">
        <f t="shared" si="122"/>
        <v>8.2100000000000009</v>
      </c>
      <c r="CE56" s="468">
        <f t="shared" si="122"/>
        <v>-12.141999999999998</v>
      </c>
      <c r="CF56" s="477">
        <f t="shared" si="122"/>
        <v>-7.280000000000002</v>
      </c>
      <c r="CG56" s="477">
        <f t="shared" si="122"/>
        <v>-10.623999999999992</v>
      </c>
      <c r="CH56" s="477">
        <f t="shared" si="122"/>
        <v>-2.4610000000000056</v>
      </c>
      <c r="CI56" s="477">
        <f t="shared" si="122"/>
        <v>1.7389999999999928</v>
      </c>
      <c r="CJ56" s="468">
        <f t="shared" si="122"/>
        <v>-18.626000000000005</v>
      </c>
      <c r="CK56" s="477">
        <f t="shared" si="122"/>
        <v>14.792000000000012</v>
      </c>
      <c r="CL56" s="477">
        <f t="shared" si="122"/>
        <v>2.1729999999999841</v>
      </c>
      <c r="CM56" s="477">
        <f t="shared" si="122"/>
        <v>-42.594999999999999</v>
      </c>
      <c r="CN56" s="477">
        <f t="shared" si="122"/>
        <v>39.486000000000004</v>
      </c>
      <c r="CO56" s="468">
        <f t="shared" si="122"/>
        <v>13.856000000000009</v>
      </c>
      <c r="CP56" s="477">
        <f t="shared" si="122"/>
        <v>-101.69499999999999</v>
      </c>
      <c r="CQ56" s="477">
        <f t="shared" si="122"/>
        <v>166.601</v>
      </c>
      <c r="CR56" s="477">
        <f t="shared" si="122"/>
        <v>79.309000000000012</v>
      </c>
      <c r="CS56" s="477">
        <f t="shared" si="122"/>
        <v>239.00999999999993</v>
      </c>
      <c r="CT56" s="468">
        <f t="shared" si="122"/>
        <v>383.22499999999997</v>
      </c>
      <c r="CU56" s="477">
        <f t="shared" si="122"/>
        <v>130.49499999999958</v>
      </c>
      <c r="CV56" s="477">
        <f t="shared" si="122"/>
        <v>58.158000000000385</v>
      </c>
      <c r="CW56" s="477">
        <f t="shared" si="122"/>
        <v>30.504000000000143</v>
      </c>
      <c r="CX56" s="477">
        <f t="shared" si="122"/>
        <v>234.48299999999986</v>
      </c>
      <c r="CY56" s="468">
        <f t="shared" si="122"/>
        <v>453.63999999999993</v>
      </c>
      <c r="CZ56" s="477">
        <f t="shared" si="122"/>
        <v>-69.501000000000005</v>
      </c>
      <c r="DA56" s="477">
        <f t="shared" si="122"/>
        <v>-136.715</v>
      </c>
      <c r="DB56" s="477">
        <f t="shared" ref="DB56:EC56" si="123">SUM(DB54:DB55)</f>
        <v>-228.01100000000002</v>
      </c>
      <c r="DC56" s="477">
        <f t="shared" si="123"/>
        <v>247.76100000000002</v>
      </c>
      <c r="DD56" s="468">
        <f t="shared" si="123"/>
        <v>-186.46600000000001</v>
      </c>
      <c r="DE56" s="477">
        <f t="shared" si="123"/>
        <v>86</v>
      </c>
      <c r="DF56" s="477">
        <f t="shared" si="123"/>
        <v>97</v>
      </c>
      <c r="DG56" s="477">
        <f t="shared" si="123"/>
        <v>276</v>
      </c>
      <c r="DH56" s="477">
        <f t="shared" si="123"/>
        <v>446</v>
      </c>
      <c r="DI56" s="468">
        <f t="shared" si="123"/>
        <v>905</v>
      </c>
      <c r="DJ56" s="477">
        <f t="shared" si="123"/>
        <v>232</v>
      </c>
      <c r="DK56" s="477">
        <f t="shared" si="123"/>
        <v>333</v>
      </c>
      <c r="DL56" s="477">
        <f t="shared" si="123"/>
        <v>421</v>
      </c>
      <c r="DM56" s="477">
        <f t="shared" si="123"/>
        <v>611</v>
      </c>
      <c r="DN56" s="468">
        <f t="shared" si="123"/>
        <v>1597</v>
      </c>
      <c r="DO56" s="477">
        <f t="shared" si="123"/>
        <v>363</v>
      </c>
      <c r="DP56" s="477">
        <f t="shared" si="123"/>
        <v>422</v>
      </c>
      <c r="DQ56" s="477">
        <f t="shared" ref="DQ56:DR56" si="124">SUM(DQ54:DQ55)</f>
        <v>507</v>
      </c>
      <c r="DR56" s="477">
        <f t="shared" si="124"/>
        <v>715</v>
      </c>
      <c r="DS56" s="468">
        <f t="shared" si="123"/>
        <v>2007</v>
      </c>
      <c r="DT56" s="477">
        <f t="shared" ref="DT56:DU56" si="125">SUM(DT54:DT55)</f>
        <v>476</v>
      </c>
      <c r="DU56" s="477">
        <f t="shared" si="125"/>
        <v>654</v>
      </c>
      <c r="DV56" s="477">
        <f t="shared" si="123"/>
        <v>781.51620135144435</v>
      </c>
      <c r="DW56" s="477">
        <f t="shared" si="123"/>
        <v>1031.0786688213532</v>
      </c>
      <c r="DX56" s="468">
        <f t="shared" si="123"/>
        <v>2942.5948701727975</v>
      </c>
      <c r="DY56" s="477">
        <f t="shared" si="123"/>
        <v>544.58915192277357</v>
      </c>
      <c r="DZ56" s="477">
        <f t="shared" si="123"/>
        <v>854.43026078526691</v>
      </c>
      <c r="EA56" s="477">
        <f t="shared" si="123"/>
        <v>923.87646239930518</v>
      </c>
      <c r="EB56" s="477">
        <f t="shared" si="123"/>
        <v>1428.4259208920721</v>
      </c>
      <c r="EC56" s="468">
        <f t="shared" si="123"/>
        <v>3751.3217959994176</v>
      </c>
      <c r="ED56" s="477">
        <f t="shared" ref="ED56:ER56" si="126">SUM(ED54:ED55)</f>
        <v>644.54304610930126</v>
      </c>
      <c r="EE56" s="477">
        <f t="shared" si="126"/>
        <v>1055.8919978111785</v>
      </c>
      <c r="EF56" s="477">
        <f t="shared" si="126"/>
        <v>1086.8197759462801</v>
      </c>
      <c r="EG56" s="477">
        <f t="shared" si="126"/>
        <v>1682.4834105886546</v>
      </c>
      <c r="EH56" s="468">
        <f t="shared" si="126"/>
        <v>4469.7382304554139</v>
      </c>
      <c r="EI56" s="477">
        <f t="shared" si="126"/>
        <v>665.24902315406359</v>
      </c>
      <c r="EJ56" s="477">
        <f t="shared" si="126"/>
        <v>1296.5716801908677</v>
      </c>
      <c r="EK56" s="477">
        <f t="shared" si="126"/>
        <v>1324.1849555829654</v>
      </c>
      <c r="EL56" s="477">
        <f t="shared" si="126"/>
        <v>2038.3546632844339</v>
      </c>
      <c r="EM56" s="468">
        <f t="shared" si="126"/>
        <v>5324.3603222123311</v>
      </c>
      <c r="EN56" s="477">
        <f t="shared" si="126"/>
        <v>768.66097417422827</v>
      </c>
      <c r="EO56" s="477">
        <f t="shared" si="126"/>
        <v>1563.320976174798</v>
      </c>
      <c r="EP56" s="477">
        <f t="shared" si="126"/>
        <v>1600.0974463397918</v>
      </c>
      <c r="EQ56" s="477">
        <f t="shared" si="126"/>
        <v>2430.5019638403014</v>
      </c>
      <c r="ER56" s="468">
        <f t="shared" si="126"/>
        <v>6362.5813605291205</v>
      </c>
      <c r="ES56" s="619"/>
    </row>
    <row r="57" spans="1:149" s="276" customFormat="1" ht="13.8" thickBot="1">
      <c r="A57" s="792" t="s">
        <v>414</v>
      </c>
      <c r="B57" s="792"/>
      <c r="C57" s="882" t="s">
        <v>58</v>
      </c>
      <c r="D57" s="1401"/>
      <c r="E57" s="1401"/>
      <c r="F57" s="1401"/>
      <c r="G57" s="1401"/>
      <c r="H57" s="1401"/>
      <c r="I57" s="1402"/>
      <c r="J57" s="1402"/>
      <c r="K57" s="1402"/>
      <c r="L57" s="1402"/>
      <c r="M57" s="1401"/>
      <c r="N57" s="1402"/>
      <c r="O57" s="1402"/>
      <c r="P57" s="1402"/>
      <c r="Q57" s="1402"/>
      <c r="R57" s="1401"/>
      <c r="S57" s="1402"/>
      <c r="T57" s="1402"/>
      <c r="U57" s="1402"/>
      <c r="V57" s="1402"/>
      <c r="W57" s="1401"/>
      <c r="X57" s="1402"/>
      <c r="Y57" s="1402"/>
      <c r="Z57" s="1402"/>
      <c r="AA57" s="1402"/>
      <c r="AB57" s="1401"/>
      <c r="AC57" s="1402"/>
      <c r="AD57" s="1402"/>
      <c r="AE57" s="1402"/>
      <c r="AF57" s="1402"/>
      <c r="AG57" s="1401"/>
      <c r="AH57" s="1402"/>
      <c r="AI57" s="1402"/>
      <c r="AJ57" s="1402"/>
      <c r="AK57" s="1402"/>
      <c r="AL57" s="1401"/>
      <c r="AM57" s="1402"/>
      <c r="AN57" s="1402"/>
      <c r="AO57" s="1402"/>
      <c r="AP57" s="1402"/>
      <c r="AQ57" s="1401"/>
      <c r="AR57" s="1402"/>
      <c r="AS57" s="1402"/>
      <c r="AT57" s="1402"/>
      <c r="AU57" s="1402"/>
      <c r="AV57" s="1401"/>
      <c r="AW57" s="1402"/>
      <c r="AX57" s="1402"/>
      <c r="AY57" s="1402"/>
      <c r="AZ57" s="1402"/>
      <c r="BA57" s="1401"/>
      <c r="BB57" s="1402"/>
      <c r="BC57" s="1402"/>
      <c r="BD57" s="1402"/>
      <c r="BE57" s="1402"/>
      <c r="BF57" s="1401"/>
      <c r="BG57" s="1402"/>
      <c r="BH57" s="1402"/>
      <c r="BI57" s="1402"/>
      <c r="BJ57" s="1402"/>
      <c r="BK57" s="1401"/>
      <c r="BL57" s="1402"/>
      <c r="BM57" s="1402"/>
      <c r="BN57" s="1402"/>
      <c r="BO57" s="1402"/>
      <c r="BP57" s="1401"/>
      <c r="BQ57" s="1402"/>
      <c r="BR57" s="1402"/>
      <c r="BS57" s="1402"/>
      <c r="BT57" s="1402"/>
      <c r="BU57" s="1401"/>
      <c r="BV57" s="762">
        <f t="shared" ref="BV57:DA57" si="127">+BV56/BV64</f>
        <v>-2.8327053711394067E-2</v>
      </c>
      <c r="BW57" s="762">
        <f t="shared" si="127"/>
        <v>-2.0681616212909874E-2</v>
      </c>
      <c r="BX57" s="762">
        <f t="shared" si="127"/>
        <v>-4.1495109361505543E-2</v>
      </c>
      <c r="BY57" s="762">
        <f t="shared" si="127"/>
        <v>-1.359072885268784E-2</v>
      </c>
      <c r="BZ57" s="887">
        <f t="shared" si="127"/>
        <v>-2.5058433719466772E-2</v>
      </c>
      <c r="CA57" s="762">
        <f t="shared" si="127"/>
        <v>1.07239026841159E-2</v>
      </c>
      <c r="CB57" s="762">
        <f t="shared" si="127"/>
        <v>-7.5928917609046853E-2</v>
      </c>
      <c r="CC57" s="762">
        <f t="shared" si="127"/>
        <v>-5.9507978723404228E-2</v>
      </c>
      <c r="CD57" s="762">
        <f t="shared" si="127"/>
        <v>3.6846876767169037E-2</v>
      </c>
      <c r="CE57" s="887">
        <f t="shared" si="127"/>
        <v>-1.8033458883357292E-2</v>
      </c>
      <c r="CF57" s="762">
        <f t="shared" si="127"/>
        <v>-3.3964728935336398E-2</v>
      </c>
      <c r="CG57" s="762">
        <f t="shared" si="127"/>
        <v>-4.336981503329071E-2</v>
      </c>
      <c r="CH57" s="762">
        <f t="shared" si="127"/>
        <v>-9.1126547781266876E-3</v>
      </c>
      <c r="CI57" s="762">
        <f t="shared" si="127"/>
        <v>5.0572613432132455E-3</v>
      </c>
      <c r="CJ57" s="887">
        <f t="shared" si="127"/>
        <v>-1.7355103151331177E-2</v>
      </c>
      <c r="CK57" s="762">
        <f t="shared" si="127"/>
        <v>4.6155478310794411E-2</v>
      </c>
      <c r="CL57" s="762">
        <f t="shared" si="127"/>
        <v>6.0031106776912034E-3</v>
      </c>
      <c r="CM57" s="762">
        <f t="shared" si="127"/>
        <v>-0.10906358180216719</v>
      </c>
      <c r="CN57" s="762">
        <f t="shared" si="127"/>
        <v>7.8165333755641775E-2</v>
      </c>
      <c r="CO57" s="887">
        <f t="shared" si="127"/>
        <v>8.7797725597890779E-3</v>
      </c>
      <c r="CP57" s="762">
        <f t="shared" si="127"/>
        <v>-0.21637188005982966</v>
      </c>
      <c r="CQ57" s="762">
        <f t="shared" si="127"/>
        <v>0.23322334851282511</v>
      </c>
      <c r="CR57" s="762">
        <f t="shared" si="127"/>
        <v>0.10334699409047376</v>
      </c>
      <c r="CS57" s="762">
        <f t="shared" si="127"/>
        <v>0.24445049010784003</v>
      </c>
      <c r="CT57" s="887">
        <f t="shared" si="127"/>
        <v>0.13081624077356782</v>
      </c>
      <c r="CU57" s="762">
        <f t="shared" si="127"/>
        <v>0.13199352246049356</v>
      </c>
      <c r="CV57" s="762">
        <f t="shared" si="127"/>
        <v>5.1952530048372532E-2</v>
      </c>
      <c r="CW57" s="762">
        <f t="shared" si="127"/>
        <v>2.7145069144108195E-2</v>
      </c>
      <c r="CX57" s="762">
        <f t="shared" si="127"/>
        <v>0.1699122623954365</v>
      </c>
      <c r="CY57" s="887">
        <f t="shared" si="127"/>
        <v>9.8363869123407138E-2</v>
      </c>
      <c r="CZ57" s="762">
        <f t="shared" si="127"/>
        <v>-5.7743163764733645E-2</v>
      </c>
      <c r="DA57" s="762">
        <f t="shared" si="127"/>
        <v>-0.10556629291393546</v>
      </c>
      <c r="DB57" s="762">
        <f t="shared" ref="DB57:EC57" si="128">+DB56/DB64</f>
        <v>-0.16689430537256625</v>
      </c>
      <c r="DC57" s="762">
        <f t="shared" si="128"/>
        <v>0.14280353987197533</v>
      </c>
      <c r="DD57" s="887">
        <f t="shared" si="128"/>
        <v>-3.3298308673210632E-2</v>
      </c>
      <c r="DE57" s="762">
        <f t="shared" si="128"/>
        <v>5.7029177718832889E-2</v>
      </c>
      <c r="DF57" s="762">
        <f t="shared" si="128"/>
        <v>5.7260920897284531E-2</v>
      </c>
      <c r="DG57" s="762">
        <f t="shared" si="128"/>
        <v>0.16102683780630106</v>
      </c>
      <c r="DH57" s="762">
        <f t="shared" si="128"/>
        <v>0.2080223880597015</v>
      </c>
      <c r="DI57" s="887">
        <f t="shared" si="128"/>
        <v>0.1281869688385269</v>
      </c>
      <c r="DJ57" s="762">
        <f t="shared" si="128"/>
        <v>0.1246641590542719</v>
      </c>
      <c r="DK57" s="762">
        <f t="shared" si="128"/>
        <v>0.16283618581907092</v>
      </c>
      <c r="DL57" s="762">
        <f t="shared" si="128"/>
        <v>0.19472710453283995</v>
      </c>
      <c r="DM57" s="762">
        <f t="shared" si="128"/>
        <v>0.21728307254623044</v>
      </c>
      <c r="DN57" s="887">
        <f t="shared" si="128"/>
        <v>0.17984234234234234</v>
      </c>
      <c r="DO57" s="762">
        <f t="shared" si="128"/>
        <v>0.15381355932203389</v>
      </c>
      <c r="DP57" s="762">
        <f t="shared" si="128"/>
        <v>0.15746268656716417</v>
      </c>
      <c r="DQ57" s="762">
        <f t="shared" ref="DQ57:DR57" si="129">+DQ56/DQ64</f>
        <v>0.17827004219409281</v>
      </c>
      <c r="DR57" s="762">
        <f t="shared" si="129"/>
        <v>0.19471677559912853</v>
      </c>
      <c r="DS57" s="1403">
        <f t="shared" si="128"/>
        <v>0.17367601246105918</v>
      </c>
      <c r="DT57" s="762">
        <f t="shared" ref="DT57:DU57" si="130">+DT56/DT64</f>
        <v>0.15015772870662461</v>
      </c>
      <c r="DU57" s="762">
        <f t="shared" si="130"/>
        <v>0.18252860731230813</v>
      </c>
      <c r="DV57" s="762">
        <f t="shared" si="128"/>
        <v>0.21071240350945492</v>
      </c>
      <c r="DW57" s="762">
        <f t="shared" si="128"/>
        <v>0.21708007272485472</v>
      </c>
      <c r="DX57" s="887">
        <f t="shared" si="128"/>
        <v>0.19344305176271998</v>
      </c>
      <c r="DY57" s="762">
        <f t="shared" si="128"/>
        <v>0.13496226647912865</v>
      </c>
      <c r="DZ57" s="762">
        <f t="shared" si="128"/>
        <v>0.1881281822755341</v>
      </c>
      <c r="EA57" s="762">
        <f t="shared" si="128"/>
        <v>0.19903941638712244</v>
      </c>
      <c r="EB57" s="762">
        <f t="shared" si="128"/>
        <v>0.24146204033497104</v>
      </c>
      <c r="EC57" s="887">
        <f t="shared" si="128"/>
        <v>0.19605241870131701</v>
      </c>
      <c r="ED57" s="762">
        <f t="shared" ref="ED57:ER57" si="131">+ED56/ED64</f>
        <v>0.13215686127472931</v>
      </c>
      <c r="EE57" s="762">
        <f t="shared" si="131"/>
        <v>0.19250367998668458</v>
      </c>
      <c r="EF57" s="762">
        <f t="shared" si="131"/>
        <v>0.1941198739087695</v>
      </c>
      <c r="EG57" s="762">
        <f t="shared" si="131"/>
        <v>0.23575904296049346</v>
      </c>
      <c r="EH57" s="887">
        <f t="shared" si="131"/>
        <v>0.19351767799443115</v>
      </c>
      <c r="EI57" s="762">
        <f t="shared" si="131"/>
        <v>0.11509787775566524</v>
      </c>
      <c r="EJ57" s="762">
        <f t="shared" si="131"/>
        <v>0.19943091618324249</v>
      </c>
      <c r="EK57" s="762">
        <f t="shared" si="131"/>
        <v>0.19955519065209901</v>
      </c>
      <c r="EL57" s="762">
        <f t="shared" si="131"/>
        <v>0.24086645747013175</v>
      </c>
      <c r="EM57" s="887">
        <f t="shared" si="131"/>
        <v>0.19446530193359157</v>
      </c>
      <c r="EN57" s="762">
        <f t="shared" si="131"/>
        <v>0.11336441285496057</v>
      </c>
      <c r="EO57" s="762">
        <f t="shared" si="131"/>
        <v>0.20497196130584372</v>
      </c>
      <c r="EP57" s="762">
        <f t="shared" si="131"/>
        <v>0.20553393997887767</v>
      </c>
      <c r="EQ57" s="762">
        <f t="shared" si="131"/>
        <v>0.24478094705758205</v>
      </c>
      <c r="ER57" s="887">
        <f t="shared" si="131"/>
        <v>0.19807665862501816</v>
      </c>
      <c r="ES57" s="888"/>
    </row>
    <row r="58" spans="1:149" s="276" customFormat="1">
      <c r="A58" s="881" t="s">
        <v>413</v>
      </c>
      <c r="B58" s="881"/>
      <c r="C58" s="882" t="s">
        <v>518</v>
      </c>
      <c r="D58" s="883"/>
      <c r="E58" s="883"/>
      <c r="F58" s="883"/>
      <c r="G58" s="883"/>
      <c r="H58" s="883"/>
      <c r="I58" s="884"/>
      <c r="J58" s="884"/>
      <c r="K58" s="884"/>
      <c r="L58" s="884"/>
      <c r="M58" s="883"/>
      <c r="N58" s="884"/>
      <c r="O58" s="884"/>
      <c r="P58" s="884"/>
      <c r="Q58" s="884"/>
      <c r="R58" s="883"/>
      <c r="S58" s="884"/>
      <c r="T58" s="884"/>
      <c r="U58" s="884"/>
      <c r="V58" s="884"/>
      <c r="W58" s="883"/>
      <c r="X58" s="884"/>
      <c r="Y58" s="884"/>
      <c r="Z58" s="884"/>
      <c r="AA58" s="884"/>
      <c r="AB58" s="883"/>
      <c r="AC58" s="884"/>
      <c r="AD58" s="884"/>
      <c r="AE58" s="884"/>
      <c r="AF58" s="884"/>
      <c r="AG58" s="883"/>
      <c r="AH58" s="884"/>
      <c r="AI58" s="884"/>
      <c r="AJ58" s="884"/>
      <c r="AK58" s="884"/>
      <c r="AL58" s="883"/>
      <c r="AM58" s="884"/>
      <c r="AN58" s="884"/>
      <c r="AO58" s="884"/>
      <c r="AP58" s="884"/>
      <c r="AQ58" s="883"/>
      <c r="AR58" s="884"/>
      <c r="AS58" s="884"/>
      <c r="AT58" s="884"/>
      <c r="AU58" s="884"/>
      <c r="AV58" s="883"/>
      <c r="AW58" s="884"/>
      <c r="AX58" s="884"/>
      <c r="AY58" s="884"/>
      <c r="AZ58" s="884"/>
      <c r="BA58" s="883"/>
      <c r="BB58" s="884"/>
      <c r="BC58" s="884"/>
      <c r="BD58" s="884"/>
      <c r="BE58" s="884"/>
      <c r="BF58" s="883"/>
      <c r="BG58" s="884"/>
      <c r="BH58" s="884"/>
      <c r="BI58" s="884"/>
      <c r="BJ58" s="884"/>
      <c r="BK58" s="883"/>
      <c r="BL58" s="884"/>
      <c r="BM58" s="884"/>
      <c r="BN58" s="884"/>
      <c r="BO58" s="884"/>
      <c r="BP58" s="883"/>
      <c r="BQ58" s="884"/>
      <c r="BR58" s="884"/>
      <c r="BS58" s="884"/>
      <c r="BT58" s="884"/>
      <c r="BU58" s="883"/>
      <c r="BV58" s="885"/>
      <c r="BW58" s="885"/>
      <c r="BX58" s="885"/>
      <c r="BY58" s="885"/>
      <c r="BZ58" s="886"/>
      <c r="CA58" s="762">
        <f t="shared" ref="CA58:DF58" si="132">+CA56/BV56-1</f>
        <v>-1.6631067961165047</v>
      </c>
      <c r="CB58" s="762">
        <f t="shared" si="132"/>
        <v>5.4257812499999947</v>
      </c>
      <c r="CC58" s="762">
        <f t="shared" si="132"/>
        <v>1.4692642787996126</v>
      </c>
      <c r="CD58" s="762">
        <f t="shared" si="132"/>
        <v>-5.6331828442437972</v>
      </c>
      <c r="CE58" s="887">
        <f t="shared" si="132"/>
        <v>0.24456744567445665</v>
      </c>
      <c r="CF58" s="762">
        <f t="shared" si="132"/>
        <v>-6.3294289897511025</v>
      </c>
      <c r="CG58" s="762">
        <f t="shared" si="132"/>
        <v>-7.737733391228907E-2</v>
      </c>
      <c r="CH58" s="762">
        <f t="shared" si="132"/>
        <v>-0.75879643242183603</v>
      </c>
      <c r="CI58" s="762">
        <f t="shared" si="132"/>
        <v>-0.78818514007308249</v>
      </c>
      <c r="CJ58" s="887">
        <f t="shared" si="132"/>
        <v>0.53401416570581528</v>
      </c>
      <c r="CK58" s="762">
        <f t="shared" si="132"/>
        <v>-3.0318681318681331</v>
      </c>
      <c r="CL58" s="762">
        <f t="shared" si="132"/>
        <v>-1.2045368975903601</v>
      </c>
      <c r="CM58" s="762">
        <f t="shared" si="132"/>
        <v>16.308004876066601</v>
      </c>
      <c r="CN58" s="762">
        <f t="shared" si="132"/>
        <v>21.706152961472206</v>
      </c>
      <c r="CO58" s="887">
        <f t="shared" si="132"/>
        <v>-1.743906367443359</v>
      </c>
      <c r="CP58" s="762">
        <f t="shared" si="132"/>
        <v>-7.8749999999999938</v>
      </c>
      <c r="CQ58" s="762">
        <f t="shared" si="132"/>
        <v>75.668660837552338</v>
      </c>
      <c r="CR58" s="762">
        <f t="shared" si="132"/>
        <v>-2.8619321516609935</v>
      </c>
      <c r="CS58" s="762">
        <f t="shared" si="132"/>
        <v>5.053031454186292</v>
      </c>
      <c r="CT58" s="887">
        <f t="shared" si="132"/>
        <v>26.657693418013835</v>
      </c>
      <c r="CU58" s="762">
        <f t="shared" si="132"/>
        <v>-2.2831997640001926</v>
      </c>
      <c r="CV58" s="762">
        <f t="shared" si="132"/>
        <v>-0.65091446029735489</v>
      </c>
      <c r="CW58" s="762">
        <f t="shared" si="132"/>
        <v>-0.61537782597182988</v>
      </c>
      <c r="CX58" s="762">
        <f t="shared" si="132"/>
        <v>-1.8940630099159361E-2</v>
      </c>
      <c r="CY58" s="887">
        <f t="shared" si="132"/>
        <v>0.18374323178289509</v>
      </c>
      <c r="CZ58" s="762">
        <f t="shared" si="132"/>
        <v>-1.5325951185869209</v>
      </c>
      <c r="DA58" s="762">
        <f t="shared" si="132"/>
        <v>-3.350751401354914</v>
      </c>
      <c r="DB58" s="762">
        <f t="shared" si="132"/>
        <v>-8.4747901914502677</v>
      </c>
      <c r="DC58" s="762">
        <f t="shared" si="132"/>
        <v>5.662670641368539E-2</v>
      </c>
      <c r="DD58" s="887">
        <f t="shared" si="132"/>
        <v>-1.4110439996472974</v>
      </c>
      <c r="DE58" s="762">
        <f t="shared" si="132"/>
        <v>-2.2373922677371549</v>
      </c>
      <c r="DF58" s="762">
        <f t="shared" si="132"/>
        <v>-1.7095051749990857</v>
      </c>
      <c r="DG58" s="762">
        <f t="shared" ref="DG58:EC58" si="133">+DG56/DB56-1</f>
        <v>-2.2104679160215954</v>
      </c>
      <c r="DH58" s="762">
        <f t="shared" si="133"/>
        <v>0.80012189166172232</v>
      </c>
      <c r="DI58" s="887">
        <f t="shared" si="133"/>
        <v>-5.8534317248184653</v>
      </c>
      <c r="DJ58" s="762">
        <f t="shared" si="133"/>
        <v>1.6976744186046511</v>
      </c>
      <c r="DK58" s="762">
        <f t="shared" si="133"/>
        <v>2.4329896907216493</v>
      </c>
      <c r="DL58" s="762">
        <f t="shared" si="133"/>
        <v>0.5253623188405796</v>
      </c>
      <c r="DM58" s="762">
        <f t="shared" si="133"/>
        <v>0.36995515695067271</v>
      </c>
      <c r="DN58" s="887">
        <f t="shared" si="133"/>
        <v>0.76464088397790064</v>
      </c>
      <c r="DO58" s="762">
        <f>+DO56/DJ56-1</f>
        <v>0.56465517241379315</v>
      </c>
      <c r="DP58" s="762">
        <f t="shared" si="133"/>
        <v>0.26726726726726735</v>
      </c>
      <c r="DQ58" s="762">
        <f t="shared" si="133"/>
        <v>0.20427553444180524</v>
      </c>
      <c r="DR58" s="762">
        <f t="shared" si="133"/>
        <v>0.17021276595744683</v>
      </c>
      <c r="DS58" s="887">
        <f t="shared" si="133"/>
        <v>0.25673137132122736</v>
      </c>
      <c r="DT58" s="762">
        <f>+DT56/DO56-1</f>
        <v>0.31129476584022031</v>
      </c>
      <c r="DU58" s="762">
        <f t="shared" si="133"/>
        <v>0.54976303317535535</v>
      </c>
      <c r="DV58" s="762">
        <f t="shared" si="133"/>
        <v>0.54145207367148784</v>
      </c>
      <c r="DW58" s="762">
        <f t="shared" si="133"/>
        <v>0.44206806828161294</v>
      </c>
      <c r="DX58" s="887">
        <f t="shared" si="133"/>
        <v>0.46616585459531512</v>
      </c>
      <c r="DY58" s="762">
        <f t="shared" si="133"/>
        <v>0.14409485698061664</v>
      </c>
      <c r="DZ58" s="762">
        <f t="shared" si="133"/>
        <v>0.30646828866248765</v>
      </c>
      <c r="EA58" s="762">
        <f t="shared" si="133"/>
        <v>0.18215906567475249</v>
      </c>
      <c r="EB58" s="762">
        <f t="shared" si="133"/>
        <v>0.38537045143697379</v>
      </c>
      <c r="EC58" s="887">
        <f t="shared" si="133"/>
        <v>0.2748346141781759</v>
      </c>
      <c r="ED58" s="762">
        <f t="shared" ref="ED58" si="134">+ED56/DY56-1</f>
        <v>0.18354000228176015</v>
      </c>
      <c r="EE58" s="762">
        <f t="shared" ref="EE58" si="135">+EE56/DZ56-1</f>
        <v>0.23578488060658986</v>
      </c>
      <c r="EF58" s="762">
        <f t="shared" ref="EF58" si="136">+EF56/EA56-1</f>
        <v>0.1763691577592652</v>
      </c>
      <c r="EG58" s="762">
        <f t="shared" ref="EG58" si="137">+EG56/EB56-1</f>
        <v>0.17785835861751931</v>
      </c>
      <c r="EH58" s="887">
        <f t="shared" ref="EH58" si="138">+EH56/EC56-1</f>
        <v>0.19151021253952361</v>
      </c>
      <c r="EI58" s="762">
        <f t="shared" ref="EI58" si="139">+EI56/ED56-1</f>
        <v>3.212504916428971E-2</v>
      </c>
      <c r="EJ58" s="762">
        <f t="shared" ref="EJ58" si="140">+EJ56/EE56-1</f>
        <v>0.22793967837487972</v>
      </c>
      <c r="EK58" s="762">
        <f t="shared" ref="EK58" si="141">+EK56/EF56-1</f>
        <v>0.21840344175741055</v>
      </c>
      <c r="EL58" s="762">
        <f t="shared" ref="EL58" si="142">+EL56/EG56-1</f>
        <v>0.21151546009673261</v>
      </c>
      <c r="EM58" s="887">
        <f t="shared" ref="EM58" si="143">+EM56/EH56-1</f>
        <v>0.19120182160417953</v>
      </c>
      <c r="EN58" s="762">
        <f t="shared" ref="EN58" si="144">+EN56/EI56-1</f>
        <v>0.15544848232902364</v>
      </c>
      <c r="EO58" s="762">
        <f t="shared" ref="EO58" si="145">+EO56/EJ56-1</f>
        <v>0.20573432233585587</v>
      </c>
      <c r="EP58" s="762">
        <f t="shared" ref="EP58" si="146">+EP56/EK56-1</f>
        <v>0.208364012590188</v>
      </c>
      <c r="EQ58" s="762">
        <f t="shared" ref="EQ58" si="147">+EQ56/EL56-1</f>
        <v>0.19238423401940974</v>
      </c>
      <c r="ER58" s="887">
        <f t="shared" ref="ER58" si="148">+ER56/EM56-1</f>
        <v>0.19499451116888289</v>
      </c>
      <c r="ES58" s="888"/>
    </row>
    <row r="59" spans="1:149">
      <c r="A59" s="794"/>
      <c r="B59" s="794"/>
      <c r="C59" s="469" t="s">
        <v>53</v>
      </c>
      <c r="D59" s="470"/>
      <c r="E59" s="470"/>
      <c r="F59" s="470"/>
      <c r="G59" s="470"/>
      <c r="H59" s="470"/>
      <c r="I59" s="478"/>
      <c r="J59" s="478"/>
      <c r="K59" s="478"/>
      <c r="L59" s="478"/>
      <c r="M59" s="470"/>
      <c r="N59" s="478"/>
      <c r="O59" s="478"/>
      <c r="P59" s="478"/>
      <c r="Q59" s="478"/>
      <c r="R59" s="470"/>
      <c r="S59" s="478"/>
      <c r="T59" s="478"/>
      <c r="U59" s="478"/>
      <c r="V59" s="478"/>
      <c r="W59" s="470"/>
      <c r="X59" s="478"/>
      <c r="Y59" s="478"/>
      <c r="Z59" s="478"/>
      <c r="AA59" s="478"/>
      <c r="AB59" s="470"/>
      <c r="AC59" s="478"/>
      <c r="AD59" s="478"/>
      <c r="AE59" s="478"/>
      <c r="AF59" s="478"/>
      <c r="AG59" s="470"/>
      <c r="AH59" s="478"/>
      <c r="AI59" s="478"/>
      <c r="AJ59" s="478"/>
      <c r="AK59" s="478"/>
      <c r="AL59" s="470"/>
      <c r="AM59" s="478"/>
      <c r="AN59" s="478"/>
      <c r="AO59" s="478"/>
      <c r="AP59" s="478"/>
      <c r="AQ59" s="470"/>
      <c r="AR59" s="478"/>
      <c r="AS59" s="478"/>
      <c r="AT59" s="478"/>
      <c r="AU59" s="478"/>
      <c r="AV59" s="470"/>
      <c r="AW59" s="478"/>
      <c r="AX59" s="478"/>
      <c r="AY59" s="478"/>
      <c r="AZ59" s="478"/>
      <c r="BA59" s="470"/>
      <c r="BB59" s="478"/>
      <c r="BC59" s="478"/>
      <c r="BD59" s="478"/>
      <c r="BE59" s="478"/>
      <c r="BF59" s="470"/>
      <c r="BG59" s="478"/>
      <c r="BH59" s="478"/>
      <c r="BI59" s="478"/>
      <c r="BJ59" s="478"/>
      <c r="BK59" s="470"/>
      <c r="BL59" s="478"/>
      <c r="BM59" s="478"/>
      <c r="BN59" s="478"/>
      <c r="BO59" s="478"/>
      <c r="BP59" s="471"/>
      <c r="BQ59" s="478"/>
      <c r="BR59" s="478"/>
      <c r="BS59" s="478"/>
      <c r="BT59" s="478"/>
      <c r="BU59" s="471"/>
      <c r="BV59" s="838">
        <f>IFERROR(BV56/Income!BV$131,"")</f>
        <v>-2.5593719947180023E-2</v>
      </c>
      <c r="BW59" s="838">
        <f>IFERROR(BW56/Income!BW$131,"")</f>
        <v>-2.2028476526298087E-2</v>
      </c>
      <c r="BX59" s="838">
        <f>IFERROR(BX56/Income!BX$131,"")</f>
        <v>-4.8661710513062235E-2</v>
      </c>
      <c r="BY59" s="838">
        <f>IFERROR(BY56/Income!BY$131,"")</f>
        <v>-1.9879476745695981E-2</v>
      </c>
      <c r="BZ59" s="839">
        <f>IFERROR(BZ56/Income!BZ$131,"")</f>
        <v>-9.5629245532694876E-2</v>
      </c>
      <c r="CA59" s="838">
        <f>IFERROR(CA56/Income!CA$131,"")</f>
        <v>1.5136926744444086E-2</v>
      </c>
      <c r="CB59" s="838">
        <f>IFERROR(CB56/Income!CB$131,"")</f>
        <v>-0.12212254001562703</v>
      </c>
      <c r="CC59" s="838">
        <f>IFERROR(CC56/Income!CC$131,"")</f>
        <v>-0.10329225720612309</v>
      </c>
      <c r="CD59" s="838">
        <f>IFERROR(CD56/Income!CD$131,"")</f>
        <v>8.2469636332308693E-2</v>
      </c>
      <c r="CE59" s="839">
        <f>IFERROR(CE56/Income!CE$131,"")</f>
        <v>-0.11901704584440151</v>
      </c>
      <c r="CF59" s="838">
        <f>IFERROR(CF56/Income!CF$131,"")</f>
        <v>-7.1193418004213027E-2</v>
      </c>
      <c r="CG59" s="838">
        <f>IFERROR(CG56/Income!CG$131,"")</f>
        <v>-0.10024714923112957</v>
      </c>
      <c r="CH59" s="838">
        <f>IFERROR(CH56/Income!CH$131,"")</f>
        <v>-2.3076081625454863E-2</v>
      </c>
      <c r="CI59" s="838">
        <f>IFERROR(CI56/Income!CI$131,"")</f>
        <v>1.6141533270600653E-2</v>
      </c>
      <c r="CJ59" s="839">
        <f>IFERROR(CJ56/Income!CJ$131,"")</f>
        <v>-0.18257383428577034</v>
      </c>
      <c r="CK59" s="838">
        <f>IFERROR(CK56/Income!CK$131,"")</f>
        <v>0.13335584058733702</v>
      </c>
      <c r="CL59" s="838">
        <f>IFERROR(CL56/Income!CL$131,"")</f>
        <v>1.9399463148202054E-2</v>
      </c>
      <c r="CM59" s="838">
        <f>IFERROR(CM56/Income!CM$131,"")</f>
        <v>-0.37665692015855723</v>
      </c>
      <c r="CN59" s="838">
        <f>IFERROR(CN56/Income!CN$131,"")</f>
        <v>0.34031663598996237</v>
      </c>
      <c r="CO59" s="839">
        <f>IFERROR(CO56/Income!CO$131,"")</f>
        <v>0.13581783785373322</v>
      </c>
      <c r="CP59" s="838">
        <f>IFERROR(CP56/Income!CP$131,"")</f>
        <v>-0.87062755359718735</v>
      </c>
      <c r="CQ59" s="838">
        <f>IFERROR(CQ56/Income!CQ$131,"")</f>
        <v>1.3337866899919422</v>
      </c>
      <c r="CR59" s="838">
        <f>IFERROR(CR56/Income!CR$131,"")</f>
        <v>0.63493789711088744</v>
      </c>
      <c r="CS59" s="838">
        <f>IFERROR(CS56/Income!CS$131,"")</f>
        <v>1.9051465012703084</v>
      </c>
      <c r="CT59" s="839">
        <f>IFERROR(CT56/Income!CT$131,"")</f>
        <v>3.1151563756273073</v>
      </c>
      <c r="CU59" s="838">
        <f>IFERROR(CU56/Income!CU$131,"")</f>
        <v>1.0301608877715642</v>
      </c>
      <c r="CV59" s="838">
        <f>IFERROR(CV56/Income!CV$131,"")</f>
        <v>0.45623040798183706</v>
      </c>
      <c r="CW59" s="838">
        <f>IFERROR(CW56/Income!CW$131,"")</f>
        <v>0.23902361767103661</v>
      </c>
      <c r="CX59" s="838">
        <f>IFERROR(CX56/Income!CX$131,"")</f>
        <v>1.8649020312641469</v>
      </c>
      <c r="CY59" s="839">
        <f>IFERROR(CY56/Income!CY$131,"")</f>
        <v>3.5754637731545884</v>
      </c>
      <c r="CZ59" s="838">
        <f>IFERROR(CZ56/Income!CZ$131,"")</f>
        <v>-0.55153804447548327</v>
      </c>
      <c r="DA59" s="838">
        <f>IFERROR(DA56/Income!DA$131,"")</f>
        <v>-0.10833101134607975</v>
      </c>
      <c r="DB59" s="838">
        <f>IFERROR(DB56/Income!DB$131,"")</f>
        <v>-0.17961751139802859</v>
      </c>
      <c r="DC59" s="838">
        <f>IFERROR(DC56/Income!DC$131,"")</f>
        <v>0.19457586560756379</v>
      </c>
      <c r="DD59" s="839">
        <f>IFERROR(DD56/Income!DD$131,"")</f>
        <v>-0.14725632897243635</v>
      </c>
      <c r="DE59" s="838">
        <f>IFERROR(DE56/Income!DE$131,"")</f>
        <v>6.657985216518271E-2</v>
      </c>
      <c r="DF59" s="838">
        <f>IFERROR(DF56/Income!DF$131,"")</f>
        <v>7.5757123605171367E-2</v>
      </c>
      <c r="DG59" s="838">
        <f>IFERROR(DG56/Income!DG$131,"")</f>
        <v>0.21299087068343558</v>
      </c>
      <c r="DH59" s="838">
        <f>IFERROR(DH56/Income!DH$131,"")</f>
        <v>0.34379212282151494</v>
      </c>
      <c r="DI59" s="839">
        <f>IFERROR(DI56/Income!DI$131,"")</f>
        <v>0.69856584085519247</v>
      </c>
      <c r="DJ59" s="838">
        <f>IFERROR(DJ56/Income!DJ$131,"")</f>
        <v>0.17849636433796487</v>
      </c>
      <c r="DK59" s="838">
        <f>IFERROR(DK56/Income!DK$131,"")</f>
        <v>0.25617097433635411</v>
      </c>
      <c r="DL59" s="838">
        <f>IFERROR(DL56/Income!DL$131,"")</f>
        <v>0.32344804428980062</v>
      </c>
      <c r="DM59" s="838">
        <f>IFERROR(DM56/Income!DM$131,"")</f>
        <v>0.46811675835914524</v>
      </c>
      <c r="DN59" s="839">
        <f>IFERROR(DN56/Income!DN$131,"")</f>
        <v>1.2298521284790493</v>
      </c>
      <c r="DO59" s="838">
        <f>IFERROR(DO56/Income!DO$131,"")</f>
        <v>0.27753669739876391</v>
      </c>
      <c r="DP59" s="838">
        <f>IFERROR(DP56/Income!DP$131,"")</f>
        <v>0.32238501645261369</v>
      </c>
      <c r="DQ59" s="838">
        <f>IFERROR(DQ56/Income!DQ$131,"")</f>
        <v>0.3861760523502511</v>
      </c>
      <c r="DR59" s="838">
        <f>IFERROR(DR56/Income!DR$131,"")</f>
        <v>0.54646530185090125</v>
      </c>
      <c r="DS59" s="839">
        <f>IFERROR(DS56/Income!DS$131,"")</f>
        <v>1.5362674202054534</v>
      </c>
      <c r="DT59" s="838">
        <f>IFERROR(DT56/Income!DT$131,"")</f>
        <v>0.36412831684828056</v>
      </c>
      <c r="DU59" s="838">
        <f>IFERROR(DU56/Income!DU$131,"")</f>
        <v>0.50387499983647177</v>
      </c>
      <c r="DV59" s="838">
        <f>IFERROR(DV56/Income!DV$131,"")</f>
        <v>0.60096246318892421</v>
      </c>
      <c r="DW59" s="838">
        <f>IFERROR(DW56/Income!DW$131,"")</f>
        <v>0.79134719228110506</v>
      </c>
      <c r="DX59" s="839">
        <f>IFERROR(DX56/Income!DX$131,"")</f>
        <v>2.2614988412524992</v>
      </c>
      <c r="DY59" s="838">
        <f>IFERROR(DY56/Income!DY$131,"")</f>
        <v>0.41716873412422351</v>
      </c>
      <c r="DZ59" s="838">
        <f>IFERROR(DZ56/Income!DZ$131,"")</f>
        <v>0.65326363209222704</v>
      </c>
      <c r="EA59" s="838">
        <f>IFERROR(EA56/Income!EA$131,"")</f>
        <v>0.70501189447659596</v>
      </c>
      <c r="EB59" s="838">
        <f>IFERROR(EB56/Income!EB$131,"")</f>
        <v>1.0879589917493244</v>
      </c>
      <c r="EC59" s="839">
        <f>IFERROR(EC56/Income!EC$131,"")</f>
        <v>2.8653740488172681</v>
      </c>
      <c r="ED59" s="838">
        <f>IFERROR(ED56/Income!ED$131,"")</f>
        <v>0.4899824976479874</v>
      </c>
      <c r="EE59" s="838">
        <f>IFERROR(EE56/Income!EE$131,"")</f>
        <v>0.80116790619627942</v>
      </c>
      <c r="EF59" s="838">
        <f>IFERROR(EF56/Income!EF$131,"")</f>
        <v>0.82307335997243436</v>
      </c>
      <c r="EG59" s="838">
        <f>IFERROR(EG56/Income!EG$131,"")</f>
        <v>1.2717751313196961</v>
      </c>
      <c r="EH59" s="839">
        <f>IFERROR(EH56/Income!EH$131,"")</f>
        <v>3.3882420155698294</v>
      </c>
      <c r="EI59" s="838">
        <f>IFERROR(EI56/Income!EI$131,"")</f>
        <v>0.50190770033082355</v>
      </c>
      <c r="EJ59" s="838">
        <f>IFERROR(EJ56/Income!EJ$131,"")</f>
        <v>0.97637750562617087</v>
      </c>
      <c r="EK59" s="838">
        <f>IFERROR(EK56/Income!EK$131,"")</f>
        <v>0.99529779778695404</v>
      </c>
      <c r="EL59" s="838">
        <f>IFERROR(EL56/Income!EL$131,"")</f>
        <v>1.5292160174467637</v>
      </c>
      <c r="EM59" s="839">
        <f>IFERROR(EM56/Income!EM$131,"")</f>
        <v>4.0057151232985833</v>
      </c>
      <c r="EN59" s="838">
        <f>IFERROR(EN56/Income!EN$131,"")</f>
        <v>0.57558589136385341</v>
      </c>
      <c r="EO59" s="838">
        <f>IFERROR(EO56/Income!EO$131,"")</f>
        <v>1.1684528878701075</v>
      </c>
      <c r="EP59" s="838">
        <f>IFERROR(EP56/Income!EP$131,"")</f>
        <v>1.193709754085112</v>
      </c>
      <c r="EQ59" s="838">
        <f>IFERROR(EQ56/Income!EQ$131,"")</f>
        <v>1.809835309111409</v>
      </c>
      <c r="ER59" s="839">
        <f>IFERROR(ER56/Income!ER$131,"")</f>
        <v>4.7510635600700653</v>
      </c>
      <c r="ES59" s="224"/>
    </row>
    <row r="60" spans="1:149" s="276" customFormat="1">
      <c r="A60" s="881"/>
      <c r="B60" s="881"/>
      <c r="C60" s="472" t="s">
        <v>55</v>
      </c>
      <c r="D60" s="638"/>
      <c r="E60" s="638"/>
      <c r="F60" s="638"/>
      <c r="G60" s="638"/>
      <c r="H60" s="638"/>
      <c r="I60" s="505"/>
      <c r="J60" s="505"/>
      <c r="K60" s="505"/>
      <c r="L60" s="505"/>
      <c r="M60" s="638"/>
      <c r="N60" s="505"/>
      <c r="O60" s="505"/>
      <c r="P60" s="505"/>
      <c r="Q60" s="505"/>
      <c r="R60" s="638"/>
      <c r="S60" s="505"/>
      <c r="T60" s="505"/>
      <c r="U60" s="505"/>
      <c r="V60" s="505"/>
      <c r="W60" s="638"/>
      <c r="X60" s="505"/>
      <c r="Y60" s="505"/>
      <c r="Z60" s="505"/>
      <c r="AA60" s="505"/>
      <c r="AB60" s="638"/>
      <c r="AC60" s="505"/>
      <c r="AD60" s="505"/>
      <c r="AE60" s="505"/>
      <c r="AF60" s="505"/>
      <c r="AG60" s="638"/>
      <c r="AH60" s="505"/>
      <c r="AI60" s="505"/>
      <c r="AJ60" s="505"/>
      <c r="AK60" s="505"/>
      <c r="AL60" s="638"/>
      <c r="AM60" s="505"/>
      <c r="AN60" s="505"/>
      <c r="AO60" s="505"/>
      <c r="AP60" s="505"/>
      <c r="AQ60" s="638"/>
      <c r="AR60" s="505"/>
      <c r="AS60" s="505"/>
      <c r="AT60" s="505"/>
      <c r="AU60" s="505"/>
      <c r="AV60" s="638"/>
      <c r="AW60" s="505"/>
      <c r="AX60" s="505"/>
      <c r="AY60" s="505"/>
      <c r="AZ60" s="505"/>
      <c r="BA60" s="638"/>
      <c r="BB60" s="505"/>
      <c r="BC60" s="505"/>
      <c r="BD60" s="505"/>
      <c r="BE60" s="505"/>
      <c r="BF60" s="638"/>
      <c r="BG60" s="505"/>
      <c r="BH60" s="505"/>
      <c r="BI60" s="505"/>
      <c r="BJ60" s="505"/>
      <c r="BK60" s="638"/>
      <c r="BL60" s="505"/>
      <c r="BM60" s="505"/>
      <c r="BN60" s="505"/>
      <c r="BO60" s="505"/>
      <c r="BP60" s="473"/>
      <c r="BQ60" s="505"/>
      <c r="BR60" s="505"/>
      <c r="BS60" s="505"/>
      <c r="BT60" s="505"/>
      <c r="BU60" s="1418"/>
      <c r="BV60" s="359"/>
      <c r="BW60" s="359"/>
      <c r="BX60" s="359"/>
      <c r="BY60" s="359"/>
      <c r="BZ60" s="243"/>
      <c r="CA60" s="359">
        <f t="shared" ref="CA60:DX60" si="149">IFERROR((CA59-BV59)/ABS(BV59),"")</f>
        <v>1.5914312876628904</v>
      </c>
      <c r="CB60" s="359">
        <f t="shared" si="149"/>
        <v>-4.5438486574336823</v>
      </c>
      <c r="CC60" s="359">
        <f t="shared" si="149"/>
        <v>-1.1226598102916339</v>
      </c>
      <c r="CD60" s="359">
        <f t="shared" si="149"/>
        <v>5.1484812395861397</v>
      </c>
      <c r="CE60" s="243">
        <f t="shared" si="149"/>
        <v>-0.24456744567445668</v>
      </c>
      <c r="CF60" s="359">
        <f t="shared" si="149"/>
        <v>-5.7032940838102499</v>
      </c>
      <c r="CG60" s="359">
        <f t="shared" si="149"/>
        <v>0.17912656239952301</v>
      </c>
      <c r="CH60" s="359">
        <f t="shared" si="149"/>
        <v>0.77659427483121224</v>
      </c>
      <c r="CI60" s="359">
        <f t="shared" si="149"/>
        <v>-0.80427301503357096</v>
      </c>
      <c r="CJ60" s="243">
        <f t="shared" si="149"/>
        <v>-0.53401416570581517</v>
      </c>
      <c r="CK60" s="359">
        <f t="shared" si="149"/>
        <v>2.8731484500357238</v>
      </c>
      <c r="CL60" s="359">
        <f t="shared" si="149"/>
        <v>1.1935163572928613</v>
      </c>
      <c r="CM60" s="359">
        <f t="shared" si="149"/>
        <v>-15.322395035345727</v>
      </c>
      <c r="CN60" s="359">
        <f t="shared" si="149"/>
        <v>20.083290557644691</v>
      </c>
      <c r="CO60" s="243">
        <f t="shared" si="149"/>
        <v>1.7439063674433593</v>
      </c>
      <c r="CP60" s="359">
        <f t="shared" si="149"/>
        <v>-7.5286045947646256</v>
      </c>
      <c r="CQ60" s="359">
        <f t="shared" si="149"/>
        <v>67.753793844834206</v>
      </c>
      <c r="CR60" s="359">
        <f t="shared" si="149"/>
        <v>2.6857194521837124</v>
      </c>
      <c r="CS60" s="359">
        <f t="shared" si="149"/>
        <v>4.5981585964151943</v>
      </c>
      <c r="CT60" s="243">
        <f t="shared" si="149"/>
        <v>21.936283074850031</v>
      </c>
      <c r="CU60" s="359">
        <f t="shared" si="149"/>
        <v>2.1832394730849378</v>
      </c>
      <c r="CV60" s="359">
        <f t="shared" si="149"/>
        <v>-0.65794349920781314</v>
      </c>
      <c r="CW60" s="359">
        <f t="shared" si="149"/>
        <v>-0.62354803712512874</v>
      </c>
      <c r="CX60" s="359">
        <f t="shared" si="149"/>
        <v>-2.1124081523036364E-2</v>
      </c>
      <c r="CY60" s="243">
        <f t="shared" si="149"/>
        <v>0.14776381729298832</v>
      </c>
      <c r="CZ60" s="359">
        <f t="shared" si="149"/>
        <v>-1.535390200717643</v>
      </c>
      <c r="DA60" s="359">
        <f t="shared" si="149"/>
        <v>-1.2374480294404062</v>
      </c>
      <c r="DB60" s="359">
        <f t="shared" si="149"/>
        <v>-1.7514634459479757</v>
      </c>
      <c r="DC60" s="359">
        <f t="shared" si="149"/>
        <v>-0.89566429638361855</v>
      </c>
      <c r="DD60" s="243">
        <f t="shared" si="149"/>
        <v>-1.0411852387033176</v>
      </c>
      <c r="DE60" s="359">
        <f t="shared" si="149"/>
        <v>1.1207166991145654</v>
      </c>
      <c r="DF60" s="359">
        <f t="shared" si="149"/>
        <v>1.6993115144393309</v>
      </c>
      <c r="DG60" s="359">
        <f t="shared" si="149"/>
        <v>2.1858023698560904</v>
      </c>
      <c r="DH60" s="359">
        <f t="shared" si="149"/>
        <v>0.76687957547059027</v>
      </c>
      <c r="DI60" s="243">
        <f t="shared" si="149"/>
        <v>5.7438765160711771</v>
      </c>
      <c r="DJ60" s="359">
        <f t="shared" si="149"/>
        <v>1.6809366277221598</v>
      </c>
      <c r="DK60" s="359">
        <f t="shared" si="149"/>
        <v>2.381477043287151</v>
      </c>
      <c r="DL60" s="359">
        <f t="shared" si="149"/>
        <v>0.51860050739233565</v>
      </c>
      <c r="DM60" s="359">
        <f t="shared" si="149"/>
        <v>0.3616273535219286</v>
      </c>
      <c r="DN60" s="243">
        <f t="shared" si="149"/>
        <v>0.76053860144871954</v>
      </c>
      <c r="DO60" s="359">
        <f>IFERROR((DO59-DJ59)/ABS(DJ59),"")</f>
        <v>0.55485910555173079</v>
      </c>
      <c r="DP60" s="359">
        <f t="shared" si="149"/>
        <v>0.25847597405520317</v>
      </c>
      <c r="DQ60" s="359">
        <f t="shared" si="149"/>
        <v>0.19393534500473869</v>
      </c>
      <c r="DR60" s="359">
        <f t="shared" si="149"/>
        <v>0.16736966171940804</v>
      </c>
      <c r="DS60" s="243">
        <f t="shared" si="149"/>
        <v>0.24914807612305875</v>
      </c>
      <c r="DT60" s="359">
        <f>IFERROR((DT59-DO59)/ABS(DO59),"")</f>
        <v>0.31200061203114365</v>
      </c>
      <c r="DU60" s="359">
        <f t="shared" si="149"/>
        <v>0.56296035523268395</v>
      </c>
      <c r="DV60" s="359">
        <f t="shared" si="149"/>
        <v>0.55618780484054386</v>
      </c>
      <c r="DW60" s="359">
        <f t="shared" si="149"/>
        <v>0.44811974264565091</v>
      </c>
      <c r="DX60" s="243">
        <f t="shared" si="149"/>
        <v>0.47207368424831708</v>
      </c>
      <c r="DY60" s="359">
        <f t="shared" ref="DY60:ER60" si="150">IFERROR((DY59-DT59)/ABS(DT59),"")</f>
        <v>0.14566408274708009</v>
      </c>
      <c r="DZ60" s="359">
        <f t="shared" si="150"/>
        <v>0.29647954811061877</v>
      </c>
      <c r="EA60" s="359">
        <f t="shared" si="150"/>
        <v>0.17313798724723642</v>
      </c>
      <c r="EB60" s="359">
        <f t="shared" si="150"/>
        <v>0.37481879301703003</v>
      </c>
      <c r="EC60" s="243">
        <f t="shared" si="150"/>
        <v>0.26702432764914491</v>
      </c>
      <c r="ED60" s="359">
        <f t="shared" si="150"/>
        <v>0.17454271513569755</v>
      </c>
      <c r="EE60" s="359">
        <f t="shared" si="150"/>
        <v>0.22640824751005184</v>
      </c>
      <c r="EF60" s="359">
        <f t="shared" si="150"/>
        <v>0.16746024630334466</v>
      </c>
      <c r="EG60" s="359">
        <f t="shared" si="150"/>
        <v>0.16895502584597838</v>
      </c>
      <c r="EH60" s="243">
        <f t="shared" si="150"/>
        <v>0.18247808413298919</v>
      </c>
      <c r="EI60" s="359">
        <f t="shared" si="150"/>
        <v>2.4338017664058346E-2</v>
      </c>
      <c r="EJ60" s="359">
        <f t="shared" si="150"/>
        <v>0.21869273353913726</v>
      </c>
      <c r="EK60" s="359">
        <f t="shared" si="150"/>
        <v>0.20924554989884214</v>
      </c>
      <c r="EL60" s="359">
        <f t="shared" si="150"/>
        <v>0.20242641940948025</v>
      </c>
      <c r="EM60" s="243">
        <f t="shared" si="150"/>
        <v>0.18223996541312831</v>
      </c>
      <c r="EN60" s="359">
        <f t="shared" si="150"/>
        <v>0.14679629538352607</v>
      </c>
      <c r="EO60" s="359">
        <f t="shared" si="150"/>
        <v>0.19672245738676122</v>
      </c>
      <c r="EP60" s="359">
        <f t="shared" si="150"/>
        <v>0.19934933719267464</v>
      </c>
      <c r="EQ60" s="359">
        <f t="shared" si="150"/>
        <v>0.18350533113900921</v>
      </c>
      <c r="ER60" s="243">
        <f t="shared" si="150"/>
        <v>0.186071254152919</v>
      </c>
      <c r="ES60" s="888"/>
    </row>
    <row r="61" spans="1:149" s="276" customFormat="1">
      <c r="A61" s="881"/>
      <c r="B61" s="881"/>
      <c r="C61" s="328" t="s">
        <v>192</v>
      </c>
      <c r="D61" s="1419"/>
      <c r="E61" s="1419"/>
      <c r="F61" s="1419"/>
      <c r="G61" s="1419"/>
      <c r="H61" s="1419"/>
      <c r="I61" s="129"/>
      <c r="J61" s="129"/>
      <c r="K61" s="129"/>
      <c r="L61" s="129"/>
      <c r="M61" s="1419"/>
      <c r="N61" s="129"/>
      <c r="O61" s="129"/>
      <c r="P61" s="129"/>
      <c r="Q61" s="129"/>
      <c r="R61" s="1419"/>
      <c r="S61" s="129"/>
      <c r="T61" s="129"/>
      <c r="U61" s="129"/>
      <c r="V61" s="129"/>
      <c r="W61" s="1419"/>
      <c r="X61" s="129"/>
      <c r="Y61" s="129"/>
      <c r="Z61" s="129"/>
      <c r="AA61" s="129"/>
      <c r="AB61" s="1419"/>
      <c r="AC61" s="129"/>
      <c r="AD61" s="129"/>
      <c r="AE61" s="129"/>
      <c r="AF61" s="129"/>
      <c r="AG61" s="1419"/>
      <c r="AH61" s="129"/>
      <c r="AI61" s="129"/>
      <c r="AJ61" s="129"/>
      <c r="AK61" s="129"/>
      <c r="AL61" s="1419"/>
      <c r="AM61" s="129"/>
      <c r="AN61" s="129"/>
      <c r="AO61" s="129"/>
      <c r="AP61" s="129"/>
      <c r="AQ61" s="1419"/>
      <c r="AR61" s="129"/>
      <c r="AS61" s="129"/>
      <c r="AT61" s="129"/>
      <c r="AU61" s="129"/>
      <c r="AV61" s="1419"/>
      <c r="AW61" s="129"/>
      <c r="AX61" s="129"/>
      <c r="AY61" s="129"/>
      <c r="AZ61" s="129"/>
      <c r="BA61" s="1419"/>
      <c r="BB61" s="129"/>
      <c r="BC61" s="129"/>
      <c r="BD61" s="129"/>
      <c r="BE61" s="129"/>
      <c r="BF61" s="1419"/>
      <c r="BG61" s="129"/>
      <c r="BH61" s="129"/>
      <c r="BI61" s="129"/>
      <c r="BJ61" s="129"/>
      <c r="BK61" s="1419"/>
      <c r="BL61" s="129"/>
      <c r="BM61" s="129"/>
      <c r="BN61" s="129"/>
      <c r="BO61" s="129"/>
      <c r="BP61" s="1418"/>
      <c r="BQ61" s="129"/>
      <c r="BR61" s="129"/>
      <c r="BS61" s="129"/>
      <c r="BT61" s="129"/>
      <c r="BU61" s="1418"/>
      <c r="BV61" s="90">
        <f t="shared" ref="BV61:DA61" si="151">BV56/BV65</f>
        <v>0.71977638015374112</v>
      </c>
      <c r="BW61" s="90">
        <f t="shared" si="151"/>
        <v>4.1195402298850059</v>
      </c>
      <c r="BX61" s="90">
        <f t="shared" si="151"/>
        <v>-2.7787491593813121</v>
      </c>
      <c r="BY61" s="90">
        <f t="shared" si="151"/>
        <v>-0.48775116983209676</v>
      </c>
      <c r="BZ61" s="243">
        <f t="shared" si="151"/>
        <v>-5.3516182117389448</v>
      </c>
      <c r="CA61" s="90">
        <f t="shared" si="151"/>
        <v>6.2090909090904862</v>
      </c>
      <c r="CB61" s="90">
        <f t="shared" si="151"/>
        <v>-4.7681159420289765</v>
      </c>
      <c r="CC61" s="90">
        <f t="shared" si="151"/>
        <v>-1.3695302013422788</v>
      </c>
      <c r="CD61" s="90">
        <f t="shared" si="151"/>
        <v>0.4244648950470486</v>
      </c>
      <c r="CE61" s="243">
        <f t="shared" si="151"/>
        <v>-0.41261426581031013</v>
      </c>
      <c r="CF61" s="90">
        <f t="shared" si="151"/>
        <v>-0.98859315589353958</v>
      </c>
      <c r="CG61" s="90">
        <f t="shared" si="151"/>
        <v>-3.3641545281824166</v>
      </c>
      <c r="CH61" s="90">
        <f t="shared" si="151"/>
        <v>-0.96283255086072972</v>
      </c>
      <c r="CI61" s="90">
        <f t="shared" si="151"/>
        <v>6.7361326309265432E-2</v>
      </c>
      <c r="CJ61" s="243">
        <f t="shared" si="151"/>
        <v>-0.47889134570885133</v>
      </c>
      <c r="CK61" s="90">
        <f t="shared" si="151"/>
        <v>2.7116406966086437</v>
      </c>
      <c r="CL61" s="90">
        <f t="shared" si="151"/>
        <v>0.17834865397242158</v>
      </c>
      <c r="CM61" s="90">
        <f t="shared" si="151"/>
        <v>-2.4223726114649624</v>
      </c>
      <c r="CN61" s="90">
        <f t="shared" si="151"/>
        <v>1.0954943957385403</v>
      </c>
      <c r="CO61" s="243">
        <f t="shared" si="151"/>
        <v>0.19442378660530121</v>
      </c>
      <c r="CP61" s="90">
        <f t="shared" si="151"/>
        <v>-94.249304911955448</v>
      </c>
      <c r="CQ61" s="90">
        <f t="shared" si="151"/>
        <v>1.298476286972448</v>
      </c>
      <c r="CR61" s="90">
        <f t="shared" si="151"/>
        <v>0.55139641111566884</v>
      </c>
      <c r="CS61" s="90">
        <f t="shared" si="151"/>
        <v>1.1225079253258188</v>
      </c>
      <c r="CT61" s="243">
        <f t="shared" si="151"/>
        <v>0.78829848069082675</v>
      </c>
      <c r="CU61" s="90">
        <f t="shared" si="151"/>
        <v>0.58869836285960309</v>
      </c>
      <c r="CV61" s="90">
        <f t="shared" si="151"/>
        <v>0.23579160754105172</v>
      </c>
      <c r="CW61" s="90">
        <f t="shared" si="151"/>
        <v>0.20640656083796938</v>
      </c>
      <c r="CX61" s="90">
        <f t="shared" si="151"/>
        <v>1.6055277981859266</v>
      </c>
      <c r="CY61" s="243">
        <f t="shared" si="151"/>
        <v>0.59521068219746143</v>
      </c>
      <c r="CZ61" s="90">
        <f t="shared" si="151"/>
        <v>-1.6592102750190945</v>
      </c>
      <c r="DA61" s="90">
        <f t="shared" si="151"/>
        <v>4.1816541261393576</v>
      </c>
      <c r="DB61" s="90">
        <f t="shared" ref="DB61:EC61" si="152">DB56/DB65</f>
        <v>6.2282771995957269</v>
      </c>
      <c r="DC61" s="90">
        <f t="shared" si="152"/>
        <v>3.5247396574290062</v>
      </c>
      <c r="DD61" s="243">
        <f t="shared" si="152"/>
        <v>-4.3488583622921153</v>
      </c>
      <c r="DE61" s="90">
        <f t="shared" si="152"/>
        <v>-5.0588235294117645</v>
      </c>
      <c r="DF61" s="90">
        <f t="shared" si="152"/>
        <v>0.30407523510971785</v>
      </c>
      <c r="DG61" s="90">
        <f t="shared" si="152"/>
        <v>0.971830985915493</v>
      </c>
      <c r="DH61" s="90">
        <f t="shared" si="152"/>
        <v>1.1094527363184079</v>
      </c>
      <c r="DI61" s="243">
        <f t="shared" si="152"/>
        <v>0.91599190283400811</v>
      </c>
      <c r="DJ61" s="90">
        <f t="shared" si="152"/>
        <v>1.1207729468599035</v>
      </c>
      <c r="DK61" s="90">
        <f t="shared" si="152"/>
        <v>1.0918032786885246</v>
      </c>
      <c r="DL61" s="90">
        <f t="shared" si="152"/>
        <v>1.0369458128078817</v>
      </c>
      <c r="DM61" s="90">
        <f t="shared" ca="1" si="152"/>
        <v>1.035593220338983</v>
      </c>
      <c r="DN61" s="243">
        <f t="shared" ca="1" si="152"/>
        <v>1.0590185676392574</v>
      </c>
      <c r="DO61" s="90">
        <f t="shared" ca="1" si="152"/>
        <v>1.0868263473053892</v>
      </c>
      <c r="DP61" s="90">
        <f t="shared" si="152"/>
        <v>0.98368298368298368</v>
      </c>
      <c r="DQ61" s="90">
        <f t="shared" ref="DQ61:DR61" si="153">DQ56/DQ65</f>
        <v>1.0787234042553191</v>
      </c>
      <c r="DR61" s="90">
        <f t="shared" si="153"/>
        <v>0.9370904325032765</v>
      </c>
      <c r="DS61" s="243">
        <f t="shared" ca="1" si="152"/>
        <v>1.0055110220440882</v>
      </c>
      <c r="DT61" s="90">
        <f t="shared" ref="DT61:DU61" si="154">DT56/DT65</f>
        <v>0.90322580645161288</v>
      </c>
      <c r="DU61" s="90">
        <f t="shared" si="154"/>
        <v>1.0414012738853504</v>
      </c>
      <c r="DV61" s="90">
        <f t="shared" si="152"/>
        <v>1.0958033846544515</v>
      </c>
      <c r="DW61" s="90">
        <f t="shared" si="152"/>
        <v>0.98764101977171492</v>
      </c>
      <c r="DX61" s="243">
        <f t="shared" si="152"/>
        <v>1.0104470118598849</v>
      </c>
      <c r="DY61" s="90">
        <f t="shared" si="152"/>
        <v>0.78031678568646567</v>
      </c>
      <c r="DZ61" s="90">
        <f t="shared" si="152"/>
        <v>1.0102077871106538</v>
      </c>
      <c r="EA61" s="90">
        <f t="shared" si="152"/>
        <v>0.97587855570861082</v>
      </c>
      <c r="EB61" s="90">
        <f t="shared" si="152"/>
        <v>1.038037496031806</v>
      </c>
      <c r="EC61" s="243">
        <f t="shared" si="152"/>
        <v>0.97021124340331311</v>
      </c>
      <c r="ED61" s="90">
        <f t="shared" ref="ED61:ER61" si="155">ED56/ED65</f>
        <v>0.76620953256612157</v>
      </c>
      <c r="EE61" s="90">
        <f t="shared" si="155"/>
        <v>1.0233423516590536</v>
      </c>
      <c r="EF61" s="90">
        <f t="shared" si="155"/>
        <v>0.98612169299503272</v>
      </c>
      <c r="EG61" s="90">
        <f t="shared" si="155"/>
        <v>1.0622812198157729</v>
      </c>
      <c r="EH61" s="243">
        <f t="shared" si="155"/>
        <v>0.98042671557471528</v>
      </c>
      <c r="EI61" s="90">
        <f t="shared" si="155"/>
        <v>0.64953737289634705</v>
      </c>
      <c r="EJ61" s="90">
        <f t="shared" si="155"/>
        <v>1.0335740459850733</v>
      </c>
      <c r="EK61" s="90">
        <f t="shared" si="155"/>
        <v>0.99047808340604626</v>
      </c>
      <c r="EL61" s="90">
        <f t="shared" si="155"/>
        <v>1.0620904425902864</v>
      </c>
      <c r="EM61" s="243">
        <f t="shared" si="155"/>
        <v>0.9619875482435859</v>
      </c>
      <c r="EN61" s="90">
        <f t="shared" si="155"/>
        <v>0.61984861549671599</v>
      </c>
      <c r="EO61" s="90">
        <f t="shared" si="155"/>
        <v>1.0314612476996763</v>
      </c>
      <c r="EP61" s="90">
        <f t="shared" si="155"/>
        <v>0.99236591515813899</v>
      </c>
      <c r="EQ61" s="90">
        <f t="shared" si="155"/>
        <v>1.052605609133358</v>
      </c>
      <c r="ER61" s="243">
        <f t="shared" si="155"/>
        <v>0.95288789851762623</v>
      </c>
      <c r="ES61" s="99"/>
    </row>
    <row r="62" spans="1:149" ht="12" customHeight="1">
      <c r="A62" s="794"/>
      <c r="B62" s="794"/>
      <c r="C62" s="94" t="s">
        <v>137</v>
      </c>
      <c r="D62" s="315"/>
      <c r="E62" s="315"/>
      <c r="F62" s="315"/>
      <c r="G62" s="315"/>
      <c r="H62" s="315"/>
      <c r="I62" s="93"/>
      <c r="J62" s="93"/>
      <c r="K62" s="93"/>
      <c r="L62" s="93"/>
      <c r="M62" s="315"/>
      <c r="N62" s="93"/>
      <c r="O62" s="93"/>
      <c r="P62" s="93"/>
      <c r="Q62" s="93"/>
      <c r="R62" s="315"/>
      <c r="S62" s="93"/>
      <c r="T62" s="93"/>
      <c r="U62" s="93"/>
      <c r="V62" s="93"/>
      <c r="W62" s="315"/>
      <c r="X62" s="93"/>
      <c r="Y62" s="93"/>
      <c r="Z62" s="93"/>
      <c r="AA62" s="93"/>
      <c r="AB62" s="315"/>
      <c r="AC62" s="93"/>
      <c r="AD62" s="93"/>
      <c r="AE62" s="93"/>
      <c r="AF62" s="93"/>
      <c r="AG62" s="315"/>
      <c r="AH62" s="93"/>
      <c r="AI62" s="93"/>
      <c r="AJ62" s="93"/>
      <c r="AK62" s="93"/>
      <c r="AL62" s="315"/>
      <c r="AM62" s="93"/>
      <c r="AN62" s="93"/>
      <c r="AO62" s="93"/>
      <c r="AP62" s="93"/>
      <c r="AQ62" s="315"/>
      <c r="AR62" s="93"/>
      <c r="AS62" s="93"/>
      <c r="AT62" s="93"/>
      <c r="AU62" s="93"/>
      <c r="AV62" s="315"/>
      <c r="AW62" s="93"/>
      <c r="AX62" s="93"/>
      <c r="AY62" s="93"/>
      <c r="AZ62" s="93"/>
      <c r="BA62" s="315"/>
      <c r="BB62" s="93"/>
      <c r="BC62" s="93"/>
      <c r="BD62" s="93"/>
      <c r="BE62" s="93"/>
      <c r="BF62" s="315"/>
      <c r="BG62" s="93"/>
      <c r="BH62" s="93"/>
      <c r="BI62" s="93"/>
      <c r="BJ62" s="93"/>
      <c r="BK62" s="315"/>
      <c r="BL62" s="93"/>
      <c r="BM62" s="93"/>
      <c r="BN62" s="93"/>
      <c r="BO62" s="93"/>
      <c r="BP62" s="315"/>
      <c r="BQ62" s="93"/>
      <c r="BR62" s="93"/>
      <c r="BS62" s="93"/>
      <c r="BT62" s="93"/>
      <c r="BU62" s="315"/>
      <c r="BV62" s="93"/>
      <c r="BW62" s="93"/>
      <c r="BX62" s="93"/>
      <c r="BY62" s="93"/>
      <c r="BZ62" s="315">
        <v>0</v>
      </c>
      <c r="CA62" s="93"/>
      <c r="CB62" s="93"/>
      <c r="CC62" s="93"/>
      <c r="CD62" s="93"/>
      <c r="CE62" s="315">
        <v>0</v>
      </c>
      <c r="CF62" s="93"/>
      <c r="CG62" s="93"/>
      <c r="CH62" s="93"/>
      <c r="CI62" s="93"/>
      <c r="CJ62" s="315">
        <v>0</v>
      </c>
      <c r="CK62" s="93"/>
      <c r="CL62" s="93"/>
      <c r="CM62" s="93"/>
      <c r="CN62" s="93"/>
      <c r="CO62" s="315">
        <f>33.592-1.38</f>
        <v>32.211999999999996</v>
      </c>
      <c r="CP62" s="93"/>
      <c r="CQ62" s="93"/>
      <c r="CR62" s="93"/>
      <c r="CS62" s="93"/>
      <c r="CT62" s="315"/>
      <c r="CU62" s="93"/>
      <c r="CV62" s="93"/>
      <c r="CW62" s="93"/>
      <c r="CX62" s="93"/>
      <c r="CY62" s="315"/>
      <c r="CZ62" s="93"/>
      <c r="DA62" s="93"/>
      <c r="DB62" s="93"/>
      <c r="DC62" s="93"/>
      <c r="DD62" s="315">
        <v>27</v>
      </c>
      <c r="DE62" s="456">
        <v>10</v>
      </c>
      <c r="DF62" s="456">
        <v>11</v>
      </c>
      <c r="DG62" s="456">
        <v>5</v>
      </c>
      <c r="DH62" s="456">
        <f>DI62-SUM(DE62:DG62)</f>
        <v>24</v>
      </c>
      <c r="DI62" s="315">
        <v>50</v>
      </c>
      <c r="DJ62" s="456">
        <f>49-DK62</f>
        <v>9</v>
      </c>
      <c r="DK62" s="456">
        <v>40</v>
      </c>
      <c r="DL62" s="456">
        <v>14</v>
      </c>
      <c r="DM62" s="93">
        <f>DN62-SUM(DJ62:DL62)</f>
        <v>53</v>
      </c>
      <c r="DN62" s="315">
        <v>116</v>
      </c>
      <c r="DO62" s="456">
        <f>88-DP62</f>
        <v>27</v>
      </c>
      <c r="DP62" s="456">
        <v>61</v>
      </c>
      <c r="DQ62" s="456">
        <v>23</v>
      </c>
      <c r="DR62" s="456">
        <f>DS62-SUM(DO62:DQ62)</f>
        <v>83</v>
      </c>
      <c r="DS62" s="315">
        <v>194</v>
      </c>
      <c r="DT62" s="456">
        <v>93</v>
      </c>
      <c r="DU62" s="456">
        <v>61</v>
      </c>
      <c r="DV62" s="93"/>
      <c r="DW62" s="93"/>
      <c r="DX62" s="315"/>
      <c r="DY62" s="93"/>
      <c r="DZ62" s="93"/>
      <c r="EA62" s="93"/>
      <c r="EB62" s="93"/>
      <c r="EC62" s="315"/>
      <c r="ED62" s="93"/>
      <c r="EE62" s="93"/>
      <c r="EF62" s="93"/>
      <c r="EG62" s="93"/>
      <c r="EH62" s="315"/>
      <c r="EI62" s="93"/>
      <c r="EJ62" s="93"/>
      <c r="EK62" s="93"/>
      <c r="EL62" s="93"/>
      <c r="EM62" s="315"/>
      <c r="EN62" s="93"/>
      <c r="EO62" s="93"/>
      <c r="EP62" s="93"/>
      <c r="EQ62" s="93"/>
      <c r="ER62" s="315"/>
      <c r="ES62" s="94"/>
    </row>
    <row r="63" spans="1:149" ht="12" customHeight="1">
      <c r="A63" s="794"/>
      <c r="B63" s="794"/>
      <c r="C63" s="94" t="s">
        <v>173</v>
      </c>
      <c r="D63" s="315"/>
      <c r="E63" s="315"/>
      <c r="F63" s="315"/>
      <c r="G63" s="315"/>
      <c r="H63" s="315"/>
      <c r="I63" s="93"/>
      <c r="J63" s="93"/>
      <c r="K63" s="93"/>
      <c r="L63" s="93"/>
      <c r="M63" s="315"/>
      <c r="N63" s="93"/>
      <c r="O63" s="93"/>
      <c r="P63" s="93"/>
      <c r="Q63" s="93"/>
      <c r="R63" s="315"/>
      <c r="S63" s="93"/>
      <c r="T63" s="93"/>
      <c r="U63" s="93"/>
      <c r="V63" s="93"/>
      <c r="W63" s="315"/>
      <c r="X63" s="93"/>
      <c r="Y63" s="93"/>
      <c r="Z63" s="93"/>
      <c r="AA63" s="93"/>
      <c r="AB63" s="315"/>
      <c r="AC63" s="93"/>
      <c r="AD63" s="93"/>
      <c r="AE63" s="93"/>
      <c r="AF63" s="93"/>
      <c r="AG63" s="315"/>
      <c r="AH63" s="93"/>
      <c r="AI63" s="93"/>
      <c r="AJ63" s="93"/>
      <c r="AK63" s="93"/>
      <c r="AL63" s="315"/>
      <c r="AM63" s="93"/>
      <c r="AN63" s="93"/>
      <c r="AO63" s="93"/>
      <c r="AP63" s="93"/>
      <c r="AQ63" s="315"/>
      <c r="AR63" s="93"/>
      <c r="AS63" s="93"/>
      <c r="AT63" s="93"/>
      <c r="AU63" s="93"/>
      <c r="AV63" s="315"/>
      <c r="AW63" s="93"/>
      <c r="AX63" s="93"/>
      <c r="AY63" s="93"/>
      <c r="AZ63" s="93"/>
      <c r="BA63" s="315"/>
      <c r="BB63" s="93"/>
      <c r="BC63" s="93"/>
      <c r="BD63" s="93"/>
      <c r="BE63" s="93"/>
      <c r="BF63" s="315"/>
      <c r="BG63" s="93"/>
      <c r="BH63" s="93"/>
      <c r="BI63" s="93"/>
      <c r="BJ63" s="93"/>
      <c r="BK63" s="315"/>
      <c r="BL63" s="93"/>
      <c r="BM63" s="93"/>
      <c r="BN63" s="93"/>
      <c r="BO63" s="93"/>
      <c r="BP63" s="315"/>
      <c r="BQ63" s="93"/>
      <c r="BR63" s="93"/>
      <c r="BS63" s="93"/>
      <c r="BT63" s="93"/>
      <c r="BU63" s="315"/>
      <c r="BV63" s="93"/>
      <c r="BW63" s="93"/>
      <c r="BX63" s="93"/>
      <c r="BY63" s="93"/>
      <c r="BZ63" s="315"/>
      <c r="CA63" s="93"/>
      <c r="CB63" s="93"/>
      <c r="CC63" s="93"/>
      <c r="CD63" s="93"/>
      <c r="CE63" s="315"/>
      <c r="CF63" s="93"/>
      <c r="CG63" s="93"/>
      <c r="CH63" s="93"/>
      <c r="CI63" s="93"/>
      <c r="CJ63" s="315"/>
      <c r="CK63" s="93"/>
      <c r="CL63" s="93"/>
      <c r="CM63" s="93"/>
      <c r="CN63" s="93"/>
      <c r="CO63" s="315"/>
      <c r="CP63" s="93"/>
      <c r="CQ63" s="93"/>
      <c r="CR63" s="93"/>
      <c r="CS63" s="93"/>
      <c r="CT63" s="315"/>
      <c r="CU63" s="93"/>
      <c r="CV63" s="93"/>
      <c r="CW63" s="93"/>
      <c r="CX63" s="93"/>
      <c r="CY63" s="315"/>
      <c r="CZ63" s="93"/>
      <c r="DA63" s="93"/>
      <c r="DB63" s="93"/>
      <c r="DC63" s="93"/>
      <c r="DD63" s="315">
        <v>1</v>
      </c>
      <c r="DE63" s="93"/>
      <c r="DF63" s="93"/>
      <c r="DG63" s="93"/>
      <c r="DH63" s="93"/>
      <c r="DI63" s="315">
        <v>1</v>
      </c>
      <c r="DJ63" s="1446">
        <v>0.25</v>
      </c>
      <c r="DK63" s="1447">
        <v>0.25</v>
      </c>
      <c r="DL63" s="1447">
        <v>0.25</v>
      </c>
      <c r="DM63" s="158">
        <f>DN63-DL63-DK63-DJ63</f>
        <v>0.25</v>
      </c>
      <c r="DN63" s="315">
        <v>1</v>
      </c>
      <c r="DO63" s="1447">
        <v>0.25</v>
      </c>
      <c r="DP63" s="1447">
        <v>0.25</v>
      </c>
      <c r="DQ63" s="1447">
        <v>0.25</v>
      </c>
      <c r="DR63" s="1447">
        <f>+DS63-DQ63-DP63-DO63</f>
        <v>0.25</v>
      </c>
      <c r="DS63" s="315">
        <v>1</v>
      </c>
      <c r="DT63" s="1447">
        <v>0.25</v>
      </c>
      <c r="DU63" s="1447">
        <v>0.25</v>
      </c>
      <c r="DV63" s="93"/>
      <c r="DW63" s="93"/>
      <c r="DX63" s="315"/>
      <c r="DY63" s="93"/>
      <c r="DZ63" s="93"/>
      <c r="EA63" s="93"/>
      <c r="EB63" s="93"/>
      <c r="EC63" s="315"/>
      <c r="ED63" s="93"/>
      <c r="EE63" s="93"/>
      <c r="EF63" s="93"/>
      <c r="EG63" s="93"/>
      <c r="EH63" s="315"/>
      <c r="EI63" s="93"/>
      <c r="EJ63" s="93"/>
      <c r="EK63" s="93"/>
      <c r="EL63" s="93"/>
      <c r="EM63" s="315"/>
      <c r="EN63" s="93"/>
      <c r="EO63" s="93"/>
      <c r="EP63" s="93"/>
      <c r="EQ63" s="93"/>
      <c r="ER63" s="315"/>
      <c r="ES63" s="94"/>
    </row>
    <row r="64" spans="1:149" ht="12" customHeight="1">
      <c r="A64" s="794"/>
      <c r="B64" s="794"/>
      <c r="C64" s="94" t="s">
        <v>3</v>
      </c>
      <c r="D64" s="775"/>
      <c r="E64" s="775"/>
      <c r="F64" s="775"/>
      <c r="G64" s="775"/>
      <c r="H64" s="775"/>
      <c r="I64" s="776"/>
      <c r="J64" s="776"/>
      <c r="K64" s="776"/>
      <c r="L64" s="776"/>
      <c r="M64" s="775"/>
      <c r="N64" s="776"/>
      <c r="O64" s="776"/>
      <c r="P64" s="776"/>
      <c r="Q64" s="776"/>
      <c r="R64" s="775"/>
      <c r="S64" s="776"/>
      <c r="T64" s="776"/>
      <c r="U64" s="776"/>
      <c r="V64" s="776"/>
      <c r="W64" s="775"/>
      <c r="X64" s="776"/>
      <c r="Y64" s="776"/>
      <c r="Z64" s="776"/>
      <c r="AA64" s="776"/>
      <c r="AB64" s="775"/>
      <c r="AC64" s="776"/>
      <c r="AD64" s="776"/>
      <c r="AE64" s="776"/>
      <c r="AF64" s="776"/>
      <c r="AG64" s="775"/>
      <c r="AH64" s="776"/>
      <c r="AI64" s="776"/>
      <c r="AJ64" s="776"/>
      <c r="AK64" s="776"/>
      <c r="AL64" s="775"/>
      <c r="AM64" s="776"/>
      <c r="AN64" s="776"/>
      <c r="AO64" s="776"/>
      <c r="AP64" s="776"/>
      <c r="AQ64" s="775"/>
      <c r="AR64" s="776"/>
      <c r="AS64" s="776"/>
      <c r="AT64" s="776"/>
      <c r="AU64" s="776"/>
      <c r="AV64" s="775"/>
      <c r="AW64" s="776"/>
      <c r="AX64" s="776"/>
      <c r="AY64" s="776"/>
      <c r="AZ64" s="776"/>
      <c r="BA64" s="775"/>
      <c r="BB64" s="776"/>
      <c r="BC64" s="776"/>
      <c r="BD64" s="776"/>
      <c r="BE64" s="776"/>
      <c r="BF64" s="775"/>
      <c r="BG64" s="776"/>
      <c r="BH64" s="776"/>
      <c r="BI64" s="776"/>
      <c r="BJ64" s="776"/>
      <c r="BK64" s="775"/>
      <c r="BL64" s="776"/>
      <c r="BM64" s="776"/>
      <c r="BN64" s="776"/>
      <c r="BO64" s="776"/>
      <c r="BP64" s="775"/>
      <c r="BQ64" s="776">
        <f>+Income!BQ10</f>
        <v>37.347999999999999</v>
      </c>
      <c r="BR64" s="776">
        <f>+Income!BR10</f>
        <v>44.926000000000002</v>
      </c>
      <c r="BS64" s="776">
        <f>+Income!BS10</f>
        <v>52.786000000000001</v>
      </c>
      <c r="BT64" s="776">
        <f>+Income!BT10</f>
        <v>70.173000000000002</v>
      </c>
      <c r="BU64" s="775">
        <f>+Income!BU10</f>
        <v>205.233</v>
      </c>
      <c r="BV64" s="776">
        <f>+Income!BV10</f>
        <v>72.722000000000008</v>
      </c>
      <c r="BW64" s="776">
        <f>+Income!BW10</f>
        <v>86.646999999999991</v>
      </c>
      <c r="BX64" s="776">
        <f>+Income!BX10</f>
        <v>99.578000000000003</v>
      </c>
      <c r="BY64" s="776">
        <f>+Income!BY10</f>
        <v>130.38299999999998</v>
      </c>
      <c r="BZ64" s="775">
        <f>+Income!BZ10</f>
        <v>389.33</v>
      </c>
      <c r="CA64" s="776">
        <f>+Income!CA10</f>
        <v>127.379</v>
      </c>
      <c r="CB64" s="776">
        <f>+Income!CB10</f>
        <v>151.655</v>
      </c>
      <c r="CC64" s="776">
        <f>+Income!CC10</f>
        <v>171.45600000000002</v>
      </c>
      <c r="CD64" s="776">
        <f>+Income!CD10</f>
        <v>222.81399999999999</v>
      </c>
      <c r="CE64" s="775">
        <f>+Income!CE10</f>
        <v>673.30399999999997</v>
      </c>
      <c r="CF64" s="776">
        <f>+Income!CF10</f>
        <v>214.33999999999997</v>
      </c>
      <c r="CG64" s="776">
        <f>+Income!CG10</f>
        <v>244.96299999999999</v>
      </c>
      <c r="CH64" s="776">
        <f>+Income!CH10</f>
        <v>270.06399999999996</v>
      </c>
      <c r="CI64" s="776">
        <f>+Income!CI10</f>
        <v>343.86199999999997</v>
      </c>
      <c r="CJ64" s="775">
        <f>+Income!CJ10</f>
        <v>1073.2289999999998</v>
      </c>
      <c r="CK64" s="776">
        <f>+Income!CK10</f>
        <v>320.48199999999997</v>
      </c>
      <c r="CL64" s="776">
        <f>+Income!CL10</f>
        <v>361.97899999999998</v>
      </c>
      <c r="CM64" s="776">
        <f>+Income!CM10</f>
        <v>390.55200000000002</v>
      </c>
      <c r="CN64" s="776">
        <f>+Income!CN10</f>
        <v>505.16</v>
      </c>
      <c r="CO64" s="775">
        <f>+Income!CO10</f>
        <v>1578.173</v>
      </c>
      <c r="CP64" s="776">
        <f>+Income!CP10</f>
        <v>470.00099999999998</v>
      </c>
      <c r="CQ64" s="776">
        <f>+Income!CQ10</f>
        <v>714.34100000000001</v>
      </c>
      <c r="CR64" s="776">
        <f>+Income!CR10</f>
        <v>767.40499999999997</v>
      </c>
      <c r="CS64" s="776">
        <f>+Income!CS10</f>
        <v>977.74399999999991</v>
      </c>
      <c r="CT64" s="775">
        <f>+Income!CT10</f>
        <v>2929.491</v>
      </c>
      <c r="CU64" s="776">
        <f>+Income!CU10</f>
        <v>988.64699999999993</v>
      </c>
      <c r="CV64" s="776">
        <f>+Income!CV10</f>
        <v>1119.4449999999999</v>
      </c>
      <c r="CW64" s="776">
        <f>+Income!CW10</f>
        <v>1123.74</v>
      </c>
      <c r="CX64" s="776">
        <f>+Income!CX10</f>
        <v>1380.0240000000001</v>
      </c>
      <c r="CY64" s="775">
        <f>+Income!CY10</f>
        <v>4611.8559999999998</v>
      </c>
      <c r="CZ64" s="776">
        <f>+Income!CZ10</f>
        <v>1203.623</v>
      </c>
      <c r="DA64" s="776">
        <f>+Income!DA10</f>
        <v>1295.0630000000001</v>
      </c>
      <c r="DB64" s="776">
        <f>+Income!DB10</f>
        <v>1366.2</v>
      </c>
      <c r="DC64" s="776">
        <f>+Income!DC10</f>
        <v>1734.9780000000001</v>
      </c>
      <c r="DD64" s="775">
        <f>+Income!DD10</f>
        <v>5599.8640000000005</v>
      </c>
      <c r="DE64" s="776">
        <f>+Income!DE10</f>
        <v>1508</v>
      </c>
      <c r="DF64" s="776">
        <f>+Income!DF10</f>
        <v>1694</v>
      </c>
      <c r="DG64" s="776">
        <f>+Income!DG10</f>
        <v>1714</v>
      </c>
      <c r="DH64" s="776">
        <f>+Income!DH10</f>
        <v>2144</v>
      </c>
      <c r="DI64" s="775">
        <f>+Income!DI10</f>
        <v>7060</v>
      </c>
      <c r="DJ64" s="776">
        <f>+Income!DJ10</f>
        <v>1861</v>
      </c>
      <c r="DK64" s="776">
        <f>+Income!DK10</f>
        <v>2045</v>
      </c>
      <c r="DL64" s="776">
        <f>+Income!DL10</f>
        <v>2162</v>
      </c>
      <c r="DM64" s="776">
        <f>+Income!DM10</f>
        <v>2812</v>
      </c>
      <c r="DN64" s="775">
        <f>+Income!DN10</f>
        <v>8880</v>
      </c>
      <c r="DO64" s="776">
        <f>+Income!DO10</f>
        <v>2360</v>
      </c>
      <c r="DP64" s="776">
        <f>+Income!DP10</f>
        <v>2680</v>
      </c>
      <c r="DQ64" s="776">
        <f>+Income!DQ10</f>
        <v>2844</v>
      </c>
      <c r="DR64" s="776">
        <f>+Income!DR10</f>
        <v>3672</v>
      </c>
      <c r="DS64" s="775">
        <f>+Income!DS10</f>
        <v>11556</v>
      </c>
      <c r="DT64" s="776">
        <f>+Income!DT10</f>
        <v>3170</v>
      </c>
      <c r="DU64" s="776">
        <f>+Income!DU10</f>
        <v>3583</v>
      </c>
      <c r="DV64" s="776">
        <f>+Income!DV10</f>
        <v>3708.9235770421878</v>
      </c>
      <c r="DW64" s="776">
        <f>+Income!DW10</f>
        <v>4749.7619467274999</v>
      </c>
      <c r="DX64" s="775">
        <f>+Income!DX10</f>
        <v>15211.685523769687</v>
      </c>
      <c r="DY64" s="776">
        <f>+Income!DY10</f>
        <v>4035.1215649375008</v>
      </c>
      <c r="DZ64" s="776">
        <f>+Income!DZ10</f>
        <v>4541.7451572134005</v>
      </c>
      <c r="EA64" s="776">
        <f>+Income!EA10</f>
        <v>4641.6759010306196</v>
      </c>
      <c r="EB64" s="776">
        <f>+Income!EB10</f>
        <v>5915.7369784106504</v>
      </c>
      <c r="EC64" s="775">
        <f>+Income!EC10</f>
        <v>19134.27960159217</v>
      </c>
      <c r="ED64" s="776">
        <f>+Income!ED10</f>
        <v>4877.1061895107905</v>
      </c>
      <c r="EE64" s="776">
        <f>+Income!EE10</f>
        <v>5485.0483787334051</v>
      </c>
      <c r="EF64" s="776">
        <f>+Income!EF10</f>
        <v>5598.7043163702683</v>
      </c>
      <c r="EG64" s="776">
        <f>+Income!EG10</f>
        <v>7136.4533443181272</v>
      </c>
      <c r="EH64" s="775">
        <f>+Income!EH10</f>
        <v>23097.312228932591</v>
      </c>
      <c r="EI64" s="776">
        <f>+Income!EI10</f>
        <v>5779.8548168393081</v>
      </c>
      <c r="EJ64" s="776">
        <f>+Income!EJ10</f>
        <v>6501.3574876201383</v>
      </c>
      <c r="EK64" s="776">
        <f>+Income!EK10</f>
        <v>6635.6828467144514</v>
      </c>
      <c r="EL64" s="776">
        <f>+Income!EL10</f>
        <v>8462.5924451817737</v>
      </c>
      <c r="EM64" s="775">
        <f>+Income!EM10</f>
        <v>27379.487596355673</v>
      </c>
      <c r="EN64" s="776">
        <f>+Income!EN10</f>
        <v>6780.4433050578218</v>
      </c>
      <c r="EO64" s="776">
        <f>+Income!EO10</f>
        <v>7626.9991574219666</v>
      </c>
      <c r="EP64" s="776">
        <f>+Income!EP10</f>
        <v>7785.0765012543943</v>
      </c>
      <c r="EQ64" s="776">
        <f>+Income!EQ10</f>
        <v>9929.2938974884855</v>
      </c>
      <c r="ER64" s="775">
        <f>+Income!ER10</f>
        <v>32121.812861222668</v>
      </c>
      <c r="ES64" s="94"/>
    </row>
    <row r="65" spans="1:149" ht="12" customHeight="1">
      <c r="A65" s="794"/>
      <c r="B65" s="794"/>
      <c r="C65" s="94" t="str">
        <f>Income!C115</f>
        <v>Adjusted EBITDA</v>
      </c>
      <c r="D65" s="775"/>
      <c r="E65" s="775"/>
      <c r="F65" s="775"/>
      <c r="G65" s="775"/>
      <c r="H65" s="775"/>
      <c r="I65" s="776"/>
      <c r="J65" s="776"/>
      <c r="K65" s="776"/>
      <c r="L65" s="776"/>
      <c r="M65" s="775"/>
      <c r="N65" s="776"/>
      <c r="O65" s="776"/>
      <c r="P65" s="776"/>
      <c r="Q65" s="776"/>
      <c r="R65" s="775"/>
      <c r="S65" s="776"/>
      <c r="T65" s="776"/>
      <c r="U65" s="776"/>
      <c r="V65" s="776"/>
      <c r="W65" s="775"/>
      <c r="X65" s="776"/>
      <c r="Y65" s="776"/>
      <c r="Z65" s="776"/>
      <c r="AA65" s="776"/>
      <c r="AB65" s="775"/>
      <c r="AC65" s="776"/>
      <c r="AD65" s="776"/>
      <c r="AE65" s="776"/>
      <c r="AF65" s="776"/>
      <c r="AG65" s="775"/>
      <c r="AH65" s="776"/>
      <c r="AI65" s="776"/>
      <c r="AJ65" s="776"/>
      <c r="AK65" s="776"/>
      <c r="AL65" s="775"/>
      <c r="AM65" s="776"/>
      <c r="AN65" s="776"/>
      <c r="AO65" s="776"/>
      <c r="AP65" s="776"/>
      <c r="AQ65" s="775"/>
      <c r="AR65" s="776"/>
      <c r="AS65" s="776"/>
      <c r="AT65" s="776"/>
      <c r="AU65" s="776"/>
      <c r="AV65" s="775"/>
      <c r="AW65" s="776"/>
      <c r="AX65" s="776"/>
      <c r="AY65" s="776"/>
      <c r="AZ65" s="776"/>
      <c r="BA65" s="775"/>
      <c r="BB65" s="776"/>
      <c r="BC65" s="776"/>
      <c r="BD65" s="776"/>
      <c r="BE65" s="776"/>
      <c r="BF65" s="775"/>
      <c r="BG65" s="776"/>
      <c r="BH65" s="776"/>
      <c r="BI65" s="776"/>
      <c r="BJ65" s="776"/>
      <c r="BK65" s="775"/>
      <c r="BL65" s="776"/>
      <c r="BM65" s="776"/>
      <c r="BN65" s="776"/>
      <c r="BO65" s="776"/>
      <c r="BP65" s="775"/>
      <c r="BQ65" s="776">
        <f>Income!BQ115</f>
        <v>0</v>
      </c>
      <c r="BR65" s="776">
        <f>Income!BR115</f>
        <v>-0.23499999999999832</v>
      </c>
      <c r="BS65" s="776">
        <f>Income!BS115</f>
        <v>-0.12299999999999711</v>
      </c>
      <c r="BT65" s="776">
        <f>Income!BT115</f>
        <v>0.89200000000000124</v>
      </c>
      <c r="BU65" s="775">
        <f>Income!BU115</f>
        <v>0.5340000000000058</v>
      </c>
      <c r="BV65" s="776">
        <f>Income!BV115</f>
        <v>-2.8619999999999894</v>
      </c>
      <c r="BW65" s="776">
        <f>Income!BW115</f>
        <v>-0.43500000000000583</v>
      </c>
      <c r="BX65" s="776">
        <f>Income!BX115</f>
        <v>1.4869999999999957</v>
      </c>
      <c r="BY65" s="776">
        <f>Income!BY115</f>
        <v>3.6329999999999814</v>
      </c>
      <c r="BZ65" s="775">
        <f>Income!BZ115</f>
        <v>1.8229999999999817</v>
      </c>
      <c r="CA65" s="776">
        <f>Income!CA115</f>
        <v>0.22000000000001485</v>
      </c>
      <c r="CB65" s="776">
        <f>Income!CB115</f>
        <v>2.4150000000000045</v>
      </c>
      <c r="CC65" s="776">
        <f>Income!CC115</f>
        <v>7.4500000000000144</v>
      </c>
      <c r="CD65" s="776">
        <f>Income!CD115</f>
        <v>19.34199999999997</v>
      </c>
      <c r="CE65" s="775">
        <f>Income!CE115</f>
        <v>29.427000000000003</v>
      </c>
      <c r="CF65" s="776">
        <f>Income!CF115</f>
        <v>7.3639999999999759</v>
      </c>
      <c r="CG65" s="776">
        <f>Income!CG115</f>
        <v>3.1579999999999764</v>
      </c>
      <c r="CH65" s="776">
        <f>Income!CH115</f>
        <v>2.5559999999999796</v>
      </c>
      <c r="CI65" s="776">
        <f>Income!CI115</f>
        <v>25.815999999999946</v>
      </c>
      <c r="CJ65" s="775">
        <f>Income!CJ115</f>
        <v>38.893999999999878</v>
      </c>
      <c r="CK65" s="776">
        <f>Income!CK115</f>
        <v>5.4549999999999486</v>
      </c>
      <c r="CL65" s="776">
        <f>Income!CL115</f>
        <v>12.183999999999997</v>
      </c>
      <c r="CM65" s="776">
        <f>Income!CM115</f>
        <v>17.584000000000042</v>
      </c>
      <c r="CN65" s="776">
        <f>Income!CN115</f>
        <v>36.044000000000054</v>
      </c>
      <c r="CO65" s="775">
        <f>Income!CO115</f>
        <v>71.267000000000039</v>
      </c>
      <c r="CP65" s="776">
        <f>Income!CP115</f>
        <v>1.0790000000000006</v>
      </c>
      <c r="CQ65" s="776">
        <f>Income!CQ115</f>
        <v>128.30500000000004</v>
      </c>
      <c r="CR65" s="776">
        <f>Income!CR115</f>
        <v>143.83300000000003</v>
      </c>
      <c r="CS65" s="776">
        <f>Income!CS115</f>
        <v>212.92499999999995</v>
      </c>
      <c r="CT65" s="775">
        <f>Income!CT115</f>
        <v>486.14200000000005</v>
      </c>
      <c r="CU65" s="776">
        <f>Income!CU115</f>
        <v>221.66699999999992</v>
      </c>
      <c r="CV65" s="776">
        <f>Income!CV115</f>
        <v>246.64999999999992</v>
      </c>
      <c r="CW65" s="776">
        <f>Income!CW115</f>
        <v>147.786</v>
      </c>
      <c r="CX65" s="776">
        <f>Income!CX115</f>
        <v>146.04730000000023</v>
      </c>
      <c r="CY65" s="775">
        <f>Income!CY115</f>
        <v>762.15030000000002</v>
      </c>
      <c r="CZ65" s="776">
        <f>Income!CZ115</f>
        <v>41.888000000000105</v>
      </c>
      <c r="DA65" s="776">
        <f>Income!DA115</f>
        <v>-32.69399999999996</v>
      </c>
      <c r="DB65" s="776">
        <f>Income!DB115</f>
        <v>-36.609000000000009</v>
      </c>
      <c r="DC65" s="776">
        <f>Income!DC115</f>
        <v>70.292000000000087</v>
      </c>
      <c r="DD65" s="775">
        <f>Income!DD115</f>
        <v>42.877000000000223</v>
      </c>
      <c r="DE65" s="776">
        <f>Income!DE115</f>
        <v>-17</v>
      </c>
      <c r="DF65" s="776">
        <f>Income!DF115</f>
        <v>319</v>
      </c>
      <c r="DG65" s="776">
        <f>Income!DG115</f>
        <v>284</v>
      </c>
      <c r="DH65" s="776">
        <f>Income!DH115</f>
        <v>402</v>
      </c>
      <c r="DI65" s="775">
        <f>Income!DI115</f>
        <v>988</v>
      </c>
      <c r="DJ65" s="776">
        <f>Income!DJ115</f>
        <v>207</v>
      </c>
      <c r="DK65" s="776">
        <f>Income!DK115</f>
        <v>305</v>
      </c>
      <c r="DL65" s="776">
        <f>Income!DL115</f>
        <v>406</v>
      </c>
      <c r="DM65" s="776">
        <f ca="1">Income!DM115</f>
        <v>590</v>
      </c>
      <c r="DN65" s="775">
        <f ca="1">Income!DN115</f>
        <v>1508</v>
      </c>
      <c r="DO65" s="776">
        <f ca="1">Income!DO115</f>
        <v>334</v>
      </c>
      <c r="DP65" s="776">
        <f>Income!DP115</f>
        <v>429</v>
      </c>
      <c r="DQ65" s="776">
        <f>Income!DQ115</f>
        <v>470</v>
      </c>
      <c r="DR65" s="776">
        <f>Income!DR115</f>
        <v>763</v>
      </c>
      <c r="DS65" s="775">
        <f ca="1">Income!DS115</f>
        <v>1996</v>
      </c>
      <c r="DT65" s="776">
        <f>Income!DT115</f>
        <v>527</v>
      </c>
      <c r="DU65" s="776">
        <f>Income!DU115</f>
        <v>628</v>
      </c>
      <c r="DV65" s="776">
        <f>Income!DV115</f>
        <v>713.19016923632353</v>
      </c>
      <c r="DW65" s="776">
        <f>Income!DW115</f>
        <v>1043.9812119789015</v>
      </c>
      <c r="DX65" s="775">
        <f>Income!DX115</f>
        <v>2912.1713812152248</v>
      </c>
      <c r="DY65" s="776">
        <f>Income!DY115</f>
        <v>697.90777529370177</v>
      </c>
      <c r="DZ65" s="776">
        <f>Income!DZ115</f>
        <v>845.7965496673371</v>
      </c>
      <c r="EA65" s="776">
        <f>Income!EA115</f>
        <v>946.71253609877147</v>
      </c>
      <c r="EB65" s="776">
        <f>Income!EB115</f>
        <v>1376.083163038558</v>
      </c>
      <c r="EC65" s="775">
        <f>Income!EC115</f>
        <v>3866.5000240983682</v>
      </c>
      <c r="ED65" s="776">
        <f>Income!ED115</f>
        <v>841.20990240183312</v>
      </c>
      <c r="EE65" s="776">
        <f>Income!EE115</f>
        <v>1031.8071915027801</v>
      </c>
      <c r="EF65" s="776">
        <f>Income!EF115</f>
        <v>1102.1152700184587</v>
      </c>
      <c r="EG65" s="776">
        <f>Income!EG115</f>
        <v>1583.8399278869306</v>
      </c>
      <c r="EH65" s="775">
        <f>Income!EH115</f>
        <v>4558.9722918100033</v>
      </c>
      <c r="EI65" s="776">
        <f>Income!EI115</f>
        <v>1024.1889857509766</v>
      </c>
      <c r="EJ65" s="776">
        <f>Income!EJ115</f>
        <v>1254.4545649413419</v>
      </c>
      <c r="EK65" s="776">
        <f>Income!EK115</f>
        <v>1336.9149482130601</v>
      </c>
      <c r="EL65" s="776">
        <f>Income!EL115</f>
        <v>1919.1912303750505</v>
      </c>
      <c r="EM65" s="775">
        <f>Income!EM115</f>
        <v>5534.7497292804292</v>
      </c>
      <c r="EN65" s="776">
        <f>Income!EN115</f>
        <v>1240.0785529838788</v>
      </c>
      <c r="EO65" s="776">
        <f>Income!EO115</f>
        <v>1515.6371406693697</v>
      </c>
      <c r="EP65" s="776">
        <f>Income!EP115</f>
        <v>1612.4066958555377</v>
      </c>
      <c r="EQ65" s="776">
        <f>Income!EQ115</f>
        <v>2309.0338325685034</v>
      </c>
      <c r="ER65" s="775">
        <f>Income!ER115</f>
        <v>6677.1562220772894</v>
      </c>
      <c r="ES65" s="94"/>
    </row>
    <row r="66" spans="1:149" s="276" customFormat="1">
      <c r="A66" s="881" t="s">
        <v>408</v>
      </c>
      <c r="B66" s="881"/>
      <c r="C66" s="414" t="s">
        <v>748</v>
      </c>
      <c r="D66" s="887"/>
      <c r="E66" s="887"/>
      <c r="F66" s="887"/>
      <c r="G66" s="887"/>
      <c r="H66" s="887"/>
      <c r="I66" s="884"/>
      <c r="J66" s="884"/>
      <c r="K66" s="884"/>
      <c r="L66" s="884"/>
      <c r="M66" s="887"/>
      <c r="N66" s="884"/>
      <c r="O66" s="884"/>
      <c r="P66" s="884"/>
      <c r="Q66" s="884"/>
      <c r="R66" s="887"/>
      <c r="S66" s="884"/>
      <c r="T66" s="884"/>
      <c r="U66" s="884"/>
      <c r="V66" s="884"/>
      <c r="W66" s="887"/>
      <c r="X66" s="884"/>
      <c r="Y66" s="884"/>
      <c r="Z66" s="884"/>
      <c r="AA66" s="884"/>
      <c r="AB66" s="887"/>
      <c r="AC66" s="884"/>
      <c r="AD66" s="884"/>
      <c r="AE66" s="884"/>
      <c r="AF66" s="884"/>
      <c r="AG66" s="887"/>
      <c r="AH66" s="884"/>
      <c r="AI66" s="884"/>
      <c r="AJ66" s="884"/>
      <c r="AK66" s="884"/>
      <c r="AL66" s="887"/>
      <c r="AM66" s="884"/>
      <c r="AN66" s="884"/>
      <c r="AO66" s="884"/>
      <c r="AP66" s="884"/>
      <c r="AQ66" s="887"/>
      <c r="AR66" s="884"/>
      <c r="AS66" s="884"/>
      <c r="AT66" s="884"/>
      <c r="AU66" s="884"/>
      <c r="AV66" s="887"/>
      <c r="AW66" s="884"/>
      <c r="AX66" s="884"/>
      <c r="AY66" s="884"/>
      <c r="AZ66" s="884"/>
      <c r="BA66" s="887"/>
      <c r="BB66" s="884"/>
      <c r="BC66" s="884"/>
      <c r="BD66" s="884"/>
      <c r="BE66" s="884"/>
      <c r="BF66" s="887"/>
      <c r="BG66" s="884"/>
      <c r="BH66" s="884"/>
      <c r="BI66" s="884"/>
      <c r="BJ66" s="884"/>
      <c r="BK66" s="887"/>
      <c r="BL66" s="884"/>
      <c r="BM66" s="884"/>
      <c r="BN66" s="884"/>
      <c r="BO66" s="884"/>
      <c r="BP66" s="887"/>
      <c r="BQ66" s="884"/>
      <c r="BR66" s="884"/>
      <c r="BS66" s="884"/>
      <c r="BT66" s="884"/>
      <c r="BU66" s="887"/>
      <c r="BV66" s="762">
        <f t="shared" ref="BV66:DA66" si="156">+BV24/BQ24-1</f>
        <v>-0.83484619263741788</v>
      </c>
      <c r="BW66" s="762">
        <f t="shared" si="156"/>
        <v>-0.17164179104477684</v>
      </c>
      <c r="BX66" s="762">
        <f t="shared" si="156"/>
        <v>7.2481203007521557</v>
      </c>
      <c r="BY66" s="762">
        <f t="shared" si="156"/>
        <v>0.35464998991325403</v>
      </c>
      <c r="BZ66" s="887">
        <f t="shared" si="156"/>
        <v>-0.11037065244986033</v>
      </c>
      <c r="CA66" s="762">
        <f t="shared" si="156"/>
        <v>5.1053435114503758</v>
      </c>
      <c r="CB66" s="762">
        <f t="shared" si="156"/>
        <v>-2.5960360360360362</v>
      </c>
      <c r="CC66" s="762">
        <f t="shared" si="156"/>
        <v>-6.6836827711941629</v>
      </c>
      <c r="CD66" s="762">
        <f t="shared" si="156"/>
        <v>1.8287416232315707</v>
      </c>
      <c r="CE66" s="887">
        <f t="shared" si="156"/>
        <v>-0.43632731682956405</v>
      </c>
      <c r="CF66" s="762">
        <f t="shared" si="156"/>
        <v>-1.4688672168042016</v>
      </c>
      <c r="CG66" s="762">
        <f t="shared" si="156"/>
        <v>-0.89591329871302861</v>
      </c>
      <c r="CH66" s="762">
        <f t="shared" si="156"/>
        <v>-1.459342421812349</v>
      </c>
      <c r="CI66" s="762">
        <f t="shared" si="156"/>
        <v>-0.51266122663858948</v>
      </c>
      <c r="CJ66" s="887">
        <f t="shared" si="156"/>
        <v>0.18010378433109642</v>
      </c>
      <c r="CK66" s="762">
        <f t="shared" si="156"/>
        <v>-13.983466666666661</v>
      </c>
      <c r="CL66" s="762">
        <f t="shared" si="156"/>
        <v>-26.008676789588026</v>
      </c>
      <c r="CM66" s="762">
        <f t="shared" si="156"/>
        <v>-11.361382681564267</v>
      </c>
      <c r="CN66" s="762">
        <f t="shared" si="156"/>
        <v>4.713298044722916</v>
      </c>
      <c r="CO66" s="887">
        <f t="shared" si="156"/>
        <v>6.5734663234663291</v>
      </c>
      <c r="CP66" s="762">
        <f t="shared" si="156"/>
        <v>-4.4897716069668068</v>
      </c>
      <c r="CQ66" s="762">
        <f t="shared" si="156"/>
        <v>6.5977968600919468</v>
      </c>
      <c r="CR66" s="762">
        <f t="shared" si="156"/>
        <v>-4.0111878685762425</v>
      </c>
      <c r="CS66" s="762">
        <f t="shared" si="156"/>
        <v>3.6393510815307799</v>
      </c>
      <c r="CT66" s="887">
        <f t="shared" si="156"/>
        <v>5.0179565248176718</v>
      </c>
      <c r="CU66" s="762">
        <f t="shared" si="156"/>
        <v>-2.5971161202989768</v>
      </c>
      <c r="CV66" s="762">
        <f t="shared" si="156"/>
        <v>-0.62086306296021232</v>
      </c>
      <c r="CW66" s="762">
        <f t="shared" si="156"/>
        <v>-0.53147487046342046</v>
      </c>
      <c r="CX66" s="762">
        <f t="shared" si="156"/>
        <v>6.1508114408679093E-2</v>
      </c>
      <c r="CY66" s="887">
        <f t="shared" si="156"/>
        <v>0.18700671595781215</v>
      </c>
      <c r="CZ66" s="762">
        <f t="shared" si="156"/>
        <v>-1.3947510004937993</v>
      </c>
      <c r="DA66" s="762">
        <f t="shared" si="156"/>
        <v>-2.8693786603634281</v>
      </c>
      <c r="DB66" s="762">
        <f t="shared" ref="DB66:EC66" si="157">+DB24/CW24-1</f>
        <v>-6.1140782496536401</v>
      </c>
      <c r="DC66" s="762">
        <f t="shared" si="157"/>
        <v>-1.9477228574280026E-2</v>
      </c>
      <c r="DD66" s="887">
        <f t="shared" si="157"/>
        <v>-1.2705004480322266</v>
      </c>
      <c r="DE66" s="762">
        <f t="shared" si="157"/>
        <v>-2.867030115195758</v>
      </c>
      <c r="DF66" s="762">
        <f t="shared" si="157"/>
        <v>-1.9503406729700563</v>
      </c>
      <c r="DG66" s="762">
        <f t="shared" si="157"/>
        <v>-2.2984222768161562</v>
      </c>
      <c r="DH66" s="762">
        <f t="shared" si="157"/>
        <v>0.75421422558098539</v>
      </c>
      <c r="DI66" s="887">
        <f t="shared" si="157"/>
        <v>-7.9183864915572233</v>
      </c>
      <c r="DJ66" s="762">
        <f t="shared" si="157"/>
        <v>1.38</v>
      </c>
      <c r="DK66" s="762">
        <f t="shared" si="157"/>
        <v>1.8813559322033897</v>
      </c>
      <c r="DL66" s="762">
        <f t="shared" si="157"/>
        <v>0.52158273381294973</v>
      </c>
      <c r="DM66" s="762">
        <f t="shared" si="157"/>
        <v>0.37276785714285721</v>
      </c>
      <c r="DN66" s="887">
        <f t="shared" si="157"/>
        <v>0.71186440677966112</v>
      </c>
      <c r="DO66" s="762">
        <f t="shared" si="157"/>
        <v>0.54201680672268915</v>
      </c>
      <c r="DP66" s="762">
        <f t="shared" si="157"/>
        <v>0.25882352941176467</v>
      </c>
      <c r="DQ66" s="762">
        <f t="shared" si="157"/>
        <v>0.2127659574468086</v>
      </c>
      <c r="DR66" s="762">
        <f t="shared" si="157"/>
        <v>0.17886178861788626</v>
      </c>
      <c r="DS66" s="887">
        <f t="shared" si="157"/>
        <v>0.2580445544554455</v>
      </c>
      <c r="DT66" s="762">
        <f t="shared" si="157"/>
        <v>0.31062670299727513</v>
      </c>
      <c r="DU66" s="762">
        <f t="shared" si="157"/>
        <v>0.53738317757009346</v>
      </c>
      <c r="DV66" s="762">
        <f t="shared" si="157"/>
        <v>0.53745848216655823</v>
      </c>
      <c r="DW66" s="762">
        <f t="shared" si="157"/>
        <v>0.43872919837428026</v>
      </c>
      <c r="DX66" s="887">
        <f t="shared" si="157"/>
        <v>0.46128621257884772</v>
      </c>
      <c r="DY66" s="762">
        <f t="shared" si="157"/>
        <v>0.14467599152343769</v>
      </c>
      <c r="DZ66" s="762">
        <f t="shared" si="157"/>
        <v>0.30582106502320183</v>
      </c>
      <c r="EA66" s="762">
        <f t="shared" si="157"/>
        <v>0.18232193126179341</v>
      </c>
      <c r="EB66" s="762">
        <f t="shared" si="157"/>
        <v>0.38323787459139691</v>
      </c>
      <c r="EC66" s="887">
        <f t="shared" si="157"/>
        <v>0.274124253412102</v>
      </c>
      <c r="ED66" s="762">
        <f t="shared" ref="ED66" si="158">+ED24/DY24-1</f>
        <v>0.18371937375314595</v>
      </c>
      <c r="EE66" s="762">
        <f t="shared" ref="EE66" si="159">+EE24/DZ24-1</f>
        <v>0.2355849721131964</v>
      </c>
      <c r="EF66" s="762">
        <f t="shared" ref="EF66" si="160">+EF24/EA24-1</f>
        <v>0.17658810346713461</v>
      </c>
      <c r="EG66" s="762">
        <f t="shared" ref="EG66" si="161">+EG24/EB24-1</f>
        <v>0.17807934136484227</v>
      </c>
      <c r="EH66" s="887">
        <f t="shared" ref="EH66" si="162">+EH24/EC24-1</f>
        <v>0.19158611270526205</v>
      </c>
      <c r="EI66" s="762">
        <f t="shared" ref="EI66" si="163">+EI24/ED24-1</f>
        <v>3.3979613863111657E-2</v>
      </c>
      <c r="EJ66" s="762">
        <f t="shared" ref="EJ66" si="164">+EJ24/EE24-1</f>
        <v>0.22778809146337653</v>
      </c>
      <c r="EK66" s="762">
        <f t="shared" ref="EK66" si="165">+EK24/EF24-1</f>
        <v>0.21822953635277176</v>
      </c>
      <c r="EL66" s="762">
        <f t="shared" ref="EL66" si="166">+EL24/EG24-1</f>
        <v>0.21139839253942916</v>
      </c>
      <c r="EM66" s="887">
        <f t="shared" ref="EM66" si="167">+EM24/EH24-1</f>
        <v>0.19128103424330778</v>
      </c>
      <c r="EN66" s="762">
        <f t="shared" ref="EN66" si="168">+EN24/EI24-1</f>
        <v>0.15601968188778148</v>
      </c>
      <c r="EO66" s="762">
        <f t="shared" ref="EO66" si="169">+EO24/EJ24-1</f>
        <v>0.20570391486962691</v>
      </c>
      <c r="EP66" s="762">
        <f t="shared" ref="EP66" si="170">+EP24/EK24-1</f>
        <v>0.2082861586087541</v>
      </c>
      <c r="EQ66" s="762">
        <f t="shared" ref="EQ66" si="171">+EQ24/EL24-1</f>
        <v>0.19246092832247719</v>
      </c>
      <c r="ER66" s="887">
        <f t="shared" ref="ER66" si="172">+ER24/EM24-1</f>
        <v>0.19503990692292317</v>
      </c>
      <c r="ES66" s="888"/>
    </row>
    <row r="67" spans="1:149" s="276" customFormat="1" ht="11.7" customHeight="1">
      <c r="A67" s="881" t="s">
        <v>411</v>
      </c>
      <c r="B67" s="881"/>
      <c r="C67" s="414" t="s">
        <v>716</v>
      </c>
      <c r="D67" s="1407"/>
      <c r="E67" s="1407"/>
      <c r="F67" s="1407"/>
      <c r="G67" s="1407"/>
      <c r="H67" s="1407"/>
      <c r="I67" s="231"/>
      <c r="J67" s="231"/>
      <c r="K67" s="231"/>
      <c r="L67" s="231"/>
      <c r="M67" s="1407"/>
      <c r="N67" s="231"/>
      <c r="O67" s="231"/>
      <c r="P67" s="231"/>
      <c r="Q67" s="231"/>
      <c r="R67" s="1407"/>
      <c r="S67" s="231"/>
      <c r="T67" s="231"/>
      <c r="U67" s="231"/>
      <c r="V67" s="231"/>
      <c r="W67" s="1407"/>
      <c r="X67" s="231"/>
      <c r="Y67" s="231"/>
      <c r="Z67" s="231"/>
      <c r="AA67" s="231"/>
      <c r="AB67" s="1407"/>
      <c r="AC67" s="231"/>
      <c r="AD67" s="231"/>
      <c r="AE67" s="231"/>
      <c r="AF67" s="231"/>
      <c r="AG67" s="1407"/>
      <c r="AH67" s="231"/>
      <c r="AI67" s="231"/>
      <c r="AJ67" s="231"/>
      <c r="AK67" s="231"/>
      <c r="AL67" s="1407"/>
      <c r="AM67" s="231"/>
      <c r="AN67" s="231"/>
      <c r="AO67" s="231"/>
      <c r="AP67" s="231"/>
      <c r="AQ67" s="1407"/>
      <c r="AR67" s="231"/>
      <c r="AS67" s="231"/>
      <c r="AT67" s="231"/>
      <c r="AU67" s="231"/>
      <c r="AV67" s="1407"/>
      <c r="AW67" s="231"/>
      <c r="AX67" s="231"/>
      <c r="AY67" s="231"/>
      <c r="AZ67" s="231"/>
      <c r="BA67" s="1407"/>
      <c r="BB67" s="231"/>
      <c r="BC67" s="231"/>
      <c r="BD67" s="231"/>
      <c r="BE67" s="231"/>
      <c r="BF67" s="1407"/>
      <c r="BG67" s="1404"/>
      <c r="BH67" s="1404"/>
      <c r="BI67" s="1404"/>
      <c r="BJ67" s="1404"/>
      <c r="BK67" s="1407"/>
      <c r="BL67" s="231"/>
      <c r="BM67" s="231"/>
      <c r="BN67" s="231"/>
      <c r="BO67" s="231"/>
      <c r="BP67" s="1407"/>
      <c r="BQ67" s="1405"/>
      <c r="BR67" s="1405"/>
      <c r="BS67" s="1405"/>
      <c r="BT67" s="1405"/>
      <c r="BU67" s="1407"/>
      <c r="BV67" s="1405">
        <f t="shared" ref="BV67:DA67" si="173">+BV28/BV64</f>
        <v>-3.7333956711861606E-2</v>
      </c>
      <c r="BW67" s="1405">
        <f t="shared" si="173"/>
        <v>-8.4734612854455452E-2</v>
      </c>
      <c r="BX67" s="1405">
        <f t="shared" si="173"/>
        <v>-5.2511598947558691E-2</v>
      </c>
      <c r="BY67" s="1405">
        <f t="shared" si="173"/>
        <v>-6.5092841858217718E-2</v>
      </c>
      <c r="BZ67" s="1407">
        <f t="shared" si="173"/>
        <v>-6.1061310456425141E-2</v>
      </c>
      <c r="CA67" s="1405">
        <f t="shared" si="173"/>
        <v>-2.0670597194199985E-2</v>
      </c>
      <c r="CB67" s="1405">
        <f t="shared" si="173"/>
        <v>-1.7520029013220799E-2</v>
      </c>
      <c r="CC67" s="1405">
        <f t="shared" si="173"/>
        <v>-2.3142963792459864E-2</v>
      </c>
      <c r="CD67" s="1405">
        <f t="shared" si="173"/>
        <v>-4.8403601209977831E-2</v>
      </c>
      <c r="CE67" s="1407">
        <f t="shared" si="173"/>
        <v>-2.976812851252926E-2</v>
      </c>
      <c r="CF67" s="1405">
        <f t="shared" si="173"/>
        <v>-2.521694504058972E-2</v>
      </c>
      <c r="CG67" s="1405">
        <f t="shared" si="173"/>
        <v>-3.960598131146336E-2</v>
      </c>
      <c r="CH67" s="1405">
        <f t="shared" si="173"/>
        <v>-1.9717548432964041E-2</v>
      </c>
      <c r="CI67" s="1405">
        <f t="shared" si="173"/>
        <v>-2.1863421954156033E-2</v>
      </c>
      <c r="CJ67" s="1407">
        <f t="shared" si="173"/>
        <v>-2.6042904170498565E-2</v>
      </c>
      <c r="CK67" s="1405">
        <f t="shared" si="173"/>
        <v>-2.9805106058998634E-2</v>
      </c>
      <c r="CL67" s="1405">
        <f t="shared" si="173"/>
        <v>-5.7696717212876995E-2</v>
      </c>
      <c r="CM67" s="1405">
        <f t="shared" si="173"/>
        <v>-3.3081382248714632E-2</v>
      </c>
      <c r="CN67" s="1405">
        <f t="shared" si="173"/>
        <v>-2.6530208250851207E-2</v>
      </c>
      <c r="CO67" s="1407">
        <f t="shared" si="173"/>
        <v>-3.5965005104003175E-2</v>
      </c>
      <c r="CP67" s="1405">
        <f t="shared" si="173"/>
        <v>-3.5616945495860648E-2</v>
      </c>
      <c r="CQ67" s="1405">
        <f t="shared" si="173"/>
        <v>-1.202366936799092E-2</v>
      </c>
      <c r="CR67" s="1405">
        <f t="shared" si="173"/>
        <v>-1.3093477368534218E-2</v>
      </c>
      <c r="CS67" s="1405">
        <f t="shared" si="173"/>
        <v>-6.5006791143694008E-3</v>
      </c>
      <c r="CT67" s="1407">
        <f t="shared" si="173"/>
        <v>-1.4245819495605208E-2</v>
      </c>
      <c r="CU67" s="1405">
        <f t="shared" si="173"/>
        <v>-5.2475757272312561E-3</v>
      </c>
      <c r="CV67" s="1405">
        <f t="shared" si="173"/>
        <v>-7.3813362871780232E-3</v>
      </c>
      <c r="CW67" s="1405">
        <f t="shared" si="173"/>
        <v>-1.0110879740865324E-2</v>
      </c>
      <c r="CX67" s="1405">
        <f t="shared" si="173"/>
        <v>-1.8822136426612866E-2</v>
      </c>
      <c r="CY67" s="1407">
        <f t="shared" si="173"/>
        <v>-1.1012486079357205E-2</v>
      </c>
      <c r="CZ67" s="90">
        <f t="shared" si="173"/>
        <v>-1.3243349454106476E-2</v>
      </c>
      <c r="DA67" s="90">
        <f t="shared" si="173"/>
        <v>-9.6898760909700926E-3</v>
      </c>
      <c r="DB67" s="90">
        <f t="shared" ref="DB67:EC67" si="174">+DB28/DB64</f>
        <v>-1.017786561264822E-2</v>
      </c>
      <c r="DC67" s="90">
        <f t="shared" si="174"/>
        <v>-4.3942920313686977E-3</v>
      </c>
      <c r="DD67" s="1407">
        <f t="shared" si="174"/>
        <v>-8.9320026343496905E-3</v>
      </c>
      <c r="DE67" s="90">
        <f t="shared" si="174"/>
        <v>-9.2838196286472146E-3</v>
      </c>
      <c r="DF67" s="90">
        <f t="shared" si="174"/>
        <v>-1.2396694214876033E-2</v>
      </c>
      <c r="DG67" s="90">
        <f t="shared" si="174"/>
        <v>-1.1668611435239206E-3</v>
      </c>
      <c r="DH67" s="1406">
        <f t="shared" si="174"/>
        <v>-9.3283582089552237E-4</v>
      </c>
      <c r="DI67" s="1407">
        <f t="shared" si="174"/>
        <v>-5.5240793201133146E-3</v>
      </c>
      <c r="DJ67" s="1406">
        <f t="shared" si="174"/>
        <v>-3.2240730789897904E-3</v>
      </c>
      <c r="DK67" s="1406">
        <f t="shared" si="174"/>
        <v>-3.4229828850855745E-3</v>
      </c>
      <c r="DL67" s="1406">
        <f t="shared" si="174"/>
        <v>-9.2506938020351531E-4</v>
      </c>
      <c r="DM67" s="1406">
        <f t="shared" si="174"/>
        <v>-1.4224751066856331E-3</v>
      </c>
      <c r="DN67" s="1407">
        <f t="shared" si="174"/>
        <v>-2.1396396396396395E-3</v>
      </c>
      <c r="DO67" s="90">
        <f t="shared" si="174"/>
        <v>-1.6949152542372881E-3</v>
      </c>
      <c r="DP67" s="1406">
        <f t="shared" si="174"/>
        <v>-2.2388059701492539E-3</v>
      </c>
      <c r="DQ67" s="1406">
        <f t="shared" ref="DQ67:DR67" si="175">+DQ28/DQ64</f>
        <v>-2.1097046413502108E-3</v>
      </c>
      <c r="DR67" s="1406">
        <f t="shared" si="175"/>
        <v>-2.7233115468409588E-3</v>
      </c>
      <c r="DS67" s="1407">
        <f t="shared" si="174"/>
        <v>-2.2499134648667359E-3</v>
      </c>
      <c r="DT67" s="90">
        <f t="shared" ref="DT67:DU67" si="176">+DT28/DT64</f>
        <v>-1.5772870662460567E-3</v>
      </c>
      <c r="DU67" s="1406">
        <f t="shared" si="176"/>
        <v>-1.1163829193413341E-3</v>
      </c>
      <c r="DV67" s="1197">
        <f t="shared" si="174"/>
        <v>-1.9412640488380981E-3</v>
      </c>
      <c r="DW67" s="1197">
        <f t="shared" si="174"/>
        <v>-2.5264424058700002E-3</v>
      </c>
      <c r="DX67" s="1407">
        <f t="shared" si="174"/>
        <v>-1.8538379560854616E-3</v>
      </c>
      <c r="DY67" s="1197">
        <f t="shared" si="174"/>
        <v>-1.4869440495017484E-3</v>
      </c>
      <c r="DZ67" s="1197">
        <f t="shared" si="174"/>
        <v>-1.0568624689072277E-3</v>
      </c>
      <c r="EA67" s="1197">
        <f t="shared" si="174"/>
        <v>-1.8613966559107686E-3</v>
      </c>
      <c r="EB67" s="1197">
        <f t="shared" si="174"/>
        <v>-2.4341853014345424E-3</v>
      </c>
      <c r="EC67" s="1407">
        <f t="shared" si="174"/>
        <v>-1.7685536484574082E-3</v>
      </c>
      <c r="ED67" s="1197">
        <f t="shared" ref="ED67:ER67" si="177">+ED28/ED64</f>
        <v>-1.4762852642997736E-3</v>
      </c>
      <c r="EE67" s="1197">
        <f t="shared" si="177"/>
        <v>-1.050127474232066E-3</v>
      </c>
      <c r="EF67" s="1197">
        <f t="shared" si="177"/>
        <v>-1.8518570394376074E-3</v>
      </c>
      <c r="EG67" s="1197">
        <f t="shared" si="177"/>
        <v>-2.4213708359430274E-3</v>
      </c>
      <c r="EH67" s="1407">
        <f t="shared" si="177"/>
        <v>-1.7581266425074702E-3</v>
      </c>
      <c r="EI67" s="1197">
        <f t="shared" si="177"/>
        <v>-1.4948472364440376E-3</v>
      </c>
      <c r="EJ67" s="1197">
        <f t="shared" si="177"/>
        <v>-1.0631625799937636E-3</v>
      </c>
      <c r="EK67" s="1197">
        <f t="shared" si="177"/>
        <v>-1.8749539855058399E-3</v>
      </c>
      <c r="EL67" s="1197">
        <f t="shared" si="177"/>
        <v>-2.4503129666614346E-3</v>
      </c>
      <c r="EM67" s="1407">
        <f t="shared" si="177"/>
        <v>-1.7797849513621325E-3</v>
      </c>
      <c r="EN67" s="1197">
        <f t="shared" si="177"/>
        <v>-1.5291035605689771E-3</v>
      </c>
      <c r="EO67" s="1197">
        <f t="shared" si="177"/>
        <v>-1.0875050368831592E-3</v>
      </c>
      <c r="EP67" s="1197">
        <f t="shared" si="177"/>
        <v>-1.9177615014565838E-3</v>
      </c>
      <c r="EQ67" s="1197">
        <f t="shared" si="177"/>
        <v>-2.5060392266457081E-3</v>
      </c>
      <c r="ER67" s="1407">
        <f t="shared" si="177"/>
        <v>-1.8204302556843364E-3</v>
      </c>
      <c r="ES67" s="275"/>
    </row>
    <row r="68" spans="1:149" ht="12" customHeight="1">
      <c r="A68" s="881" t="s">
        <v>714</v>
      </c>
      <c r="C68" s="414" t="s">
        <v>715</v>
      </c>
      <c r="D68" s="887"/>
      <c r="E68" s="887"/>
      <c r="F68" s="887"/>
      <c r="G68" s="887"/>
      <c r="H68" s="887"/>
      <c r="I68" s="231"/>
      <c r="J68" s="231"/>
      <c r="K68" s="231"/>
      <c r="L68" s="231"/>
      <c r="M68" s="887"/>
      <c r="N68" s="884"/>
      <c r="O68" s="884"/>
      <c r="P68" s="884"/>
      <c r="Q68" s="884"/>
      <c r="R68" s="887"/>
      <c r="S68" s="884"/>
      <c r="T68" s="884"/>
      <c r="U68" s="884"/>
      <c r="V68" s="884"/>
      <c r="W68" s="887"/>
      <c r="X68" s="884"/>
      <c r="Y68" s="884"/>
      <c r="Z68" s="884"/>
      <c r="AA68" s="884"/>
      <c r="AB68" s="887"/>
      <c r="AC68" s="884"/>
      <c r="AD68" s="884"/>
      <c r="AE68" s="884"/>
      <c r="AF68" s="884"/>
      <c r="AG68" s="887"/>
      <c r="AH68" s="884"/>
      <c r="AI68" s="884"/>
      <c r="AJ68" s="884"/>
      <c r="AK68" s="884"/>
      <c r="AL68" s="887"/>
      <c r="AM68" s="884"/>
      <c r="AN68" s="884"/>
      <c r="AO68" s="884"/>
      <c r="AP68" s="884"/>
      <c r="AQ68" s="887"/>
      <c r="AR68" s="884"/>
      <c r="AS68" s="884"/>
      <c r="AT68" s="884"/>
      <c r="AU68" s="884"/>
      <c r="AV68" s="887"/>
      <c r="AW68" s="884"/>
      <c r="AX68" s="884"/>
      <c r="AY68" s="884"/>
      <c r="AZ68" s="884"/>
      <c r="BA68" s="887"/>
      <c r="BB68" s="884"/>
      <c r="BC68" s="884"/>
      <c r="BD68" s="884"/>
      <c r="BE68" s="884"/>
      <c r="BF68" s="887"/>
      <c r="BG68" s="884"/>
      <c r="BH68" s="884"/>
      <c r="BI68" s="884"/>
      <c r="BJ68" s="884"/>
      <c r="BK68" s="887"/>
      <c r="BL68" s="884"/>
      <c r="BM68" s="884"/>
      <c r="BN68" s="884"/>
      <c r="BO68" s="884"/>
      <c r="BP68" s="887"/>
      <c r="BQ68" s="884"/>
      <c r="BR68" s="884"/>
      <c r="BS68" s="884"/>
      <c r="BT68" s="884"/>
      <c r="BU68" s="887"/>
      <c r="BV68" s="762">
        <f t="shared" ref="BV68:DA68" si="178">+BV11/BQ11-1</f>
        <v>1.4027777777777777</v>
      </c>
      <c r="BW68" s="762">
        <f t="shared" si="178"/>
        <v>2.2374283895607889</v>
      </c>
      <c r="BX68" s="762">
        <f t="shared" si="178"/>
        <v>1.8602292768959434</v>
      </c>
      <c r="BY68" s="762">
        <f t="shared" si="178"/>
        <v>1.800277874261897</v>
      </c>
      <c r="BZ68" s="887">
        <f t="shared" si="178"/>
        <v>1.8309634714390781</v>
      </c>
      <c r="CA68" s="762">
        <f t="shared" si="178"/>
        <v>1.6609826589595378</v>
      </c>
      <c r="CB68" s="762">
        <f t="shared" si="178"/>
        <v>1.2809673613841914</v>
      </c>
      <c r="CC68" s="762">
        <f t="shared" si="178"/>
        <v>1.0619700940342223</v>
      </c>
      <c r="CD68" s="762">
        <f t="shared" si="178"/>
        <v>0.85785164971471062</v>
      </c>
      <c r="CE68" s="887">
        <f t="shared" si="178"/>
        <v>1.1286858627408529</v>
      </c>
      <c r="CF68" s="762">
        <f t="shared" si="178"/>
        <v>0.94688823721081783</v>
      </c>
      <c r="CG68" s="762">
        <f t="shared" si="178"/>
        <v>1.0852512714421176</v>
      </c>
      <c r="CH68" s="762">
        <f t="shared" si="178"/>
        <v>0.95761064593301426</v>
      </c>
      <c r="CI68" s="762">
        <f t="shared" si="178"/>
        <v>0.8306182400854587</v>
      </c>
      <c r="CJ68" s="887">
        <f t="shared" si="178"/>
        <v>0.94703226068915014</v>
      </c>
      <c r="CK68" s="762">
        <f t="shared" si="178"/>
        <v>0.73857740585774034</v>
      </c>
      <c r="CL68" s="762">
        <f t="shared" si="178"/>
        <v>0.62324831548923143</v>
      </c>
      <c r="CM68" s="762">
        <f t="shared" si="178"/>
        <v>0.52881420660683598</v>
      </c>
      <c r="CN68" s="762">
        <f t="shared" si="178"/>
        <v>0.75031912177686988</v>
      </c>
      <c r="CO68" s="887">
        <f t="shared" si="178"/>
        <v>0.65541161721688246</v>
      </c>
      <c r="CP68" s="762">
        <f t="shared" si="178"/>
        <v>0.72481067898857665</v>
      </c>
      <c r="CQ68" s="762">
        <f t="shared" si="178"/>
        <v>0.5871447489049606</v>
      </c>
      <c r="CR68" s="762">
        <f t="shared" si="178"/>
        <v>0.59389988009592276</v>
      </c>
      <c r="CS68" s="762">
        <f t="shared" si="178"/>
        <v>0.39725370895149203</v>
      </c>
      <c r="CT68" s="887">
        <f t="shared" si="178"/>
        <v>0.55841369212904546</v>
      </c>
      <c r="CU68" s="762">
        <f t="shared" si="178"/>
        <v>0.28657538324155385</v>
      </c>
      <c r="CV68" s="762">
        <f t="shared" si="178"/>
        <v>0.31503112765547781</v>
      </c>
      <c r="CW68" s="762">
        <f t="shared" si="178"/>
        <v>0.2747817637563279</v>
      </c>
      <c r="CX68" s="762">
        <f t="shared" si="178"/>
        <v>0.46613030705220937</v>
      </c>
      <c r="CY68" s="887">
        <f t="shared" si="178"/>
        <v>0.33946829189276762</v>
      </c>
      <c r="CZ68" s="762">
        <f t="shared" si="178"/>
        <v>0.70612817398345751</v>
      </c>
      <c r="DA68" s="762">
        <f t="shared" si="178"/>
        <v>0.70110300397764735</v>
      </c>
      <c r="DB68" s="762">
        <f t="shared" ref="DB68:EC68" si="179">+DB11/CW11-1</f>
        <v>0.8439881976887138</v>
      </c>
      <c r="DC68" s="762">
        <f t="shared" si="179"/>
        <v>0.44174346966819678</v>
      </c>
      <c r="DD68" s="887">
        <f t="shared" si="179"/>
        <v>0.66020141591561243</v>
      </c>
      <c r="DE68" s="762">
        <f t="shared" si="179"/>
        <v>0.14417445694090136</v>
      </c>
      <c r="DF68" s="762">
        <f t="shared" si="179"/>
        <v>1.0083345885424508</v>
      </c>
      <c r="DG68" s="762">
        <f t="shared" si="179"/>
        <v>-0.31995466364424285</v>
      </c>
      <c r="DH68" s="762">
        <f t="shared" si="179"/>
        <v>-0.30861271023817582</v>
      </c>
      <c r="DI68" s="887">
        <f t="shared" si="179"/>
        <v>0.11992890727717054</v>
      </c>
      <c r="DJ68" s="762">
        <f t="shared" si="179"/>
        <v>-0.22222222222222221</v>
      </c>
      <c r="DK68" s="762">
        <f t="shared" si="179"/>
        <v>-0.62142857142857144</v>
      </c>
      <c r="DL68" s="762">
        <f t="shared" si="179"/>
        <v>7.8431372549019551E-2</v>
      </c>
      <c r="DM68" s="762">
        <f t="shared" si="179"/>
        <v>0.11224489795918369</v>
      </c>
      <c r="DN68" s="887">
        <f t="shared" si="179"/>
        <v>-0.30081300813008127</v>
      </c>
      <c r="DO68" s="762">
        <f t="shared" si="179"/>
        <v>8.5714285714285632E-2</v>
      </c>
      <c r="DP68" s="762">
        <f t="shared" si="179"/>
        <v>6.60377358490567E-2</v>
      </c>
      <c r="DQ68" s="762">
        <f t="shared" si="179"/>
        <v>-2.7272727272727226E-2</v>
      </c>
      <c r="DR68" s="762">
        <f t="shared" si="179"/>
        <v>5.504587155963292E-2</v>
      </c>
      <c r="DS68" s="887">
        <f t="shared" si="179"/>
        <v>4.4186046511627941E-2</v>
      </c>
      <c r="DT68" s="762">
        <f t="shared" si="179"/>
        <v>0.15789473684210531</v>
      </c>
      <c r="DU68" s="762">
        <f t="shared" si="179"/>
        <v>0.13274336283185839</v>
      </c>
      <c r="DV68" s="762">
        <f t="shared" si="179"/>
        <v>0.37443755880287699</v>
      </c>
      <c r="DW68" s="762">
        <f t="shared" si="179"/>
        <v>0.63442741445058815</v>
      </c>
      <c r="DX68" s="887">
        <f t="shared" si="179"/>
        <v>0.32522042640027959</v>
      </c>
      <c r="DY68" s="762">
        <f t="shared" si="179"/>
        <v>0.15827487565375087</v>
      </c>
      <c r="DZ68" s="762">
        <f t="shared" si="179"/>
        <v>0.13452273922582902</v>
      </c>
      <c r="EA68" s="762">
        <f t="shared" si="179"/>
        <v>0.1331307776342403</v>
      </c>
      <c r="EB68" s="762">
        <f t="shared" si="179"/>
        <v>0.12745501383442615</v>
      </c>
      <c r="EC68" s="887">
        <f t="shared" si="179"/>
        <v>0.13721528579588527</v>
      </c>
      <c r="ED68" s="762">
        <f t="shared" ref="ED68" si="180">+ED11/DY11-1</f>
        <v>6.1917747076787322E-2</v>
      </c>
      <c r="EE68" s="762">
        <f t="shared" ref="EE68" si="181">+EE11/DZ11-1</f>
        <v>0.12968737814497211</v>
      </c>
      <c r="EF68" s="762">
        <f t="shared" ref="EF68" si="182">+EF11/EA11-1</f>
        <v>-0.14261850055652314</v>
      </c>
      <c r="EG68" s="762">
        <f t="shared" ref="EG68" si="183">+EG11/EB11-1</f>
        <v>-0.26481533962757009</v>
      </c>
      <c r="EH68" s="887">
        <f t="shared" ref="EH68" si="184">+EH11/EC11-1</f>
        <v>-7.6233777564330696E-2</v>
      </c>
      <c r="EI68" s="762">
        <f t="shared" ref="EI68" si="185">+EI11/ED11-1</f>
        <v>0.18509923554054719</v>
      </c>
      <c r="EJ68" s="762">
        <f t="shared" ref="EJ68" si="186">+EJ11/EE11-1</f>
        <v>0.18528717318650489</v>
      </c>
      <c r="EK68" s="762">
        <f t="shared" ref="EK68" si="187">+EK11/EF11-1</f>
        <v>0.18521759174031049</v>
      </c>
      <c r="EL68" s="762">
        <f t="shared" ref="EL68" si="188">+EL11/EG11-1</f>
        <v>0.18582607310387411</v>
      </c>
      <c r="EM68" s="887">
        <f t="shared" ref="EM68" si="189">+EM11/EH11-1</f>
        <v>0.18535677013445806</v>
      </c>
      <c r="EN68" s="762">
        <f t="shared" ref="EN68" si="190">+EN11/EI11-1</f>
        <v>0.17311654356842188</v>
      </c>
      <c r="EO68" s="762">
        <f t="shared" ref="EO68" si="191">+EO11/EJ11-1</f>
        <v>0.1731394823227721</v>
      </c>
      <c r="EP68" s="762">
        <f t="shared" ref="EP68" si="192">+EP11/EK11-1</f>
        <v>0.17321407322971227</v>
      </c>
      <c r="EQ68" s="762">
        <f t="shared" ref="EQ68" si="193">+EQ11/EL11-1</f>
        <v>0.1733158558453074</v>
      </c>
      <c r="ER68" s="887">
        <f t="shared" ref="ER68" si="194">+ER11/EM11-1</f>
        <v>0.17319454990531291</v>
      </c>
    </row>
    <row r="69" spans="1:149" ht="12" customHeight="1">
      <c r="D69" s="377"/>
      <c r="E69" s="377"/>
      <c r="F69" s="377"/>
      <c r="G69" s="377"/>
      <c r="H69" s="377"/>
      <c r="I69" s="377"/>
      <c r="J69" s="377"/>
      <c r="K69" s="377"/>
      <c r="L69" s="377"/>
      <c r="M69" s="377"/>
      <c r="N69" s="377"/>
      <c r="O69" s="377"/>
      <c r="P69" s="377"/>
      <c r="Q69" s="377"/>
      <c r="R69" s="377"/>
      <c r="S69" s="377"/>
      <c r="T69" s="377"/>
      <c r="U69" s="377"/>
      <c r="V69" s="377"/>
      <c r="W69" s="377"/>
      <c r="X69" s="377"/>
      <c r="Y69" s="377"/>
      <c r="Z69" s="377"/>
      <c r="AA69" s="377"/>
      <c r="AB69" s="377"/>
      <c r="AC69" s="377"/>
      <c r="AD69" s="377"/>
      <c r="AE69" s="377"/>
      <c r="AF69" s="377"/>
      <c r="AG69" s="377"/>
      <c r="AH69" s="377"/>
      <c r="AI69" s="377"/>
      <c r="AJ69" s="377"/>
      <c r="AK69" s="377"/>
      <c r="AL69" s="377"/>
      <c r="AM69" s="377"/>
      <c r="AN69" s="377"/>
      <c r="AO69" s="377"/>
      <c r="AP69" s="377"/>
      <c r="AQ69" s="377"/>
      <c r="AR69" s="377"/>
      <c r="AS69" s="377"/>
      <c r="AT69" s="377"/>
      <c r="AU69" s="377"/>
      <c r="AV69" s="377"/>
      <c r="AW69" s="377"/>
      <c r="AX69" s="377"/>
      <c r="AY69" s="377"/>
      <c r="AZ69" s="377"/>
      <c r="BA69" s="377"/>
      <c r="BB69" s="377"/>
      <c r="BC69" s="377"/>
      <c r="BD69" s="377"/>
      <c r="BE69" s="377"/>
      <c r="BF69" s="377"/>
      <c r="BG69" s="377"/>
      <c r="BH69" s="377"/>
      <c r="BI69" s="377"/>
      <c r="BJ69" s="377"/>
      <c r="BK69" s="377"/>
      <c r="BL69" s="377"/>
      <c r="BM69" s="377"/>
      <c r="BN69" s="377"/>
      <c r="BO69" s="377"/>
      <c r="BP69" s="377"/>
      <c r="BQ69" s="377"/>
      <c r="BR69" s="377"/>
      <c r="BS69" s="377"/>
      <c r="BT69" s="377"/>
      <c r="BU69" s="377"/>
      <c r="BV69" s="377"/>
      <c r="BW69" s="377"/>
      <c r="BX69" s="377"/>
      <c r="BY69" s="377"/>
      <c r="BZ69" s="377"/>
      <c r="CA69" s="377"/>
      <c r="CB69" s="377"/>
      <c r="CC69" s="377"/>
      <c r="CD69" s="377"/>
      <c r="CE69" s="377"/>
      <c r="CF69" s="377"/>
      <c r="CG69" s="377"/>
      <c r="CH69" s="377"/>
      <c r="CI69" s="377"/>
      <c r="CJ69" s="377"/>
      <c r="CK69" s="377"/>
      <c r="CL69" s="377"/>
      <c r="CM69" s="377"/>
      <c r="CN69" s="377"/>
      <c r="CO69" s="377"/>
      <c r="CP69" s="377"/>
      <c r="CQ69" s="377"/>
      <c r="CR69" s="377"/>
      <c r="CS69" s="377"/>
      <c r="CT69" s="377"/>
      <c r="CU69" s="377"/>
      <c r="CV69" s="377"/>
      <c r="CW69" s="377"/>
      <c r="CX69" s="377"/>
      <c r="CY69" s="377"/>
      <c r="CZ69" s="377"/>
      <c r="DA69" s="377"/>
      <c r="DB69" s="377"/>
      <c r="DC69" s="377"/>
      <c r="DD69" s="377"/>
      <c r="DE69" s="377"/>
      <c r="DF69" s="377"/>
      <c r="DG69" s="377"/>
      <c r="DH69" s="377"/>
      <c r="DI69" s="377"/>
      <c r="DJ69" s="377"/>
      <c r="DK69" s="377"/>
      <c r="DL69" s="377"/>
      <c r="DM69" s="377"/>
      <c r="DN69" s="377"/>
      <c r="DO69" s="377"/>
      <c r="DP69" s="377"/>
      <c r="DQ69" s="377"/>
      <c r="DR69" s="377"/>
      <c r="DS69" s="377"/>
      <c r="DT69" s="377"/>
      <c r="DU69" s="377"/>
      <c r="DV69" s="377"/>
      <c r="DW69" s="377"/>
      <c r="DX69" s="377"/>
      <c r="DY69" s="377"/>
      <c r="DZ69" s="377"/>
      <c r="EA69" s="377"/>
      <c r="EB69" s="377"/>
      <c r="EC69" s="377"/>
      <c r="ED69" s="377"/>
      <c r="EE69" s="377"/>
      <c r="EF69" s="377"/>
      <c r="EG69" s="377"/>
      <c r="EH69" s="377"/>
      <c r="EI69" s="377"/>
      <c r="EJ69" s="377"/>
      <c r="EK69" s="377"/>
      <c r="EL69" s="377"/>
      <c r="EM69" s="377"/>
      <c r="EN69" s="377"/>
      <c r="EO69" s="377"/>
      <c r="EP69" s="377"/>
      <c r="EQ69" s="377"/>
      <c r="ER69" s="377"/>
    </row>
    <row r="70" spans="1:149" ht="12" customHeight="1">
      <c r="D70" s="377"/>
      <c r="E70" s="377"/>
      <c r="F70" s="377"/>
      <c r="G70" s="377"/>
      <c r="H70" s="377"/>
      <c r="I70" s="377"/>
      <c r="J70" s="377"/>
      <c r="K70" s="377"/>
      <c r="L70" s="377"/>
      <c r="M70" s="377"/>
      <c r="N70" s="377"/>
      <c r="O70" s="377"/>
      <c r="P70" s="377"/>
      <c r="Q70" s="377"/>
      <c r="R70" s="377"/>
      <c r="S70" s="377"/>
      <c r="T70" s="377"/>
      <c r="U70" s="377"/>
      <c r="V70" s="377"/>
      <c r="W70" s="377"/>
      <c r="X70" s="377"/>
      <c r="Y70" s="377"/>
      <c r="Z70" s="377"/>
      <c r="AA70" s="377"/>
      <c r="AB70" s="377"/>
      <c r="AC70" s="377"/>
      <c r="AD70" s="377"/>
      <c r="AE70" s="377"/>
      <c r="AF70" s="377"/>
      <c r="AG70" s="377"/>
      <c r="AH70" s="377"/>
      <c r="AI70" s="377"/>
      <c r="AJ70" s="377"/>
      <c r="AK70" s="377"/>
      <c r="AL70" s="377"/>
      <c r="AM70" s="377"/>
      <c r="AN70" s="377"/>
      <c r="AO70" s="377"/>
      <c r="AP70" s="377"/>
      <c r="AQ70" s="377"/>
      <c r="AR70" s="377"/>
      <c r="AS70" s="377"/>
      <c r="AT70" s="377"/>
      <c r="AU70" s="377"/>
      <c r="AV70" s="377"/>
      <c r="AW70" s="377"/>
      <c r="AX70" s="377"/>
      <c r="AY70" s="377"/>
      <c r="AZ70" s="377"/>
      <c r="BA70" s="377"/>
      <c r="BB70" s="377"/>
      <c r="BC70" s="377"/>
      <c r="BD70" s="377"/>
      <c r="BE70" s="377"/>
      <c r="BF70" s="377"/>
      <c r="BG70" s="377"/>
      <c r="BH70" s="377"/>
      <c r="BI70" s="377"/>
      <c r="BJ70" s="377"/>
      <c r="BK70" s="377"/>
      <c r="BL70" s="377"/>
      <c r="BM70" s="377"/>
      <c r="BN70" s="377"/>
      <c r="BO70" s="377"/>
      <c r="BP70" s="377"/>
      <c r="BQ70" s="377"/>
      <c r="BR70" s="377"/>
      <c r="BS70" s="377"/>
      <c r="BT70" s="377"/>
      <c r="BU70" s="377"/>
      <c r="BV70" s="377"/>
      <c r="BW70" s="377"/>
      <c r="BX70" s="377"/>
      <c r="BY70" s="377"/>
      <c r="BZ70" s="377"/>
      <c r="CA70" s="377"/>
      <c r="CB70" s="377"/>
      <c r="CC70" s="377"/>
      <c r="CD70" s="377"/>
      <c r="CE70" s="377"/>
      <c r="CF70" s="377"/>
      <c r="CG70" s="377"/>
      <c r="CH70" s="377"/>
      <c r="CI70" s="377"/>
      <c r="CJ70" s="377"/>
      <c r="CK70" s="377"/>
      <c r="CL70" s="377"/>
      <c r="CM70" s="377"/>
      <c r="CN70" s="377"/>
      <c r="CO70" s="377"/>
      <c r="CP70" s="377"/>
      <c r="CQ70" s="377"/>
      <c r="CR70" s="377"/>
      <c r="CS70" s="377"/>
      <c r="CT70" s="377"/>
      <c r="CU70" s="377"/>
      <c r="CV70" s="377"/>
      <c r="CW70" s="377"/>
      <c r="CX70" s="377"/>
      <c r="CY70" s="377"/>
      <c r="CZ70" s="377"/>
      <c r="DA70" s="377"/>
      <c r="DB70" s="377"/>
      <c r="DC70" s="377"/>
      <c r="DD70" s="377"/>
      <c r="DE70" s="377"/>
      <c r="DF70" s="377"/>
      <c r="DG70" s="377"/>
      <c r="DH70" s="377"/>
      <c r="DI70" s="377"/>
      <c r="DJ70" s="377"/>
      <c r="DK70" s="377"/>
      <c r="DL70" s="377"/>
      <c r="DM70" s="377"/>
      <c r="DN70" s="377"/>
      <c r="DO70" s="377"/>
      <c r="DP70" s="377"/>
      <c r="DQ70" s="377"/>
      <c r="DR70" s="377"/>
      <c r="DS70" s="377"/>
      <c r="DT70" s="377"/>
      <c r="DU70" s="377"/>
      <c r="DV70" s="377"/>
      <c r="DW70" s="377"/>
      <c r="DX70" s="377"/>
      <c r="DY70" s="377"/>
      <c r="DZ70" s="377"/>
      <c r="EA70" s="377"/>
      <c r="EB70" s="377"/>
      <c r="EC70" s="377"/>
      <c r="ED70" s="377"/>
      <c r="EE70" s="377"/>
      <c r="EF70" s="377"/>
      <c r="EG70" s="377"/>
      <c r="EH70" s="377"/>
      <c r="EI70" s="377"/>
      <c r="EJ70" s="377"/>
      <c r="EK70" s="377"/>
      <c r="EL70" s="377"/>
      <c r="EM70" s="377"/>
      <c r="EN70" s="377"/>
      <c r="EO70" s="377"/>
      <c r="EP70" s="377"/>
      <c r="EQ70" s="377"/>
      <c r="ER70" s="377"/>
    </row>
    <row r="71" spans="1:149" ht="12" customHeight="1">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c r="AJ71" s="377"/>
      <c r="AK71" s="377"/>
      <c r="AL71" s="377"/>
      <c r="AM71" s="377"/>
      <c r="AN71" s="377"/>
      <c r="AO71" s="377"/>
      <c r="AP71" s="377"/>
      <c r="AQ71" s="377"/>
      <c r="AR71" s="377"/>
      <c r="AS71" s="377"/>
      <c r="AT71" s="377"/>
      <c r="AU71" s="377"/>
      <c r="AV71" s="377"/>
      <c r="AW71" s="377"/>
      <c r="AX71" s="377"/>
      <c r="AY71" s="377"/>
      <c r="AZ71" s="377"/>
      <c r="BA71" s="377"/>
      <c r="BB71" s="377"/>
      <c r="BC71" s="377"/>
      <c r="BD71" s="377"/>
      <c r="BE71" s="377"/>
      <c r="BF71" s="377"/>
      <c r="BG71" s="377"/>
      <c r="BH71" s="377"/>
      <c r="BI71" s="377"/>
      <c r="BJ71" s="377"/>
      <c r="BK71" s="377"/>
      <c r="BL71" s="377"/>
      <c r="BM71" s="377"/>
      <c r="BN71" s="377"/>
      <c r="BO71" s="377"/>
      <c r="BP71" s="377"/>
      <c r="BQ71" s="377"/>
      <c r="BR71" s="377"/>
      <c r="BS71" s="377"/>
      <c r="BT71" s="377"/>
      <c r="BU71" s="377"/>
      <c r="BV71" s="377"/>
      <c r="BW71" s="377"/>
      <c r="BX71" s="377"/>
      <c r="BY71" s="377"/>
      <c r="BZ71" s="377"/>
      <c r="CA71" s="377"/>
      <c r="CB71" s="377"/>
      <c r="CC71" s="377"/>
      <c r="CD71" s="377"/>
      <c r="CE71" s="377"/>
      <c r="CF71" s="377"/>
      <c r="CG71" s="377"/>
      <c r="CH71" s="377"/>
      <c r="CI71" s="377"/>
      <c r="CJ71" s="377"/>
      <c r="CK71" s="377"/>
      <c r="CL71" s="377"/>
      <c r="CM71" s="377"/>
      <c r="CN71" s="377"/>
      <c r="CO71" s="377"/>
      <c r="CP71" s="377"/>
      <c r="CQ71" s="377"/>
      <c r="CR71" s="377"/>
      <c r="CS71" s="377"/>
      <c r="CT71" s="377"/>
      <c r="CU71" s="377"/>
      <c r="CV71" s="377"/>
      <c r="CW71" s="377"/>
      <c r="CX71" s="377"/>
      <c r="CY71" s="377"/>
      <c r="CZ71" s="377"/>
      <c r="DA71" s="377"/>
      <c r="DB71" s="377"/>
      <c r="DC71" s="377"/>
      <c r="DD71" s="377"/>
      <c r="DE71" s="377"/>
      <c r="DF71" s="377"/>
      <c r="DG71" s="377"/>
      <c r="DH71" s="377"/>
      <c r="DI71" s="377"/>
      <c r="DJ71" s="377"/>
      <c r="DK71" s="377"/>
      <c r="DL71" s="377"/>
      <c r="DM71" s="377"/>
      <c r="DN71" s="377"/>
      <c r="DO71" s="377"/>
      <c r="DP71" s="377"/>
      <c r="DQ71" s="377"/>
      <c r="DR71" s="377"/>
      <c r="DS71" s="377"/>
      <c r="DT71" s="377"/>
      <c r="DU71" s="377"/>
      <c r="DV71" s="377"/>
      <c r="DW71" s="377"/>
      <c r="DX71" s="377"/>
      <c r="DY71" s="377"/>
      <c r="DZ71" s="377"/>
      <c r="EA71" s="377"/>
      <c r="EB71" s="377"/>
      <c r="EC71" s="377"/>
      <c r="ED71" s="377"/>
      <c r="EE71" s="377"/>
      <c r="EF71" s="377"/>
      <c r="EG71" s="377"/>
      <c r="EH71" s="377"/>
      <c r="EI71" s="377"/>
      <c r="EJ71" s="377"/>
      <c r="EK71" s="377"/>
      <c r="EL71" s="377"/>
      <c r="EM71" s="377"/>
      <c r="EN71" s="377"/>
      <c r="EO71" s="377"/>
      <c r="EP71" s="377"/>
      <c r="EQ71" s="377"/>
      <c r="ER71" s="377"/>
    </row>
    <row r="72" spans="1:149" ht="12" customHeight="1">
      <c r="D72" s="377"/>
      <c r="E72" s="377"/>
      <c r="F72" s="377"/>
      <c r="G72" s="377"/>
      <c r="H72" s="377"/>
      <c r="I72" s="377"/>
      <c r="J72" s="377"/>
      <c r="K72" s="377"/>
      <c r="L72" s="377"/>
      <c r="M72" s="377"/>
      <c r="N72" s="377"/>
      <c r="O72" s="377"/>
      <c r="P72" s="377"/>
      <c r="Q72" s="377"/>
      <c r="R72" s="377"/>
      <c r="S72" s="377"/>
      <c r="T72" s="377"/>
      <c r="U72" s="377"/>
      <c r="V72" s="377"/>
      <c r="W72" s="377"/>
      <c r="X72" s="377"/>
      <c r="Y72" s="377"/>
      <c r="Z72" s="377"/>
      <c r="AA72" s="377"/>
      <c r="AB72" s="377"/>
      <c r="AC72" s="377"/>
      <c r="AD72" s="377"/>
      <c r="AE72" s="377"/>
      <c r="AF72" s="377"/>
      <c r="AG72" s="377"/>
      <c r="AH72" s="377"/>
      <c r="AI72" s="377"/>
      <c r="AJ72" s="377"/>
      <c r="AK72" s="377"/>
      <c r="AL72" s="377"/>
      <c r="AM72" s="377"/>
      <c r="AN72" s="377"/>
      <c r="AO72" s="377"/>
      <c r="AP72" s="377"/>
      <c r="AQ72" s="377"/>
      <c r="AR72" s="377"/>
      <c r="AS72" s="377"/>
      <c r="AT72" s="377"/>
      <c r="AU72" s="377"/>
      <c r="AV72" s="377"/>
      <c r="AW72" s="377"/>
      <c r="AX72" s="377"/>
      <c r="AY72" s="377"/>
      <c r="AZ72" s="377"/>
      <c r="BA72" s="377"/>
      <c r="BB72" s="377"/>
      <c r="BC72" s="377"/>
      <c r="BD72" s="377"/>
      <c r="BE72" s="377"/>
      <c r="BF72" s="377"/>
      <c r="BG72" s="377"/>
      <c r="BH72" s="377"/>
      <c r="BI72" s="377"/>
      <c r="BJ72" s="377"/>
      <c r="BK72" s="377"/>
      <c r="BL72" s="377"/>
      <c r="BM72" s="377"/>
      <c r="BN72" s="377"/>
      <c r="BO72" s="377"/>
      <c r="BP72" s="377"/>
      <c r="BQ72" s="377"/>
      <c r="BR72" s="377"/>
      <c r="BS72" s="377"/>
      <c r="BT72" s="377"/>
      <c r="BU72" s="377"/>
      <c r="BV72" s="377"/>
      <c r="BW72" s="377"/>
      <c r="BX72" s="377"/>
      <c r="BY72" s="377"/>
      <c r="BZ72" s="377"/>
      <c r="CA72" s="377"/>
      <c r="CB72" s="377"/>
      <c r="CC72" s="377"/>
      <c r="CD72" s="377"/>
      <c r="CE72" s="377"/>
      <c r="CF72" s="377"/>
      <c r="CG72" s="377"/>
      <c r="CH72" s="377"/>
      <c r="CI72" s="377"/>
      <c r="CJ72" s="377"/>
      <c r="CK72" s="377"/>
      <c r="CL72" s="377"/>
      <c r="CM72" s="377"/>
      <c r="CN72" s="377"/>
      <c r="CO72" s="377"/>
      <c r="CP72" s="377"/>
      <c r="CQ72" s="377"/>
      <c r="CR72" s="377"/>
      <c r="CS72" s="377"/>
      <c r="CT72" s="377"/>
      <c r="CU72" s="377"/>
      <c r="CV72" s="377"/>
      <c r="CW72" s="377"/>
      <c r="CX72" s="377"/>
      <c r="CY72" s="377"/>
      <c r="CZ72" s="377"/>
      <c r="DA72" s="377"/>
      <c r="DB72" s="377"/>
      <c r="DC72" s="377"/>
      <c r="DD72" s="377"/>
      <c r="DE72" s="377"/>
      <c r="DF72" s="377"/>
      <c r="DG72" s="377"/>
      <c r="DH72" s="377"/>
      <c r="DI72" s="377"/>
      <c r="DJ72" s="377"/>
      <c r="DK72" s="377"/>
      <c r="DL72" s="377"/>
      <c r="DM72" s="377"/>
      <c r="DN72" s="377"/>
      <c r="DO72" s="377"/>
      <c r="DP72" s="377"/>
      <c r="DQ72" s="377"/>
      <c r="DR72" s="377"/>
      <c r="DS72" s="377"/>
      <c r="DT72" s="377"/>
      <c r="DU72" s="377"/>
      <c r="DV72" s="377"/>
      <c r="DW72" s="377"/>
      <c r="DX72" s="377"/>
      <c r="DY72" s="377"/>
      <c r="DZ72" s="377"/>
      <c r="EA72" s="377"/>
      <c r="EB72" s="377"/>
      <c r="EC72" s="377"/>
      <c r="ED72" s="377"/>
      <c r="EE72" s="377"/>
      <c r="EF72" s="377"/>
      <c r="EG72" s="377"/>
      <c r="EH72" s="377"/>
      <c r="EI72" s="377"/>
      <c r="EJ72" s="377"/>
      <c r="EK72" s="377"/>
      <c r="EL72" s="377"/>
      <c r="EM72" s="377"/>
      <c r="EN72" s="377"/>
      <c r="EO72" s="377"/>
      <c r="EP72" s="377"/>
      <c r="EQ72" s="377"/>
      <c r="ER72" s="377"/>
    </row>
    <row r="73" spans="1:149" ht="12" customHeight="1">
      <c r="D73" s="377"/>
      <c r="E73" s="377"/>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c r="AJ73" s="377"/>
      <c r="AK73" s="377"/>
      <c r="AL73" s="377"/>
      <c r="AM73" s="377"/>
      <c r="AN73" s="377"/>
      <c r="AO73" s="377"/>
      <c r="AP73" s="377"/>
      <c r="AQ73" s="377"/>
      <c r="AR73" s="377"/>
      <c r="AS73" s="377"/>
      <c r="AT73" s="377"/>
      <c r="AU73" s="377"/>
      <c r="AV73" s="377"/>
      <c r="AW73" s="377"/>
      <c r="AX73" s="377"/>
      <c r="AY73" s="377"/>
      <c r="AZ73" s="377"/>
      <c r="BA73" s="377"/>
      <c r="BB73" s="377"/>
      <c r="BC73" s="377"/>
      <c r="BD73" s="377"/>
      <c r="BE73" s="377"/>
      <c r="BF73" s="377"/>
      <c r="BG73" s="377"/>
      <c r="BH73" s="377"/>
      <c r="BI73" s="377"/>
      <c r="BJ73" s="377"/>
      <c r="BK73" s="377"/>
      <c r="BL73" s="377"/>
      <c r="BM73" s="377"/>
      <c r="BN73" s="377"/>
      <c r="BO73" s="377"/>
      <c r="BP73" s="377"/>
      <c r="BQ73" s="377"/>
      <c r="BR73" s="377"/>
      <c r="BS73" s="377"/>
      <c r="BT73" s="377"/>
      <c r="BU73" s="377"/>
      <c r="BV73" s="377"/>
      <c r="BW73" s="377"/>
      <c r="BX73" s="377"/>
      <c r="BY73" s="377"/>
      <c r="BZ73" s="377"/>
      <c r="CA73" s="377"/>
      <c r="CB73" s="377"/>
      <c r="CC73" s="377"/>
      <c r="CD73" s="377"/>
      <c r="CE73" s="377"/>
      <c r="CF73" s="377"/>
      <c r="CG73" s="377"/>
      <c r="CH73" s="377"/>
      <c r="CI73" s="377"/>
      <c r="CJ73" s="377"/>
      <c r="CK73" s="377"/>
      <c r="CL73" s="377"/>
      <c r="CM73" s="377"/>
      <c r="CN73" s="377"/>
      <c r="CO73" s="377"/>
      <c r="CP73" s="377"/>
      <c r="CQ73" s="377"/>
      <c r="CR73" s="377"/>
      <c r="CS73" s="377"/>
      <c r="CT73" s="377"/>
      <c r="CU73" s="377"/>
      <c r="CV73" s="377"/>
      <c r="CW73" s="377"/>
      <c r="CX73" s="377"/>
      <c r="CY73" s="377"/>
      <c r="CZ73" s="377"/>
      <c r="DA73" s="377"/>
      <c r="DB73" s="377"/>
      <c r="DC73" s="377"/>
      <c r="DD73" s="377"/>
      <c r="DE73" s="377"/>
      <c r="DF73" s="377"/>
      <c r="DG73" s="377"/>
      <c r="DH73" s="377"/>
      <c r="DI73" s="377"/>
      <c r="DJ73" s="377"/>
      <c r="DK73" s="377"/>
      <c r="DL73" s="377"/>
      <c r="DM73" s="377"/>
      <c r="DN73" s="377"/>
      <c r="DO73" s="377"/>
      <c r="DP73" s="377"/>
      <c r="DQ73" s="377"/>
      <c r="DR73" s="377"/>
      <c r="DS73" s="377"/>
      <c r="DT73" s="377"/>
      <c r="DU73" s="377"/>
      <c r="DV73" s="377"/>
      <c r="DW73" s="377"/>
      <c r="DX73" s="377"/>
      <c r="DY73" s="377"/>
      <c r="DZ73" s="377"/>
      <c r="EA73" s="377"/>
      <c r="EB73" s="377"/>
      <c r="EC73" s="377"/>
      <c r="ED73" s="377"/>
      <c r="EE73" s="377"/>
      <c r="EF73" s="377"/>
      <c r="EG73" s="377"/>
      <c r="EH73" s="377"/>
      <c r="EI73" s="377"/>
      <c r="EJ73" s="377"/>
      <c r="EK73" s="377"/>
      <c r="EL73" s="377"/>
      <c r="EM73" s="377"/>
      <c r="EN73" s="377"/>
      <c r="EO73" s="377"/>
      <c r="EP73" s="377"/>
      <c r="EQ73" s="377"/>
      <c r="ER73" s="377"/>
    </row>
    <row r="74" spans="1:149">
      <c r="D74" s="377"/>
      <c r="E74" s="377"/>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c r="AJ74" s="377"/>
      <c r="AK74" s="377"/>
      <c r="AL74" s="377"/>
      <c r="AM74" s="377"/>
      <c r="AN74" s="377"/>
      <c r="AO74" s="377"/>
      <c r="AP74" s="377"/>
      <c r="AQ74" s="377"/>
      <c r="AR74" s="377"/>
      <c r="AS74" s="377"/>
      <c r="AT74" s="377"/>
      <c r="AU74" s="377"/>
      <c r="AV74" s="377"/>
      <c r="AW74" s="377"/>
      <c r="AX74" s="377"/>
      <c r="AY74" s="377"/>
      <c r="AZ74" s="377"/>
      <c r="BA74" s="377"/>
      <c r="BB74" s="377"/>
      <c r="BC74" s="377"/>
      <c r="BD74" s="377"/>
      <c r="BE74" s="377"/>
      <c r="BF74" s="377"/>
      <c r="BG74" s="377"/>
      <c r="BH74" s="377"/>
      <c r="BI74" s="377"/>
      <c r="BJ74" s="377"/>
      <c r="BK74" s="377"/>
      <c r="BL74" s="377"/>
      <c r="BM74" s="377"/>
      <c r="BN74" s="377"/>
      <c r="BO74" s="377"/>
      <c r="BP74" s="377"/>
      <c r="BQ74" s="377"/>
      <c r="BR74" s="377"/>
      <c r="BS74" s="377"/>
      <c r="BT74" s="377"/>
      <c r="BU74" s="377"/>
      <c r="BV74" s="377"/>
      <c r="BW74" s="377"/>
      <c r="BX74" s="377"/>
      <c r="BY74" s="377"/>
      <c r="BZ74" s="377"/>
      <c r="CA74" s="377"/>
      <c r="CB74" s="377"/>
      <c r="CC74" s="377"/>
      <c r="CD74" s="377"/>
      <c r="CE74" s="377"/>
      <c r="CF74" s="377"/>
      <c r="CG74" s="377"/>
      <c r="CH74" s="377"/>
      <c r="CI74" s="377"/>
      <c r="CJ74" s="377"/>
      <c r="CK74" s="377"/>
      <c r="CL74" s="377"/>
      <c r="CM74" s="377"/>
      <c r="CN74" s="377"/>
      <c r="CO74" s="377"/>
      <c r="CP74" s="377"/>
      <c r="CQ74" s="377"/>
      <c r="CR74" s="377"/>
      <c r="CS74" s="377"/>
      <c r="CT74" s="377"/>
      <c r="CU74" s="377"/>
      <c r="CV74" s="377"/>
      <c r="CW74" s="377"/>
      <c r="CX74" s="377"/>
      <c r="CY74" s="377"/>
      <c r="CZ74" s="377"/>
      <c r="DA74" s="377"/>
      <c r="DB74" s="377"/>
      <c r="DC74" s="377"/>
      <c r="DD74" s="377"/>
      <c r="DE74" s="377"/>
      <c r="DF74" s="377"/>
      <c r="DG74" s="377"/>
      <c r="DH74" s="377"/>
      <c r="DI74" s="377"/>
      <c r="DJ74" s="377"/>
      <c r="DK74" s="377"/>
      <c r="DL74" s="377"/>
      <c r="DM74" s="377"/>
      <c r="DN74" s="377"/>
      <c r="DO74" s="377"/>
      <c r="DP74" s="377"/>
      <c r="DQ74" s="377"/>
      <c r="DR74" s="377"/>
      <c r="DS74" s="377"/>
      <c r="DT74" s="377"/>
      <c r="DU74" s="377"/>
      <c r="DV74" s="377"/>
      <c r="DW74" s="377"/>
      <c r="DX74" s="377"/>
      <c r="DY74" s="377"/>
      <c r="DZ74" s="377"/>
      <c r="EA74" s="377"/>
      <c r="EB74" s="377"/>
      <c r="EC74" s="377"/>
      <c r="ED74" s="377"/>
      <c r="EE74" s="377"/>
      <c r="EF74" s="377"/>
      <c r="EG74" s="377"/>
      <c r="EH74" s="377"/>
      <c r="EI74" s="377"/>
      <c r="EJ74" s="377"/>
      <c r="EK74" s="377"/>
      <c r="EL74" s="377"/>
      <c r="EM74" s="377"/>
      <c r="EN74" s="377"/>
      <c r="EO74" s="377"/>
      <c r="EP74" s="377"/>
      <c r="EQ74" s="377"/>
      <c r="ER74" s="377"/>
    </row>
    <row r="75" spans="1:14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c r="AJ75" s="377"/>
      <c r="AK75" s="377"/>
      <c r="AL75" s="377"/>
      <c r="AM75" s="377"/>
      <c r="AN75" s="377"/>
      <c r="AO75" s="377"/>
      <c r="AP75" s="377"/>
      <c r="AQ75" s="377"/>
      <c r="AR75" s="377"/>
      <c r="AS75" s="377"/>
      <c r="AT75" s="377"/>
      <c r="AU75" s="377"/>
      <c r="AV75" s="377"/>
      <c r="AW75" s="377"/>
      <c r="AX75" s="377"/>
      <c r="AY75" s="377"/>
      <c r="AZ75" s="377"/>
      <c r="BA75" s="377"/>
      <c r="BB75" s="377"/>
      <c r="BC75" s="377"/>
      <c r="BD75" s="377"/>
      <c r="BE75" s="377"/>
      <c r="BF75" s="377"/>
      <c r="BG75" s="377"/>
      <c r="BH75" s="377"/>
      <c r="BI75" s="377"/>
      <c r="BJ75" s="377"/>
      <c r="BK75" s="377"/>
      <c r="BL75" s="377"/>
      <c r="BM75" s="377"/>
      <c r="BN75" s="377"/>
      <c r="BO75" s="377"/>
      <c r="BP75" s="377"/>
      <c r="BQ75" s="377"/>
      <c r="BR75" s="377"/>
      <c r="BS75" s="377"/>
      <c r="BT75" s="377"/>
      <c r="BU75" s="377"/>
      <c r="BV75" s="377"/>
      <c r="BW75" s="377"/>
      <c r="BX75" s="377"/>
      <c r="BY75" s="377"/>
      <c r="BZ75" s="377"/>
      <c r="CA75" s="377"/>
      <c r="CB75" s="377"/>
      <c r="CC75" s="377"/>
      <c r="CD75" s="377"/>
      <c r="CE75" s="377"/>
      <c r="CF75" s="377"/>
      <c r="CG75" s="377"/>
      <c r="CH75" s="377"/>
      <c r="CI75" s="377"/>
      <c r="CJ75" s="377"/>
      <c r="CK75" s="377"/>
      <c r="CL75" s="377"/>
      <c r="CM75" s="377"/>
      <c r="CN75" s="377"/>
      <c r="CO75" s="377"/>
      <c r="CP75" s="377"/>
      <c r="CQ75" s="377"/>
      <c r="CR75" s="377"/>
      <c r="CS75" s="377"/>
      <c r="CT75" s="377"/>
      <c r="CU75" s="377"/>
      <c r="CV75" s="377"/>
      <c r="CW75" s="377"/>
      <c r="CX75" s="377"/>
      <c r="CY75" s="377"/>
      <c r="CZ75" s="377"/>
      <c r="DA75" s="377"/>
      <c r="DB75" s="377"/>
      <c r="DC75" s="377"/>
      <c r="DD75" s="377"/>
      <c r="DE75" s="377"/>
      <c r="DF75" s="377"/>
      <c r="DG75" s="377"/>
      <c r="DH75" s="377"/>
      <c r="DI75" s="377"/>
      <c r="DJ75" s="377"/>
      <c r="DK75" s="377"/>
      <c r="DL75" s="377"/>
      <c r="DM75" s="377"/>
      <c r="DN75" s="377"/>
      <c r="DO75" s="377"/>
      <c r="DP75" s="377"/>
      <c r="DQ75" s="377"/>
      <c r="DR75" s="377"/>
      <c r="DS75" s="377"/>
      <c r="DT75" s="377"/>
      <c r="DU75" s="377"/>
      <c r="DV75" s="377"/>
      <c r="DW75" s="377"/>
      <c r="DX75" s="377"/>
      <c r="DY75" s="377"/>
      <c r="DZ75" s="377"/>
      <c r="EA75" s="377"/>
      <c r="EB75" s="377"/>
      <c r="EC75" s="377"/>
      <c r="ED75" s="377"/>
      <c r="EE75" s="377"/>
      <c r="EF75" s="377"/>
      <c r="EG75" s="377"/>
      <c r="EH75" s="377"/>
      <c r="EI75" s="377"/>
      <c r="EJ75" s="377"/>
      <c r="EK75" s="377"/>
      <c r="EL75" s="377"/>
      <c r="EM75" s="377"/>
      <c r="EN75" s="377"/>
      <c r="EO75" s="377"/>
      <c r="EP75" s="377"/>
      <c r="EQ75" s="377"/>
      <c r="ER75" s="377"/>
    </row>
    <row r="76" spans="1:14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c r="AJ76" s="377"/>
      <c r="AK76" s="377"/>
      <c r="AL76" s="377"/>
      <c r="AM76" s="377"/>
      <c r="AN76" s="377"/>
      <c r="AO76" s="377"/>
      <c r="AP76" s="377"/>
      <c r="AQ76" s="377"/>
      <c r="AR76" s="377"/>
      <c r="AS76" s="377"/>
      <c r="AT76" s="377"/>
      <c r="AU76" s="377"/>
      <c r="AV76" s="377"/>
      <c r="AW76" s="377"/>
      <c r="AX76" s="377"/>
      <c r="AY76" s="377"/>
      <c r="AZ76" s="377"/>
      <c r="BA76" s="377"/>
      <c r="BB76" s="377"/>
      <c r="BC76" s="377"/>
      <c r="BD76" s="377"/>
      <c r="BE76" s="377"/>
      <c r="BF76" s="377"/>
      <c r="BG76" s="377"/>
      <c r="BH76" s="377"/>
      <c r="BI76" s="377"/>
      <c r="BJ76" s="377"/>
      <c r="BK76" s="377"/>
      <c r="BL76" s="377"/>
      <c r="BM76" s="377"/>
      <c r="BN76" s="377"/>
      <c r="BO76" s="377"/>
      <c r="BP76" s="377"/>
      <c r="BQ76" s="377"/>
      <c r="BR76" s="377"/>
      <c r="BS76" s="377"/>
      <c r="BT76" s="377"/>
      <c r="BU76" s="377"/>
      <c r="BV76" s="377"/>
      <c r="BW76" s="377"/>
      <c r="BX76" s="377"/>
      <c r="BY76" s="377"/>
      <c r="BZ76" s="377"/>
      <c r="CA76" s="377"/>
      <c r="CB76" s="377"/>
      <c r="CC76" s="377"/>
      <c r="CD76" s="377"/>
      <c r="CE76" s="377"/>
      <c r="CF76" s="377"/>
      <c r="CG76" s="377"/>
      <c r="CH76" s="377"/>
      <c r="CI76" s="377"/>
      <c r="CJ76" s="377"/>
      <c r="CK76" s="377"/>
      <c r="CL76" s="377"/>
      <c r="CM76" s="377"/>
      <c r="CN76" s="377"/>
      <c r="CO76" s="377"/>
      <c r="CP76" s="377"/>
      <c r="CQ76" s="377"/>
      <c r="CR76" s="377"/>
      <c r="CS76" s="377"/>
      <c r="CT76" s="377"/>
      <c r="CU76" s="377"/>
      <c r="CV76" s="377"/>
      <c r="CW76" s="377"/>
      <c r="CX76" s="377"/>
      <c r="CY76" s="377"/>
      <c r="CZ76" s="377"/>
      <c r="DA76" s="377"/>
      <c r="DB76" s="377"/>
      <c r="DC76" s="377"/>
      <c r="DD76" s="377"/>
      <c r="DE76" s="377"/>
      <c r="DF76" s="377"/>
      <c r="DG76" s="377"/>
      <c r="DH76" s="377"/>
      <c r="DI76" s="377"/>
      <c r="DJ76" s="377"/>
      <c r="DK76" s="377"/>
      <c r="DL76" s="377"/>
      <c r="DM76" s="377"/>
      <c r="DN76" s="377"/>
      <c r="DO76" s="377"/>
      <c r="DP76" s="377"/>
      <c r="DQ76" s="377"/>
      <c r="DR76" s="377"/>
      <c r="DS76" s="377"/>
      <c r="DT76" s="377"/>
      <c r="DU76" s="377"/>
      <c r="DV76" s="377"/>
      <c r="DW76" s="377"/>
      <c r="DX76" s="377"/>
      <c r="DY76" s="377"/>
      <c r="DZ76" s="377"/>
      <c r="EA76" s="377"/>
      <c r="EB76" s="377"/>
      <c r="EC76" s="377"/>
      <c r="ED76" s="377"/>
      <c r="EE76" s="377"/>
      <c r="EF76" s="377"/>
      <c r="EG76" s="377"/>
      <c r="EH76" s="377"/>
      <c r="EI76" s="377"/>
      <c r="EJ76" s="377"/>
      <c r="EK76" s="377"/>
      <c r="EL76" s="377"/>
      <c r="EM76" s="377"/>
      <c r="EN76" s="377"/>
      <c r="EO76" s="377"/>
      <c r="EP76" s="377"/>
      <c r="EQ76" s="377"/>
      <c r="ER76" s="377"/>
    </row>
    <row r="77" spans="1:149">
      <c r="D77" s="377"/>
      <c r="E77" s="377"/>
      <c r="F77" s="377"/>
      <c r="G77" s="377"/>
      <c r="H77" s="377"/>
      <c r="I77" s="377"/>
      <c r="J77" s="377"/>
      <c r="K77" s="377"/>
      <c r="L77" s="377"/>
      <c r="M77" s="377"/>
      <c r="N77" s="377"/>
      <c r="O77" s="377"/>
      <c r="P77" s="377"/>
      <c r="Q77" s="377"/>
      <c r="R77" s="377"/>
      <c r="S77" s="377"/>
      <c r="T77" s="377"/>
      <c r="U77" s="377"/>
      <c r="V77" s="377"/>
      <c r="W77" s="377"/>
      <c r="X77" s="377"/>
      <c r="Y77" s="377"/>
      <c r="Z77" s="377"/>
      <c r="AA77" s="377"/>
      <c r="AB77" s="377"/>
      <c r="AC77" s="377"/>
      <c r="AD77" s="377"/>
      <c r="AE77" s="377"/>
      <c r="AF77" s="377"/>
      <c r="AG77" s="377"/>
      <c r="AH77" s="377"/>
      <c r="AI77" s="377"/>
      <c r="AJ77" s="377"/>
      <c r="AK77" s="377"/>
      <c r="AL77" s="377"/>
      <c r="AM77" s="377"/>
      <c r="AN77" s="377"/>
      <c r="AO77" s="377"/>
      <c r="AP77" s="377"/>
      <c r="AQ77" s="377"/>
      <c r="AR77" s="377"/>
      <c r="AS77" s="377"/>
      <c r="AT77" s="377"/>
      <c r="AU77" s="377"/>
      <c r="AV77" s="377"/>
      <c r="AW77" s="377"/>
      <c r="AX77" s="377"/>
      <c r="AY77" s="377"/>
      <c r="AZ77" s="377"/>
      <c r="BA77" s="377"/>
      <c r="BB77" s="377"/>
      <c r="BC77" s="377"/>
      <c r="BD77" s="377"/>
      <c r="BE77" s="377"/>
      <c r="BF77" s="377"/>
      <c r="BG77" s="377"/>
      <c r="BH77" s="377"/>
      <c r="BI77" s="377"/>
      <c r="BJ77" s="377"/>
      <c r="BK77" s="377"/>
      <c r="BL77" s="377"/>
      <c r="BM77" s="377"/>
      <c r="BN77" s="377"/>
      <c r="BO77" s="377"/>
      <c r="BP77" s="377"/>
      <c r="BQ77" s="377"/>
      <c r="BR77" s="377"/>
      <c r="BS77" s="377"/>
      <c r="BT77" s="377"/>
      <c r="BU77" s="377"/>
      <c r="BV77" s="377"/>
      <c r="BW77" s="377"/>
      <c r="BX77" s="377"/>
      <c r="BY77" s="377"/>
      <c r="BZ77" s="377"/>
      <c r="CA77" s="377"/>
      <c r="CB77" s="377"/>
      <c r="CC77" s="377"/>
      <c r="CD77" s="377"/>
      <c r="CE77" s="377"/>
      <c r="CF77" s="377"/>
      <c r="CG77" s="377"/>
      <c r="CH77" s="377"/>
      <c r="CI77" s="377"/>
      <c r="CJ77" s="377"/>
      <c r="CK77" s="377"/>
      <c r="CL77" s="377"/>
      <c r="CM77" s="377"/>
      <c r="CN77" s="377"/>
      <c r="CO77" s="377"/>
      <c r="CP77" s="377"/>
      <c r="CQ77" s="377"/>
      <c r="CR77" s="377"/>
      <c r="CS77" s="377"/>
      <c r="CT77" s="377"/>
      <c r="CU77" s="377"/>
      <c r="CV77" s="377"/>
      <c r="CW77" s="377"/>
      <c r="CX77" s="377"/>
      <c r="CY77" s="377"/>
      <c r="CZ77" s="377"/>
      <c r="DA77" s="377"/>
      <c r="DB77" s="377"/>
      <c r="DC77" s="377"/>
      <c r="DD77" s="377"/>
      <c r="DE77" s="377"/>
      <c r="DF77" s="377"/>
      <c r="DG77" s="377"/>
      <c r="DH77" s="377"/>
      <c r="DI77" s="377"/>
      <c r="DJ77" s="377"/>
      <c r="DK77" s="377"/>
      <c r="DL77" s="377"/>
      <c r="DM77" s="377"/>
      <c r="DN77" s="377"/>
      <c r="DO77" s="377"/>
      <c r="DP77" s="377"/>
      <c r="DQ77" s="377"/>
      <c r="DR77" s="377"/>
      <c r="DS77" s="377"/>
      <c r="DT77" s="377"/>
      <c r="DU77" s="377"/>
      <c r="DV77" s="377"/>
      <c r="DW77" s="377"/>
      <c r="DX77" s="377"/>
      <c r="DY77" s="377"/>
      <c r="DZ77" s="377"/>
      <c r="EA77" s="377"/>
      <c r="EB77" s="377"/>
      <c r="EC77" s="377"/>
      <c r="ED77" s="377"/>
      <c r="EE77" s="377"/>
      <c r="EF77" s="377"/>
      <c r="EG77" s="377"/>
      <c r="EH77" s="377"/>
      <c r="EI77" s="377"/>
      <c r="EJ77" s="377"/>
      <c r="EK77" s="377"/>
      <c r="EL77" s="377"/>
      <c r="EM77" s="377"/>
      <c r="EN77" s="377"/>
      <c r="EO77" s="377"/>
      <c r="EP77" s="377"/>
      <c r="EQ77" s="377"/>
      <c r="ER77" s="377"/>
    </row>
    <row r="78" spans="1:14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c r="AJ78" s="377"/>
      <c r="AK78" s="377"/>
      <c r="AL78" s="377"/>
      <c r="AM78" s="377"/>
      <c r="AN78" s="377"/>
      <c r="AO78" s="377"/>
      <c r="AP78" s="377"/>
      <c r="AQ78" s="377"/>
      <c r="AR78" s="377"/>
      <c r="AS78" s="377"/>
      <c r="AT78" s="377"/>
      <c r="AU78" s="377"/>
      <c r="AV78" s="377"/>
      <c r="AW78" s="377"/>
      <c r="AX78" s="377"/>
      <c r="AY78" s="377"/>
      <c r="AZ78" s="377"/>
      <c r="BA78" s="377"/>
      <c r="BB78" s="377"/>
      <c r="BC78" s="377"/>
      <c r="BD78" s="377"/>
      <c r="BE78" s="377"/>
      <c r="BF78" s="377"/>
      <c r="BG78" s="377"/>
      <c r="BH78" s="377"/>
      <c r="BI78" s="377"/>
      <c r="BJ78" s="377"/>
      <c r="BK78" s="377"/>
      <c r="BL78" s="377"/>
      <c r="BM78" s="377"/>
      <c r="BN78" s="377"/>
      <c r="BO78" s="377"/>
      <c r="BP78" s="377"/>
      <c r="BQ78" s="377"/>
      <c r="BR78" s="377"/>
      <c r="BS78" s="377"/>
      <c r="BT78" s="377"/>
      <c r="BU78" s="377"/>
      <c r="BV78" s="377"/>
      <c r="BW78" s="377"/>
      <c r="BX78" s="377"/>
      <c r="BY78" s="377"/>
      <c r="BZ78" s="377"/>
      <c r="CA78" s="377"/>
      <c r="CB78" s="377"/>
      <c r="CC78" s="377"/>
      <c r="CD78" s="377"/>
      <c r="CE78" s="377"/>
      <c r="CF78" s="377"/>
      <c r="CG78" s="377"/>
      <c r="CH78" s="377"/>
      <c r="CI78" s="377"/>
      <c r="CJ78" s="377"/>
      <c r="CK78" s="377"/>
      <c r="CL78" s="377"/>
      <c r="CM78" s="377"/>
      <c r="CN78" s="377"/>
      <c r="CO78" s="377"/>
      <c r="CP78" s="377"/>
      <c r="CQ78" s="377"/>
      <c r="CR78" s="377"/>
      <c r="CS78" s="377"/>
      <c r="CT78" s="377"/>
      <c r="CU78" s="377"/>
      <c r="CV78" s="377"/>
      <c r="CW78" s="377"/>
      <c r="CX78" s="377"/>
      <c r="CY78" s="377"/>
      <c r="CZ78" s="377"/>
      <c r="DA78" s="377"/>
      <c r="DB78" s="377"/>
      <c r="DC78" s="377"/>
      <c r="DD78" s="377"/>
      <c r="DE78" s="377"/>
      <c r="DF78" s="377"/>
      <c r="DG78" s="377"/>
      <c r="DH78" s="377"/>
      <c r="DI78" s="377"/>
      <c r="DJ78" s="377"/>
      <c r="DK78" s="377"/>
      <c r="DL78" s="377"/>
      <c r="DM78" s="377"/>
      <c r="DN78" s="377"/>
      <c r="DO78" s="377"/>
      <c r="DP78" s="377"/>
      <c r="DQ78" s="377"/>
      <c r="DR78" s="377"/>
      <c r="DS78" s="377"/>
      <c r="DT78" s="377"/>
      <c r="DU78" s="377"/>
      <c r="DV78" s="377"/>
      <c r="DW78" s="377"/>
      <c r="DX78" s="377"/>
      <c r="DY78" s="377"/>
      <c r="DZ78" s="377"/>
      <c r="EA78" s="377"/>
      <c r="EB78" s="377"/>
      <c r="EC78" s="377"/>
      <c r="ED78" s="377"/>
      <c r="EE78" s="377"/>
      <c r="EF78" s="377"/>
      <c r="EG78" s="377"/>
      <c r="EH78" s="377"/>
      <c r="EI78" s="377"/>
      <c r="EJ78" s="377"/>
      <c r="EK78" s="377"/>
      <c r="EL78" s="377"/>
      <c r="EM78" s="377"/>
      <c r="EN78" s="377"/>
      <c r="EO78" s="377"/>
      <c r="EP78" s="377"/>
      <c r="EQ78" s="377"/>
      <c r="ER78" s="377"/>
    </row>
    <row r="79" spans="1:149">
      <c r="D79" s="377"/>
      <c r="E79" s="377"/>
      <c r="F79" s="377"/>
      <c r="G79" s="377"/>
      <c r="H79" s="377"/>
      <c r="I79" s="377"/>
      <c r="J79" s="377"/>
      <c r="K79" s="377"/>
      <c r="L79" s="377"/>
      <c r="M79" s="377"/>
      <c r="N79" s="377"/>
      <c r="O79" s="377"/>
      <c r="P79" s="377"/>
      <c r="Q79" s="377"/>
      <c r="R79" s="377"/>
      <c r="S79" s="377"/>
      <c r="T79" s="377"/>
      <c r="U79" s="377"/>
      <c r="V79" s="377"/>
      <c r="W79" s="377"/>
      <c r="X79" s="377"/>
      <c r="Y79" s="377"/>
      <c r="Z79" s="377"/>
      <c r="AA79" s="377"/>
      <c r="AB79" s="377"/>
      <c r="AC79" s="377"/>
      <c r="AD79" s="377"/>
      <c r="AE79" s="377"/>
      <c r="AF79" s="377"/>
      <c r="AG79" s="377"/>
      <c r="AH79" s="377"/>
      <c r="AI79" s="377"/>
      <c r="AJ79" s="377"/>
      <c r="AK79" s="377"/>
      <c r="AL79" s="377"/>
      <c r="AM79" s="377"/>
      <c r="AN79" s="377"/>
      <c r="AO79" s="377"/>
      <c r="AP79" s="377"/>
      <c r="AQ79" s="377"/>
      <c r="AR79" s="377"/>
      <c r="AS79" s="377"/>
      <c r="AT79" s="377"/>
      <c r="AU79" s="377"/>
      <c r="AV79" s="377"/>
      <c r="AW79" s="377"/>
      <c r="AX79" s="377"/>
      <c r="AY79" s="377"/>
      <c r="AZ79" s="377"/>
      <c r="BA79" s="377"/>
      <c r="BB79" s="377"/>
      <c r="BC79" s="377"/>
      <c r="BD79" s="377"/>
      <c r="BE79" s="377"/>
      <c r="BF79" s="377"/>
      <c r="BG79" s="377"/>
      <c r="BH79" s="377"/>
      <c r="BI79" s="377"/>
      <c r="BJ79" s="377"/>
      <c r="BK79" s="377"/>
      <c r="BL79" s="377"/>
      <c r="BM79" s="377"/>
      <c r="BN79" s="377"/>
      <c r="BO79" s="377"/>
      <c r="BP79" s="377"/>
      <c r="BQ79" s="377"/>
      <c r="BR79" s="377"/>
      <c r="BS79" s="377"/>
      <c r="BT79" s="377"/>
      <c r="BU79" s="377"/>
      <c r="BV79" s="377"/>
      <c r="BW79" s="377"/>
      <c r="BX79" s="377"/>
      <c r="BY79" s="377"/>
      <c r="BZ79" s="377"/>
      <c r="CA79" s="377"/>
      <c r="CB79" s="377"/>
      <c r="CC79" s="377"/>
      <c r="CD79" s="377"/>
      <c r="CE79" s="377"/>
      <c r="CF79" s="377"/>
      <c r="CG79" s="377"/>
      <c r="CH79" s="377"/>
      <c r="CI79" s="377"/>
      <c r="CJ79" s="377"/>
      <c r="CK79" s="377"/>
      <c r="CL79" s="377"/>
      <c r="CM79" s="377"/>
      <c r="CN79" s="377"/>
      <c r="CO79" s="377"/>
      <c r="CP79" s="377"/>
      <c r="CQ79" s="377"/>
      <c r="CR79" s="377"/>
      <c r="CS79" s="377"/>
      <c r="CT79" s="377"/>
      <c r="CU79" s="377"/>
      <c r="CV79" s="377"/>
      <c r="CW79" s="377"/>
      <c r="CX79" s="377"/>
      <c r="CY79" s="377"/>
      <c r="CZ79" s="377"/>
      <c r="DA79" s="377"/>
      <c r="DB79" s="377"/>
      <c r="DC79" s="377"/>
      <c r="DD79" s="377"/>
      <c r="DE79" s="377"/>
      <c r="DF79" s="377"/>
      <c r="DG79" s="377"/>
      <c r="DH79" s="377"/>
      <c r="DI79" s="377"/>
      <c r="DJ79" s="377"/>
      <c r="DK79" s="377"/>
      <c r="DL79" s="377"/>
      <c r="DM79" s="377"/>
      <c r="DN79" s="377"/>
      <c r="DO79" s="377"/>
      <c r="DP79" s="377"/>
      <c r="DQ79" s="377"/>
      <c r="DR79" s="377"/>
      <c r="DS79" s="377"/>
      <c r="DT79" s="377"/>
      <c r="DU79" s="377"/>
      <c r="DV79" s="377"/>
      <c r="DW79" s="377"/>
      <c r="DX79" s="377"/>
      <c r="DY79" s="377"/>
      <c r="DZ79" s="377"/>
      <c r="EA79" s="377"/>
      <c r="EB79" s="377"/>
      <c r="EC79" s="377"/>
      <c r="ED79" s="377"/>
      <c r="EE79" s="377"/>
      <c r="EF79" s="377"/>
      <c r="EG79" s="377"/>
      <c r="EH79" s="377"/>
      <c r="EI79" s="377"/>
      <c r="EJ79" s="377"/>
      <c r="EK79" s="377"/>
      <c r="EL79" s="377"/>
      <c r="EM79" s="377"/>
      <c r="EN79" s="377"/>
      <c r="EO79" s="377"/>
      <c r="EP79" s="377"/>
      <c r="EQ79" s="377"/>
      <c r="ER79" s="377"/>
    </row>
    <row r="80" spans="1:149">
      <c r="D80" s="377"/>
      <c r="E80" s="377"/>
      <c r="F80" s="377"/>
      <c r="G80" s="377"/>
      <c r="H80" s="377"/>
      <c r="I80" s="377"/>
      <c r="J80" s="377"/>
      <c r="K80" s="377"/>
      <c r="L80" s="377"/>
      <c r="M80" s="377"/>
      <c r="N80" s="377"/>
      <c r="O80" s="377"/>
      <c r="P80" s="377"/>
      <c r="Q80" s="377"/>
      <c r="R80" s="377"/>
      <c r="S80" s="377"/>
      <c r="T80" s="377"/>
      <c r="U80" s="377"/>
      <c r="V80" s="377"/>
      <c r="W80" s="377"/>
      <c r="X80" s="377"/>
      <c r="Y80" s="377"/>
      <c r="Z80" s="377"/>
      <c r="AA80" s="377"/>
      <c r="AB80" s="377"/>
      <c r="AC80" s="377"/>
      <c r="AD80" s="377"/>
      <c r="AE80" s="377"/>
      <c r="AF80" s="377"/>
      <c r="AG80" s="377"/>
      <c r="AH80" s="377"/>
      <c r="AI80" s="377"/>
      <c r="AJ80" s="377"/>
      <c r="AK80" s="377"/>
      <c r="AL80" s="377"/>
      <c r="AM80" s="377"/>
      <c r="AN80" s="377"/>
      <c r="AO80" s="377"/>
      <c r="AP80" s="377"/>
      <c r="AQ80" s="377"/>
      <c r="AR80" s="377"/>
      <c r="AS80" s="377"/>
      <c r="AT80" s="377"/>
      <c r="AU80" s="377"/>
      <c r="AV80" s="377"/>
      <c r="AW80" s="377"/>
      <c r="AX80" s="377"/>
      <c r="AY80" s="377"/>
      <c r="AZ80" s="377"/>
      <c r="BA80" s="377"/>
      <c r="BB80" s="377"/>
      <c r="BC80" s="377"/>
      <c r="BD80" s="377"/>
      <c r="BE80" s="377"/>
      <c r="BF80" s="377"/>
      <c r="BG80" s="377"/>
      <c r="BH80" s="377"/>
      <c r="BI80" s="377"/>
      <c r="BJ80" s="377"/>
      <c r="BK80" s="377"/>
      <c r="BL80" s="377"/>
      <c r="BM80" s="377"/>
      <c r="BN80" s="377"/>
      <c r="BO80" s="377"/>
      <c r="BP80" s="377"/>
      <c r="BQ80" s="377"/>
      <c r="BR80" s="377"/>
      <c r="BS80" s="377"/>
      <c r="BT80" s="377"/>
      <c r="BU80" s="377"/>
      <c r="BV80" s="377"/>
      <c r="BW80" s="377"/>
      <c r="BX80" s="377"/>
      <c r="BY80" s="377"/>
      <c r="BZ80" s="377"/>
      <c r="CA80" s="377"/>
      <c r="CB80" s="377"/>
      <c r="CC80" s="377"/>
      <c r="CD80" s="377"/>
      <c r="CE80" s="377"/>
      <c r="CF80" s="377"/>
      <c r="CG80" s="377"/>
      <c r="CH80" s="377"/>
      <c r="CI80" s="377"/>
      <c r="CJ80" s="377"/>
      <c r="CK80" s="377"/>
      <c r="CL80" s="377"/>
      <c r="CM80" s="377"/>
      <c r="CN80" s="377"/>
      <c r="CO80" s="377"/>
      <c r="CP80" s="377"/>
      <c r="CQ80" s="377"/>
      <c r="CR80" s="377"/>
      <c r="CS80" s="377"/>
      <c r="CT80" s="377"/>
      <c r="CU80" s="377"/>
      <c r="CV80" s="377"/>
      <c r="CW80" s="377"/>
      <c r="CX80" s="377"/>
      <c r="CY80" s="377"/>
      <c r="CZ80" s="377"/>
      <c r="DA80" s="377"/>
      <c r="DB80" s="377"/>
      <c r="DC80" s="377"/>
      <c r="DD80" s="377"/>
      <c r="DE80" s="377"/>
      <c r="DF80" s="377"/>
      <c r="DG80" s="377"/>
      <c r="DH80" s="377"/>
      <c r="DI80" s="377"/>
      <c r="DJ80" s="377"/>
      <c r="DK80" s="377"/>
      <c r="DL80" s="377"/>
      <c r="DM80" s="377"/>
      <c r="DN80" s="377"/>
      <c r="DO80" s="377"/>
      <c r="DP80" s="377"/>
      <c r="DQ80" s="377"/>
      <c r="DR80" s="377"/>
      <c r="DS80" s="377"/>
      <c r="DT80" s="377"/>
      <c r="DU80" s="377"/>
      <c r="DV80" s="377"/>
      <c r="DW80" s="377"/>
      <c r="DX80" s="377"/>
      <c r="DY80" s="377"/>
      <c r="DZ80" s="377"/>
      <c r="EA80" s="377"/>
      <c r="EB80" s="377"/>
      <c r="EC80" s="377"/>
      <c r="ED80" s="377"/>
      <c r="EE80" s="377"/>
      <c r="EF80" s="377"/>
      <c r="EG80" s="377"/>
      <c r="EH80" s="377"/>
      <c r="EI80" s="377"/>
      <c r="EJ80" s="377"/>
      <c r="EK80" s="377"/>
      <c r="EL80" s="377"/>
      <c r="EM80" s="377"/>
      <c r="EN80" s="377"/>
      <c r="EO80" s="377"/>
      <c r="EP80" s="377"/>
      <c r="EQ80" s="377"/>
      <c r="ER80" s="377"/>
    </row>
    <row r="81" spans="4:148">
      <c r="D81" s="377"/>
      <c r="E81" s="377"/>
      <c r="F81" s="377"/>
      <c r="G81" s="377"/>
      <c r="H81" s="377"/>
      <c r="I81" s="377"/>
      <c r="J81" s="377"/>
      <c r="K81" s="377"/>
      <c r="L81" s="377"/>
      <c r="M81" s="377"/>
      <c r="N81" s="377"/>
      <c r="O81" s="377"/>
      <c r="P81" s="377"/>
      <c r="Q81" s="377"/>
      <c r="R81" s="377"/>
      <c r="S81" s="377"/>
      <c r="T81" s="377"/>
      <c r="U81" s="377"/>
      <c r="V81" s="377"/>
      <c r="W81" s="377"/>
      <c r="X81" s="377"/>
      <c r="Y81" s="377"/>
      <c r="Z81" s="377"/>
      <c r="AA81" s="377"/>
      <c r="AB81" s="377"/>
      <c r="AC81" s="377"/>
      <c r="AD81" s="377"/>
      <c r="AE81" s="377"/>
      <c r="AF81" s="377"/>
      <c r="AG81" s="377"/>
      <c r="AH81" s="377"/>
      <c r="AI81" s="377"/>
      <c r="AJ81" s="377"/>
      <c r="AK81" s="377"/>
      <c r="AL81" s="377"/>
      <c r="AM81" s="377"/>
      <c r="AN81" s="377"/>
      <c r="AO81" s="377"/>
      <c r="AP81" s="377"/>
      <c r="AQ81" s="377"/>
      <c r="AR81" s="377"/>
      <c r="AS81" s="377"/>
      <c r="AT81" s="377"/>
      <c r="AU81" s="377"/>
      <c r="AV81" s="377"/>
      <c r="AW81" s="377"/>
      <c r="AX81" s="377"/>
      <c r="AY81" s="377"/>
      <c r="AZ81" s="377"/>
      <c r="BA81" s="377"/>
      <c r="BB81" s="377"/>
      <c r="BC81" s="377"/>
      <c r="BD81" s="377"/>
      <c r="BE81" s="377"/>
      <c r="BF81" s="377"/>
      <c r="BG81" s="377"/>
      <c r="BH81" s="377"/>
      <c r="BI81" s="377"/>
      <c r="BJ81" s="377"/>
      <c r="BK81" s="377"/>
      <c r="BL81" s="377"/>
      <c r="BM81" s="377"/>
      <c r="BN81" s="377"/>
      <c r="BO81" s="377"/>
      <c r="BP81" s="377"/>
      <c r="BQ81" s="377"/>
      <c r="BR81" s="377"/>
      <c r="BS81" s="377"/>
      <c r="BT81" s="377"/>
      <c r="BU81" s="377"/>
      <c r="BV81" s="377"/>
      <c r="BW81" s="377"/>
      <c r="BX81" s="377"/>
      <c r="BY81" s="377"/>
      <c r="BZ81" s="377"/>
      <c r="CA81" s="377"/>
      <c r="CB81" s="377"/>
      <c r="CC81" s="377"/>
      <c r="CD81" s="377"/>
      <c r="CE81" s="377"/>
      <c r="CF81" s="377"/>
      <c r="CG81" s="377"/>
      <c r="CH81" s="377"/>
      <c r="CI81" s="377"/>
      <c r="CJ81" s="377"/>
      <c r="CK81" s="377"/>
      <c r="CL81" s="377"/>
      <c r="CM81" s="377"/>
      <c r="CN81" s="377"/>
      <c r="CO81" s="377"/>
      <c r="CP81" s="377"/>
      <c r="CQ81" s="377"/>
      <c r="CR81" s="377"/>
      <c r="CS81" s="377"/>
      <c r="CT81" s="377"/>
      <c r="CU81" s="377"/>
      <c r="CV81" s="377"/>
      <c r="CW81" s="377"/>
      <c r="CX81" s="377"/>
      <c r="CY81" s="377"/>
      <c r="CZ81" s="377"/>
      <c r="DA81" s="377"/>
      <c r="DB81" s="377"/>
      <c r="DC81" s="377"/>
      <c r="DD81" s="377"/>
      <c r="DE81" s="377"/>
      <c r="DF81" s="377"/>
      <c r="DG81" s="377"/>
      <c r="DH81" s="377"/>
      <c r="DI81" s="377"/>
      <c r="DJ81" s="377"/>
      <c r="DK81" s="377"/>
      <c r="DL81" s="377"/>
      <c r="DM81" s="377"/>
      <c r="DN81" s="377"/>
      <c r="DO81" s="377"/>
      <c r="DP81" s="377"/>
      <c r="DQ81" s="377"/>
      <c r="DR81" s="377"/>
      <c r="DS81" s="377"/>
      <c r="DT81" s="377"/>
      <c r="DU81" s="377"/>
      <c r="DV81" s="377"/>
      <c r="DW81" s="377"/>
      <c r="DX81" s="377"/>
      <c r="DY81" s="377"/>
      <c r="DZ81" s="377"/>
      <c r="EA81" s="377"/>
      <c r="EB81" s="377"/>
      <c r="EC81" s="377"/>
      <c r="ED81" s="377"/>
      <c r="EE81" s="377"/>
      <c r="EF81" s="377"/>
      <c r="EG81" s="377"/>
      <c r="EH81" s="377"/>
      <c r="EI81" s="377"/>
      <c r="EJ81" s="377"/>
      <c r="EK81" s="377"/>
      <c r="EL81" s="377"/>
      <c r="EM81" s="377"/>
      <c r="EN81" s="377"/>
      <c r="EO81" s="377"/>
      <c r="EP81" s="377"/>
      <c r="EQ81" s="377"/>
      <c r="ER81" s="377"/>
    </row>
    <row r="82" spans="4:148">
      <c r="D82" s="377"/>
      <c r="E82" s="377"/>
      <c r="F82" s="377"/>
      <c r="G82" s="377"/>
      <c r="H82" s="377"/>
      <c r="I82" s="377"/>
      <c r="J82" s="377"/>
      <c r="K82" s="377"/>
      <c r="L82" s="377"/>
      <c r="M82" s="377"/>
      <c r="N82" s="377"/>
      <c r="O82" s="377"/>
      <c r="P82" s="377"/>
      <c r="Q82" s="377"/>
      <c r="R82" s="377"/>
      <c r="S82" s="377"/>
      <c r="T82" s="377"/>
      <c r="U82" s="377"/>
      <c r="V82" s="377"/>
      <c r="W82" s="377"/>
      <c r="X82" s="377"/>
      <c r="Y82" s="377"/>
      <c r="Z82" s="377"/>
      <c r="AA82" s="377"/>
      <c r="AB82" s="377"/>
      <c r="AC82" s="377"/>
      <c r="AD82" s="377"/>
      <c r="AE82" s="377"/>
      <c r="AF82" s="377"/>
      <c r="AG82" s="377"/>
      <c r="AH82" s="377"/>
      <c r="AI82" s="377"/>
      <c r="AJ82" s="377"/>
      <c r="AK82" s="377"/>
      <c r="AL82" s="377"/>
      <c r="AM82" s="377"/>
      <c r="AN82" s="377"/>
      <c r="AO82" s="377"/>
      <c r="AP82" s="377"/>
      <c r="AQ82" s="377"/>
      <c r="AR82" s="377"/>
      <c r="AS82" s="377"/>
      <c r="AT82" s="377"/>
      <c r="AU82" s="377"/>
      <c r="AV82" s="377"/>
      <c r="AW82" s="377"/>
      <c r="AX82" s="377"/>
      <c r="AY82" s="377"/>
      <c r="AZ82" s="377"/>
      <c r="BA82" s="377"/>
      <c r="BB82" s="377"/>
      <c r="BC82" s="377"/>
      <c r="BD82" s="377"/>
      <c r="BE82" s="377"/>
      <c r="BF82" s="377"/>
      <c r="BG82" s="377"/>
      <c r="BH82" s="377"/>
      <c r="BI82" s="377"/>
      <c r="BJ82" s="377"/>
      <c r="BK82" s="377"/>
      <c r="BL82" s="377"/>
      <c r="BM82" s="377"/>
      <c r="BN82" s="377"/>
      <c r="BO82" s="377"/>
      <c r="BP82" s="377"/>
      <c r="BQ82" s="377"/>
      <c r="BR82" s="377"/>
      <c r="BS82" s="377"/>
      <c r="BT82" s="377"/>
      <c r="BU82" s="377"/>
      <c r="BV82" s="377"/>
      <c r="BW82" s="377"/>
      <c r="BX82" s="377"/>
      <c r="BY82" s="377"/>
      <c r="BZ82" s="377"/>
      <c r="CA82" s="377"/>
      <c r="CB82" s="377"/>
      <c r="CC82" s="377"/>
      <c r="CD82" s="377"/>
      <c r="CE82" s="377"/>
      <c r="CF82" s="377"/>
      <c r="CG82" s="377"/>
      <c r="CH82" s="377"/>
      <c r="CI82" s="377"/>
      <c r="CJ82" s="377"/>
      <c r="CK82" s="377"/>
      <c r="CL82" s="377"/>
      <c r="CM82" s="377"/>
      <c r="CN82" s="377"/>
      <c r="CO82" s="377"/>
      <c r="CP82" s="377"/>
      <c r="CQ82" s="377"/>
      <c r="CR82" s="377"/>
      <c r="CS82" s="377"/>
      <c r="CT82" s="377"/>
      <c r="CU82" s="377"/>
      <c r="CV82" s="377"/>
      <c r="CW82" s="377"/>
      <c r="CX82" s="377"/>
      <c r="CY82" s="377"/>
      <c r="CZ82" s="377"/>
      <c r="DA82" s="377"/>
      <c r="DB82" s="377"/>
      <c r="DC82" s="377"/>
      <c r="DD82" s="377"/>
      <c r="DE82" s="377"/>
      <c r="DF82" s="377"/>
      <c r="DG82" s="377"/>
      <c r="DH82" s="377"/>
      <c r="DI82" s="377"/>
      <c r="DJ82" s="377"/>
      <c r="DK82" s="377"/>
      <c r="DL82" s="377"/>
      <c r="DM82" s="377"/>
      <c r="DN82" s="377"/>
      <c r="DO82" s="377"/>
      <c r="DP82" s="377"/>
      <c r="DQ82" s="377"/>
      <c r="DR82" s="377"/>
      <c r="DS82" s="377"/>
      <c r="DT82" s="377"/>
      <c r="DU82" s="377"/>
      <c r="DV82" s="377"/>
      <c r="DW82" s="377"/>
      <c r="DX82" s="377"/>
      <c r="DY82" s="377"/>
      <c r="DZ82" s="377"/>
      <c r="EA82" s="377"/>
      <c r="EB82" s="377"/>
      <c r="EC82" s="377"/>
      <c r="ED82" s="377"/>
      <c r="EE82" s="377"/>
      <c r="EF82" s="377"/>
      <c r="EG82" s="377"/>
      <c r="EH82" s="377"/>
      <c r="EI82" s="377"/>
      <c r="EJ82" s="377"/>
      <c r="EK82" s="377"/>
      <c r="EL82" s="377"/>
      <c r="EM82" s="377"/>
      <c r="EN82" s="377"/>
      <c r="EO82" s="377"/>
      <c r="EP82" s="377"/>
      <c r="EQ82" s="377"/>
      <c r="ER82" s="377"/>
    </row>
    <row r="83" spans="4:148">
      <c r="D83" s="377"/>
      <c r="E83" s="377"/>
      <c r="F83" s="377"/>
      <c r="G83" s="377"/>
      <c r="H83" s="377"/>
      <c r="I83" s="377"/>
      <c r="J83" s="377"/>
      <c r="K83" s="377"/>
      <c r="L83" s="377"/>
      <c r="M83" s="377"/>
      <c r="N83" s="377"/>
      <c r="O83" s="377"/>
      <c r="P83" s="377"/>
      <c r="Q83" s="377"/>
      <c r="R83" s="377"/>
      <c r="S83" s="377"/>
      <c r="T83" s="377"/>
      <c r="U83" s="377"/>
      <c r="V83" s="377"/>
      <c r="W83" s="377"/>
      <c r="X83" s="377"/>
      <c r="Y83" s="377"/>
      <c r="Z83" s="377"/>
      <c r="AA83" s="377"/>
      <c r="AB83" s="377"/>
      <c r="AC83" s="377"/>
      <c r="AD83" s="377"/>
      <c r="AE83" s="377"/>
      <c r="AF83" s="377"/>
      <c r="AG83" s="377"/>
      <c r="AH83" s="377"/>
      <c r="AI83" s="377"/>
      <c r="AJ83" s="377"/>
      <c r="AK83" s="377"/>
      <c r="AL83" s="377"/>
      <c r="AM83" s="377"/>
      <c r="AN83" s="377"/>
      <c r="AO83" s="377"/>
      <c r="AP83" s="377"/>
      <c r="AQ83" s="377"/>
      <c r="AR83" s="377"/>
      <c r="AS83" s="377"/>
      <c r="AT83" s="377"/>
      <c r="AU83" s="377"/>
      <c r="AV83" s="377"/>
      <c r="AW83" s="377"/>
      <c r="AX83" s="377"/>
      <c r="AY83" s="377"/>
      <c r="AZ83" s="377"/>
      <c r="BA83" s="377"/>
      <c r="BB83" s="377"/>
      <c r="BC83" s="377"/>
      <c r="BD83" s="377"/>
      <c r="BE83" s="377"/>
      <c r="BF83" s="377"/>
      <c r="BG83" s="377"/>
      <c r="BH83" s="377"/>
      <c r="BI83" s="377"/>
      <c r="BJ83" s="377"/>
      <c r="BK83" s="377"/>
      <c r="BL83" s="377"/>
      <c r="BM83" s="377"/>
      <c r="BN83" s="377"/>
      <c r="BO83" s="377"/>
      <c r="BP83" s="377"/>
      <c r="BQ83" s="377"/>
      <c r="BR83" s="377"/>
      <c r="BS83" s="377"/>
      <c r="BT83" s="377"/>
      <c r="BU83" s="377"/>
      <c r="BV83" s="377"/>
      <c r="BW83" s="377"/>
      <c r="BX83" s="377"/>
      <c r="BY83" s="377"/>
      <c r="BZ83" s="377"/>
      <c r="CA83" s="377"/>
      <c r="CB83" s="377"/>
      <c r="CC83" s="377"/>
      <c r="CD83" s="377"/>
      <c r="CE83" s="377"/>
      <c r="CF83" s="377"/>
      <c r="CG83" s="377"/>
      <c r="CH83" s="377"/>
      <c r="CI83" s="377"/>
      <c r="CJ83" s="377"/>
      <c r="CK83" s="377"/>
      <c r="CL83" s="377"/>
      <c r="CM83" s="377"/>
      <c r="CN83" s="377"/>
      <c r="CO83" s="377"/>
      <c r="CP83" s="377"/>
      <c r="CQ83" s="377"/>
      <c r="CR83" s="377"/>
      <c r="CS83" s="377"/>
      <c r="CT83" s="377"/>
      <c r="CU83" s="377"/>
      <c r="CV83" s="377"/>
      <c r="CW83" s="377"/>
      <c r="CX83" s="377"/>
      <c r="CY83" s="377"/>
      <c r="CZ83" s="377"/>
      <c r="DA83" s="377"/>
      <c r="DB83" s="377"/>
      <c r="DC83" s="377"/>
      <c r="DD83" s="377"/>
      <c r="DE83" s="377"/>
      <c r="DF83" s="377"/>
      <c r="DG83" s="377"/>
      <c r="DH83" s="377"/>
      <c r="DI83" s="377"/>
      <c r="DJ83" s="377"/>
      <c r="DK83" s="377"/>
      <c r="DL83" s="377"/>
      <c r="DM83" s="377"/>
      <c r="DN83" s="377"/>
      <c r="DO83" s="377"/>
      <c r="DP83" s="377"/>
      <c r="DQ83" s="377"/>
      <c r="DR83" s="377"/>
      <c r="DS83" s="377"/>
      <c r="DT83" s="377"/>
      <c r="DU83" s="377"/>
      <c r="DV83" s="377"/>
      <c r="DW83" s="377"/>
      <c r="DX83" s="377"/>
      <c r="DY83" s="377"/>
      <c r="DZ83" s="377"/>
      <c r="EA83" s="377"/>
      <c r="EB83" s="377"/>
      <c r="EC83" s="377"/>
      <c r="ED83" s="377"/>
      <c r="EE83" s="377"/>
      <c r="EF83" s="377"/>
      <c r="EG83" s="377"/>
      <c r="EH83" s="377"/>
      <c r="EI83" s="377"/>
      <c r="EJ83" s="377"/>
      <c r="EK83" s="377"/>
      <c r="EL83" s="377"/>
      <c r="EM83" s="377"/>
      <c r="EN83" s="377"/>
      <c r="EO83" s="377"/>
      <c r="EP83" s="377"/>
      <c r="EQ83" s="377"/>
      <c r="ER83" s="377"/>
    </row>
    <row r="84" spans="4:148">
      <c r="D84" s="377"/>
      <c r="E84" s="377"/>
      <c r="F84" s="377"/>
      <c r="G84" s="377"/>
      <c r="H84" s="377"/>
      <c r="I84" s="377"/>
      <c r="J84" s="377"/>
      <c r="K84" s="377"/>
      <c r="L84" s="377"/>
      <c r="M84" s="377"/>
      <c r="N84" s="377"/>
      <c r="O84" s="377"/>
      <c r="P84" s="377"/>
      <c r="Q84" s="377"/>
      <c r="R84" s="377"/>
      <c r="S84" s="377"/>
      <c r="T84" s="377"/>
      <c r="U84" s="377"/>
      <c r="V84" s="377"/>
      <c r="W84" s="377"/>
      <c r="X84" s="377"/>
      <c r="Y84" s="377"/>
      <c r="Z84" s="377"/>
      <c r="AA84" s="377"/>
      <c r="AB84" s="377"/>
      <c r="AC84" s="377"/>
      <c r="AD84" s="377"/>
      <c r="AE84" s="377"/>
      <c r="AF84" s="377"/>
      <c r="AG84" s="377"/>
      <c r="AH84" s="377"/>
      <c r="AI84" s="377"/>
      <c r="AJ84" s="377"/>
      <c r="AK84" s="377"/>
      <c r="AL84" s="377"/>
      <c r="AM84" s="377"/>
      <c r="AN84" s="377"/>
      <c r="AO84" s="377"/>
      <c r="AP84" s="377"/>
      <c r="AQ84" s="377"/>
      <c r="AR84" s="377"/>
      <c r="AS84" s="377"/>
      <c r="AT84" s="377"/>
      <c r="AU84" s="377"/>
      <c r="AV84" s="377"/>
      <c r="AW84" s="377"/>
      <c r="AX84" s="377"/>
      <c r="AY84" s="377"/>
      <c r="AZ84" s="377"/>
      <c r="BA84" s="377"/>
      <c r="BB84" s="377"/>
      <c r="BC84" s="377"/>
      <c r="BD84" s="377"/>
      <c r="BE84" s="377"/>
      <c r="BF84" s="377"/>
      <c r="BG84" s="377"/>
      <c r="BH84" s="377"/>
      <c r="BI84" s="377"/>
      <c r="BJ84" s="377"/>
      <c r="BK84" s="377"/>
      <c r="BL84" s="377"/>
      <c r="BM84" s="377"/>
      <c r="BN84" s="377"/>
      <c r="BO84" s="377"/>
      <c r="BP84" s="377"/>
      <c r="BQ84" s="377"/>
      <c r="BR84" s="377"/>
      <c r="BS84" s="377"/>
      <c r="BT84" s="377"/>
      <c r="BU84" s="377"/>
      <c r="BV84" s="377"/>
      <c r="BW84" s="377"/>
      <c r="BX84" s="377"/>
      <c r="BY84" s="377"/>
      <c r="BZ84" s="377"/>
      <c r="CA84" s="377"/>
      <c r="CB84" s="377"/>
      <c r="CC84" s="377"/>
      <c r="CD84" s="377"/>
      <c r="CE84" s="377"/>
      <c r="CF84" s="377"/>
      <c r="CG84" s="377"/>
      <c r="CH84" s="377"/>
      <c r="CI84" s="377"/>
      <c r="CJ84" s="377"/>
      <c r="CK84" s="377"/>
      <c r="CL84" s="377"/>
      <c r="CM84" s="377"/>
      <c r="CN84" s="377"/>
      <c r="CO84" s="377"/>
      <c r="CP84" s="377"/>
      <c r="CQ84" s="377"/>
      <c r="CR84" s="377"/>
      <c r="CS84" s="377"/>
      <c r="CT84" s="377"/>
      <c r="CU84" s="377"/>
      <c r="CV84" s="377"/>
      <c r="CW84" s="377"/>
      <c r="CX84" s="377"/>
      <c r="CY84" s="377"/>
      <c r="CZ84" s="377"/>
      <c r="DA84" s="377"/>
      <c r="DB84" s="377"/>
      <c r="DC84" s="377"/>
      <c r="DD84" s="377"/>
      <c r="DE84" s="377"/>
      <c r="DF84" s="377"/>
      <c r="DG84" s="377"/>
      <c r="DH84" s="377"/>
      <c r="DI84" s="377"/>
      <c r="DJ84" s="377"/>
      <c r="DK84" s="377"/>
      <c r="DL84" s="377"/>
      <c r="DM84" s="377"/>
      <c r="DN84" s="377"/>
      <c r="DO84" s="377"/>
      <c r="DP84" s="377"/>
      <c r="DQ84" s="377"/>
      <c r="DR84" s="377"/>
      <c r="DS84" s="377"/>
      <c r="DT84" s="377"/>
      <c r="DU84" s="377"/>
      <c r="DV84" s="377"/>
      <c r="DW84" s="377"/>
      <c r="DX84" s="377"/>
      <c r="DY84" s="377"/>
      <c r="DZ84" s="377"/>
      <c r="EA84" s="377"/>
      <c r="EB84" s="377"/>
      <c r="EC84" s="377"/>
      <c r="ED84" s="377"/>
      <c r="EE84" s="377"/>
      <c r="EF84" s="377"/>
      <c r="EG84" s="377"/>
      <c r="EH84" s="377"/>
      <c r="EI84" s="377"/>
      <c r="EJ84" s="377"/>
      <c r="EK84" s="377"/>
      <c r="EL84" s="377"/>
      <c r="EM84" s="377"/>
      <c r="EN84" s="377"/>
      <c r="EO84" s="377"/>
      <c r="EP84" s="377"/>
      <c r="EQ84" s="377"/>
      <c r="ER84" s="377"/>
    </row>
    <row r="85" spans="4:148">
      <c r="D85" s="377"/>
      <c r="E85" s="377"/>
      <c r="F85" s="377"/>
      <c r="G85" s="377"/>
      <c r="H85" s="377"/>
      <c r="I85" s="377"/>
      <c r="J85" s="377"/>
      <c r="K85" s="377"/>
      <c r="L85" s="377"/>
      <c r="M85" s="377"/>
      <c r="N85" s="377"/>
      <c r="O85" s="377"/>
      <c r="P85" s="377"/>
      <c r="Q85" s="377"/>
      <c r="R85" s="377"/>
      <c r="S85" s="377"/>
      <c r="T85" s="377"/>
      <c r="U85" s="377"/>
      <c r="V85" s="377"/>
      <c r="W85" s="377"/>
      <c r="X85" s="377"/>
      <c r="Y85" s="377"/>
      <c r="Z85" s="377"/>
      <c r="AA85" s="377"/>
      <c r="AB85" s="377"/>
      <c r="AC85" s="377"/>
      <c r="AD85" s="377"/>
      <c r="AE85" s="377"/>
      <c r="AF85" s="377"/>
      <c r="AG85" s="377"/>
      <c r="AH85" s="377"/>
      <c r="AI85" s="377"/>
      <c r="AJ85" s="377"/>
      <c r="AK85" s="377"/>
      <c r="AL85" s="377"/>
      <c r="AM85" s="377"/>
      <c r="AN85" s="377"/>
      <c r="AO85" s="377"/>
      <c r="AP85" s="377"/>
      <c r="AQ85" s="377"/>
      <c r="AR85" s="377"/>
      <c r="AS85" s="377"/>
      <c r="AT85" s="377"/>
      <c r="AU85" s="377"/>
      <c r="AV85" s="377"/>
      <c r="AW85" s="377"/>
      <c r="AX85" s="377"/>
      <c r="AY85" s="377"/>
      <c r="AZ85" s="377"/>
      <c r="BA85" s="377"/>
      <c r="BB85" s="377"/>
      <c r="BC85" s="377"/>
      <c r="BD85" s="377"/>
      <c r="BE85" s="377"/>
      <c r="BF85" s="377"/>
      <c r="BG85" s="377"/>
      <c r="BH85" s="377"/>
      <c r="BI85" s="377"/>
      <c r="BJ85" s="377"/>
      <c r="BK85" s="377"/>
      <c r="BL85" s="377"/>
      <c r="BM85" s="377"/>
      <c r="BN85" s="377"/>
      <c r="BO85" s="377"/>
      <c r="BP85" s="377"/>
      <c r="BQ85" s="377"/>
      <c r="BR85" s="377"/>
      <c r="BS85" s="377"/>
      <c r="BT85" s="377"/>
      <c r="BU85" s="377"/>
      <c r="BV85" s="377"/>
      <c r="BW85" s="377"/>
      <c r="BX85" s="377"/>
      <c r="BY85" s="377"/>
      <c r="BZ85" s="377"/>
      <c r="CA85" s="377"/>
      <c r="CB85" s="377"/>
      <c r="CC85" s="377"/>
      <c r="CD85" s="377"/>
      <c r="CE85" s="377"/>
      <c r="CF85" s="377"/>
      <c r="CG85" s="377"/>
      <c r="CH85" s="377"/>
      <c r="CI85" s="377"/>
      <c r="CJ85" s="377"/>
      <c r="CK85" s="377"/>
      <c r="CL85" s="377"/>
      <c r="CM85" s="377"/>
      <c r="CN85" s="377"/>
      <c r="CO85" s="377"/>
      <c r="CP85" s="377"/>
      <c r="CQ85" s="377"/>
      <c r="CR85" s="377"/>
      <c r="CS85" s="377"/>
      <c r="CT85" s="377"/>
      <c r="CU85" s="377"/>
      <c r="CV85" s="377"/>
      <c r="CW85" s="377"/>
      <c r="CX85" s="377"/>
      <c r="CY85" s="377"/>
      <c r="CZ85" s="377"/>
      <c r="DA85" s="377"/>
      <c r="DB85" s="377"/>
      <c r="DC85" s="377"/>
      <c r="DD85" s="377"/>
      <c r="DE85" s="377"/>
      <c r="DF85" s="377"/>
      <c r="DG85" s="377"/>
      <c r="DH85" s="377"/>
      <c r="DI85" s="377"/>
      <c r="DJ85" s="377"/>
      <c r="DK85" s="377"/>
      <c r="DL85" s="377"/>
      <c r="DM85" s="377"/>
      <c r="DN85" s="377"/>
      <c r="DO85" s="377"/>
      <c r="DP85" s="377"/>
      <c r="DQ85" s="377"/>
      <c r="DR85" s="377"/>
      <c r="DS85" s="377"/>
      <c r="DT85" s="377"/>
      <c r="DU85" s="377"/>
      <c r="DV85" s="377"/>
      <c r="DW85" s="377"/>
      <c r="DX85" s="377"/>
      <c r="DY85" s="377"/>
      <c r="DZ85" s="377"/>
      <c r="EA85" s="377"/>
      <c r="EB85" s="377"/>
      <c r="EC85" s="377"/>
      <c r="ED85" s="377"/>
      <c r="EE85" s="377"/>
      <c r="EF85" s="377"/>
      <c r="EG85" s="377"/>
      <c r="EH85" s="377"/>
      <c r="EI85" s="377"/>
      <c r="EJ85" s="377"/>
      <c r="EK85" s="377"/>
      <c r="EL85" s="377"/>
      <c r="EM85" s="377"/>
      <c r="EN85" s="377"/>
      <c r="EO85" s="377"/>
      <c r="EP85" s="377"/>
      <c r="EQ85" s="377"/>
      <c r="ER85" s="377"/>
    </row>
    <row r="86" spans="4:148">
      <c r="D86" s="377"/>
      <c r="E86" s="377"/>
      <c r="F86" s="377"/>
      <c r="G86" s="377"/>
      <c r="H86" s="377"/>
      <c r="I86" s="377"/>
      <c r="J86" s="377"/>
      <c r="K86" s="377"/>
      <c r="L86" s="377"/>
      <c r="M86" s="377"/>
      <c r="N86" s="377"/>
      <c r="O86" s="377"/>
      <c r="P86" s="377"/>
      <c r="Q86" s="377"/>
      <c r="R86" s="377"/>
      <c r="S86" s="377"/>
      <c r="T86" s="377"/>
      <c r="U86" s="377"/>
      <c r="V86" s="377"/>
      <c r="W86" s="377"/>
      <c r="X86" s="377"/>
      <c r="Y86" s="377"/>
      <c r="Z86" s="377"/>
      <c r="AA86" s="377"/>
      <c r="AB86" s="377"/>
      <c r="AC86" s="377"/>
      <c r="AD86" s="377"/>
      <c r="AE86" s="377"/>
      <c r="AF86" s="377"/>
      <c r="AG86" s="377"/>
      <c r="AH86" s="377"/>
      <c r="AI86" s="377"/>
      <c r="AJ86" s="377"/>
      <c r="AK86" s="377"/>
      <c r="AL86" s="377"/>
      <c r="AM86" s="377"/>
      <c r="AN86" s="377"/>
      <c r="AO86" s="377"/>
      <c r="AP86" s="377"/>
      <c r="AQ86" s="377"/>
      <c r="AR86" s="377"/>
      <c r="AS86" s="377"/>
      <c r="AT86" s="377"/>
      <c r="AU86" s="377"/>
      <c r="AV86" s="377"/>
      <c r="AW86" s="377"/>
      <c r="AX86" s="377"/>
      <c r="AY86" s="377"/>
      <c r="AZ86" s="377"/>
      <c r="BA86" s="377"/>
      <c r="BB86" s="377"/>
      <c r="BC86" s="377"/>
      <c r="BD86" s="377"/>
      <c r="BE86" s="377"/>
      <c r="BF86" s="377"/>
      <c r="BG86" s="377"/>
      <c r="BH86" s="377"/>
      <c r="BI86" s="377"/>
      <c r="BJ86" s="377"/>
      <c r="BK86" s="377"/>
      <c r="BL86" s="377"/>
      <c r="BM86" s="377"/>
      <c r="BN86" s="377"/>
      <c r="BO86" s="377"/>
      <c r="BP86" s="377"/>
      <c r="BQ86" s="377"/>
      <c r="BR86" s="377"/>
      <c r="BS86" s="377"/>
      <c r="BT86" s="377"/>
      <c r="BU86" s="377"/>
      <c r="BV86" s="377"/>
      <c r="BW86" s="377"/>
      <c r="BX86" s="377"/>
      <c r="BY86" s="377"/>
      <c r="BZ86" s="377"/>
      <c r="CA86" s="377"/>
      <c r="CB86" s="377"/>
      <c r="CC86" s="377"/>
      <c r="CD86" s="377"/>
      <c r="CE86" s="377"/>
      <c r="CF86" s="377"/>
      <c r="CG86" s="377"/>
      <c r="CH86" s="377"/>
      <c r="CI86" s="377"/>
      <c r="CJ86" s="377"/>
      <c r="CK86" s="377"/>
      <c r="CL86" s="377"/>
      <c r="CM86" s="377"/>
      <c r="CN86" s="377"/>
      <c r="CO86" s="377"/>
      <c r="CP86" s="377"/>
      <c r="CQ86" s="377"/>
      <c r="CR86" s="377"/>
      <c r="CS86" s="377"/>
      <c r="CT86" s="377"/>
      <c r="CU86" s="377"/>
      <c r="CV86" s="377"/>
      <c r="CW86" s="377"/>
      <c r="CX86" s="377"/>
      <c r="CY86" s="377"/>
      <c r="CZ86" s="377"/>
      <c r="DA86" s="377"/>
      <c r="DB86" s="377"/>
      <c r="DC86" s="377"/>
      <c r="DD86" s="377"/>
      <c r="DE86" s="377"/>
      <c r="DF86" s="377"/>
      <c r="DG86" s="377"/>
      <c r="DH86" s="377"/>
      <c r="DI86" s="377"/>
      <c r="DJ86" s="377"/>
      <c r="DK86" s="377"/>
      <c r="DL86" s="377"/>
      <c r="DM86" s="377"/>
      <c r="DN86" s="377"/>
      <c r="DO86" s="377"/>
      <c r="DP86" s="377"/>
      <c r="DQ86" s="377"/>
      <c r="DR86" s="377"/>
      <c r="DS86" s="377"/>
      <c r="DT86" s="377"/>
      <c r="DU86" s="377"/>
      <c r="DV86" s="377"/>
      <c r="DW86" s="377"/>
      <c r="DX86" s="377"/>
      <c r="DY86" s="377"/>
      <c r="DZ86" s="377"/>
      <c r="EA86" s="377"/>
      <c r="EB86" s="377"/>
      <c r="EC86" s="377"/>
      <c r="ED86" s="377"/>
      <c r="EE86" s="377"/>
      <c r="EF86" s="377"/>
      <c r="EG86" s="377"/>
      <c r="EH86" s="377"/>
      <c r="EI86" s="377"/>
      <c r="EJ86" s="377"/>
      <c r="EK86" s="377"/>
      <c r="EL86" s="377"/>
      <c r="EM86" s="377"/>
      <c r="EN86" s="377"/>
      <c r="EO86" s="377"/>
      <c r="EP86" s="377"/>
      <c r="EQ86" s="377"/>
      <c r="ER86" s="377"/>
    </row>
    <row r="87" spans="4:148">
      <c r="D87" s="377"/>
      <c r="E87" s="377"/>
      <c r="F87" s="377"/>
      <c r="G87" s="377"/>
      <c r="H87" s="377"/>
      <c r="I87" s="377"/>
      <c r="J87" s="377"/>
      <c r="K87" s="377"/>
      <c r="L87" s="377"/>
      <c r="M87" s="377"/>
      <c r="N87" s="377"/>
      <c r="O87" s="377"/>
      <c r="P87" s="377"/>
      <c r="Q87" s="377"/>
      <c r="R87" s="377"/>
      <c r="S87" s="377"/>
      <c r="T87" s="377"/>
      <c r="U87" s="377"/>
      <c r="V87" s="377"/>
      <c r="W87" s="377"/>
      <c r="X87" s="377"/>
      <c r="Y87" s="377"/>
      <c r="Z87" s="377"/>
      <c r="AA87" s="377"/>
      <c r="AB87" s="377"/>
      <c r="AC87" s="377"/>
      <c r="AD87" s="377"/>
      <c r="AE87" s="377"/>
      <c r="AF87" s="377"/>
      <c r="AG87" s="377"/>
      <c r="AH87" s="377"/>
      <c r="AI87" s="377"/>
      <c r="AJ87" s="377"/>
      <c r="AK87" s="377"/>
      <c r="AL87" s="377"/>
      <c r="AM87" s="377"/>
      <c r="AN87" s="377"/>
      <c r="AO87" s="377"/>
      <c r="AP87" s="377"/>
      <c r="AQ87" s="377"/>
      <c r="AR87" s="377"/>
      <c r="AS87" s="377"/>
      <c r="AT87" s="377"/>
      <c r="AU87" s="377"/>
      <c r="AV87" s="377"/>
      <c r="AW87" s="377"/>
      <c r="AX87" s="377"/>
      <c r="AY87" s="377"/>
      <c r="AZ87" s="377"/>
      <c r="BA87" s="377"/>
      <c r="BB87" s="377"/>
      <c r="BC87" s="377"/>
      <c r="BD87" s="377"/>
      <c r="BE87" s="377"/>
      <c r="BF87" s="377"/>
      <c r="BG87" s="377"/>
      <c r="BH87" s="377"/>
      <c r="BI87" s="377"/>
      <c r="BJ87" s="377"/>
      <c r="BK87" s="377"/>
      <c r="BL87" s="377"/>
      <c r="BM87" s="377"/>
      <c r="BN87" s="377"/>
      <c r="BO87" s="377"/>
      <c r="BP87" s="377"/>
      <c r="BQ87" s="377"/>
      <c r="BR87" s="377"/>
      <c r="BS87" s="377"/>
      <c r="BT87" s="377"/>
      <c r="BU87" s="377"/>
      <c r="BV87" s="377"/>
      <c r="BW87" s="377"/>
      <c r="BX87" s="377"/>
      <c r="BY87" s="377"/>
      <c r="BZ87" s="377"/>
      <c r="CA87" s="377"/>
      <c r="CB87" s="377"/>
      <c r="CC87" s="377"/>
      <c r="CD87" s="377"/>
      <c r="CE87" s="377"/>
      <c r="CF87" s="377"/>
      <c r="CG87" s="377"/>
      <c r="CH87" s="377"/>
      <c r="CI87" s="377"/>
      <c r="CJ87" s="377"/>
      <c r="CK87" s="377"/>
      <c r="CL87" s="377"/>
      <c r="CM87" s="377"/>
      <c r="CN87" s="377"/>
      <c r="CO87" s="377"/>
      <c r="CP87" s="377"/>
      <c r="CQ87" s="377"/>
      <c r="CR87" s="377"/>
      <c r="CS87" s="377"/>
      <c r="CT87" s="377"/>
      <c r="CU87" s="377"/>
      <c r="CV87" s="377"/>
      <c r="CW87" s="377"/>
      <c r="CX87" s="377"/>
      <c r="CY87" s="377"/>
      <c r="CZ87" s="377"/>
      <c r="DA87" s="377"/>
      <c r="DB87" s="377"/>
      <c r="DC87" s="377"/>
      <c r="DD87" s="377"/>
      <c r="DE87" s="377"/>
      <c r="DF87" s="377"/>
      <c r="DG87" s="377"/>
      <c r="DH87" s="377"/>
      <c r="DI87" s="377"/>
      <c r="DJ87" s="377"/>
      <c r="DK87" s="377"/>
      <c r="DL87" s="377"/>
      <c r="DM87" s="377"/>
      <c r="DN87" s="377"/>
      <c r="DO87" s="377"/>
      <c r="DP87" s="377"/>
      <c r="DQ87" s="377"/>
      <c r="DR87" s="377"/>
      <c r="DS87" s="377"/>
      <c r="DT87" s="377"/>
      <c r="DU87" s="377"/>
      <c r="DV87" s="377"/>
      <c r="DW87" s="377"/>
      <c r="DX87" s="377"/>
      <c r="DY87" s="377"/>
      <c r="DZ87" s="377"/>
      <c r="EA87" s="377"/>
      <c r="EB87" s="377"/>
      <c r="EC87" s="377"/>
      <c r="ED87" s="377"/>
      <c r="EE87" s="377"/>
      <c r="EF87" s="377"/>
      <c r="EG87" s="377"/>
      <c r="EH87" s="377"/>
      <c r="EI87" s="377"/>
      <c r="EJ87" s="377"/>
      <c r="EK87" s="377"/>
      <c r="EL87" s="377"/>
      <c r="EM87" s="377"/>
      <c r="EN87" s="377"/>
      <c r="EO87" s="377"/>
      <c r="EP87" s="377"/>
      <c r="EQ87" s="377"/>
      <c r="ER87" s="377"/>
    </row>
    <row r="88" spans="4:148">
      <c r="D88" s="377"/>
      <c r="E88" s="377"/>
      <c r="F88" s="377"/>
      <c r="G88" s="377"/>
      <c r="H88" s="377"/>
      <c r="I88" s="377"/>
      <c r="J88" s="377"/>
      <c r="K88" s="377"/>
      <c r="L88" s="377"/>
      <c r="M88" s="377"/>
      <c r="N88" s="377"/>
      <c r="O88" s="377"/>
      <c r="P88" s="377"/>
      <c r="Q88" s="377"/>
      <c r="R88" s="377"/>
      <c r="S88" s="377"/>
      <c r="T88" s="377"/>
      <c r="U88" s="377"/>
      <c r="V88" s="377"/>
      <c r="W88" s="377"/>
      <c r="X88" s="377"/>
      <c r="Y88" s="377"/>
      <c r="Z88" s="377"/>
      <c r="AA88" s="377"/>
      <c r="AB88" s="377"/>
      <c r="AC88" s="377"/>
      <c r="AD88" s="377"/>
      <c r="AE88" s="377"/>
      <c r="AF88" s="377"/>
      <c r="AG88" s="377"/>
      <c r="AH88" s="377"/>
      <c r="AI88" s="377"/>
      <c r="AJ88" s="377"/>
      <c r="AK88" s="377"/>
      <c r="AL88" s="377"/>
      <c r="AM88" s="377"/>
      <c r="AN88" s="377"/>
      <c r="AO88" s="377"/>
      <c r="AP88" s="377"/>
      <c r="AQ88" s="377"/>
      <c r="AR88" s="377"/>
      <c r="AS88" s="377"/>
      <c r="AT88" s="377"/>
      <c r="AU88" s="377"/>
      <c r="AV88" s="377"/>
      <c r="AW88" s="377"/>
      <c r="AX88" s="377"/>
      <c r="AY88" s="377"/>
      <c r="AZ88" s="377"/>
      <c r="BA88" s="377"/>
      <c r="BB88" s="377"/>
      <c r="BC88" s="377"/>
      <c r="BD88" s="377"/>
      <c r="BE88" s="377"/>
      <c r="BF88" s="377"/>
      <c r="BG88" s="377"/>
      <c r="BH88" s="377"/>
      <c r="BI88" s="377"/>
      <c r="BJ88" s="377"/>
      <c r="BK88" s="377"/>
      <c r="BL88" s="377"/>
      <c r="BM88" s="377"/>
      <c r="BN88" s="377"/>
      <c r="BO88" s="377"/>
      <c r="BP88" s="377"/>
      <c r="BQ88" s="377"/>
      <c r="BR88" s="377"/>
      <c r="BS88" s="377"/>
      <c r="BT88" s="377"/>
      <c r="BU88" s="377"/>
      <c r="BV88" s="377"/>
      <c r="BW88" s="377"/>
      <c r="BX88" s="377"/>
      <c r="BY88" s="377"/>
      <c r="BZ88" s="377"/>
      <c r="CA88" s="377"/>
      <c r="CB88" s="377"/>
      <c r="CC88" s="377"/>
      <c r="CD88" s="377"/>
      <c r="CE88" s="377"/>
      <c r="CF88" s="377"/>
      <c r="CG88" s="377"/>
      <c r="CH88" s="377"/>
      <c r="CI88" s="377"/>
      <c r="CJ88" s="377"/>
      <c r="CK88" s="377"/>
      <c r="CL88" s="377"/>
      <c r="CM88" s="377"/>
      <c r="CN88" s="377"/>
      <c r="CO88" s="377"/>
      <c r="CP88" s="377"/>
      <c r="CQ88" s="377"/>
      <c r="CR88" s="377"/>
      <c r="CS88" s="377"/>
      <c r="CT88" s="377"/>
      <c r="CU88" s="377"/>
      <c r="CV88" s="377"/>
      <c r="CW88" s="377"/>
      <c r="CX88" s="377"/>
      <c r="CY88" s="377"/>
      <c r="CZ88" s="377"/>
      <c r="DA88" s="377"/>
      <c r="DB88" s="377"/>
      <c r="DC88" s="377"/>
      <c r="DD88" s="377"/>
      <c r="DE88" s="377"/>
      <c r="DF88" s="377"/>
      <c r="DG88" s="377"/>
      <c r="DH88" s="377"/>
      <c r="DI88" s="377"/>
      <c r="DJ88" s="377"/>
      <c r="DK88" s="377"/>
      <c r="DL88" s="377"/>
      <c r="DM88" s="377"/>
      <c r="DN88" s="377"/>
      <c r="DO88" s="377"/>
      <c r="DP88" s="377"/>
      <c r="DQ88" s="377"/>
      <c r="DR88" s="377"/>
      <c r="DS88" s="377"/>
      <c r="DT88" s="377"/>
      <c r="DU88" s="377"/>
      <c r="DV88" s="377"/>
      <c r="DW88" s="377"/>
      <c r="DX88" s="377"/>
      <c r="DY88" s="377"/>
      <c r="DZ88" s="377"/>
      <c r="EA88" s="377"/>
      <c r="EB88" s="377"/>
      <c r="EC88" s="377"/>
      <c r="ED88" s="377"/>
      <c r="EE88" s="377"/>
      <c r="EF88" s="377"/>
      <c r="EG88" s="377"/>
      <c r="EH88" s="377"/>
      <c r="EI88" s="377"/>
      <c r="EJ88" s="377"/>
      <c r="EK88" s="377"/>
      <c r="EL88" s="377"/>
      <c r="EM88" s="377"/>
      <c r="EN88" s="377"/>
      <c r="EO88" s="377"/>
      <c r="EP88" s="377"/>
      <c r="EQ88" s="377"/>
      <c r="ER88" s="377"/>
    </row>
    <row r="89" spans="4:148">
      <c r="D89" s="377"/>
      <c r="E89" s="377"/>
      <c r="F89" s="377"/>
      <c r="G89" s="377"/>
      <c r="H89" s="377"/>
      <c r="I89" s="377"/>
      <c r="J89" s="377"/>
      <c r="K89" s="377"/>
      <c r="L89" s="377"/>
      <c r="M89" s="377"/>
      <c r="N89" s="377"/>
      <c r="O89" s="377"/>
      <c r="P89" s="377"/>
      <c r="Q89" s="377"/>
      <c r="R89" s="377"/>
      <c r="S89" s="377"/>
      <c r="T89" s="377"/>
      <c r="U89" s="377"/>
      <c r="V89" s="377"/>
      <c r="W89" s="377"/>
      <c r="X89" s="377"/>
      <c r="Y89" s="377"/>
      <c r="Z89" s="377"/>
      <c r="AA89" s="377"/>
      <c r="AB89" s="377"/>
      <c r="AC89" s="377"/>
      <c r="AD89" s="377"/>
      <c r="AE89" s="377"/>
      <c r="AF89" s="377"/>
      <c r="AG89" s="377"/>
      <c r="AH89" s="377"/>
      <c r="AI89" s="377"/>
      <c r="AJ89" s="377"/>
      <c r="AK89" s="377"/>
      <c r="AL89" s="377"/>
      <c r="AM89" s="377"/>
      <c r="AN89" s="377"/>
      <c r="AO89" s="377"/>
      <c r="AP89" s="377"/>
      <c r="AQ89" s="377"/>
      <c r="AR89" s="377"/>
      <c r="AS89" s="377"/>
      <c r="AT89" s="377"/>
      <c r="AU89" s="377"/>
      <c r="AV89" s="377"/>
      <c r="AW89" s="377"/>
      <c r="AX89" s="377"/>
      <c r="AY89" s="377"/>
      <c r="AZ89" s="377"/>
      <c r="BA89" s="377"/>
      <c r="BB89" s="377"/>
      <c r="BC89" s="377"/>
      <c r="BD89" s="377"/>
      <c r="BE89" s="377"/>
      <c r="BF89" s="377"/>
      <c r="BG89" s="377"/>
      <c r="BH89" s="377"/>
      <c r="BI89" s="377"/>
      <c r="BJ89" s="377"/>
      <c r="BK89" s="377"/>
      <c r="BL89" s="377"/>
      <c r="BM89" s="377"/>
      <c r="BN89" s="377"/>
      <c r="BO89" s="377"/>
      <c r="BP89" s="377"/>
      <c r="BQ89" s="377"/>
      <c r="BR89" s="377"/>
      <c r="BS89" s="377"/>
      <c r="BT89" s="377"/>
      <c r="BU89" s="377"/>
      <c r="BV89" s="377"/>
      <c r="BW89" s="377"/>
      <c r="BX89" s="377"/>
      <c r="BY89" s="377"/>
      <c r="BZ89" s="377"/>
      <c r="CA89" s="377"/>
      <c r="CB89" s="377"/>
      <c r="CC89" s="377"/>
      <c r="CD89" s="377"/>
      <c r="CE89" s="377"/>
      <c r="CF89" s="377"/>
      <c r="CG89" s="377"/>
      <c r="CH89" s="377"/>
      <c r="CI89" s="377"/>
      <c r="CJ89" s="377"/>
      <c r="CK89" s="377"/>
      <c r="CL89" s="377"/>
      <c r="CM89" s="377"/>
      <c r="CN89" s="377"/>
      <c r="CO89" s="377"/>
      <c r="CP89" s="377"/>
      <c r="CQ89" s="377"/>
      <c r="CR89" s="377"/>
      <c r="CS89" s="377"/>
      <c r="CT89" s="377"/>
      <c r="CU89" s="377"/>
      <c r="CV89" s="377"/>
      <c r="CW89" s="377"/>
      <c r="CX89" s="377"/>
      <c r="CY89" s="377"/>
      <c r="CZ89" s="377"/>
      <c r="DA89" s="377"/>
      <c r="DB89" s="377"/>
      <c r="DC89" s="377"/>
      <c r="DD89" s="377"/>
      <c r="DE89" s="377"/>
      <c r="DF89" s="377"/>
      <c r="DG89" s="377"/>
      <c r="DH89" s="377"/>
      <c r="DI89" s="377"/>
      <c r="DJ89" s="377"/>
      <c r="DK89" s="377"/>
      <c r="DL89" s="377"/>
      <c r="DM89" s="377"/>
      <c r="DN89" s="377"/>
      <c r="DO89" s="377"/>
      <c r="DP89" s="377"/>
      <c r="DQ89" s="377"/>
      <c r="DR89" s="377"/>
      <c r="DS89" s="377"/>
      <c r="DT89" s="377"/>
      <c r="DU89" s="377"/>
      <c r="DV89" s="377"/>
      <c r="DW89" s="377"/>
      <c r="DX89" s="377"/>
      <c r="DY89" s="377"/>
      <c r="DZ89" s="377"/>
      <c r="EA89" s="377"/>
      <c r="EB89" s="377"/>
      <c r="EC89" s="377"/>
      <c r="ED89" s="377"/>
      <c r="EE89" s="377"/>
      <c r="EF89" s="377"/>
      <c r="EG89" s="377"/>
      <c r="EH89" s="377"/>
      <c r="EI89" s="377"/>
      <c r="EJ89" s="377"/>
      <c r="EK89" s="377"/>
      <c r="EL89" s="377"/>
      <c r="EM89" s="377"/>
      <c r="EN89" s="377"/>
      <c r="EO89" s="377"/>
      <c r="EP89" s="377"/>
      <c r="EQ89" s="377"/>
      <c r="ER89" s="377"/>
    </row>
    <row r="90" spans="4:148">
      <c r="D90" s="377"/>
      <c r="E90" s="377"/>
      <c r="F90" s="377"/>
      <c r="G90" s="377"/>
      <c r="H90" s="377"/>
      <c r="I90" s="377"/>
      <c r="J90" s="377"/>
      <c r="K90" s="377"/>
      <c r="L90" s="377"/>
      <c r="M90" s="377"/>
      <c r="N90" s="377"/>
      <c r="O90" s="377"/>
      <c r="P90" s="377"/>
      <c r="Q90" s="377"/>
      <c r="R90" s="377"/>
      <c r="S90" s="377"/>
      <c r="T90" s="377"/>
      <c r="U90" s="377"/>
      <c r="V90" s="377"/>
      <c r="W90" s="377"/>
      <c r="X90" s="377"/>
      <c r="Y90" s="377"/>
      <c r="Z90" s="377"/>
      <c r="AA90" s="377"/>
      <c r="AB90" s="377"/>
      <c r="AC90" s="377"/>
      <c r="AD90" s="377"/>
      <c r="AE90" s="377"/>
      <c r="AF90" s="377"/>
      <c r="AG90" s="377"/>
      <c r="AH90" s="377"/>
      <c r="AI90" s="377"/>
      <c r="AJ90" s="377"/>
      <c r="AK90" s="377"/>
      <c r="AL90" s="377"/>
      <c r="AM90" s="377"/>
      <c r="AN90" s="377"/>
      <c r="AO90" s="377"/>
      <c r="AP90" s="377"/>
      <c r="AQ90" s="377"/>
      <c r="AR90" s="377"/>
      <c r="AS90" s="377"/>
      <c r="AT90" s="377"/>
      <c r="AU90" s="377"/>
      <c r="AV90" s="377"/>
      <c r="AW90" s="377"/>
      <c r="AX90" s="377"/>
      <c r="AY90" s="377"/>
      <c r="AZ90" s="377"/>
      <c r="BA90" s="377"/>
      <c r="BB90" s="377"/>
      <c r="BC90" s="377"/>
      <c r="BD90" s="377"/>
      <c r="BE90" s="377"/>
      <c r="BF90" s="377"/>
      <c r="BG90" s="377"/>
      <c r="BH90" s="377"/>
      <c r="BI90" s="377"/>
      <c r="BJ90" s="377"/>
      <c r="BK90" s="377"/>
      <c r="BL90" s="377"/>
      <c r="BM90" s="377"/>
      <c r="BN90" s="377"/>
      <c r="BO90" s="377"/>
      <c r="BP90" s="377"/>
      <c r="BQ90" s="377"/>
      <c r="BR90" s="377"/>
      <c r="BS90" s="377"/>
      <c r="BT90" s="377"/>
      <c r="BU90" s="377"/>
      <c r="BV90" s="377"/>
      <c r="BW90" s="377"/>
      <c r="BX90" s="377"/>
      <c r="BY90" s="377"/>
      <c r="BZ90" s="377"/>
      <c r="CA90" s="377"/>
      <c r="CB90" s="377"/>
      <c r="CC90" s="377"/>
      <c r="CD90" s="377"/>
      <c r="CE90" s="377"/>
      <c r="CF90" s="377"/>
      <c r="CG90" s="377"/>
      <c r="CH90" s="377"/>
      <c r="CI90" s="377"/>
      <c r="CJ90" s="377"/>
      <c r="CK90" s="377"/>
      <c r="CL90" s="377"/>
      <c r="CM90" s="377"/>
      <c r="CN90" s="377"/>
      <c r="CO90" s="377"/>
      <c r="CP90" s="377"/>
      <c r="CQ90" s="377"/>
      <c r="CR90" s="377"/>
      <c r="CS90" s="377"/>
      <c r="CT90" s="377"/>
      <c r="CU90" s="377"/>
      <c r="CV90" s="377"/>
      <c r="CW90" s="377"/>
      <c r="CX90" s="377"/>
      <c r="CY90" s="377"/>
      <c r="CZ90" s="377"/>
      <c r="DA90" s="377"/>
      <c r="DB90" s="377"/>
      <c r="DC90" s="377"/>
      <c r="DD90" s="377"/>
      <c r="DE90" s="377"/>
      <c r="DF90" s="377"/>
      <c r="DG90" s="377"/>
      <c r="DH90" s="377"/>
      <c r="DI90" s="377"/>
      <c r="DJ90" s="377"/>
      <c r="DK90" s="377"/>
      <c r="DL90" s="377"/>
      <c r="DM90" s="377"/>
      <c r="DN90" s="377"/>
      <c r="DO90" s="377"/>
      <c r="DP90" s="377"/>
      <c r="DQ90" s="377"/>
      <c r="DR90" s="377"/>
      <c r="DS90" s="377"/>
      <c r="DT90" s="377"/>
      <c r="DU90" s="377"/>
      <c r="DV90" s="377"/>
      <c r="DW90" s="377"/>
      <c r="DX90" s="377"/>
      <c r="DY90" s="377"/>
      <c r="DZ90" s="377"/>
      <c r="EA90" s="377"/>
      <c r="EB90" s="377"/>
      <c r="EC90" s="377"/>
      <c r="ED90" s="377"/>
      <c r="EE90" s="377"/>
      <c r="EF90" s="377"/>
      <c r="EG90" s="377"/>
      <c r="EH90" s="377"/>
      <c r="EI90" s="377"/>
      <c r="EJ90" s="377"/>
      <c r="EK90" s="377"/>
      <c r="EL90" s="377"/>
      <c r="EM90" s="377"/>
      <c r="EN90" s="377"/>
      <c r="EO90" s="377"/>
      <c r="EP90" s="377"/>
      <c r="EQ90" s="377"/>
      <c r="ER90" s="377"/>
    </row>
    <row r="91" spans="4:148">
      <c r="D91" s="377"/>
      <c r="E91" s="377"/>
      <c r="F91" s="377"/>
      <c r="G91" s="377"/>
      <c r="H91" s="377"/>
      <c r="I91" s="377"/>
      <c r="J91" s="377"/>
      <c r="K91" s="377"/>
      <c r="L91" s="377"/>
      <c r="M91" s="377"/>
      <c r="N91" s="377"/>
      <c r="O91" s="377"/>
      <c r="P91" s="377"/>
      <c r="Q91" s="377"/>
      <c r="R91" s="377"/>
      <c r="S91" s="377"/>
      <c r="T91" s="377"/>
      <c r="U91" s="377"/>
      <c r="V91" s="377"/>
      <c r="W91" s="377"/>
      <c r="X91" s="377"/>
      <c r="Y91" s="377"/>
      <c r="Z91" s="377"/>
      <c r="AA91" s="377"/>
      <c r="AB91" s="377"/>
      <c r="AC91" s="377"/>
      <c r="AD91" s="377"/>
      <c r="AE91" s="377"/>
      <c r="AF91" s="377"/>
      <c r="AG91" s="377"/>
      <c r="AH91" s="377"/>
      <c r="AI91" s="377"/>
      <c r="AJ91" s="377"/>
      <c r="AK91" s="377"/>
      <c r="AL91" s="377"/>
      <c r="AM91" s="377"/>
      <c r="AN91" s="377"/>
      <c r="AO91" s="377"/>
      <c r="AP91" s="377"/>
      <c r="AQ91" s="377"/>
      <c r="AR91" s="377"/>
      <c r="AS91" s="377"/>
      <c r="AT91" s="377"/>
      <c r="AU91" s="377"/>
      <c r="AV91" s="377"/>
      <c r="AW91" s="377"/>
      <c r="AX91" s="377"/>
      <c r="AY91" s="377"/>
      <c r="AZ91" s="377"/>
      <c r="BA91" s="377"/>
      <c r="BB91" s="377"/>
      <c r="BC91" s="377"/>
      <c r="BD91" s="377"/>
      <c r="BE91" s="377"/>
      <c r="BF91" s="377"/>
      <c r="BG91" s="377"/>
      <c r="BH91" s="377"/>
      <c r="BI91" s="377"/>
      <c r="BJ91" s="377"/>
      <c r="BK91" s="377"/>
      <c r="BL91" s="377"/>
      <c r="BM91" s="377"/>
      <c r="BN91" s="377"/>
      <c r="BO91" s="377"/>
      <c r="BP91" s="377"/>
      <c r="BQ91" s="377"/>
      <c r="BR91" s="377"/>
      <c r="BS91" s="377"/>
      <c r="BT91" s="377"/>
      <c r="BU91" s="377"/>
      <c r="BV91" s="377"/>
      <c r="BW91" s="377"/>
      <c r="BX91" s="377"/>
      <c r="BY91" s="377"/>
      <c r="BZ91" s="377"/>
      <c r="CA91" s="377"/>
      <c r="CB91" s="377"/>
      <c r="CC91" s="377"/>
      <c r="CD91" s="377"/>
      <c r="CE91" s="377"/>
      <c r="CF91" s="377"/>
      <c r="CG91" s="377"/>
      <c r="CH91" s="377"/>
      <c r="CI91" s="377"/>
      <c r="CJ91" s="377"/>
      <c r="CK91" s="377"/>
      <c r="CL91" s="377"/>
      <c r="CM91" s="377"/>
      <c r="CN91" s="377"/>
      <c r="CO91" s="377"/>
      <c r="CP91" s="377"/>
      <c r="CQ91" s="377"/>
      <c r="CR91" s="377"/>
      <c r="CS91" s="377"/>
      <c r="CT91" s="377"/>
      <c r="CU91" s="377"/>
      <c r="CV91" s="377"/>
      <c r="CW91" s="377"/>
      <c r="CX91" s="377"/>
      <c r="CY91" s="377"/>
      <c r="CZ91" s="377"/>
      <c r="DA91" s="377"/>
      <c r="DB91" s="377"/>
      <c r="DC91" s="377"/>
      <c r="DD91" s="377"/>
      <c r="DE91" s="377"/>
      <c r="DF91" s="377"/>
      <c r="DG91" s="377"/>
      <c r="DH91" s="377"/>
      <c r="DI91" s="377"/>
      <c r="DJ91" s="377"/>
      <c r="DK91" s="377"/>
      <c r="DL91" s="377"/>
      <c r="DM91" s="377"/>
      <c r="DN91" s="377"/>
      <c r="DO91" s="377"/>
      <c r="DP91" s="377"/>
      <c r="DQ91" s="377"/>
      <c r="DR91" s="377"/>
      <c r="DS91" s="377"/>
      <c r="DT91" s="377"/>
      <c r="DU91" s="377"/>
      <c r="DV91" s="377"/>
      <c r="DW91" s="377"/>
      <c r="DX91" s="377"/>
      <c r="DY91" s="377"/>
      <c r="DZ91" s="377"/>
      <c r="EA91" s="377"/>
      <c r="EB91" s="377"/>
      <c r="EC91" s="377"/>
      <c r="ED91" s="377"/>
      <c r="EE91" s="377"/>
      <c r="EF91" s="377"/>
      <c r="EG91" s="377"/>
      <c r="EH91" s="377"/>
      <c r="EI91" s="377"/>
      <c r="EJ91" s="377"/>
      <c r="EK91" s="377"/>
      <c r="EL91" s="377"/>
      <c r="EM91" s="377"/>
      <c r="EN91" s="377"/>
      <c r="EO91" s="377"/>
      <c r="EP91" s="377"/>
      <c r="EQ91" s="377"/>
      <c r="ER91" s="377"/>
    </row>
    <row r="92" spans="4:148">
      <c r="D92" s="377"/>
      <c r="E92" s="377"/>
      <c r="F92" s="377"/>
      <c r="G92" s="377"/>
      <c r="H92" s="377"/>
      <c r="I92" s="377"/>
      <c r="J92" s="377"/>
      <c r="K92" s="377"/>
      <c r="L92" s="377"/>
      <c r="M92" s="377"/>
      <c r="N92" s="377"/>
      <c r="O92" s="377"/>
      <c r="P92" s="377"/>
      <c r="Q92" s="377"/>
      <c r="R92" s="377"/>
      <c r="S92" s="377"/>
      <c r="T92" s="377"/>
      <c r="U92" s="377"/>
      <c r="V92" s="377"/>
      <c r="W92" s="377"/>
      <c r="X92" s="377"/>
      <c r="Y92" s="377"/>
      <c r="Z92" s="377"/>
      <c r="AA92" s="377"/>
      <c r="AB92" s="377"/>
      <c r="AC92" s="377"/>
      <c r="AD92" s="377"/>
      <c r="AE92" s="377"/>
      <c r="AF92" s="377"/>
      <c r="AG92" s="377"/>
      <c r="AH92" s="377"/>
      <c r="AI92" s="377"/>
      <c r="AJ92" s="377"/>
      <c r="AK92" s="377"/>
      <c r="AL92" s="377"/>
      <c r="AM92" s="377"/>
      <c r="AN92" s="377"/>
      <c r="AO92" s="377"/>
      <c r="AP92" s="377"/>
      <c r="AQ92" s="377"/>
      <c r="AR92" s="377"/>
      <c r="AS92" s="377"/>
      <c r="AT92" s="377"/>
      <c r="AU92" s="377"/>
      <c r="AV92" s="377"/>
      <c r="AW92" s="377"/>
      <c r="AX92" s="377"/>
      <c r="AY92" s="377"/>
      <c r="AZ92" s="377"/>
      <c r="BA92" s="377"/>
      <c r="BB92" s="377"/>
      <c r="BC92" s="377"/>
      <c r="BD92" s="377"/>
      <c r="BE92" s="377"/>
      <c r="BF92" s="377"/>
      <c r="BG92" s="377"/>
      <c r="BH92" s="377"/>
      <c r="BI92" s="377"/>
      <c r="BJ92" s="377"/>
      <c r="BK92" s="377"/>
      <c r="BL92" s="377"/>
      <c r="BM92" s="377"/>
      <c r="BN92" s="377"/>
      <c r="BO92" s="377"/>
      <c r="BP92" s="377"/>
      <c r="BQ92" s="377"/>
      <c r="BR92" s="377"/>
      <c r="BS92" s="377"/>
      <c r="BT92" s="377"/>
      <c r="BU92" s="377"/>
      <c r="BV92" s="377"/>
      <c r="BW92" s="377"/>
      <c r="BX92" s="377"/>
      <c r="BY92" s="377"/>
      <c r="BZ92" s="377"/>
      <c r="CA92" s="377"/>
      <c r="CB92" s="377"/>
      <c r="CC92" s="377"/>
      <c r="CD92" s="377"/>
      <c r="CE92" s="377"/>
      <c r="CF92" s="377"/>
      <c r="CG92" s="377"/>
      <c r="CH92" s="377"/>
      <c r="CI92" s="377"/>
      <c r="CJ92" s="377"/>
      <c r="CK92" s="377"/>
      <c r="CL92" s="377"/>
      <c r="CM92" s="377"/>
      <c r="CN92" s="377"/>
      <c r="CO92" s="377"/>
      <c r="CP92" s="377"/>
      <c r="CQ92" s="377"/>
      <c r="CR92" s="377"/>
      <c r="CS92" s="377"/>
      <c r="CT92" s="377"/>
      <c r="CU92" s="377"/>
      <c r="CV92" s="377"/>
      <c r="CW92" s="377"/>
      <c r="CX92" s="377"/>
      <c r="CY92" s="377"/>
      <c r="CZ92" s="377"/>
      <c r="DA92" s="377"/>
      <c r="DB92" s="377"/>
      <c r="DC92" s="377"/>
      <c r="DD92" s="377"/>
      <c r="DE92" s="377"/>
      <c r="DF92" s="377"/>
      <c r="DG92" s="377"/>
      <c r="DH92" s="377"/>
      <c r="DI92" s="377"/>
      <c r="DJ92" s="377"/>
      <c r="DK92" s="377"/>
      <c r="DL92" s="377"/>
      <c r="DM92" s="377"/>
      <c r="DN92" s="377"/>
      <c r="DO92" s="377"/>
      <c r="DP92" s="377"/>
      <c r="DQ92" s="377"/>
      <c r="DR92" s="377"/>
      <c r="DS92" s="377"/>
      <c r="DT92" s="377"/>
      <c r="DU92" s="377"/>
      <c r="DV92" s="377"/>
      <c r="DW92" s="377"/>
      <c r="DX92" s="377"/>
      <c r="DY92" s="377"/>
      <c r="DZ92" s="377"/>
      <c r="EA92" s="377"/>
      <c r="EB92" s="377"/>
      <c r="EC92" s="377"/>
      <c r="ED92" s="377"/>
      <c r="EE92" s="377"/>
      <c r="EF92" s="377"/>
      <c r="EG92" s="377"/>
      <c r="EH92" s="377"/>
      <c r="EI92" s="377"/>
      <c r="EJ92" s="377"/>
      <c r="EK92" s="377"/>
      <c r="EL92" s="377"/>
      <c r="EM92" s="377"/>
      <c r="EN92" s="377"/>
      <c r="EO92" s="377"/>
      <c r="EP92" s="377"/>
      <c r="EQ92" s="377"/>
      <c r="ER92" s="377"/>
    </row>
    <row r="93" spans="4:148">
      <c r="D93" s="377"/>
      <c r="E93" s="377"/>
      <c r="F93" s="377"/>
      <c r="G93" s="377"/>
      <c r="H93" s="377"/>
      <c r="I93" s="377"/>
      <c r="J93" s="377"/>
      <c r="K93" s="377"/>
      <c r="L93" s="377"/>
      <c r="M93" s="377"/>
      <c r="N93" s="377"/>
      <c r="O93" s="377"/>
      <c r="P93" s="377"/>
      <c r="Q93" s="377"/>
      <c r="R93" s="377"/>
      <c r="S93" s="377"/>
      <c r="T93" s="377"/>
      <c r="U93" s="377"/>
      <c r="V93" s="377"/>
      <c r="W93" s="377"/>
      <c r="X93" s="377"/>
      <c r="Y93" s="377"/>
      <c r="Z93" s="377"/>
      <c r="AA93" s="377"/>
      <c r="AB93" s="377"/>
      <c r="AC93" s="377"/>
      <c r="AD93" s="377"/>
      <c r="AE93" s="377"/>
      <c r="AF93" s="377"/>
      <c r="AG93" s="377"/>
      <c r="AH93" s="377"/>
      <c r="AI93" s="377"/>
      <c r="AJ93" s="377"/>
      <c r="AK93" s="377"/>
      <c r="AL93" s="377"/>
      <c r="AM93" s="377"/>
      <c r="AN93" s="377"/>
      <c r="AO93" s="377"/>
      <c r="AP93" s="377"/>
      <c r="AQ93" s="377"/>
      <c r="AR93" s="377"/>
      <c r="AS93" s="377"/>
      <c r="AT93" s="377"/>
      <c r="AU93" s="377"/>
      <c r="AV93" s="377"/>
      <c r="AW93" s="377"/>
      <c r="AX93" s="377"/>
      <c r="AY93" s="377"/>
      <c r="AZ93" s="377"/>
      <c r="BA93" s="377"/>
      <c r="BB93" s="377"/>
      <c r="BC93" s="377"/>
      <c r="BD93" s="377"/>
      <c r="BE93" s="377"/>
      <c r="BF93" s="377"/>
      <c r="BG93" s="377"/>
      <c r="BH93" s="377"/>
      <c r="BI93" s="377"/>
      <c r="BJ93" s="377"/>
      <c r="BK93" s="377"/>
      <c r="BL93" s="377"/>
      <c r="BM93" s="377"/>
      <c r="BN93" s="377"/>
      <c r="BO93" s="377"/>
      <c r="BP93" s="377"/>
      <c r="BQ93" s="377"/>
      <c r="BR93" s="377"/>
      <c r="BS93" s="377"/>
      <c r="BT93" s="377"/>
      <c r="BU93" s="377"/>
      <c r="BV93" s="377"/>
      <c r="BW93" s="377"/>
      <c r="BX93" s="377"/>
      <c r="BY93" s="377"/>
      <c r="BZ93" s="377"/>
      <c r="CA93" s="377"/>
      <c r="CB93" s="377"/>
      <c r="CC93" s="377"/>
      <c r="CD93" s="377"/>
      <c r="CE93" s="377"/>
      <c r="CF93" s="377"/>
      <c r="CG93" s="377"/>
      <c r="CH93" s="377"/>
      <c r="CI93" s="377"/>
      <c r="CJ93" s="377"/>
      <c r="CK93" s="377"/>
      <c r="CL93" s="377"/>
      <c r="CM93" s="377"/>
      <c r="CN93" s="377"/>
      <c r="CO93" s="377"/>
      <c r="CP93" s="377"/>
      <c r="CQ93" s="377"/>
      <c r="CR93" s="377"/>
      <c r="CS93" s="377"/>
      <c r="CT93" s="377"/>
      <c r="CU93" s="377"/>
      <c r="CV93" s="377"/>
      <c r="CW93" s="377"/>
      <c r="CX93" s="377"/>
      <c r="CY93" s="377"/>
      <c r="CZ93" s="377"/>
      <c r="DA93" s="377"/>
      <c r="DB93" s="377"/>
      <c r="DC93" s="377"/>
      <c r="DD93" s="377"/>
      <c r="DE93" s="377"/>
      <c r="DF93" s="377"/>
      <c r="DG93" s="377"/>
      <c r="DH93" s="377"/>
      <c r="DI93" s="377"/>
      <c r="DJ93" s="377"/>
      <c r="DK93" s="377"/>
      <c r="DL93" s="377"/>
      <c r="DM93" s="377"/>
      <c r="DN93" s="377"/>
      <c r="DO93" s="377"/>
      <c r="DP93" s="377"/>
      <c r="DQ93" s="377"/>
      <c r="DR93" s="377"/>
      <c r="DS93" s="377"/>
      <c r="DT93" s="377"/>
      <c r="DU93" s="377"/>
      <c r="DV93" s="377"/>
      <c r="DW93" s="377"/>
      <c r="DX93" s="377"/>
      <c r="DY93" s="377"/>
      <c r="DZ93" s="377"/>
      <c r="EA93" s="377"/>
      <c r="EB93" s="377"/>
      <c r="EC93" s="377"/>
      <c r="ED93" s="377"/>
      <c r="EE93" s="377"/>
      <c r="EF93" s="377"/>
      <c r="EG93" s="377"/>
      <c r="EH93" s="377"/>
      <c r="EI93" s="377"/>
      <c r="EJ93" s="377"/>
      <c r="EK93" s="377"/>
      <c r="EL93" s="377"/>
      <c r="EM93" s="377"/>
      <c r="EN93" s="377"/>
      <c r="EO93" s="377"/>
      <c r="EP93" s="377"/>
      <c r="EQ93" s="377"/>
      <c r="ER93" s="377"/>
    </row>
    <row r="94" spans="4:148">
      <c r="D94" s="377"/>
      <c r="E94" s="377"/>
      <c r="F94" s="377"/>
      <c r="G94" s="377"/>
      <c r="H94" s="377"/>
      <c r="I94" s="377"/>
      <c r="J94" s="377"/>
      <c r="K94" s="377"/>
      <c r="L94" s="377"/>
      <c r="M94" s="377"/>
      <c r="N94" s="377"/>
      <c r="O94" s="377"/>
      <c r="P94" s="377"/>
      <c r="Q94" s="377"/>
      <c r="R94" s="377"/>
      <c r="S94" s="377"/>
      <c r="T94" s="377"/>
      <c r="U94" s="377"/>
      <c r="V94" s="377"/>
      <c r="W94" s="377"/>
      <c r="X94" s="377"/>
      <c r="Y94" s="377"/>
      <c r="Z94" s="377"/>
      <c r="AA94" s="377"/>
      <c r="AB94" s="377"/>
      <c r="AC94" s="377"/>
      <c r="AD94" s="377"/>
      <c r="AE94" s="377"/>
      <c r="AF94" s="377"/>
      <c r="AG94" s="377"/>
      <c r="AH94" s="377"/>
      <c r="AI94" s="377"/>
      <c r="AJ94" s="377"/>
      <c r="AK94" s="377"/>
      <c r="AL94" s="377"/>
      <c r="AM94" s="377"/>
      <c r="AN94" s="377"/>
      <c r="AO94" s="377"/>
      <c r="AP94" s="377"/>
      <c r="AQ94" s="377"/>
      <c r="AR94" s="377"/>
      <c r="AS94" s="377"/>
      <c r="AT94" s="377"/>
      <c r="AU94" s="377"/>
      <c r="AV94" s="377"/>
      <c r="AW94" s="377"/>
      <c r="AX94" s="377"/>
      <c r="AY94" s="377"/>
      <c r="AZ94" s="377"/>
      <c r="BA94" s="377"/>
      <c r="BB94" s="377"/>
      <c r="BC94" s="377"/>
      <c r="BD94" s="377"/>
      <c r="BE94" s="377"/>
      <c r="BF94" s="377"/>
      <c r="BG94" s="377"/>
      <c r="BH94" s="377"/>
      <c r="BI94" s="377"/>
      <c r="BJ94" s="377"/>
      <c r="BK94" s="377"/>
      <c r="BL94" s="377"/>
      <c r="BM94" s="377"/>
      <c r="BN94" s="377"/>
      <c r="BO94" s="377"/>
      <c r="BP94" s="377"/>
      <c r="BQ94" s="377"/>
      <c r="BR94" s="377"/>
      <c r="BS94" s="377"/>
      <c r="BT94" s="377"/>
      <c r="BU94" s="377"/>
      <c r="BV94" s="377"/>
      <c r="BW94" s="377"/>
      <c r="BX94" s="377"/>
      <c r="BY94" s="377"/>
      <c r="BZ94" s="377"/>
      <c r="CA94" s="377"/>
      <c r="CB94" s="377"/>
      <c r="CC94" s="377"/>
      <c r="CD94" s="377"/>
      <c r="CE94" s="377"/>
      <c r="CF94" s="377"/>
      <c r="CG94" s="377"/>
      <c r="CH94" s="377"/>
      <c r="CI94" s="377"/>
      <c r="CJ94" s="377"/>
      <c r="CK94" s="377"/>
      <c r="CL94" s="377"/>
      <c r="CM94" s="377"/>
      <c r="CN94" s="377"/>
      <c r="CO94" s="377"/>
      <c r="CP94" s="377"/>
      <c r="CQ94" s="377"/>
      <c r="CR94" s="377"/>
      <c r="CS94" s="377"/>
      <c r="CT94" s="377"/>
      <c r="CU94" s="377"/>
      <c r="CV94" s="377"/>
      <c r="CW94" s="377"/>
      <c r="CX94" s="377"/>
      <c r="CY94" s="377"/>
      <c r="CZ94" s="377"/>
      <c r="DA94" s="377"/>
      <c r="DB94" s="377"/>
      <c r="DC94" s="377"/>
      <c r="DD94" s="377"/>
      <c r="DE94" s="377"/>
      <c r="DF94" s="377"/>
      <c r="DG94" s="377"/>
      <c r="DH94" s="377"/>
      <c r="DI94" s="377"/>
      <c r="DJ94" s="377"/>
      <c r="DK94" s="377"/>
      <c r="DL94" s="377"/>
      <c r="DM94" s="377"/>
      <c r="DN94" s="377"/>
      <c r="DO94" s="377"/>
      <c r="DP94" s="377"/>
      <c r="DQ94" s="377"/>
      <c r="DR94" s="377"/>
      <c r="DS94" s="377"/>
      <c r="DT94" s="377"/>
      <c r="DU94" s="377"/>
      <c r="DV94" s="377"/>
      <c r="DW94" s="377"/>
      <c r="DX94" s="377"/>
      <c r="DY94" s="377"/>
      <c r="DZ94" s="377"/>
      <c r="EA94" s="377"/>
      <c r="EB94" s="377"/>
      <c r="EC94" s="377"/>
      <c r="ED94" s="377"/>
      <c r="EE94" s="377"/>
      <c r="EF94" s="377"/>
      <c r="EG94" s="377"/>
      <c r="EH94" s="377"/>
      <c r="EI94" s="377"/>
      <c r="EJ94" s="377"/>
      <c r="EK94" s="377"/>
      <c r="EL94" s="377"/>
      <c r="EM94" s="377"/>
      <c r="EN94" s="377"/>
      <c r="EO94" s="377"/>
      <c r="EP94" s="377"/>
      <c r="EQ94" s="377"/>
      <c r="ER94" s="377"/>
    </row>
    <row r="95" spans="4:148">
      <c r="D95" s="377"/>
      <c r="E95" s="377"/>
      <c r="F95" s="377"/>
      <c r="G95" s="377"/>
      <c r="H95" s="377"/>
      <c r="I95" s="377"/>
      <c r="J95" s="377"/>
      <c r="K95" s="377"/>
      <c r="L95" s="377"/>
      <c r="M95" s="377"/>
      <c r="N95" s="377"/>
      <c r="O95" s="377"/>
      <c r="P95" s="377"/>
      <c r="Q95" s="377"/>
      <c r="R95" s="377"/>
      <c r="S95" s="377"/>
      <c r="T95" s="377"/>
      <c r="U95" s="377"/>
      <c r="V95" s="377"/>
      <c r="W95" s="377"/>
      <c r="X95" s="377"/>
      <c r="Y95" s="377"/>
      <c r="Z95" s="377"/>
      <c r="AA95" s="377"/>
      <c r="AB95" s="377"/>
      <c r="AC95" s="377"/>
      <c r="AD95" s="377"/>
      <c r="AE95" s="377"/>
      <c r="AF95" s="377"/>
      <c r="AG95" s="377"/>
      <c r="AH95" s="377"/>
      <c r="AI95" s="377"/>
      <c r="AJ95" s="377"/>
      <c r="AK95" s="377"/>
      <c r="AL95" s="377"/>
      <c r="AM95" s="377"/>
      <c r="AN95" s="377"/>
      <c r="AO95" s="377"/>
      <c r="AP95" s="377"/>
      <c r="AQ95" s="377"/>
      <c r="AR95" s="377"/>
      <c r="AS95" s="377"/>
      <c r="AT95" s="377"/>
      <c r="AU95" s="377"/>
      <c r="AV95" s="377"/>
      <c r="AW95" s="377"/>
      <c r="AX95" s="377"/>
      <c r="AY95" s="377"/>
      <c r="AZ95" s="377"/>
      <c r="BA95" s="377"/>
      <c r="BB95" s="377"/>
      <c r="BC95" s="377"/>
      <c r="BD95" s="377"/>
      <c r="BE95" s="377"/>
      <c r="BF95" s="377"/>
      <c r="BG95" s="377"/>
      <c r="BH95" s="377"/>
      <c r="BI95" s="377"/>
      <c r="BJ95" s="377"/>
      <c r="BK95" s="377"/>
      <c r="BL95" s="377"/>
      <c r="BM95" s="377"/>
      <c r="BN95" s="377"/>
      <c r="BO95" s="377"/>
      <c r="BP95" s="377"/>
      <c r="BQ95" s="377"/>
      <c r="BR95" s="377"/>
      <c r="BS95" s="377"/>
      <c r="BT95" s="377"/>
      <c r="BU95" s="377"/>
      <c r="BV95" s="377"/>
      <c r="BW95" s="377"/>
      <c r="BX95" s="377"/>
      <c r="BY95" s="377"/>
      <c r="BZ95" s="377"/>
      <c r="CA95" s="377"/>
      <c r="CB95" s="377"/>
      <c r="CC95" s="377"/>
      <c r="CD95" s="377"/>
      <c r="CE95" s="377"/>
      <c r="CF95" s="377"/>
      <c r="CG95" s="377"/>
      <c r="CH95" s="377"/>
      <c r="CI95" s="377"/>
      <c r="CJ95" s="377"/>
      <c r="CK95" s="377"/>
      <c r="CL95" s="377"/>
      <c r="CM95" s="377"/>
      <c r="CN95" s="377"/>
      <c r="CO95" s="377"/>
      <c r="CP95" s="377"/>
      <c r="CQ95" s="377"/>
      <c r="CR95" s="377"/>
      <c r="CS95" s="377"/>
      <c r="CT95" s="377"/>
      <c r="CU95" s="377"/>
      <c r="CV95" s="377"/>
      <c r="CW95" s="377"/>
      <c r="CX95" s="377"/>
      <c r="CY95" s="377"/>
      <c r="CZ95" s="377"/>
      <c r="DA95" s="377"/>
      <c r="DB95" s="377"/>
      <c r="DC95" s="377"/>
      <c r="DD95" s="377"/>
      <c r="DE95" s="377"/>
      <c r="DF95" s="377"/>
      <c r="DG95" s="377"/>
      <c r="DH95" s="377"/>
      <c r="DI95" s="377"/>
      <c r="DJ95" s="377"/>
      <c r="DK95" s="377"/>
      <c r="DL95" s="377"/>
      <c r="DM95" s="377"/>
      <c r="DN95" s="377"/>
      <c r="DO95" s="377"/>
      <c r="DP95" s="377"/>
      <c r="DQ95" s="377"/>
      <c r="DR95" s="377"/>
      <c r="DS95" s="377"/>
      <c r="DT95" s="377"/>
      <c r="DU95" s="377"/>
      <c r="DV95" s="377"/>
      <c r="DW95" s="377"/>
      <c r="DX95" s="377"/>
      <c r="DY95" s="377"/>
      <c r="DZ95" s="377"/>
      <c r="EA95" s="377"/>
      <c r="EB95" s="377"/>
      <c r="EC95" s="377"/>
      <c r="ED95" s="377"/>
      <c r="EE95" s="377"/>
      <c r="EF95" s="377"/>
      <c r="EG95" s="377"/>
      <c r="EH95" s="377"/>
      <c r="EI95" s="377"/>
      <c r="EJ95" s="377"/>
      <c r="EK95" s="377"/>
      <c r="EL95" s="377"/>
      <c r="EM95" s="377"/>
      <c r="EN95" s="377"/>
      <c r="EO95" s="377"/>
      <c r="EP95" s="377"/>
      <c r="EQ95" s="377"/>
      <c r="ER95" s="377"/>
    </row>
    <row r="96" spans="4:148">
      <c r="D96" s="377"/>
      <c r="E96" s="377"/>
      <c r="F96" s="377"/>
      <c r="G96" s="377"/>
      <c r="H96" s="377"/>
      <c r="I96" s="377"/>
      <c r="J96" s="377"/>
      <c r="K96" s="377"/>
      <c r="L96" s="377"/>
      <c r="M96" s="377"/>
      <c r="N96" s="377"/>
      <c r="O96" s="377"/>
      <c r="P96" s="377"/>
      <c r="Q96" s="377"/>
      <c r="R96" s="377"/>
      <c r="S96" s="377"/>
      <c r="T96" s="377"/>
      <c r="U96" s="377"/>
      <c r="V96" s="377"/>
      <c r="W96" s="377"/>
      <c r="X96" s="377"/>
      <c r="Y96" s="377"/>
      <c r="Z96" s="377"/>
      <c r="AA96" s="377"/>
      <c r="AB96" s="377"/>
      <c r="AC96" s="377"/>
      <c r="AD96" s="377"/>
      <c r="AE96" s="377"/>
      <c r="AF96" s="377"/>
      <c r="AG96" s="377"/>
      <c r="AH96" s="377"/>
      <c r="AI96" s="377"/>
      <c r="AJ96" s="377"/>
      <c r="AK96" s="377"/>
      <c r="AL96" s="377"/>
      <c r="AM96" s="377"/>
      <c r="AN96" s="377"/>
      <c r="AO96" s="377"/>
      <c r="AP96" s="377"/>
      <c r="AQ96" s="377"/>
      <c r="AR96" s="377"/>
      <c r="AS96" s="377"/>
      <c r="AT96" s="377"/>
      <c r="AU96" s="377"/>
      <c r="AV96" s="377"/>
      <c r="AW96" s="377"/>
      <c r="AX96" s="377"/>
      <c r="AY96" s="377"/>
      <c r="AZ96" s="377"/>
      <c r="BA96" s="377"/>
      <c r="BB96" s="377"/>
      <c r="BC96" s="377"/>
      <c r="BD96" s="377"/>
      <c r="BE96" s="377"/>
      <c r="BF96" s="377"/>
      <c r="BG96" s="377"/>
      <c r="BH96" s="377"/>
      <c r="BI96" s="377"/>
      <c r="BJ96" s="377"/>
      <c r="BK96" s="377"/>
      <c r="BL96" s="377"/>
      <c r="BM96" s="377"/>
      <c r="BN96" s="377"/>
      <c r="BO96" s="377"/>
      <c r="BP96" s="377"/>
      <c r="BQ96" s="377"/>
      <c r="BR96" s="377"/>
      <c r="BS96" s="377"/>
      <c r="BT96" s="377"/>
      <c r="BU96" s="377"/>
      <c r="BV96" s="377"/>
      <c r="BW96" s="377"/>
      <c r="BX96" s="377"/>
      <c r="BY96" s="377"/>
      <c r="BZ96" s="377"/>
      <c r="CA96" s="377"/>
      <c r="CB96" s="377"/>
      <c r="CC96" s="377"/>
      <c r="CD96" s="377"/>
      <c r="CE96" s="377"/>
      <c r="CF96" s="377"/>
      <c r="CG96" s="377"/>
      <c r="CH96" s="377"/>
      <c r="CI96" s="377"/>
      <c r="CJ96" s="377"/>
      <c r="CK96" s="377"/>
      <c r="CL96" s="377"/>
      <c r="CM96" s="377"/>
      <c r="CN96" s="377"/>
      <c r="CO96" s="377"/>
      <c r="CP96" s="377"/>
      <c r="CQ96" s="377"/>
      <c r="CR96" s="377"/>
      <c r="CS96" s="377"/>
      <c r="CT96" s="377"/>
      <c r="CU96" s="377"/>
      <c r="CV96" s="377"/>
      <c r="CW96" s="377"/>
      <c r="CX96" s="377"/>
      <c r="CY96" s="377"/>
      <c r="CZ96" s="377"/>
      <c r="DA96" s="377"/>
      <c r="DB96" s="377"/>
      <c r="DC96" s="377"/>
      <c r="DD96" s="377"/>
      <c r="DE96" s="377"/>
      <c r="DF96" s="377"/>
      <c r="DG96" s="377"/>
      <c r="DH96" s="377"/>
      <c r="DI96" s="377"/>
      <c r="DJ96" s="377"/>
      <c r="DK96" s="377"/>
      <c r="DL96" s="377"/>
      <c r="DM96" s="377"/>
      <c r="DN96" s="377"/>
      <c r="DO96" s="377"/>
      <c r="DP96" s="377"/>
      <c r="DQ96" s="377"/>
      <c r="DR96" s="377"/>
      <c r="DS96" s="377"/>
      <c r="DT96" s="377"/>
      <c r="DU96" s="377"/>
      <c r="DV96" s="377"/>
      <c r="DW96" s="377"/>
      <c r="DX96" s="377"/>
      <c r="DY96" s="377"/>
      <c r="DZ96" s="377"/>
      <c r="EA96" s="377"/>
      <c r="EB96" s="377"/>
      <c r="EC96" s="377"/>
      <c r="ED96" s="377"/>
      <c r="EE96" s="377"/>
      <c r="EF96" s="377"/>
      <c r="EG96" s="377"/>
      <c r="EH96" s="377"/>
      <c r="EI96" s="377"/>
      <c r="EJ96" s="377"/>
      <c r="EK96" s="377"/>
      <c r="EL96" s="377"/>
      <c r="EM96" s="377"/>
      <c r="EN96" s="377"/>
      <c r="EO96" s="377"/>
      <c r="EP96" s="377"/>
      <c r="EQ96" s="377"/>
      <c r="ER96" s="377"/>
    </row>
    <row r="97" spans="4:148">
      <c r="D97" s="377"/>
      <c r="E97" s="377"/>
      <c r="F97" s="377"/>
      <c r="G97" s="377"/>
      <c r="H97" s="377"/>
      <c r="I97" s="377"/>
      <c r="J97" s="377"/>
      <c r="K97" s="377"/>
      <c r="L97" s="377"/>
      <c r="M97" s="377"/>
      <c r="N97" s="377"/>
      <c r="O97" s="377"/>
      <c r="P97" s="377"/>
      <c r="Q97" s="377"/>
      <c r="R97" s="377"/>
      <c r="S97" s="377"/>
      <c r="T97" s="377"/>
      <c r="U97" s="377"/>
      <c r="V97" s="377"/>
      <c r="W97" s="377"/>
      <c r="X97" s="377"/>
      <c r="Y97" s="377"/>
      <c r="Z97" s="377"/>
      <c r="AA97" s="377"/>
      <c r="AB97" s="377"/>
      <c r="AC97" s="377"/>
      <c r="AD97" s="377"/>
      <c r="AE97" s="377"/>
      <c r="AF97" s="377"/>
      <c r="AG97" s="377"/>
      <c r="AH97" s="377"/>
      <c r="AI97" s="377"/>
      <c r="AJ97" s="377"/>
      <c r="AK97" s="377"/>
      <c r="AL97" s="377"/>
      <c r="AM97" s="377"/>
      <c r="AN97" s="377"/>
      <c r="AO97" s="377"/>
      <c r="AP97" s="377"/>
      <c r="AQ97" s="377"/>
      <c r="AR97" s="377"/>
      <c r="AS97" s="377"/>
      <c r="AT97" s="377"/>
      <c r="AU97" s="377"/>
      <c r="AV97" s="377"/>
      <c r="AW97" s="377"/>
      <c r="AX97" s="377"/>
      <c r="AY97" s="377"/>
      <c r="AZ97" s="377"/>
      <c r="BA97" s="377"/>
      <c r="BB97" s="377"/>
      <c r="BC97" s="377"/>
      <c r="BD97" s="377"/>
      <c r="BE97" s="377"/>
      <c r="BF97" s="377"/>
      <c r="BG97" s="377"/>
      <c r="BH97" s="377"/>
      <c r="BI97" s="377"/>
      <c r="BJ97" s="377"/>
      <c r="BK97" s="377"/>
      <c r="BL97" s="377"/>
      <c r="BM97" s="377"/>
      <c r="BN97" s="377"/>
      <c r="BO97" s="377"/>
      <c r="BP97" s="377"/>
      <c r="BQ97" s="377"/>
      <c r="BR97" s="377"/>
      <c r="BS97" s="377"/>
      <c r="BT97" s="377"/>
      <c r="BU97" s="377"/>
      <c r="BV97" s="377"/>
      <c r="BW97" s="377"/>
      <c r="BX97" s="377"/>
      <c r="BY97" s="377"/>
      <c r="BZ97" s="377"/>
      <c r="CA97" s="377"/>
      <c r="CB97" s="377"/>
      <c r="CC97" s="377"/>
      <c r="CD97" s="377"/>
      <c r="CE97" s="377"/>
      <c r="CF97" s="377"/>
      <c r="CG97" s="377"/>
      <c r="CH97" s="377"/>
      <c r="CI97" s="377"/>
      <c r="CJ97" s="377"/>
      <c r="CK97" s="377"/>
      <c r="CL97" s="377"/>
      <c r="CM97" s="377"/>
      <c r="CN97" s="377"/>
      <c r="CO97" s="377"/>
      <c r="CP97" s="377"/>
      <c r="CQ97" s="377"/>
      <c r="CR97" s="377"/>
      <c r="CS97" s="377"/>
      <c r="CT97" s="377"/>
      <c r="CU97" s="377"/>
      <c r="CV97" s="377"/>
      <c r="CW97" s="377"/>
      <c r="CX97" s="377"/>
      <c r="CY97" s="377"/>
      <c r="CZ97" s="377"/>
      <c r="DA97" s="377"/>
      <c r="DB97" s="377"/>
      <c r="DC97" s="377"/>
      <c r="DD97" s="377"/>
      <c r="DE97" s="377"/>
      <c r="DF97" s="377"/>
      <c r="DG97" s="377"/>
      <c r="DH97" s="377"/>
      <c r="DI97" s="377"/>
      <c r="DJ97" s="377"/>
      <c r="DK97" s="377"/>
      <c r="DL97" s="377"/>
      <c r="DM97" s="377"/>
      <c r="DN97" s="377"/>
      <c r="DO97" s="377"/>
      <c r="DP97" s="377"/>
      <c r="DQ97" s="377"/>
      <c r="DR97" s="377"/>
      <c r="DS97" s="377"/>
      <c r="DT97" s="377"/>
      <c r="DU97" s="377"/>
      <c r="DV97" s="377"/>
      <c r="DW97" s="377"/>
      <c r="DX97" s="377"/>
      <c r="DY97" s="377"/>
      <c r="DZ97" s="377"/>
      <c r="EA97" s="377"/>
      <c r="EB97" s="377"/>
      <c r="EC97" s="377"/>
      <c r="ED97" s="377"/>
      <c r="EE97" s="377"/>
      <c r="EF97" s="377"/>
      <c r="EG97" s="377"/>
      <c r="EH97" s="377"/>
      <c r="EI97" s="377"/>
      <c r="EJ97" s="377"/>
      <c r="EK97" s="377"/>
      <c r="EL97" s="377"/>
      <c r="EM97" s="377"/>
      <c r="EN97" s="377"/>
      <c r="EO97" s="377"/>
      <c r="EP97" s="377"/>
      <c r="EQ97" s="377"/>
      <c r="ER97" s="377"/>
    </row>
    <row r="98" spans="4:148">
      <c r="D98" s="377"/>
      <c r="E98" s="377"/>
      <c r="F98" s="377"/>
      <c r="G98" s="377"/>
      <c r="H98" s="377"/>
      <c r="I98" s="377"/>
      <c r="J98" s="377"/>
      <c r="K98" s="377"/>
      <c r="L98" s="377"/>
      <c r="M98" s="377"/>
      <c r="N98" s="377"/>
      <c r="O98" s="377"/>
      <c r="P98" s="377"/>
      <c r="Q98" s="377"/>
      <c r="R98" s="377"/>
      <c r="S98" s="377"/>
      <c r="T98" s="377"/>
      <c r="U98" s="377"/>
      <c r="V98" s="377"/>
      <c r="W98" s="377"/>
      <c r="X98" s="377"/>
      <c r="Y98" s="377"/>
      <c r="Z98" s="377"/>
      <c r="AA98" s="377"/>
      <c r="AB98" s="377"/>
      <c r="AC98" s="377"/>
      <c r="AD98" s="377"/>
      <c r="AE98" s="377"/>
      <c r="AF98" s="377"/>
      <c r="AG98" s="377"/>
      <c r="AH98" s="377"/>
      <c r="AI98" s="377"/>
      <c r="AJ98" s="377"/>
      <c r="AK98" s="377"/>
      <c r="AL98" s="377"/>
      <c r="AM98" s="377"/>
      <c r="AN98" s="377"/>
      <c r="AO98" s="377"/>
      <c r="AP98" s="377"/>
      <c r="AQ98" s="377"/>
      <c r="AR98" s="377"/>
      <c r="AS98" s="377"/>
      <c r="AT98" s="377"/>
      <c r="AU98" s="377"/>
      <c r="AV98" s="377"/>
      <c r="AW98" s="377"/>
      <c r="AX98" s="377"/>
      <c r="AY98" s="377"/>
      <c r="AZ98" s="377"/>
      <c r="BA98" s="377"/>
      <c r="BB98" s="377"/>
      <c r="BC98" s="377"/>
      <c r="BD98" s="377"/>
      <c r="BE98" s="377"/>
      <c r="BF98" s="377"/>
      <c r="BG98" s="377"/>
      <c r="BH98" s="377"/>
      <c r="BI98" s="377"/>
      <c r="BJ98" s="377"/>
      <c r="BK98" s="377"/>
      <c r="BL98" s="377"/>
      <c r="BM98" s="377"/>
      <c r="BN98" s="377"/>
      <c r="BO98" s="377"/>
      <c r="BP98" s="377"/>
      <c r="BQ98" s="377"/>
      <c r="BR98" s="377"/>
      <c r="BS98" s="377"/>
      <c r="BT98" s="377"/>
      <c r="BU98" s="377"/>
      <c r="BV98" s="377"/>
      <c r="BW98" s="377"/>
      <c r="BX98" s="377"/>
      <c r="BY98" s="377"/>
      <c r="BZ98" s="377"/>
      <c r="CA98" s="377"/>
      <c r="CB98" s="377"/>
      <c r="CC98" s="377"/>
      <c r="CD98" s="377"/>
      <c r="CE98" s="377"/>
      <c r="CF98" s="377"/>
      <c r="CG98" s="377"/>
      <c r="CH98" s="377"/>
      <c r="CI98" s="377"/>
      <c r="CJ98" s="377"/>
      <c r="CK98" s="377"/>
      <c r="CL98" s="377"/>
      <c r="CM98" s="377"/>
      <c r="CN98" s="377"/>
      <c r="CO98" s="377"/>
      <c r="CP98" s="377"/>
      <c r="CQ98" s="377"/>
      <c r="CR98" s="377"/>
      <c r="CS98" s="377"/>
      <c r="CT98" s="377"/>
      <c r="CU98" s="377"/>
      <c r="CV98" s="377"/>
      <c r="CW98" s="377"/>
      <c r="CX98" s="377"/>
      <c r="CY98" s="377"/>
      <c r="CZ98" s="377"/>
      <c r="DA98" s="377"/>
      <c r="DB98" s="377"/>
      <c r="DC98" s="377"/>
      <c r="DD98" s="377"/>
      <c r="DE98" s="377"/>
      <c r="DF98" s="377"/>
      <c r="DG98" s="377"/>
      <c r="DH98" s="377"/>
      <c r="DI98" s="377"/>
      <c r="DJ98" s="377"/>
      <c r="DK98" s="377"/>
      <c r="DL98" s="377"/>
      <c r="DM98" s="377"/>
      <c r="DN98" s="377"/>
      <c r="DO98" s="377"/>
      <c r="DP98" s="377"/>
      <c r="DQ98" s="377"/>
      <c r="DR98" s="377"/>
      <c r="DS98" s="377"/>
      <c r="DT98" s="377"/>
      <c r="DU98" s="377"/>
      <c r="DV98" s="377"/>
      <c r="DW98" s="377"/>
      <c r="DX98" s="377"/>
      <c r="DY98" s="377"/>
      <c r="DZ98" s="377"/>
      <c r="EA98" s="377"/>
      <c r="EB98" s="377"/>
      <c r="EC98" s="377"/>
      <c r="ED98" s="377"/>
      <c r="EE98" s="377"/>
      <c r="EF98" s="377"/>
      <c r="EG98" s="377"/>
      <c r="EH98" s="377"/>
      <c r="EI98" s="377"/>
      <c r="EJ98" s="377"/>
      <c r="EK98" s="377"/>
      <c r="EL98" s="377"/>
      <c r="EM98" s="377"/>
      <c r="EN98" s="377"/>
      <c r="EO98" s="377"/>
      <c r="EP98" s="377"/>
      <c r="EQ98" s="377"/>
      <c r="ER98" s="377"/>
    </row>
    <row r="99" spans="4:148">
      <c r="D99" s="377"/>
      <c r="E99" s="377"/>
      <c r="F99" s="377"/>
      <c r="G99" s="377"/>
      <c r="H99" s="377"/>
      <c r="I99" s="377"/>
      <c r="J99" s="377"/>
      <c r="K99" s="377"/>
      <c r="L99" s="377"/>
      <c r="M99" s="377"/>
      <c r="N99" s="377"/>
      <c r="O99" s="377"/>
      <c r="P99" s="377"/>
      <c r="Q99" s="377"/>
      <c r="R99" s="377"/>
      <c r="S99" s="377"/>
      <c r="T99" s="377"/>
      <c r="U99" s="377"/>
      <c r="V99" s="377"/>
      <c r="W99" s="377"/>
      <c r="X99" s="377"/>
      <c r="Y99" s="377"/>
      <c r="Z99" s="377"/>
      <c r="AA99" s="377"/>
      <c r="AB99" s="377"/>
      <c r="AC99" s="377"/>
      <c r="AD99" s="377"/>
      <c r="AE99" s="377"/>
      <c r="AF99" s="377"/>
      <c r="AG99" s="377"/>
      <c r="AH99" s="377"/>
      <c r="AI99" s="377"/>
      <c r="AJ99" s="377"/>
      <c r="AK99" s="377"/>
      <c r="AL99" s="377"/>
      <c r="AM99" s="377"/>
      <c r="AN99" s="377"/>
      <c r="AO99" s="377"/>
      <c r="AP99" s="377"/>
      <c r="AQ99" s="377"/>
      <c r="AR99" s="377"/>
      <c r="AS99" s="377"/>
      <c r="AT99" s="377"/>
      <c r="AU99" s="377"/>
      <c r="AV99" s="377"/>
      <c r="AW99" s="377"/>
      <c r="AX99" s="377"/>
      <c r="AY99" s="377"/>
      <c r="AZ99" s="377"/>
      <c r="BA99" s="377"/>
      <c r="BB99" s="377"/>
      <c r="BC99" s="377"/>
      <c r="BD99" s="377"/>
      <c r="BE99" s="377"/>
      <c r="BF99" s="377"/>
      <c r="BG99" s="377"/>
      <c r="BH99" s="377"/>
      <c r="BI99" s="377"/>
      <c r="BJ99" s="377"/>
      <c r="BK99" s="377"/>
      <c r="BL99" s="377"/>
      <c r="BM99" s="377"/>
      <c r="BN99" s="377"/>
      <c r="BO99" s="377"/>
      <c r="BP99" s="377"/>
      <c r="BQ99" s="377"/>
      <c r="BR99" s="377"/>
      <c r="BS99" s="377"/>
      <c r="BT99" s="377"/>
      <c r="BU99" s="377"/>
      <c r="BV99" s="377"/>
      <c r="BW99" s="377"/>
      <c r="BX99" s="377"/>
      <c r="BY99" s="377"/>
      <c r="BZ99" s="377"/>
      <c r="CA99" s="377"/>
      <c r="CB99" s="377"/>
      <c r="CC99" s="377"/>
      <c r="CD99" s="377"/>
      <c r="CE99" s="377"/>
      <c r="CF99" s="377"/>
      <c r="CG99" s="377"/>
      <c r="CH99" s="377"/>
      <c r="CI99" s="377"/>
      <c r="CJ99" s="377"/>
      <c r="CK99" s="377"/>
      <c r="CL99" s="377"/>
      <c r="CM99" s="377"/>
      <c r="CN99" s="377"/>
      <c r="CO99" s="377"/>
      <c r="CP99" s="377"/>
      <c r="CQ99" s="377"/>
      <c r="CR99" s="377"/>
      <c r="CS99" s="377"/>
      <c r="CT99" s="377"/>
      <c r="CU99" s="377"/>
      <c r="CV99" s="377"/>
      <c r="CW99" s="377"/>
      <c r="CX99" s="377"/>
      <c r="CY99" s="377"/>
      <c r="CZ99" s="377"/>
      <c r="DA99" s="377"/>
      <c r="DB99" s="377"/>
      <c r="DC99" s="377"/>
      <c r="DD99" s="377"/>
      <c r="DE99" s="377"/>
      <c r="DF99" s="377"/>
      <c r="DG99" s="377"/>
      <c r="DH99" s="377"/>
      <c r="DI99" s="377"/>
      <c r="DJ99" s="377"/>
      <c r="DK99" s="377"/>
      <c r="DL99" s="377"/>
      <c r="DM99" s="377"/>
      <c r="DN99" s="377"/>
      <c r="DO99" s="377"/>
      <c r="DP99" s="377"/>
      <c r="DQ99" s="377"/>
      <c r="DR99" s="377"/>
      <c r="DS99" s="377"/>
      <c r="DT99" s="377"/>
      <c r="DU99" s="377"/>
      <c r="DV99" s="377"/>
      <c r="DW99" s="377"/>
      <c r="DX99" s="377"/>
      <c r="DY99" s="377"/>
      <c r="DZ99" s="377"/>
      <c r="EA99" s="377"/>
      <c r="EB99" s="377"/>
      <c r="EC99" s="377"/>
      <c r="ED99" s="377"/>
      <c r="EE99" s="377"/>
      <c r="EF99" s="377"/>
      <c r="EG99" s="377"/>
      <c r="EH99" s="377"/>
      <c r="EI99" s="377"/>
      <c r="EJ99" s="377"/>
      <c r="EK99" s="377"/>
      <c r="EL99" s="377"/>
      <c r="EM99" s="377"/>
      <c r="EN99" s="377"/>
      <c r="EO99" s="377"/>
      <c r="EP99" s="377"/>
      <c r="EQ99" s="377"/>
      <c r="ER99" s="377"/>
    </row>
    <row r="100" spans="4:148">
      <c r="D100" s="377"/>
      <c r="E100" s="377"/>
      <c r="F100" s="377"/>
      <c r="G100" s="377"/>
      <c r="H100" s="377"/>
      <c r="I100" s="377"/>
      <c r="J100" s="377"/>
      <c r="K100" s="377"/>
      <c r="L100" s="377"/>
      <c r="M100" s="377"/>
      <c r="N100" s="377"/>
      <c r="O100" s="377"/>
      <c r="P100" s="377"/>
      <c r="Q100" s="377"/>
      <c r="R100" s="377"/>
      <c r="S100" s="377"/>
      <c r="T100" s="377"/>
      <c r="U100" s="377"/>
      <c r="V100" s="377"/>
      <c r="W100" s="377"/>
      <c r="X100" s="377"/>
      <c r="Y100" s="377"/>
      <c r="Z100" s="377"/>
      <c r="AA100" s="377"/>
      <c r="AB100" s="377"/>
      <c r="AC100" s="377"/>
      <c r="AD100" s="377"/>
      <c r="AE100" s="377"/>
      <c r="AF100" s="377"/>
      <c r="AG100" s="377"/>
      <c r="AH100" s="377"/>
      <c r="AI100" s="377"/>
      <c r="AJ100" s="377"/>
      <c r="AK100" s="377"/>
      <c r="AL100" s="377"/>
      <c r="AM100" s="377"/>
      <c r="AN100" s="377"/>
      <c r="AO100" s="377"/>
      <c r="AP100" s="377"/>
      <c r="AQ100" s="377"/>
      <c r="AR100" s="377"/>
      <c r="AS100" s="377"/>
      <c r="AT100" s="377"/>
      <c r="AU100" s="377"/>
      <c r="AV100" s="377"/>
      <c r="AW100" s="377"/>
      <c r="AX100" s="377"/>
      <c r="AY100" s="377"/>
      <c r="AZ100" s="377"/>
      <c r="BA100" s="377"/>
      <c r="BB100" s="377"/>
      <c r="BC100" s="377"/>
      <c r="BD100" s="377"/>
      <c r="BE100" s="377"/>
      <c r="BF100" s="377"/>
      <c r="BG100" s="377"/>
      <c r="BH100" s="377"/>
      <c r="BI100" s="377"/>
      <c r="BJ100" s="377"/>
      <c r="BK100" s="377"/>
      <c r="BL100" s="377"/>
      <c r="BM100" s="377"/>
      <c r="BN100" s="377"/>
      <c r="BO100" s="377"/>
      <c r="BP100" s="377"/>
      <c r="BQ100" s="377"/>
      <c r="BR100" s="377"/>
      <c r="BS100" s="377"/>
      <c r="BT100" s="377"/>
      <c r="BU100" s="377"/>
      <c r="BV100" s="377"/>
      <c r="BW100" s="377"/>
      <c r="BX100" s="377"/>
      <c r="BY100" s="377"/>
      <c r="BZ100" s="377"/>
      <c r="CA100" s="377"/>
      <c r="CB100" s="377"/>
      <c r="CC100" s="377"/>
      <c r="CD100" s="377"/>
      <c r="CE100" s="377"/>
      <c r="CF100" s="377"/>
      <c r="CG100" s="377"/>
      <c r="CH100" s="377"/>
      <c r="CI100" s="377"/>
      <c r="CJ100" s="377"/>
      <c r="CK100" s="377"/>
      <c r="CL100" s="377"/>
      <c r="CM100" s="377"/>
      <c r="CN100" s="377"/>
      <c r="CO100" s="377"/>
      <c r="CP100" s="377"/>
      <c r="CQ100" s="377"/>
      <c r="CR100" s="377"/>
      <c r="CS100" s="377"/>
      <c r="CT100" s="377"/>
      <c r="CU100" s="377"/>
      <c r="CV100" s="377"/>
      <c r="CW100" s="377"/>
      <c r="CX100" s="377"/>
      <c r="CY100" s="377"/>
      <c r="CZ100" s="377"/>
      <c r="DA100" s="377"/>
      <c r="DB100" s="377"/>
      <c r="DC100" s="377"/>
      <c r="DD100" s="377"/>
      <c r="DE100" s="377"/>
      <c r="DF100" s="377"/>
      <c r="DG100" s="377"/>
      <c r="DH100" s="377"/>
      <c r="DI100" s="377"/>
      <c r="DJ100" s="377"/>
      <c r="DK100" s="377"/>
      <c r="DL100" s="377"/>
      <c r="DM100" s="377"/>
      <c r="DN100" s="377"/>
      <c r="DO100" s="377"/>
      <c r="DP100" s="377"/>
      <c r="DQ100" s="377"/>
      <c r="DR100" s="377"/>
      <c r="DS100" s="377"/>
      <c r="DT100" s="377"/>
      <c r="DU100" s="377"/>
      <c r="DV100" s="377"/>
      <c r="DW100" s="377"/>
      <c r="DX100" s="377"/>
      <c r="DY100" s="377"/>
      <c r="DZ100" s="377"/>
      <c r="EA100" s="377"/>
      <c r="EB100" s="377"/>
      <c r="EC100" s="377"/>
      <c r="ED100" s="377"/>
      <c r="EE100" s="377"/>
      <c r="EF100" s="377"/>
      <c r="EG100" s="377"/>
      <c r="EH100" s="377"/>
      <c r="EI100" s="377"/>
      <c r="EJ100" s="377"/>
      <c r="EK100" s="377"/>
      <c r="EL100" s="377"/>
      <c r="EM100" s="377"/>
      <c r="EN100" s="377"/>
      <c r="EO100" s="377"/>
      <c r="EP100" s="377"/>
      <c r="EQ100" s="377"/>
      <c r="ER100" s="377"/>
    </row>
    <row r="101" spans="4:148">
      <c r="D101" s="377"/>
      <c r="E101" s="377"/>
      <c r="F101" s="377"/>
      <c r="G101" s="377"/>
      <c r="H101" s="377"/>
      <c r="I101" s="377"/>
      <c r="J101" s="377"/>
      <c r="K101" s="377"/>
      <c r="L101" s="377"/>
      <c r="M101" s="377"/>
      <c r="N101" s="377"/>
      <c r="O101" s="377"/>
      <c r="P101" s="377"/>
      <c r="Q101" s="377"/>
      <c r="R101" s="377"/>
      <c r="S101" s="377"/>
      <c r="T101" s="377"/>
      <c r="U101" s="377"/>
      <c r="V101" s="377"/>
      <c r="W101" s="377"/>
      <c r="X101" s="377"/>
      <c r="Y101" s="377"/>
      <c r="Z101" s="377"/>
      <c r="AA101" s="377"/>
      <c r="AB101" s="377"/>
      <c r="AC101" s="377"/>
      <c r="AD101" s="377"/>
      <c r="AE101" s="377"/>
      <c r="AF101" s="377"/>
      <c r="AG101" s="377"/>
      <c r="AH101" s="377"/>
      <c r="AI101" s="377"/>
      <c r="AJ101" s="377"/>
      <c r="AK101" s="377"/>
      <c r="AL101" s="377"/>
      <c r="AM101" s="377"/>
      <c r="AN101" s="377"/>
      <c r="AO101" s="377"/>
      <c r="AP101" s="377"/>
      <c r="AQ101" s="377"/>
      <c r="AR101" s="377"/>
      <c r="AS101" s="377"/>
      <c r="AT101" s="377"/>
      <c r="AU101" s="377"/>
      <c r="AV101" s="377"/>
      <c r="AW101" s="377"/>
      <c r="AX101" s="377"/>
      <c r="AY101" s="377"/>
      <c r="AZ101" s="377"/>
      <c r="BA101" s="377"/>
      <c r="BB101" s="377"/>
      <c r="BC101" s="377"/>
      <c r="BD101" s="377"/>
      <c r="BE101" s="377"/>
      <c r="BF101" s="377"/>
      <c r="BG101" s="377"/>
      <c r="BH101" s="377"/>
      <c r="BI101" s="377"/>
      <c r="BJ101" s="377"/>
      <c r="BK101" s="377"/>
      <c r="BL101" s="377"/>
      <c r="BM101" s="377"/>
      <c r="BN101" s="377"/>
      <c r="BO101" s="377"/>
      <c r="BP101" s="377"/>
      <c r="BQ101" s="377"/>
      <c r="BR101" s="377"/>
      <c r="BS101" s="377"/>
      <c r="BT101" s="377"/>
      <c r="BU101" s="377"/>
      <c r="BV101" s="377"/>
      <c r="BW101" s="377"/>
      <c r="BX101" s="377"/>
      <c r="BY101" s="377"/>
      <c r="BZ101" s="377"/>
      <c r="CA101" s="377"/>
      <c r="CB101" s="377"/>
      <c r="CC101" s="377"/>
      <c r="CD101" s="377"/>
      <c r="CE101" s="377"/>
      <c r="CF101" s="377"/>
      <c r="CG101" s="377"/>
      <c r="CH101" s="377"/>
      <c r="CI101" s="377"/>
      <c r="CJ101" s="377"/>
      <c r="CK101" s="377"/>
      <c r="CL101" s="377"/>
      <c r="CM101" s="377"/>
      <c r="CN101" s="377"/>
      <c r="CO101" s="377"/>
      <c r="CP101" s="377"/>
      <c r="CQ101" s="377"/>
      <c r="CR101" s="377"/>
      <c r="CS101" s="377"/>
      <c r="CT101" s="377"/>
      <c r="CU101" s="377"/>
      <c r="CV101" s="377"/>
      <c r="CW101" s="377"/>
      <c r="CX101" s="377"/>
      <c r="CY101" s="377"/>
      <c r="CZ101" s="377"/>
      <c r="DA101" s="377"/>
      <c r="DB101" s="377"/>
      <c r="DC101" s="377"/>
      <c r="DD101" s="377"/>
      <c r="DE101" s="377"/>
      <c r="DF101" s="377"/>
      <c r="DG101" s="377"/>
      <c r="DH101" s="377"/>
      <c r="DI101" s="377"/>
      <c r="DJ101" s="377"/>
      <c r="DK101" s="377"/>
      <c r="DL101" s="377"/>
      <c r="DM101" s="377"/>
      <c r="DN101" s="377"/>
      <c r="DO101" s="377"/>
      <c r="DP101" s="377"/>
      <c r="DQ101" s="377"/>
      <c r="DR101" s="377"/>
      <c r="DS101" s="377"/>
      <c r="DT101" s="377"/>
      <c r="DU101" s="377"/>
      <c r="DV101" s="377"/>
      <c r="DW101" s="377"/>
      <c r="DX101" s="377"/>
      <c r="DY101" s="377"/>
      <c r="DZ101" s="377"/>
      <c r="EA101" s="377"/>
      <c r="EB101" s="377"/>
      <c r="EC101" s="377"/>
      <c r="ED101" s="377"/>
      <c r="EE101" s="377"/>
      <c r="EF101" s="377"/>
      <c r="EG101" s="377"/>
      <c r="EH101" s="377"/>
      <c r="EI101" s="377"/>
      <c r="EJ101" s="377"/>
      <c r="EK101" s="377"/>
      <c r="EL101" s="377"/>
      <c r="EM101" s="377"/>
      <c r="EN101" s="377"/>
      <c r="EO101" s="377"/>
      <c r="EP101" s="377"/>
      <c r="EQ101" s="377"/>
      <c r="ER101" s="377"/>
    </row>
    <row r="102" spans="4:148">
      <c r="D102" s="377"/>
      <c r="E102" s="377"/>
      <c r="F102" s="377"/>
      <c r="G102" s="377"/>
      <c r="H102" s="377"/>
      <c r="I102" s="377"/>
      <c r="J102" s="377"/>
      <c r="K102" s="377"/>
      <c r="L102" s="377"/>
      <c r="M102" s="377"/>
      <c r="N102" s="377"/>
      <c r="O102" s="377"/>
      <c r="P102" s="377"/>
      <c r="Q102" s="377"/>
      <c r="R102" s="377"/>
      <c r="S102" s="377"/>
      <c r="T102" s="377"/>
      <c r="U102" s="377"/>
      <c r="V102" s="377"/>
      <c r="W102" s="377"/>
      <c r="X102" s="377"/>
      <c r="Y102" s="377"/>
      <c r="Z102" s="377"/>
      <c r="AA102" s="377"/>
      <c r="AB102" s="377"/>
      <c r="AC102" s="377"/>
      <c r="AD102" s="377"/>
      <c r="AE102" s="377"/>
      <c r="AF102" s="377"/>
      <c r="AG102" s="377"/>
      <c r="AH102" s="377"/>
      <c r="AI102" s="377"/>
      <c r="AJ102" s="377"/>
      <c r="AK102" s="377"/>
      <c r="AL102" s="377"/>
      <c r="AM102" s="377"/>
      <c r="AN102" s="377"/>
      <c r="AO102" s="377"/>
      <c r="AP102" s="377"/>
      <c r="AQ102" s="377"/>
      <c r="AR102" s="377"/>
      <c r="AS102" s="377"/>
      <c r="AT102" s="377"/>
      <c r="AU102" s="377"/>
      <c r="AV102" s="377"/>
      <c r="AW102" s="377"/>
      <c r="AX102" s="377"/>
      <c r="AY102" s="377"/>
      <c r="AZ102" s="377"/>
      <c r="BA102" s="377"/>
      <c r="BB102" s="377"/>
      <c r="BC102" s="377"/>
      <c r="BD102" s="377"/>
      <c r="BE102" s="377"/>
      <c r="BF102" s="377"/>
      <c r="BG102" s="377"/>
      <c r="BH102" s="377"/>
      <c r="BI102" s="377"/>
      <c r="BJ102" s="377"/>
      <c r="BK102" s="377"/>
      <c r="BL102" s="377"/>
      <c r="BM102" s="377"/>
      <c r="BN102" s="377"/>
      <c r="BO102" s="377"/>
      <c r="BP102" s="377"/>
      <c r="BQ102" s="377"/>
      <c r="BR102" s="377"/>
      <c r="BS102" s="377"/>
      <c r="BT102" s="377"/>
      <c r="BU102" s="377"/>
      <c r="BV102" s="377"/>
      <c r="BW102" s="377"/>
      <c r="BX102" s="377"/>
      <c r="BY102" s="377"/>
      <c r="BZ102" s="377"/>
      <c r="CA102" s="377"/>
      <c r="CB102" s="377"/>
      <c r="CC102" s="377"/>
      <c r="CD102" s="377"/>
      <c r="CE102" s="377"/>
      <c r="CF102" s="377"/>
      <c r="CG102" s="377"/>
      <c r="CH102" s="377"/>
      <c r="CI102" s="377"/>
      <c r="CJ102" s="377"/>
      <c r="CK102" s="377"/>
      <c r="CL102" s="377"/>
      <c r="CM102" s="377"/>
      <c r="CN102" s="377"/>
      <c r="CO102" s="377"/>
      <c r="CP102" s="377"/>
      <c r="CQ102" s="377"/>
      <c r="CR102" s="377"/>
      <c r="CS102" s="377"/>
      <c r="CT102" s="377"/>
      <c r="CU102" s="377"/>
      <c r="CV102" s="377"/>
      <c r="CW102" s="377"/>
      <c r="CX102" s="377"/>
      <c r="CY102" s="377"/>
      <c r="CZ102" s="377"/>
      <c r="DA102" s="377"/>
      <c r="DB102" s="377"/>
      <c r="DC102" s="377"/>
      <c r="DD102" s="377"/>
      <c r="DE102" s="377"/>
      <c r="DF102" s="377"/>
      <c r="DG102" s="377"/>
      <c r="DH102" s="377"/>
      <c r="DI102" s="377"/>
      <c r="DJ102" s="377"/>
      <c r="DK102" s="377"/>
      <c r="DL102" s="377"/>
      <c r="DM102" s="377"/>
      <c r="DN102" s="377"/>
      <c r="DO102" s="377"/>
      <c r="DP102" s="377"/>
      <c r="DQ102" s="377"/>
      <c r="DR102" s="377"/>
      <c r="DS102" s="377"/>
      <c r="DT102" s="377"/>
      <c r="DU102" s="377"/>
      <c r="DV102" s="377"/>
      <c r="DW102" s="377"/>
      <c r="DX102" s="377"/>
      <c r="DY102" s="377"/>
      <c r="DZ102" s="377"/>
      <c r="EA102" s="377"/>
      <c r="EB102" s="377"/>
      <c r="EC102" s="377"/>
      <c r="ED102" s="377"/>
      <c r="EE102" s="377"/>
      <c r="EF102" s="377"/>
      <c r="EG102" s="377"/>
      <c r="EH102" s="377"/>
      <c r="EI102" s="377"/>
      <c r="EJ102" s="377"/>
      <c r="EK102" s="377"/>
      <c r="EL102" s="377"/>
      <c r="EM102" s="377"/>
      <c r="EN102" s="377"/>
      <c r="EO102" s="377"/>
      <c r="EP102" s="377"/>
      <c r="EQ102" s="377"/>
      <c r="ER102" s="377"/>
    </row>
  </sheetData>
  <phoneticPr fontId="0" type="noConversion"/>
  <pageMargins left="0.15" right="0.15" top="0.3" bottom="0.3" header="0.25" footer="0.25"/>
  <pageSetup scale="10" pageOrder="overThenDown" orientation="portrait" verticalDpi="598" r:id="rId1"/>
  <headerFooter alignWithMargins="0">
    <oddFooter>&amp;R&amp;"Book Antiqua,Regular"&amp;8Daniel Salmon
BMO Capital Markets
 (212) 885-4029</oddFooter>
  </headerFooter>
  <ignoredErrors>
    <ignoredError sqref="CT44 CT41 CT18 CT17" formulaRange="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d5cb446-661f-45af-a955-fc33b50a7cf2" xsi:nil="true"/>
    <lcf76f155ced4ddcb4097134ff3c332f xmlns="29f09638-1068-4cdc-b1ae-2bbb702c6014">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0F0680845C0F941973D3FF1CCF55A48" ma:contentTypeVersion="14" ma:contentTypeDescription="Create a new document." ma:contentTypeScope="" ma:versionID="aaa0451964142938b1215c95f1c5450c">
  <xsd:schema xmlns:xsd="http://www.w3.org/2001/XMLSchema" xmlns:xs="http://www.w3.org/2001/XMLSchema" xmlns:p="http://schemas.microsoft.com/office/2006/metadata/properties" xmlns:ns2="29f09638-1068-4cdc-b1ae-2bbb702c6014" xmlns:ns3="0d5cb446-661f-45af-a955-fc33b50a7cf2" targetNamespace="http://schemas.microsoft.com/office/2006/metadata/properties" ma:root="true" ma:fieldsID="271413a18b4a856f52b98578df997b57" ns2:_="" ns3:_="">
    <xsd:import namespace="29f09638-1068-4cdc-b1ae-2bbb702c6014"/>
    <xsd:import namespace="0d5cb446-661f-45af-a955-fc33b50a7cf2"/>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f09638-1068-4cdc-b1ae-2bbb702c60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e47c01aa-fa72-499e-a558-c0906cb7ca65"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d5cb446-661f-45af-a955-fc33b50a7cf2"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b376825-9a6a-40ff-bde1-dfdfc1a2a458}" ma:internalName="TaxCatchAll" ma:showField="CatchAllData" ma:web="0d5cb446-661f-45af-a955-fc33b50a7cf2">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FdsFormulaCache xmlns="urn:fdsformulacache" version="2" timestamp="1785963045"><![CDATA[{"SHOP-US^FE_TIMESERIES(SBC,MEAN,2030,,Y,'CURRENCY=USD')":"#NUM","SHOP-US^FE_TIMESERIES(DEPR_AMORT,MEAN,2030,,Y,'CURRENCY=USD')":null,"SHOP-US^FE_TIMESERIES(FCF,MEAN,2030,,Y,'CURRENCY=USD')":7107.6665,"SHOP-US^FE_TIMESERIES(CAPEX,MEAN,2030,,Y,'CURRENCY=USD')":53.05,"SHOP-US^FE_TIMESERIES(CFO,MEAN,2030,,Y,'CURRENCY=USD')":7215.5,"SHOP-US^FE_TIMESERIES(EAG,MEAN,2030,,Y,'CURRENCY=USD')":4.423333,"SHOP-US^FE_TIMESERIES(EPS,MEAN,2030,,Y,'CURRENCY=USD')":4.4866667,"SHOP-US^FE_TIMESERIES(NETPROFIT,MEAN,2030,,Y,'CURRENCY=USD')":5937.025,"SHOP-US^FE_TIMESERIES(EBITDA_ADJ,MEAN,2030,,Y,'CURRENCY=USD')":6657.5,"SHOP-US^FE_TIMESERIES(EBITDA_REP,MEAN,2030,,Y,'CURRENCY=USD')":6994.0,"SHOP-US^FE_TIMESERIES(EBIT_ADJ,MEAN,2030,,Y,'CURRENCY=USD')":7394.7334,"SHOP-US^FE_TIMESERIES(EBITR,MEAN,2030,,Y,'CURRENCY=USD')":6302.0,"SHOP-US^FE_TIMESERIES(GROSSINCOME,MEAN,2030,,Y,'CURRENCY=USD')":15135.975,"SHOP-US^FE_TIMESERIES(PRODLINE_SALES_2,MEAN,2030,,Y,'CURRENCY=USD')":26788.15,"SHOP-US^FE_TIMESERIES(PRODLINE_SALES_1,MEAN,2030,,Y,'CURRENCY=USD')":5833.9,"SHOP-US^FE_TIMESERIES(SBC,MEAN,2028,,Y,'CURRENCY=USD')":"#NUM","SHOP-US^FE_TIMESERIES(DEPR_AMORT,MEAN,2028,,Y,'CURRENCY=USD')":46.225,"SHOP-US^FE_TIMESERIES(FCF,MEAN,2028,,Y,'CURRENCY=USD')":5300.083,"SHOP-US^FE_TIMESERIES(CAPEX,MEAN,2028,,Y,'CURRENCY=USD')":40.304096,"SHOP-US^FE_TIMESERIES(CFO,MEAN,2028,,Y,'CURRENCY=USD')":4703.2075,"SHOP-US^FE_TIMESERIES(EAG,MEAN,2028,,Y,'CURRENCY=USD')":3.053137,"SHOP-US^FE_TIMESERIES(EPS,MEAN,2028,,Y,'CURRENCY=USD')":3.2661428,"SHOP-US^FE_TIMESERIES(NETPROFIT,MEAN,2028,,Y,'CURRENCY=USD')":4330.658,"SHOP-US^FE_TIMESERIES(EBITDA_ADJ,MEAN,2028,,Y,'CURRENCY=USD')":5274.8657,"SHOP-US^FE_TIMESERIES(EBITDA_REP,MEAN,2028,,Y,'CURRENCY=USD')":4219.0,"SHOP-US^FE_TIMESERIES(EBIT_ADJ,MEAN,2028,,Y,'CURRENCY=USD')":5170.7983,"SHOP-US^FE_TIMESERIES(EBITR,MEAN,2028,,Y,'CURRENCY=USD')":4683.657,"SHOP-US^FE_TIMESERIES(GROSSINCOME,MEAN,2028,,Y,'CURRENCY=USD')":11272.658,"SHOP-US^FE_TIMESERIES(PRODLINE_SALES_2,MEAN,2028,,Y,'CURRENCY=USD')":18555.201,"SHOP-US^FE_TIMESERIES(PRODLINE_SALES_1,MEAN,2028,,Y,'CURRENCY=USD')":4485.111,"SHOP-US^FE_TIMESERIES(SBC,MEAN,2029,,Y,'CURRENCY=USD')":"#NUM","SHOP-US^FE_TIMESERIES(FCF,MEAN,2029,,Y,'CURRENCY=USD')":5796.2666,"SHOP-US^FE_TIMESERIES(CFO,MEAN,2029,,Y,'CURRENCY=USD')":5843.5,"SHOP-US^FE_TIMESERIES(EPS,MEAN,2029,,Y,'CURRENCY=USD')":3.78,"SHOP-US^FE_TIMESERIES(EBITDA_ADJ,MEAN,2029,,Y,'CURRENCY=USD')":5374.0,"SHOP-US^FE_TIMESERIES(EBIT_ADJ,MEAN,2029,,Y,'CURRENCY=USD')":6207.7334,"SHOP-US^FE_TIMESERIES(SALES,MEAN,2029,,Y,'CURRENCY=USD')":28231.14,"SHOP-US^FE_TIMESERIES(GMV,MEAN,2027,,Y,'CURRENCY=USD')":604181.8,"SHOP-US^FE_TIMESERIES(SBC,MEAN,2027/3F,,Q,'CURRENCY=USD')":"#NUM","SHOP-US^FE_TIMESERIES(SBC,MEAN,2025/3F,,Q,'CURRENCY=USD')":"#NUM","SHOP-US^FE_TIMESERIES(DEPR_AMORT,MEAN,2027/3F,,Q,'CURRENCY=USD')":27.436167,"SHOP-US^FE_TIMESERIES(DEPR_AMORT,MEAN,2025/3F,,Q,'CURRENCY=USD')":8.0,"SHOP-US^FE_TIMESERIES(FCF,MEAN,2027/3F,,Q,'CURRENCY=USD')":848.16,"SHOP-US^FE_TIMESERIES(FCF,MEAN,2025/3F,,Q,'CURRENCY=USD')":507.0,"SHOP-US^FE_TIMESERIES(CAPEX,MEAN,2027/3F,,Q,'CURRENCY=USD')":6.801,"SHOP-US^FE_TIMESERIES(CAPEX,MEAN,2025/3F,,Q,'CURRENCY=USD')":6.0,"SHOP-US^FE_TIMESERIES(CFO,MEAN,2027/3F,,Q,'CURRENCY=USD')":847.5846,"SHOP-US^FE_TIMESERIES(CFO,MEAN,2025/3F,,Q,'CURRENCY=USD')":513.0,"SHOP-US^FE_TIMESERIES(EAG,MEAN,2027/3F,,Q,'CURRENCY=USD')":0.45314854,"SHOP-US^FE_TIMESERIES(EAG,MEAN,2025/3F,,Q,'CURRENCY=USD')":0.20030482,"SHOP-US^FE_TIMESERIES(EPS,MEAN,2027/3F,,Q,'CURRENCY=USD')":0.5878864,"SHOP-US^FE_TIMESERIES(EPS,MEAN,2025/3F,,Q,'CURRENCY=USD')":0.33815533,"SHOP-US^FE_TIMESERIES(NETPROFIT,MEAN,2027/3F,,Q,'CURRENCY=USD')":725.731,"SHOP-US^FE_TIMESERIES(EBITDA_ADJ,MEAN,2026/2F,,Q,'CURRENCY=USD')":594.8455,"SHOP-US^FE_TIMESERIES(EBIT_ADJ,MEAN,2029/2F,,Q,'CURRENCY=USD')":null,"SHOP-US^FE_TIMESERIES(EBITR,MEAN,2026/2F,,Q,'CURRENCY=USD')":434.8237,"SHOP-US^FE_TIMESERIES(GROSSINCOME,MEAN,2030/3F,,Q,'CURRENCY=USD')":null,"SHOP-US^FE_TIMESERIES(GROSSINCOME,MEAN,2027/2F,,Q,'CURRENCY=USD')":2025.986,"SHOP-US^FE_TIMESERIES(PRODLINE_SALES_2,MEAN,2030/1F,,Q,'CURRENCY=USD')":null,"SHOP-US^FE_TIMESERIES(PRODLINE_SALES_2,MEAN,2026/4F,,Q,'CURRENCY=USD')":3698.408,"SHOP-US^FE_TIMESERIES(PRODLINE_SALES_1,MEAN,2029/3F,,Q,'CURRENCY=USD')":null,"SHOP-US^FE_TIMESERIES(PRODLINE_SALES_1,MEAN,2026/2F,,Q,'CURRENCY=USD')":802.0,"SHOP-US^FE_TIMESERIES(SALES,MEAN,2030/3F,,Q,'CURRENCY=USD')":null,"SHOP-US^FE_TIMESERIES(SALES,MEAN,2027/2F,,Q,'CURRENCY=USD')":4343.4365,"SHOP-US^FE_TIMESERIES(SBC,MEAN,2027,,Y,'CURRENCY=USD')":"#NUM","SHOP-US^FE_TIMESERIES(FCF,MEAN,2027,,Y,'CURRENCY=USD')":3606.2524,"SHOP-US^FE_TIMESERIES(CFO,MEAN,2027,,Y,'CURRENCY=USD')":3439.8596,"SHOP-US^FE_TIMESERIES(EPS,MEAN,2027,,Y,'CURRENCY=USD')":2.400098,"SHOP-US^FE_TIMESERIES(EBITDA_ADJ,MEAN,2027,,Y,'CURRENCY=USD')":3575.3567,"SHOP-US^FE_TIMESERIES(EBITR,MEAN,2025,,Y,'CURRENCY=USD')":1468.0,"SHOP-US^FE_TIMESERIES(PRODLINE_SALES_2,MEAN,2026,,Y,'CURRENCY=USD')":11599.311,"SHOP-US^FE_TIMESERIES(SBC,MEAN,2029/3F,,Q,'CURRENCY=USD')":"#NUM","SHOP-US^FE_TIMESERIES(DEPR_AMORT,MEAN,2029/3F,,Q,'CURRENCY=USD')":null,"SHOP-US^FE_TIMESERIES(FCF,MEAN,2029/3F,,Q,'CURRENCY=USD')":null,"SHOP-US^FE_TIMESERIES(CAPEX,MEAN,2029/3F,,Q,'CURRENCY=USD')":null,"SHOP-US^FE_TIMESERIES(CFO,MEAN,2029/3F,,Q,'CURRENCY=USD')":null,"SHOP-US^FE_TIMESERIES(EAG,MEAN,2029/3F,,Q,'CURRENCY=USD')":null,"SHOP-US^FE_TIMESERIES(EPS,MEAN,2029/3F,,Q,'CURRENCY=USD')":null,"SHOP-US^FE_TIMESERIES(NETPROFIT,MEAN,2029/3F,,Q,'CURRENCY=USD')":null,"SHOP-US^FE_TIMESERIES(NETPROFIT,MEAN,2025/3F,,Q,'CURRENCY=USD')":367.0,"SHOP-US^FE_TIMESERIES(EBITDA_ADJ,MEAN,2029/4F,,Q,'CURRENCY=USD')":null,"SHOP-US^FE_TIMESERIES(EBITDA_ADJ,MEAN,2028/1F,,Q,'CURRENCY=USD')":982.45654,"SHOP-US^FE_TIMESERIES(EBITDA_ADJ,MEAN,2026/1F,,Q,'CURRENCY=USD')":528.6667,"SHOP-US^FE_TIMESERIES(EBITDA_REP,MEAN,2030/2F,,Q,'CURRENCY=USD')":null,"SHOP-US^FE_TIMESERIES(EBITDA_REP,MEAN,2028/3F,,Q,'CURRENCY=USD')":null,"SHOP-US^FE_TIMESERIES(EBITDA_REP,MEAN,2026/4F,,Q,'CURRENCY=USD')":810.29034,"SHOP-US^FE_TIMESERIES(EBITDA_REP,MEAN,2025/1F,,Q,'CURRENCY=USD')":211.0,"SHOP-US^FE_TIMESERIES(EBIT_ADJ,MEAN,2029/1F,,Q,'CURRENCY=USD')":null,"SHOP-US^FE_TIMESERIES(EBIT_ADJ,MEAN,2027/2F,,Q,'CURRENCY=USD')":781.9996,"SHOP-US^FE_TIMESERIES(EBIT_ADJ,MEAN,2025/3F,,Q,'CURRENCY=USD')":464.51724,"SHOP-US^FE_TIMESERIES(EBITR,MEAN,2029/4F,,Q,'CURRENCY=USD')":null,"SHOP-US^FE_TIMESERIES(EBITR,MEAN,2028/1F,,Q,'CURRENCY=USD')":null,"SHOP-US^FE_TIMESERIES(EBITR,MEAN,2026/1F,,Q,'CURRENCY=USD')":382.78262,"SHOP-US^FE_TIMESERIES(GROSSINCOME,MEAN,2028/4F,,Q,'CURRENCY=USD')":null,"SHOP-US^FE_TIMESERIES(GROSSINCOME,MEAN,2025/3F,,Q,'CURRENCY=USD')":1389.4113,"SHOP-US^FE_TIMESERIES(PRODLINE_SALES_2,MEAN,2028/2F,,Q,'CURRENCY=USD')":null,"SHOP-US^FE_TIMESERIES(PRODLINE_SALES_2,MEAN,2025/1F,,Q,'CURRENCY=USD')":1740.0,"SHOP-US^FE_TIMESERIES(PRODLINE_SALES_1,MEAN,2027/4F,,Q,'CURRENCY=USD')":1067.024,"SHOP-US^FE_TIMESERIES(PRODLINE_SALES_1,MEAN,2026/1F,,Q,'CURRENCY=USD')":750.0,"SHOP-US^FE_TIMESERIES(SALES,MEAN,2028/4F,,Q,'CURRENCY=USD')":6948.6406,"SHOP-US^FE_TIMESERIES(SALES,MEAN,2025/3F,,Q,'CURRENCY=USD')":2844.0,"SHOP-US^FE_TIMESERIES(GMV,MEAN,2028/2F,,Q,'CURRENCY=USD')":null,"SHOP-US^FE_TIMESERIES(GMV,MEAN,2025/1F,,Q,'CURRENCY=USD')":74775.0,"SHOP-US^FE_ESTIMATE(SALES,MEAN,ANNUAL_ROLL,2029,NOW,,,'')":28231.14,"SHOP-US^FE_ESTIMATE(SALES,MEAN,QTR_ROLL,2028/4F,NOW,,,'')":6948.6406,"SHOP-US^FE_ESTIMATE(SALES,MEAN,QTR_ROLL,2027/3F,NOW,,,'')":4506.5664,"SHOP-US^FE_ESTIMATE(SALES,MEAN,QTR_ROLL,2026/2F,NOW,,,'')":3583.0,"SHOP-US^FE_ESTIMATE(SALES,MEAN,QTR_ROLL,2025/1F,NOW,,,'')":2360.0,"SHOP-US^FE_TIMESERIES(EBIT_ADJ,MEAN,2027,,Y,'CURRENCY=USD')":3564.6753,"SHOP-US^FE_TIMESERIES(GROSSINCOME,MEAN,2029,,Y,'CURRENCY=USD')":12928.75,"SHOP-US^FE_TIMESERIES(SALES,MEAN,2028,,Y,'CURRENCY=USD')":23471.11,"SHOP-US^FE_TIMESERIES(GMV,MEAN,2026,,Y,'CURRENCY=USD')":487453.25,"SHOP-US^FE_TIMESERIES(SBC,MEAN,2029/2F,,Q,'CURRENCY=USD')":"#NUM","SHOP-US^FE_TIMESERIES(SBC,MEAN,2027/2F,,Q,'CURRENCY=USD')":"#NUM","SHOP-US^FE_TIMESERIES(SBC,MEAN,2025/2F,,Q,'CURRENCY=USD')":"#NUM","SHOP-US^FE_TIMESERIES(DEPR_AMORT,MEAN,2029/2F,,Q,'CURRENCY=USD')":null,"SHOP-US^FE_TIMESERIES(SBC,MEAN,2026,,Y,'CURRENCY=USD')":"#NUM","SHOP-US^FE_TIMESERIES(FCF,MEAN,2026,,Y,'CURRENCY=USD')":2738.17,"SHOP-US^FE_TIMESERIES(CFO,MEAN,2026,,Y,'CURRENCY=USD')":2684.856,"SHOP-US^FE_TIMESERIES(EPS,MEAN,2026,,Y,'CURRENCY=USD')":1.8687166,"SHOP-US^FE_TIMESERIES(EBITDA_ADJ,MEAN,2026,,Y,'CURRENCY=USD')":2760.9685,"SHOP-US^FE_TIMESERIES(PRODLINE_SALES_2,MEAN,2025,,Y,'CURRENCY=USD')":8804.0,"SHOP-US^FE_TIMESERIES(SALES,MEAN,2027,,Y,'CURRENCY=USD')":18667.963,"SHOP-US^FE_TIMESERIES(SBC,MEAN,2029/1F,,Q,'CURRENCY=USD')":"#NUM","SHOP-US^FE_TIMESERIES(SBC,MEAN,2027/1F,,Q,'CURRENCY=USD')":"#NUM","SHOP-US^FE_TIMESERIES(DEPR_AMORT,MEAN,2029/1F,,Q,'CURRENCY=USD')":null,"SHOP-US^FE_TIMESERIES(DEPR_AMORT,MEAN,2027/1F,,Q,'CURRENCY=USD')":24.603333,"SHOP-US^FE_TIMESERIES(FCF,MEAN,2029/1F,,Q,'CURRENCY=USD')":null,"SHOP-US^FE_TIMESERIES(FCF,MEAN,2027/1F,,Q,'CURRENCY=USD')":557.83484,"SHOP-US^FE_TIMESERIES(CAPEX,MEAN,2029/1F,,Q,'CURRENCY=USD')":null,"SHOP-US^FE_TIMESERIES(CAPEX,MEAN,2027/1F,,Q,'CURRENCY=USD')":5.6805,"SHOP-US^FE_TIMESERIES(CFO,MEAN,2029/1F,,Q,'CURRENCY=USD')":null,"SHOP-US^FE_TIMESERIES(CFO,MEAN,2027/1F,,Q,'CURRENCY=USD')":601.9898,"SHOP-US^FE_TIMESERIES(EAG,MEAN,2029/1F,,Q,'CURRENCY=USD')":null,"SHOP-US^FE_TIMESERIES(EAG,MEAN,2027/1F,,Q,'CURRENCY=USD')":0.3692681,"SHOP-US^FE_TIMESERIES(EPS,MEAN,2029/1F,,Q,'CURRENCY=USD')":null,"SHOP-US^FE_TIMESERIES(EPS,MEAN,2027/1F,,Q,'CURRENCY=USD')":0.44013613,"SHOP-US^FE_TIMESERIES(NETPROFIT,MEAN,2029/1F,,Q,'CURRENCY=USD')":null,"SHOP-US^FE_TIMESERIES(NETPROFIT,MEAN,2027/1F,,Q,'CURRENCY=USD')":540.8856,"SHOP-US^FE_TIMESERIES(NETPROFIT,MEAN,2025/2F,,Q,'CURRENCY=USD')":338.0,"SHOP-US^FE_TIMESERIES(EBITDA_ADJ,MEAN,2029/3F,,Q,'CURRENCY=USD')":null,"SHOP-US^FE_TIMESERIES(EBITDA_ADJ,MEAN,2027/3F,,Q,'CURRENCY=USD')":837.26154,"SHOP-US^FE_TIMESERIES(EBITDA_ADJ,MEAN,2025/4F,,Q,'CURRENCY=USD')":764.93335,"SHOP-US^FE_TIMESERIES(EBITDA_REP,MEAN,2030/1F,,Q,'CURRENCY=USD')":null,"SHOP-US^FE_TIMESERIES(EBITDA_REP,MEAN,2028/2F,,Q,'CURRENCY=USD')":null,"SHOP-US^FE_TIMESERIES(EBITDA_REP,MEAN,2026/3F,,Q,'CURRENCY=USD')":526.19104,"SHOP-US^FE_TIMESERIES(EBIT_ADJ,MEAN,2030/3F,,Q,'CURRENCY=USD')":null,"SHOP-US^FE_TIMESERIES(EBIT_ADJ,MEAN,2028/4F,,Q,'CURRENCY=USD')":1748.9904,"SHOP-US^FE_TIMESERIES(EBIT_ADJ,MEAN,2027/1F,,Q,'CURRENCY=USD')":668.21704,"SHOP-US^FE_TIMESERIES(EBIT_ADJ,MEAN,2025/2F,,Q,'CURRENCY=USD')":424.0,"SHOP-US^FE_TIMESERIES(EBITR,MEAN,2029/3F,,Q,'CURRENCY=USD')":null,"SHOP-US^FE_TIMESERIES(EBIT_ADJ,MEAN,2026,,Y,'CURRENCY=USD')":2733.95,"SHOP-US^FE_TIMESERIES(GROSSINCOME,MEAN,2027,,Y,'CURRENCY=USD')":8700.631,"SHOP-US^FE_TIMESERIES(PRODLINE_SALES_1,MEAN,2029,,Y,'CURRENCY=USD')":5086.1,"SHOP-US^FE_TIMESERIES(GMV,MEAN,2025,,Y,'CURRENCY=USD')":378441.0,"SHOP-US^FE_TIMESERIES(SBC,MEAN,2025/1F,,Q,'CURRENCY=USD')":"#NUM","SHOP-US^FE_TIMESERIES(DEPR_AMORT,MEAN,2025/1F,,Q,'CURRENCY=USD')":8.0,"SHOP-US^FE_TIMESERIES(FCF,MEAN,2025/1F,,Q,'CURRENCY=USD')":363.0,"SHOP-US^FE_TIMESERIES(CAPEX,MEAN,2025/1F,,Q,'CURRENCY=USD')":4.0,"SHOP-US^FE_TIMESERIES(CFO,MEAN,2025/1F,,Q,'CURRENCY=USD')":367.0,"SHOP-US^FE_TIMESERIES(EAG,MEAN,2025/1F,,Q,'CURRENCY=USD')":-0.52877337,"SHOP-US^FE_TIMESERIES(EPS,MEAN,2025/1F,,Q,'CURRENCY=USD')":0.25566137,"SHOP-US^FE_TIMESERIES(EBITDA_ADJ,MEAN,2029/2F,,Q,'CURRENCY=USD')":null,"SHOP-US^FE_TIMESERIES(EBITDA_REP,MEAN,2026/2F,,Q,'CURRENCY=USD')":425.68448,"SHOP-US^FE_TIMESERIES(EBITR,MEAN,2029/2F,,Q,'CURRENCY=USD')":null,"SHOP-US^FE_TIMESERIES(GROSSINCOME,MEAN,2030/1F,,Q,'CURRENCY=USD')":null,"SHOP-US^FE_TIMESERIES(GROSSINCOME,MEAN,2026/4F,,Q,'CURRENCY=USD')":2125.8044,"SHOP-US^FE_TIMESERIES(PRODLINE_SALES_2,MEAN,2029/3F,,Q,'CURRENCY=USD')":null,"SHOP-US^FE_TIMESERIES(PRODLINE_SALES_2,MEAN,2026/2F,,Q,'CURRENCY=USD')":2781.0,"SHOP-US^FE_TIMESERIES(PRODLINE_SALES_1,MEAN,2030/3F,,Q,'CURRENCY=USD')":null,"SHOP-US^FE_TIMESERIES(PRODLINE_SALES_1,MEAN,2027/2F,,Q,'CURRENCY=USD')":936.164,"SHOP-US^FE_TIMESERIES(SALES,MEAN,2030/1F,,Q,'CURRENCY=USD')":null,"SHOP-US^FE_TIMESERIES(SALES,MEAN,2026/4F,,Q,'CURRENCY=USD')":4656.4146,"SHOP-US^FE_TIMESERIES(GMV,MEAN,2029/3F,,Q,'CURRENCY=USD')":null,"SHOP-US^FE_TIMESERIES(GMV,MEAN,2026/2F,,Q,'CURRENCY=USD')":115567.0,"SHOP-US^FE_TIMESERIES(DEPR_AMORT,MEAN,2026,,Y,'CURRENCY=USD')":40.144627,"SHOP-US^FE_TIMESERIES(CAPEX,MEAN,2026,,Y,'CURRENCY=USD')":28.13444,"SHOP-US^FE_TIMESERIES(EAG,MEAN,2026,,Y,'CURRENCY=USD')":0.8996418,"SHOP-US^FE_TIMESERIES(NETPROFIT,MEAN,2026,,Y,'CURRENCY=USD')":2396.5303,"SHOP-US^FE_TIMESERIES(EBITDA_REP,MEAN,2026,,Y,'CURRENCY=USD')":2198.1724,"SHOP-US^FE_TIMESERIES(EBITR,MEAN,2027,,Y,'CURRENCY=USD')":2886.6768,"SHOP-US^FE_TIMESERIES(PRODLINE_SALES_2,MEAN,2029,,Y,'CURRENCY=USD')":22418.85,"SHOP-US^FE_TIMESERIES(GMV,MEAN,2029,,Y,'CURRENCY=USD')":897686.9,"SHOP-US^FE_TIMESERIES(SBC,MEAN,2030/1F,,Q,'CURRENCY=USD')":"#NUM","SHOP-US^FE_TIMESERIES(SBC,MEAN,2026/1F,,Q,'CURRENCY=USD')":"#NUM","SHOP-US^FE_TIMESERIES(DEPR_AMORT,MEAN,2030/1F,,Q,'CURRENCY=USD')":null,"SHOP-US^FE_TIMESERIES(DEPR_AMORT,MEAN,2026/1F,,Q,'CURRENCY=USD')":7.0,"SHOP-US^FE_TIMESERIES(FCF,MEAN,2030/1F,,Q,'CURRENCY=USD')":null,"SHOP-US^FE_TIMESERIES(FCF,MEAN,2026/1F,,Q,'CURRENCY=USD')":472.90475,"SHOP-US^FE_TIMESERIES(CAPEX,MEAN,2030/1F,,Q,'CURRENCY=USD')":null,"SHOP-US^FE_TIMESERIES(CAPEX,MEAN,2026/1F,,Q,'CURRENCY=USD')":5.0,"SHOP-US^FE_TIMESERIES(CFO,MEAN,2030/1F,,Q,'CURRENCY=USD')":null,"SHOP-US^FE_TIMESERIES(CFO,MEAN,2026/1F,,Q,'CURRENCY=USD')":481.0,"SHOP-US^FE_TIMESERIES(EAG,MEAN,2030/1F,,Q,'CURRENCY=USD')":null,"SHOP-US^FE_TIMESERIES(EAG,MEAN,2026/1F,,Q,'CURRENCY=USD')":-0.44940332,"SHOP-US^FE_TIMESERIES(EPS,MEAN,2030/1F,,Q,'CURRENCY=USD')":null,"SHOP-US^FE_TIMESERIES(EPS,MEAN,2026/1F,,Q,'CURRENCY=USD')":0.36001423,"SHOP-US^FE_TIMESERIES(NETPROFIT,MEAN,2030/1F,,Q,'CURRENCY=USD')":null,"SHOP-US^FE_TIMESERIES(NETPROFIT,MEAN,2026/1F,,Q,'CURRENCY=USD')":360.0,"SHOP-US^FE_TIMESERIES(EBITDA_ADJ,MEAN,2030/2F,,Q,'CURRENCY=USD')":null,"SHOP-US^FE_TIMESERIES(EBITDA_ADJ,MEAN,2028/3F,,Q,'CURRENCY=USD')":1279.4642,"SHOP-US^FE_TIMESERIES(EBITDA_ADJ,MEAN,2026/4F,,Q,'CURRENCY=USD')":970.7204,"SHOP-US^FE_TIMESERIES(EBITDA_ADJ,MEAN,2025/1F,,Q,'CURRENCY=USD')":335.5,"SHOP-US^FE_TIMESERIES(EBITDA_REP,MEAN,2029/1F,,Q,'CURRENCY=USD')":null,"SHOP-US^FE_TIMESERIES(EBITDA_REP,MEAN,2027/2F,,Q,'CURRENCY=USD')":568.0,"SHOP-US^FE_TIMESERIES(EBITDA_REP,MEAN,2025/3F,,Q,'CURRENCY=USD')":381.5,"SHOP-US^FE_TIMESERIES(EBIT_ADJ,MEAN,2029/4F,,Q,'CURRENCY=USD')":null,"SHOP-US^FE_TIMESERIES(EBIT_ADJ,MEAN,2028/1F,,Q,'CURRENCY=USD')":895.0847,"SHOP-US^FE_TIMESERIES(EBIT_ADJ,MEAN,2026/1F,,Q,'CURRENCY=USD')":522.7,"SHOP-US^FE_TIMESERIES(EBITR,MEAN,2030/2F,,Q,'CURRENCY=USD')":null,"SHOP-US^FE_TIMESERIES(EBITR,MEAN,2028/3F,,Q,'CURRENCY=USD')":null,"SHOP-US^FE_TIMESERIES(EBITR,MEAN,2026/4F,,Q,'CURRENCY=USD')":806.86444,"SHOP-US^FE_TIMESERIES(EBITR,MEAN,2025/1F,,Q,'CURRENCY=USD')":203.0,"SHOP-US^FE_TIMESERIES(GROSSINCOME,MEAN,2027/4F,,Q,'CURRENCY=USD')":2567.0076,"SHOP-US^FE_TIMESERIES(GROSSINCOME,MEAN,2026/1F,,Q,'CURRENCY=USD')":1546.2188,"SHOP-US^FE_TIMESERIES(PRODLINE_SALES_2,MEAN,2028/4F,,Q,'CURRENCY=USD')":null,"SHOP-US^FE_TIMESERIES(PRODLINE_SALES_2,MEAN,2025/3F,,Q,'CURRENCY=USD')":2145.0,"SHOP-US^FE_TIMESERIES(PRODLINE_SALES_1,MEAN,2028/2F,,Q,'CURRENCY=USD')":null,"SHOP-US^FE_TIMESERIES(PRODLINE_SALES_1,MEAN,2025/1F,,Q,'CURRENCY=USD')":620.0,"SHOP-US^FE_TIMESERIES(SALES,MEAN,2027/4F,,Q,'CURRENCY=USD')":5729.265,"SHOP-US^FE_TIMESERIES(PRODLINE_SALES_1,MEAN,2025,,Y,'CURRENCY=USD')":2752.0,"SHOP-US^FE_TIMESERIES(SBC,MEAN,2028/1F,,Q,'CURRENCY=USD')":"#NUM","SHOP-US^FE_TIMESERIES(DEPR_AMORT,MEAN,2028/1F,,Q,'CURRENCY=USD')":null,"SHOP-US^FE_TIMESERIES(FCF,MEAN,2028/1F,,Q,'CURRENCY=USD')":null,"SHOP-US^FE_TIMESERIES(CAPEX,MEAN,2028/1F,,Q,'CURRENCY=USD')":6.5265,"SHOP-US^FE_TIMESERIES(CFO,MEAN,2028/1F,,Q,'CURRENCY=USD')":568.875,"SHOP-US^FE_TIMESERIES(EAG,MEAN,2028/1F,,Q,'CURRENCY=USD')":0.557363,"SHOP-US^FE_TIMESERIES(EPS,MEAN,2028/1F,,Q,'CURRENCY=USD')":0.5983525,"SHOP-US^FE_TIMESERIES(NETPROFIT,MEAN,2028/1F,,Q,'CURRENCY=USD')":749.0374,"SHOP-US^FE_TIMESERIES(EBITDA_REP,MEAN,2030/4F,,Q,'CURRENCY=USD')":null,"SHOP-US^FE_TIMESERIES(EBIT_ADJ,MEAN,2027/4F,,Q,'CURRENCY=USD')":1267.7617,"SHOP-US^FE_TIMESERIES(GROSSINCOME,MEAN,2029/2F,,Q,'CURRENCY=USD')":null,"SHOP-US^FE_TIMESERIES(GROSSINCOME,MEAN,2027/3F,,Q,'CURRENCY=USD')":2113.2405,"SHOP-US^FE_TIMESERIES(PRODLINE_SALES_2,MEAN,2030/2F,,Q,'CURRENCY=USD')":null,"SHOP-US^FE_TIMESERIES(PRODLINE_SALES_2,MEAN,2027/1F,,Q,'CURRENCY=USD')":3062.951,"SHOP-US^FE_TIMESERIES(PRODLINE_SALES_1,MEAN,2029/4F,,Q,'CURRENCY=USD')":null,"SHOP-US^FE_TIMESERIES(PRODLINE_SALES_1,MEAN,2026/3F,,Q,'CURRENCY=USD')":838.4518,"SHOP-US^FE_TIMESERIES(SALES,MEAN,2029/2F,,Q,'CURRENCY=USD')":null,"SHOP-US^FE_TIMESERIES(SALES,MEAN,2027/3F,,Q,'CURRENCY=USD')":4506.5664,"SHOP-US^FE_TIMESERIES(GMV,MEAN,2030/2F,,Q,'CURRENCY=USD')":null,"SHOP-US^FE_TIMESERIES(GMV,MEAN,2027/1F,,Q,'CURRENCY=USD')":124690.234,"SHOP-US^FE_TIMESERIES(DEPR_AMORT,MEAN,2025,,Y,'CURRENCY=USD')":31.0,"SHOP-US^FE_TIMESERIES(CAPEX,MEAN,2025,,Y,'CURRENCY=USD')":26.1,"SHOP-US^FE_TIMESERIES(EAG,MEAN,2025,,Y,'CURRENCY=USD')":0.94059414,"SHOP-US^FE_TIMESERIES(NETPROFIT,MEAN,2025,,Y,'CURRENCY=USD')":1525.0,"SHOP-US^FE_TIMESERIES(EBITDA_REP,MEAN,2025,,Y,'CURRENCY=USD')":1499.0,"SHOP-US^FE_TIMESERIES(EBITR,MEAN,2026,,Y,'CURRENCY=USD')":2113.6296,"SHOP-US^FE_TIMESERIES(PRODLINE_SALES_2,MEAN,2027,,Y,'CURRENCY=USD')":14477.754,"SHOP-US^FE_TIMESERIES(SALES,MEAN,2030,,Y,'CURRENCY=USD')":33373.3,"SHOP-US^FE_TIMESERIES(GMV,MEAN,2028,,Y,'CURRENCY=USD')":752986.7,"SHOP-US^FE_TIMESERIES(SBC,MEAN,2029/4F,,Q,'CURRENCY=USD')":"#NUM","SHOP-US^FE_TIMESERIES(SBC,MEAN,2027/4F,,Q,'CURRENCY=USD')":"#NUM","SHOP-US^FE_TIMESERIES(SBC,MEAN,2025/4F,,Q,'CURRENCY=USD')":"#NUM","SHOP-US^FE_TIMESERIES(DEPR_AMORT,MEAN,2029/4F,,Q,'CURRENCY=USD')":null,"SHOP-US^FE_TIMESERIES(DEPR_AMORT,MEAN,2027/4F,,Q,'CURRENCY=USD')":33.398666,"SHOP-US^FE_TIMESERIES(DEPR_AMORT,MEAN,2025/4F,,Q,'CURRENCY=USD')":7.0,"SHOP-US^FE_TIMESERIES(FCF,MEAN,2029/4F,,Q,'CURRENCY=USD')":null,"SHOP-US^FE_TIMESERIES(FCF,MEAN,2027/4F,,Q,'CURRENCY=USD')":1290.2925,"SHOP-US^FE_TIMESERIES(FCF,MEAN,2025/4F,,Q,'CURRENCY=USD')":718.1111,"SHOP-US^FE_TIMESERIES(CAPEX,MEAN,2029/4F,,Q,'CURRENCY=USD')":null,"SHOP-US^FE_TIMESERIES(CAPEX,MEAN,2027/4F,,Q,'CURRENCY=USD')":7.9273334,"SHOP-US^FE_TIMESERIES(CAPEX,MEAN,2025/4F,,Q,'CURRENCY=USD')":10.0,"SHOP-US^FE_TIMESERIES(CFO,MEAN,2029/4F,,Q,'CURRENCY=USD')":null,"SHOP-US^FE_TIMESERIES(CFO,MEAN,2027/4F,,Q,'CURRENCY=USD')":1238.278,"SHOP-US^FE_TIMESERIES(CFO,MEAN,2025/4F,,Q,'CURRENCY=USD')":725.0,"SHOP-US^FE_TIMESERIES(EAG,MEAN,2029/4F,,Q,'CURRENCY=USD')":null,"SHOP-US^FE_TIMESERIES(EAG,MEAN,2027/4F,,Q,'CURRENCY=USD')":0.6872509,"SHOP-US^FE_TIMESERIES(EAG,MEAN,2025/4F,,Q,'CURRENCY=USD')":0.569695,"SHOP-US^FE_TIMESERIES(EPS,MEAN,2029/4F,,Q,'CURRENCY=USD')":null,"SHOP-US^FE_TIMESERIES(EPS,MEAN,2027/4F,,Q,'CURRENCY=USD')":0.82372373,"SHOP-US^FE_TIMESERIES(EPS,MEAN,2025/4F,,Q,'CURRENCY=USD')":0.48115477,"SHOP-US^FE_TIMESERIES(NETPROFIT,MEAN,2029/4F,,Q,'CURRENCY=USD')":null,"SHOP-US^FE_TIMESERIES(NETPROFIT,MEAN,2027/4F,,Q,'CURRENCY=USD')":1029.3108,"SHOP-US^FE_TIMESERIES(NETPROFIT,MEAN,2025/4F,,Q,'CURRENCY=USD')":594.0,"SHOP-US^FE_TIMESERIES(EBITDA_ADJ,MEAN,2030/1F,,Q,'CURRENCY=USD')":null,"SHOP-US^FE_TIMESERIES(EBITDA_ADJ,MEAN,2028/2F,,Q,'CURRENCY=USD')":1076.2711,"SHOP-US^FE_TIMESERIES(EBITDA_ADJ,MEAN,2026/3F,,Q,'CURRENCY=USD')":668.07587,"SHOP-US^FE_TIMESERIES(EBITDA_REP,MEAN,2030/3F,,Q,'CURRENCY=USD')":null,"SHOP-US^FE_TIMESERIES(EBITDA_REP,MEAN,2028/4F,,Q,'CURRENCY=USD')":null,"SHOP-US^FE_TIMESERIES(EBITDA_REP,MEAN,2027/1F,,Q,'CURRENCY=USD')":420.0,"SHOP-US^FE_TIMESERIES(EBITDA_REP,MEAN,2025/2F,,Q,'CURRENCY=USD')":299.0,"SHOP-US^FE_TIMESERIES(EBIT_ADJ,MEAN,2029/3F,,Q,'CURRENCY=USD')":null,"SHOP-US^FE_TIMESERIES(EBIT_ADJ,MEAN,2027/3F,,Q,'CURRENCY=USD')":876.3855,"SHOP-US^FE_TIMESERIES(EBIT_ADJ,MEAN,2025/4F,,Q,'CURRENCY=USD')":759.8461,"SHOP-US^FE_TIMESERIES(EBITR,MEAN,2030/1F,,Q,'CURRENCY=USD')":null,"SHOP-US^FE_TIMESERIES(SBC,MEAN,2025,,Y,'CURRENCY=USD')":"#NUM","SHOP-US^FE_TIMESERIES(EPS,MEAN,2025,,Y,'CURRENCY=USD')":1.4241035,"SHOP-US^FE_TIMESERIES(SBC,MEAN,2030/4F,,Q,'CURRENCY=USD')":"#NUM","SHOP-US^FE_TIMESERIES(DEPR_AMORT,MEAN,2030/4F,,Q,'CURRENCY=USD')":null,"SHOP-US^FE_TIMESERIES(DEPR_AMORT,MEAN,2026/2F,,Q,'CURRENCY=USD')":9.7947,"SHOP-US^FE_TIMESERIES(FCF,MEAN,2026/4F,,Q,'CURRENCY=USD')":954.069,"SHOP-US^FE_TIMESERIES(CFO,MEAN,2029/2F,,Q,'CURRENCY=USD')":null,"SHOP-US^FE_TIMESERIES(EAG,MEAN,2030/3F,,Q,'CURRENCY=USD')":null,"SHOP-US^FE_TIMESERIES(EAG,MEAN,2026/2F,,Q,'CURRENCY=USD')":0.4226408,"SHOP-US^FE_TIMESERIES(EPS,MEAN,2026/4F,,Q,'CURRENCY=USD')":0.6457557,"SHOP-US^FE_TIMESERIES(EBIT_ADJ,MEAN,2028/3F,,Q,'CURRENCY=USD')":1238.3016,"SHOP-US^FE_TIMESERIES(EBITR,MEAN,2030/3F,,Q,'CURRENCY=USD')":null,"SHOP-US^FE_TIMESERIES(EBITR,MEAN,2027/1F,,Q,'CURRENCY=USD')":491.9117,"SHOP-US^FE_TIMESERIES(GROSSINCOME,MEAN,2027/1F,,Q,'CURRENCY=USD')":1860.8838,"SHOP-US^FE_TIMESERIES(PRODLINE_SALES_2,MEAN,2030/3F,,Q,'CURRENCY=USD')":null,"SHOP-US^FE_TIMESERIES(PRODLINE_SALES_2,MEAN,2027/3F,,Q,'CURRENCY=USD')":3493.7424,"SHOP-US^FE_TIMESERIES(PRODLINE_SALES_1,MEAN,2030/4F,,Q,'CURRENCY=USD')":null,"SHOP-US^FE_TIMESERIES(PRODLINE_SALES_1,MEAN,2028/1F,,Q,'CURRENCY=USD')":null,"SHOP-US^FE_TIMESERIES(PRODLINE_SALES_1,MEAN,2025/2F,,Q,'CURRENCY=USD')":656.0,"SHOP-US^FE_TIMESERIES(SALES,MEAN,2028/2F,,Q,'CURRENCY=USD')":5245.9165,"SHOP-US^FE_TIMESERIES(SALES,MEAN,2025/4F,,Q,'CURRENCY=USD')":3672.0,"SHOP-US^FE_TIMESERIES(GMV,MEAN,2025/2F,,Q,'CURRENCY=USD')":87837.0,"SHOP-US^FE_ESTIMATE(SALES,MEAN,QTR_ROLL,2029/4F,NOW,,,'')":null,"SHOP-US^FE_ESTIMATE(SALES,MEAN,QTR_ROLL,2028/1F,NOW,,,'')":4745.011,"SHOP-US^FE_ESTIMATE(SALES,MEAN,QTR_ROLL,2026/3F,NOW,,,'')":3651.513,"SHOP-US^FE_ESTIMATE(SALES,MEAN,ANNUAL_ROLL,2024,NOW,,,'')":8880.0,"SHOP-US^FE_ACTUAL(ACTUAL,GMV,ANNUAL,2027,,,,'')@FE_ESTIMATE(GMV,MEAN,ANNUAL,2027,NOW,,,'')":604181.8,"SHOP-US^P_PRICE(NOW)":147.375,"SHOP-US^FE_ESTIMATE(BFNG,MEAN,ANNUAL_ROLL,2027,NOW,,,'')":2727.6523,"SHOP-US^FE_ESTIMATE(NETBG,MEAN,QTR,2027/3F,NOW,,,'')":728.92664,"SHOP-US^FE_ESTIMATE(EAG,MEAN,QTR,2027/2F,NOW,,,'')":0.4196431,"SHOP-US^FE_ESTIMATE(SALES,MEAN,QTR,2027/2F,NOW,,,'')":4343.4365,"SHOP-US^FE_ESTIMATE(GMV,MEAN,ANNUAL_ROLL,2026,NOW,,,'')":487453.25,"SHOP-US^FE_ESTIMATE(PRODLINE_SALES_1,MEAN,QTR,2026/4F,NOW,,,'')":916.2929,"SHOP-US^FE_ESTIMATE(NETBG,MEAN,QTR,2026/3F,NOW,,,'')":574.8453,"SHOP-US^FE_ESTIMATE(EAG,MEAN,QTR,2026/2F,NOW,,,'')":0.4226408,"SHOP-US^FE_ESTIMATE(NETBG,MEAN,QTR,2026/1F,NOW,,,'')":360.0,"SHOP-US^FE_ESTIMATE(EBITDA_ADJ,MEAN,QTR,2025/3F,NOW,,,'')":471.05884,"SHOP-US^FE_ESTIMATE(CUSTOM_EPS,MEAN,QTR,2025/1F,NOW,,,'')":0.25566137,"SHOP-US^FE_ESTIMATE(EBITDA_ADJ,MEAN,ANNUAL_ROLL,2024,NOW,,,'')":1505.7,"SHOP-US^FE_ESTIMATE(EAG,MEAN,QTR,2024/4F,NOW,,,'')":0.9907507,"SHOP-US^FE_ESTIMATE(PRODLINE_SALES_1,MEAN,QTR,2024/4F,NOW,,,'')":666.0,"SHOP-US^FE_ESTIMATE(EAG,MEAN,QTR,2024/1F,NOW,,,'')":-0.21,"SHOP-US^FE_ESTIMATE(SALES,MEAN,QTR,2027/4F,NOW,,,'')":5729.265,"SHOP-US^FE_ESTIMATE(EBITDA_ADJ,MEAN,QTR,2027/3F,NOW,,,'')":837.26154,"SHOP-US^FE_ESTIMATE(EAG,MEAN,QTR,2026/4F,NOW,,,'')":0.5515808,"SHOP-US^FE_ESTIMATE(BFNG,MEAN,QTR,2026/2F,NOW,,,'')":1502.0,"SHOP-US^FE_TIMESERIES(DEPR_AMORT,MEAN,2029,,Y,'CURRENCY=USD')":null,"SHOP-US^FE_TIMESERIES(NETPROFIT,MEAN,2029,,Y,'CURRENCY=USD')":4964.275,"SHOP-US^FE_TIMESERIES(GROSSINCOME,MEAN,2026,,Y,'CURRENCY=USD')":7072.521,"SHOP-US^FE_TIMESERIES(SBC,MEAN,2030/3F,,Q,'CURRENCY=USD')":"#NUM","SHOP-US^FE_TIMESERIES(DEPR_AMORT,MEAN,2030/3F,,Q,'CURRENCY=USD')":null,"SHOP-US^FE_TIMESERIES(DEPR_AMORT,MEAN,2025/2F,,Q,'CURRENCY=USD')":8.0,"SHOP-US^FE_TIMESERIES(CAPEX,MEAN,2028/2F,,Q,'CURRENCY=USD')":7.986,"SHOP-US^FE_TIMESERIES(CFO,MEAN,2028/4F,,Q,'CURRENCY=USD')":null,"SHOP-US^FE_TIMESERIES(EAG,MEAN,2025/2F,,Q,'CURRENCY=USD')":0.6913483,"SHOP-US^FE_TIMESERIES(NETPROFIT,MEAN,2028/2F,,Q,'CURRENCY=USD')":830.24384,"SHOP-US^FE_TIMESERIES(EBITDA_ADJ,MEAN,2029/1F,,Q,'CURRENCY=USD')":null,"SHOP-US^FE_TIMESERIES(EBITDA_ADJ,MEAN,2025/2F,,Q,'CURRENCY=USD')":428.70587,"SHOP-US^FE_TIMESERIES(GROSSINCOME,MEAN,2029/4F,,Q,'CURRENCY=USD')":null,"SHOP-US^FE_TIMESERIES(PRODLINE_SALES_1,MEAN,2027/3F,,Q,'CURRENCY=USD')":983.6491,"SHOP-US^FE_TIMESERIES(GMV,MEAN,2027/2F,,Q,'CURRENCY=USD')":139180.45,"SHOP-US^FE_ESTIMATE(SALES,MEAN,QTR_ROLL,2029/3F,NOW,,,'')":null,"SHOP-US^FE_ESTIMATE(SALES,MEAN,QTR_ROLL,2024/1F,NOW,,,'')":1861.0,"SHOP^FE_ESTIMATE(EPS,MEAN,ANNUAL_ROLL,2026,NOW,,,'')":1.8687166,"SHOP-US^FE_ACTUAL(ACTUAL,SALES,ANNUAL,2029,,,,'')@FE_ESTIMATE(SALES,MEAN,ANNUAL,2029,NOW,,,'')":28231.14,"SHOP-US^FE_ESTIMATE(CUSTOM_EPS,MEAN,ANNUAL_ROLL,2027,NOW,,,'')":2.400098,"SHOP-US^FE_ESTIMATE(GMV,MEAN,ANNUAL_ROLL,2027,NOW,,,'')":604181.8,"SHOP-US^FE_ESTIMATE(PRODLINE_SALES_1,MEAN,QTR,2027/4F,NOW,,,'')":1067.024,"SHOP-US^FE_ESTIMATE(SPEC_GROSS_1,MEAN,QTR,2027/2F,NOW,,,'')":247.36667,"SHOP-US^FE_ESTIMATE(PRODLINE_SALES_2,MEAN,QTR,2027/1F,NOW,,,'')":3062.951,"SHOP-US^FE_ESTIMATE(CUSTOM_EPS,MEAN,ANNUAL_ROLL,2026,NOW,,,'')":1.8687166,"SHOP-US^FE_ESTIMATE(EBITDA_ADJ,MEAN,QTR,2026/3F,NOW,,,'')":668.07587,"SHOP-US^FE_ESTIMATE(SALES,MEAN,QTR,2026/2F,NOW,,,'')":3583.0,"SHOP-US^FE_ESTIMATE(EAG,MEAN,ANNUAL_ROLL,2025,NOW,,,'')":0.94059414,"SHOP-US^FE_ESTIMATE(PRODLINE_SALES_1,MEAN,ANNUAL_ROLL,2025,NOW,,,'')":2752.0,"SHOP-US^FE_ESTIMATE(CUSTOM_EPS,MEAN,QTR,2025/4F,NOW,,,'')":0.48115477,"SHOP-US^FE_ESTIMATE(SPEC_GROSS_1,MEAN,QTR,2025/4F,NOW,,,'')":205.0,"SHOP-US^FE_ESTIMATE(EAG,MEAN,QTR,2025/2F,NOW,,,'')":0.6913483,"SHOP-US^FE_ESTIMATE(PRODLINE_SALES_1,MEAN,QTR,2025/2F,NOW,,,'')":656.0,"SHOP-US^FE_ESTIMATE(SPEC_GROSS_1,MEAN,QTR,2025/1F,NOW,,,'')":182.0,"SHOP-US^FE_ESTIMATE(CUSTOM_EPS,MEAN,QTR,2024/3F,NOW,,,'')":0.3605366,"SHOP-US^FE_ESTIMATE(SPEC_GROSS_1,MEAN,QTR,2024/3F,NOW,,,'')":175.0,"SHOP-US^FE_ESTIMATE(EBITDA_ADJ,MEAN,QTR,2024/2F,NOW,,,'')":307.92856,"SHOP-US^FE_ESTIMATE(PRODLINE_SALES_1,MEAN,QTR,2024/1F,NOW,,,'')":511.0,"SHOP-US^FE_ESTIMATE(BFNG,MEAN,QTR,2027/2F,NOW,,,'')":590.53534,"SHOP-US^FE_ESTIMATE(NETBG,MEAN,ANNUAL_ROLL,2026,NOW,,,'')":2396.5303,"SHOP-US^FE_ESTIMATE(SALES,MEAN,QTR,2026/4F,NOW,,,'')":4656.4146,"SHOP-US^FE_ESTIMATE(EBITDA_ADJ,MEAN,QTR,2026/1F,NOW,,,'')":528.6667,"SHOP-US^FE_TIMESERIES(DEPR_AMORT,MEAN,2027,,Y,'CURRENCY=USD')":47.271927,"SHOP-US^FE_TIMESERIES(NETPROFIT,MEAN,2027,,Y,'CURRENCY=USD')":3046.1843,"SHOP-US^FE_TIMESERIES(FCF,MEAN,2030/4F,,Q,'CURRENCY=USD')":null,"SHOP-US^FE_TIMESERIES(FCF,MEAN,2026/3F,,Q,'CURRENCY=USD')":664.67145,"SHOP-US^FE_TIMESERIES(CAPEX,MEAN,2027/2F,,Q,'CURRENCY=USD')":6.479,"SHOP-US^FE_TIMESERIES(CFO,MEAN,2028/3F,,Q,'CURRENCY=USD')":null,"SHOP-US^FE_TIMESERIES(EAG,MEAN,2030/2F,,Q,'CURRENCY=USD')":null,"SHOP-US^FE_TIMESERIES(EPS,MEAN,2030/4F,,Q,'CURRENCY=USD')":null,"SHOP-US^FE_TIMESERIES(EPS,MEAN,2026/3F,,Q,'CURRENCY=USD')":0.45402429,"SHOP-US^FE_TIMESERIES(NETPROFIT,MEAN,2027/2F,,Q,'CURRENCY=USD')":650.5665,"SHOP-US^FE_TIMESERIES(EBITDA_REP,MEAN,2026/1F,,Q,'CURRENCY=USD')":389.0,"SHOP-US^FE_TIMESERIES(EBIT_ADJ,MEAN,2028/2F,,Q,'CURRENCY=USD')":1065.7258,"SHOP-US^FE_TIMESERIES(EBITR,MEAN,2026/3F,,Q,'CURRENCY=USD')":499.2295,"SHOP-US^FE_TIMESERIES(PRODLINE_SALES_2,MEAN,2029/4F,,Q,'CURRENCY=USD')":null,"SHOP-US^FE_TIMESERIES(PRODLINE_SALES_2,MEAN,2027/2F,,Q,'CURRENCY=USD')":3372.4705,"SHOP-US^FE_TIMESERIES(PRODLINE_SALES_1,MEAN,2030/2F,,Q,'CURRENCY=USD')":null,"SHOP-US^FE_TIMESERIES(SALES,MEAN,2030/4F,,Q,'CURRENCY=USD')":null,"SHOP-US^FE_TIMESERIES(SALES,MEAN,2028/1F,,Q,'CURRENCY=USD')":4745.011,"SHOP-US^FE_TIMESERIES(GMV,MEAN,2029/2F,,Q,'CURRENCY=USD')":null,"SHOP-US^FE_ESTIMATE(SALES,MEAN,ANNUAL_ROLL,2027,NOW,,,'')":18667.963,"SHOP-US^FE_ACTUAL(ACTUAL,SALES,ANNUAL,2028,,,,'')@FE_ESTIMATE(SALES,MEAN,ANNUAL,2028,NOW,,,'')":23471.11,"SHOP-US^FE_ACTUAL(ACTUAL,GMV,ANNUAL,2026,,,,'')@FE_ESTIMATE(GMV,MEAN,ANNUAL,2026,NOW,,,'')":487453.25,"SHOP-US^FE_TIMESERIES(GROSSINCOME,MEAN,2025,,Y,'CURRENCY=USD')":5562.0386,"SHOP-US^FE_TIMESERIES(SBC,MEAN,2030/2F,,Q,'CURRENCY=USD')":"#NUM","SHOP-US^FE_TIMESERIES(DEPR_AMORT,MEAN,2030/2F,,Q,'CURRENCY=USD')":null,"SHOP-US^FE_TIMESERIES(FCF,MEAN,2030/3F,,Q,'CURRENCY=USD')":null,"SHOP-US^FE_TIMESERIES(FCF,MEAN,2026/2F,,Q,'CURRENCY=USD')":599.7068,"SHOP-US^FE_TIMESERIES(CAPEX,MEAN,2026/4F,,Q,'CURRENCY=USD')":6.9235454,"SHOP-US^FE_TIMESERIES(EAG,MEAN,2029/2F,,Q,'CURRENCY=USD')":null,"SHOP-US^FE_TIMESERIES(EPS,MEAN,2030/3F,,Q,'CURRENCY=USD')":null,"SHOP-US^FE_TIMESERIES(EPS,MEAN,2026/2F,,Q,'CURRENCY=USD')":0.4115396,"SHOP-US^FE_TIMESERIES(NETPROFIT,MEAN,2026/4F,,Q,'CURRENCY=USD')":810.0192,"SHOP-US^FE_TIMESERIES(EBITDA_ADJ,MEAN,2028/4F,,Q,'CURRENCY=USD')":1833.967,"SHOP-US^FE_TIMESERIES(EBITR,MEAN,2029/1F,,Q,'CURRENCY=USD')":null,"SHOP-US^FE_TIMESERIES(GROSSINCOME,MEAN,2029/3F,,Q,'CURRENCY=USD')":null,"SHOP-US^FE_TIMESERIES(GROSSINCOME,MEAN,2026/3F,,Q,'CURRENCY=USD')":1746.3556,"SHOP-US^FE_TIMESERIES(SALES,MEAN,2030/2F,,Q,'CURRENCY=USD')":null,"SHOP-US^FE_TIMESERIES(SALES,MEAN,2025/2F,,Q,'CURRENCY=USD')":2680.0,"SHOP-US^FE_TIMESERIES(GMV,MEAN,2029/1F,,Q,'CURRENCY=USD')":null,"SHOP-US^FE_ESTIMATE(SALES,MEAN,ANNUAL_ROLL,2030,NOW,,,'')":33373.3,"SHOP-US^FE_ESTIMATE(SALES,MEAN,QTR_ROLL,2029/2F,NOW,,,'')":null,"SHOP-US^FE_ESTIMATE(SALES,MEAN,QTR_ROLL,2027/4F,NOW,,,'')":5729.265,"SHOP-US^FE_ESTIMATE(SALES,MEAN,QTR_ROLL,2026/1F,NOW,,,'')":3170.0,"SHOP^FE_ESTIMATE(EBITDA_ADJ,MEAN,ANNUAL_ROLL,2030,NOW,,,'')":6657.5,"SHOP-US^FE_ESTIMATE(NETBG,MEAN,ANNUAL_ROLL,2027,NOW,,,'')":3062.2805,"SHOP-US^FE_ESTIMATE(EAG,MEAN,QTR,2027/4F,NOW,,,'')":0.6872509,"SHOP-US^FE_ESTIMATE(CUSTOM_EPS,MEAN,QTR,2027/2F,NOW,,,'')":0.5306427,"SHOP-US^FE_ESTIMATE(GMV,MEAN,QTR,2027/2F,NOW,,,'')":139180.45,"SHOP-US^FE_ESTIMATE(PRODLINE_SALES_1,MEAN,QTR,2027/1F,NOW,,,'')":885.0574,"SHOP-US^FE_ESTIMATE(SPEC_GROSS_1,MEAN,QTR,2026/4F,NOW,,,'')":235.9,"SHOP-US^FE_ESTIMATE(PRODLINE_SALES_2,MEAN,QTR,2026/3F,NOW,,,'')":2784.4268,"SHOP-US^FE_ESTIMATE(SPEC_GROSS_1,MEAN,QTR,2026/2F,NOW,,,'')":221.93333,"SHOP-US^FE_ESTIMATE(BFNG,MEAN,ANNUAL_ROLL,2025,NOW,,,'')":1231.0,"SHOP-US^FE_ESTIMATE(SALES,MEAN,ANNUAL_ROLL,2025,NOW,,,'')":11556.0,"SHOP-US^FE_ESTIMATE(NETBG,MEAN,QTR,2025/4F,NOW,,,'')":594.0,"SHOP-US^FE_ESTIMATE(GMV,MEAN,QTR,2025/4F,NOW,,,'')":123841.0,"SHOP-US^FE_ESTIMATE(PRODLINE_SALES_2,MEAN,QTR,2025/3F,NOW,,,'')":2145.0,"SHOP-US^FE_ESTIMATE(BFNG,MEAN,QTR,2025/2F,NOW,,,'')":906.0,"SHOP-US^FE_TIMESERIES(FCF,MEAN,2025,,Y,'CURRENCY=USD')":2023.6471,"SHOP-US^FE_TIMESERIES(EBITDA_ADJ,MEAN,2025,,Y,'CURRENCY=USD')":1998.7894,"SHOP-US^FE_TIMESERIES(SBC,MEAN,2028/4F,,Q,'CURRENCY=USD')":"#NUM","SHOP-US^FE_TIMESERIES(DEPR_AMORT,MEAN,2028/4F,,Q,'CURRENCY=USD')":null,"SHOP-US^FE_TIMESERIES(FCF,MEAN,2025/2F,,Q,'CURRENCY=USD')":422.1,"SHOP-US^FE_TIMESERIES(CFO,MEAN,2028/2F,,Q,'CURRENCY=USD')":null,"SHOP-US^FE_TIMESERIES(EAG,MEAN,2028/4F,,Q,'CURRENCY=USD')":1.035042,"SHOP-US^FE_TIMESERIES(EPS,MEAN,2025/2F,,Q,'CURRENCY=USD')":0.34882724,"SHOP-US^FE_TIMESERIES(EBITDA_REP,MEAN,2029/4F,,Q,'CURRENCY=USD')":null,"SHOP-US^FE_TIMESERIES(EBITDA_REP,MEAN,2025/4F,,Q,'CURRENCY=USD')":638.0,"SHOP-US^FE_TIMESERIES(EBITR,MEAN,2025/4F,,Q,'CURRENCY=USD')":630.94446,"SHOP-US^FE_TIMESERIES(GROSSINCOME,MEAN,2029/1F,,Q,'CURRENCY=USD')":null,"SHOP-US^FE_TIMESERIES(PRODLINE_SALES_2,MEAN,2026/3F,,Q,'CURRENCY=USD')":2784.4268,"SHOP-US^FE_TIMESERIES(PRODLINE_SALES_1,MEAN,2030/1F,,Q,'CURRENCY=USD')":null,"SHOP-US^FE_TIMESERIES(PRODLINE_SALES_1,MEAN,2027/1F,,Q,'CURRENCY=USD')":885.0574,"SHOP-US^FE_TIMESERIES(SALES,MEAN,2025/1F,,Q,'CURRENCY=USD')":2360.0,"SHOP-US^FE_TIMESERIES(GMV,MEAN,2026/4F,,Q,'CURRENCY=USD')":156022.83,"SHOP-US^FE_ESTIMATE(SALES,MEAN,QTR_ROLL,2030/4F,NOW,,,'')":null,"SHOP^FE_ESTIMATE(EBITDA_ADJ,MEAN,ANNUAL_ROLL,2029,NOW,,,'')":5374.0,"SHOP-US^FE_ACTUAL(ACTUAL,SALES,ANNUAL,2027,,,,'')@FE_ESTIMATE(SALES,MEAN,ANNUAL,2027,NOW,,,'')":18667.963,"SHOP-US^FE_ESTIMATE(BFNG,MEAN,QTR,2027/4F,NOW,,,'')":973.4072,"SHOP-US^FE_ESTIMATE(SPEC_GROSS_1,MEAN,QTR,2027/4F,NOW,,,'')":263.13333,"SHOP-US^FE_ESTIMATE(PRODLINE_SALES_2,MEAN,QTR,2027/3F,NOW,,,'')":3493.7424,"SHOP-US^FE_ESTIMATE(SALES,MEAN,QTR,2027/1F,NOW,,,'')":3937.7522,"SHOP-US^FE_ESTIMATE(EBITDA_ADJ,MEAN,ANNUAL_ROLL,2026,NOW,,,'')":2760.9685,"SHOP-US^FE_ESTIMATE(BFNG,MEAN,QTR,2026/4F,NOW,,,'')":746.77594,"SHOP-US^FE_ESTIMATE(CUSTOM_EPS,MEAN,QTR,2026/2F,NOW,,,'')":0.4115396,"SHOP-US^FE_ESTIMATE(PRODLINE_SALES_2,MEAN,QTR,2026/1F,NOW,,,'')":2420.0,"SHOP-US^FE_TIMESERIES(CAPEX,MEAN,2029,,Y,'CURRENCY=USD')":44.65,"SHOP-US^FE_TIMESERIES(EBITDA_REP,MEAN,2029,,Y,'CURRENCY=USD')":5510.0,"SHOP-US^FE_TIMESERIES(PRODLINE_SALES_1,MEAN,2027,,Y,'CURRENCY=USD')":3848.8228,"SHOP-US^FE_TIMESERIES(SBC,MEAN,2028/3F,,Q,'CURRENCY=USD')":"#NUM","SHOP-US^FE_TIMESERIES(DEPR_AMORT,MEAN,2028/3F,,Q,'CURRENCY=USD')":null,"SHOP-US^FE_TIMESERIES(FCF,MEAN,2030/2F,,Q,'CURRENCY=USD')":null,"SHOP-US^FE_TIMESERIES(CAPEX,MEAN,2030/4F,,Q,'CURRENCY=USD')":null,"SHOP-US^FE_TIMESERIES(CAPEX,MEAN,2026/3F,,Q,'CURRENCY=USD')":6.3125,"SHOP-US^FE_TIMESERIES(CFO,MEAN,2027/2F,,Q,'CURRENCY=USD')":771.3294,"SHOP-US^FE_TIMESERIES(EAG,MEAN,2028/3F,,Q,'CURRENCY=USD')":0.7196045,"SHOP-US^FE_TIMESERIES(EPS,MEAN,2030/2F,,Q,'CURRENCY=USD')":null,"SHOP-US^FE_TIMESERIES(NETPROFIT,MEAN,2030/4F,,Q,'CURRENCY=USD')":null,"SHOP-US^FE_TIMESERIES(CAPEX,MEAN,2027,,Y,'CURRENCY=USD')":32.47883,"SHOP-US^FE_TIMESERIES(EBITDA_REP,MEAN,2027,,Y,'CURRENCY=USD')":2879.9873,"SHOP-US^FE_TIMESERIES(FCF,MEAN,2029/2F,,Q,'CURRENCY=USD')":null,"SHOP-US^FE_TIMESERIES(CAPEX,MEAN,2030/3F,,Q,'CURRENCY=USD')":null,"SHOP-US^FE_TIMESERIES(CAPEX,MEAN,2026/2F,,Q,'CURRENCY=USD')":5.83475,"SHOP-US^FE_TIMESERIES(CFO,MEAN,2026/4F,,Q,'CURRENCY=USD')":958.26245,"SHOP-US^FE_TIMESERIES(EPS,MEAN,2029/2F,,Q,'CURRENCY=USD')":null,"SHOP-US^FE_TIMESERIES(NETPROFIT,MEAN,2030/3F,,Q,'CURRENCY=USD')":null,"SHOP-US^FE_TIMESERIES(NETPROFIT,MEAN,2026/2F,,Q,'CURRENCY=USD')":439.0,"SHOP-US^FE_TIMESERIES(EBITDA_ADJ,MEAN,2027/2F,,Q,'CURRENCY=USD')":755.568,"SHOP-US^FE_TIMESERIES(EBITDA_REP,MEAN,2029/3F,,Q,'CURRENCY=USD')":null,"SHOP-US^FE_TIMESERIES(EBIT_ADJ,MEAN,2030/4F,,Q,'CURRENCY=USD')":null,"SHOP-US^FE_TIMESERIES(GROSSINCOME,MEAN,2028/3F,,Q,'CURRENCY=USD')":null,"SHOP-US^FE_TIMESERIES(GROSSINCOME,MEAN,2025/4F,,Q,'CURRENCY=USD')":1695.2759,"SHOP-US^FE_TIMESERIES(PRODLINE_SALES_2,MEAN,2029/1F,,Q,'CURRENCY=USD')":null,"SHOP-US^FE_TIMESERIES(PRODLINE_SALES_2,MEAN,2026/1F,,Q,'CURRENCY=USD')":2420.0,"SHOP-US^FE_TIMESERIES(PRODLINE_SALES_1,MEAN,2029/2F,,Q,'CURRENCY=USD')":null,"SHOP-US^FE_TIMESERIES(PRODLINE_SALES_1,MEAN,2026/4F,,Q,'CURRENCY=USD')":916.2929,"SHOP-US^FE_TIMESERIES(SALES,MEAN,2029/4F,,Q,'CURRENCY=USD')":null,"SHOP-US^FE_TIMESERIES(GMV,MEAN,2030/4F,,Q,'CURRENCY=USD')":null,"SHOP-US^FE_TIMESERIES(GMV,MEAN,2028/3F,,Q,'CURRENCY=USD')":null,"SHOP-US^FE_ESTIMATE(SALES,MEAN,QTR_ROLL,2030/3F,NOW,,,'')":null,"SHOP-US^FE_ESTIMATE(SALES,MEAN,ANNUAL_ROLL,2028,NOW,,,'')":23471.11,"SHOP-US^FE_ESTIMATE(SALES,MEAN,QTR_ROLL,2027/2F,NOW,,,'')":4343.4365,"SHOP-US^FE_ESTIMATE(SALES,MEAN,QTR_ROLL,2025/4F,NOW,,,'')":3672.0,"SHOP^FE_ESTIMATE(EPS,MEAN,ANNUAL_ROLL,2030,NOW,,,'')":4.4866667,"SHOP^FE_ESTIMATE(EBITDA_ADJ,MEAN,ANNUAL_ROLL,2028,NOW,,,'')":5274.8657,"SHOP-US^FE_ACTUAL(ACTUAL,SALES,ANNUAL,2026,,,,'')@FE_ESTIMATE(SALES,MEAN,ANNUAL,2026,NOW,,,'')":14977.527,"SHOP-US^FE_ESTIMATE(PRODLINE_SALES_2,MEAN,ANNUAL_ROLL,2027,NOW,,,'')":14477.754,"SHOP-US^FE_ESTIMATE(CUSTOM_EPS,MEAN,QTR,2027/4F,NOW,,,'')":0.82372373,"SHOP-US^FE_ESTIMATE(GMV,MEAN,QTR,2027/4F,NOW,,,'')":188729.4,"SHOP-US^FE_ESTIMATE(BFNG,MEAN,QTR,2027/1F,NOW,,,'')":467.27698,"SHOP-US^FE_ESTIMATE(SPEC_GROSS_1,MEAN,QTR,2027/1F,NOW,,,'')":241.4,"SHOP-US^FE_ESTIMATE(PRODLINE_SALES_2,MEAN,ANNUAL_ROLL,2026,NOW,,,'')":11599.311,"SHOP-US^FE_ESTIMATE(NETBG,MEAN,QTR,2026/2F,NOW,,,'')":439.0,"SHOP-US^FE_ESTIMATE(PRODLINE_SALES_1,MEAN,QTR,2026/1F,NOW,,,'')":750.0,"SHOP-US^FE_TIMESERIES(PRODLINE_SALES_1,MEAN,2026,,Y,'CURRENCY=USD')":3293.032,"SHOP-US^FE_TIMESERIES(SBC,MEAN,2028/2F,,Q,'CURRENCY=USD')":"#NUM","SHOP-US^FE_TIMESERIES(DEPR_AMORT,MEAN,2028/2F,,Q,'CURRENCY=USD')":null,"SHOP-US^FE_TIMESERIES(FCF,MEAN,2028/4F,,Q,'CURRENCY=USD')":null,"SHOP-US^FE_TIMESERIES(CAPEX,MEAN,2025/2F,,Q,'CURRENCY=USD')":6.0,"SHOP-US^FE_TIMESERIES(EAG,MEAN,2028/2F,,Q,'CURRENCY=USD')":0.608419,"SHOP-US^FE_TIMESERIES(EPS,MEAN,2028/4F,,Q,'CURRENCY=USD')":1.0448862,"SHOP-US^FE_TIMESERIES(EBITDA_REP,MEAN,2029/2F,,Q,'CURRENCY=USD')":null,"SHOP-US^FE_TIMESERIES(EBIT_ADJ,MEAN,2030/2F,,Q,'CURRENCY=USD')":null,"SHOP-US^FE_TIMESERIES(EAG,MEAN,2029,,Y,'CURRENCY=USD')":3.5633333,"SHOP-US^FE_TIMESERIES(EBIT_ADJ,MEAN,2025,,Y,'CURRENCY=USD')":1976.2413,"SHOP-US^FE_TIMESERIES(DEPR_AMORT,MEAN,2026/4F,,Q,'CURRENCY=USD')":12.319,"SHOP-US^FE_TIMESERIES(CAPEX,MEAN,2029/2F,,Q,'CURRENCY=USD')":null,"SHOP-US^FE_TIMESERIES(CFO,MEAN,2030/3F,,Q,'CURRENCY=USD')":null,"SHOP-US^FE_TIMESERIES(CFO,MEAN,2026/2F,,Q,'CURRENCY=USD')":588.56946,"SHOP-US^FE_TIMESERIES(EAG,MEAN,2026/4F,,Q,'CURRENCY=USD')":0.5515808,"SHOP-US^FE_TIMESERIES(NETPROFIT,MEAN,2029/2F,,Q,'CURRENCY=USD')":null,"SHOP-US^FE_TIMESERIES(EBITDA_ADJ,MEAN,2030/4F,,Q,'CURRENCY=USD')":null,"SHOP-US^FE_TIMESERIES(EBITDA_REP,MEAN,2028/1F,,Q,'CURRENCY=USD')":null,"SHOP-US^FE_TIMESERIES(EBIT_ADJ,MEAN,2030/1F,,Q,'CURRENCY=USD')":null,"SHOP-US^FE_TIMESERIES(EBITR,MEAN,2027/3F,,Q,'CURRENCY=USD')":634.96027,"SHOP-US^FE_TIMESERIES(GROSSINCOME,MEAN,2030/4F,,Q,'CURRENCY=USD')":null,"SHOP-US^FE_TIMESERIES(GROSSINCOME,MEAN,2028/1F,,Q,'CURRENCY=USD')":null,"SHOP-US^FE_TIMESERIES(GROSSINCOME,MEAN,2025/1F,,Q,'CURRENCY=USD')":1170.8438,"SHOP-US^FE_TIMESERIES(PRODLINE_SALES_1,MEAN,2025/4F,,Q,'CURRENCY=USD')":777.0,"SHOP-US^FE_TIMESERIES(SALES,MEAN,2029/1F,,Q,'CURRENCY=USD')":null,"SHOP-US^FE_TIMESERIES(GMV,MEAN,2028/1F,,Q,'CURRENCY=USD')":null,"SHOP-US^FE_TIMESERIES(GMV,MEAN,2025/4F,,Q,'CURRENCY=USD')":123841.0,"SHOP-US^FE_ESTIMATE(SALES,MEAN,QTR_ROLL,2030/1F,NOW,,,'')":null,"SHOP-US^FE_ESTIMATE(SALES,MEAN,QTR_ROLL,2028/3F,NOW,,,'')":5463.5034,"SHOP-US^FE_ESTIMATE(SALES,MEAN,ANNUAL_ROLL,2026,NOW,,,'')":14977.527,"SHOP-US^FE_ESTIMATE(SALES,MEAN,QTR_ROLL,2025/2F,NOW,,,'')":2680.0,"SHOP^FE_ESTIMATE(EBITDA_ADJ,MEAN,ANNUAL_ROLL,2026,NOW,,,'')":2760.9685,"SHOP-US^FE_ACTUAL(ACTUAL,GMV,ANNUAL,2029,,,,'')@FE_ESTIMATE(GMV,MEAN,ANNUAL,2029,NOW,,,'')":897686.9,"SHOP-US^FE_ESTIMATE(EBITDA_ADJ,MEAN,QTR,2027/4F,NOW,,,'')":1191.6364,"SHOP-US^FE_ESTIMATE(BFNG,MEAN,QTR,2027/3F,NOW,,,'')":667.4531,"SHOP-US^FE_ESTIMATE(SPEC_GROSS_1,MEAN,QTR,2027/3F,NOW,,,'')":255.2,"SHOP-US^FE_ESTIMATE(EAG,MEAN,ANNUAL_ROLL,2026,NOW,,,'')":0.8996418,"SHOP-US^FE_ESTIMATE(EBITDA_ADJ,MEAN,QTR,2026/4F,NOW,,,'')":970.7204,"SHOP-US^FE_ESTIMATE(SPEC_GROSS_1,MEAN,QTR,2026/3F,NOW,,,'')":226.9235,"SHOP-US^FE_ESTIMATE(BFNG,MEAN,QTR,2026/1F,NOW,,,'')":-581.0,"SHOP-US^FE_ESTIMATE(SPEC_GROSS_1,MEAN,QTR,2026/1F,NOW,,,'')":212.6923,"SHOP-US^FE_ESTIMATE(EBITDA_ADJ,MEAN,ANNUAL_ROLL,2025,NOW,,,'')":1998.7894,"SHOP-US^FE_ESTIMATE(EAG,MEAN,QTR,2025/4F,NOW,,,'')":0.569695,"SHOP-US^FE_ESTIMATE(PRODLINE_SALES_1,MEAN,QTR,2025/4F,NOW,,,'')":777.0,"SHOP-US^FE_ESTIMATE(CUSTOM_EPS,MEAN,QTR,2025/3F,NOW,,,'')":0.33815533,"SHOP-US^FE_ESTIMATE(SPEC_GROSS_1,MEAN,QTR,2025/3F,NOW,,,'')":193.0,"SHOP-US^FE_ESTIMATE(EBITDA_ADJ,MEAN,QTR,2025/2F,NOW,,,'')":428.70587,"SHOP-US^FE_ESTIMATE(EAG,MEAN,QTR,2025/1F,NOW,,,'')":-0.52877337,"SHOP-US^FE_ESTIMATE(PRODLINE_SALES_1,MEAN,QTR,2025/1F,NOW,,,'')":620.0,"SHOP-US^FE_ESTIMATE(CUSTOM_EPS,MEAN,ANNUAL_ROLL,2024,NOW,,,'')":1.2607212,"SHOP-US^FE_ESTIMATE(SPEC_GROSS_1,MEAN,ANNUAL_ROLL,2024,NOW,,,'')":178.0,"SHOP-US^FE_ESTIMATE(EBITDA_ADJ,MEAN,QTR,2024/4F,NOW,,,'')":591.6,"SHOP-US^FE_ESTIMATE(EAG,MEAN,QTR,2024/3F,NOW,,,'')":0.6392327,"SHOP-US^FE_ESTIMATE(PRODLINE_SALES_1,MEAN,QTR,2024/3F,NOW,,,'')":610.0,"SHOP-US^FE_ESTIMATE(CUSTOM_EPS,MEAN,QTR,2024/2F,NOW,,,'')":0.26,"SHOP-US^FE_ESTIMATE(SPEC_GROSS_1,MEAN,QTR,2024/2F,NOW,,,'')":169.0,"SHOP-US^FE_ESTIMATE(EBITDA_ADJ,MEAN,QTR,2024/1F,NOW,,,'')":209.07143,"SHOP-US^FE_TIMESERIES(GMV,MEAN,2027/3F,,Q,'CURRENCY=USD')":142704.86,"SHOP-US^FE_ACTUAL(ACTUAL,SALES,ANNUAL,2030,,,,'')@FE_ESTIMATE(SALES,MEAN,ANNUAL,2030,NOW,,,'')":33373.3,"SHOP-US^FE_ESTIMATE(SPEC_GROSS_1,MEAN,ANNUAL_ROLL,2027,NOW,,,'')":275.13837,"SHOP-US^FE_ESTIMATE(PRODLINE_SALES_2,MEAN,QTR,2027/4F,NOW,,,'')":4581.354,"SHOP-US^FE_ESTIMATE(CUSTOM_EPS,MEAN,QTR,2027/3F,NOW,,,'')":0.5878864,"SHOP-US^FE_TIMESERIES(EAG,MEAN,2027,,Y,'CURRENCY=USD')":2.0756657,"SHOP-US^FE_TIMESERIES(EBITR,MEAN,2029,,Y,'CURRENCY=USD')":5071.3335,"SHOP-US^FE_TIMESERIES(SALES,MEAN,2025,,Y,'CURRENCY=USD')":11556.0,"SHOP-US^FE_TIMESERIES(SBC,MEAN,2026/3F,,Q,'CURRENCY=USD')":"#NUM","SHOP-US^FE_TIMESERIES(FCF,MEAN,2028/2F,,Q,'CURRENCY=USD')":null,"SHOP-US^FE_TIMESERIES(CAPEX,MEAN,2028/4F,,Q,'CURRENCY=USD')":7.986,"SHOP-US^FE_TIMESERIES(CFO,MEAN,2025/2F,,Q,'CURRENCY=USD')":428.0,"SHOP-US^FE_TIMESERIES(EPS,MEAN,2028/2F,,Q,'CURRENCY=USD')":0.6684845,"SHOP-US^FE_TIMESERIES(NETPROFIT,MEAN,2028/4F,,Q,'CURRENCY=USD')":1330.6472,"SHOP-US^FE_TIMESERIES(EBITDA_ADJ,MEAN,2030/3F,,Q,'CURRENCY=USD')":null,"SHOP-US^FE_TIMESERIES(EBITDA_REP,MEAN,2027/4F,,Q,'CURRENCY=USD')":1021.0,"SHOP-US^FE_TIMESERIES(EBIT_ADJ,MEAN,2025/1F,,Q,'CURRENCY=USD')":328.94,"SHOP-US^FE_TIMESERIES(EBITR,MEAN,2027/2F,,Q,'CURRENCY=USD')":564.3487,"SHOP-US^FE_TIMESERIES(GROSSINCOME,MEAN,2030/2F,,Q,'CURRENCY=USD')":null,"SHOP-US^FE_TIMESERIES(PRODLINE_SALES_2,MEAN,2028/1F,,Q,'CURRENCY=USD')":null,"SHOP-US^FE_TIMESERIES(PRODLINE_SALES_2,MEAN,2025/2F,,Q,'CURRENCY=USD')":2024.0,"SHOP-US^FE_TIMESERIES(PRODLINE_SALES_1,MEAN,2028/3F,,Q,'CURRENCY=USD')":null,"SHOP-US^FE_TIMESERIES(PRODLINE_SALES_1,MEAN,2025/3F,,Q,'CURRENCY=USD')":699.0,"SHOP-US^FE_TIMESERIES(SALES,MEAN,2026/2F,,Q,'CURRENCY=USD')":3583.0,"SHOP-US^FE_TIMESERIES(GMV,MEAN,2030/1F,,Q,'CURRENCY=USD')":null,"SHOP-US^FE_TIMESERIES(GMV,MEAN,2027/4F,,Q,'CURRENCY=USD')":188729.4,"SHOP-US^FE_ESTIMATE(SALES,MEAN,QTR_ROLL,2028/2F,NOW,,,'')":5245.9165,"SHOP^FE_ESTIMATE(EPS,MEAN,ANNUAL_ROLL,2028,NOW,,,'')":3.2661428,"SHOP-US^FE_ESTIMATE(EAG,MEAN,ANNUAL_ROLL,2027,NOW,,,'')":2.0756657,"SHOP-US^FE_ESTIMATE(GMV,MEAN,QTR,2027/3F,NOW,,,'')":142704.86,"SHOP-US^FE_ESTIMATE(PRODLINE_SALES_1,MEAN,QTR,2027/2F,NOW,,,'')":936.164,"SHOP-US^FE_ESTIMATE(NETBG,MEAN,QTR,2027/1F,NOW,,,'')":544.7104,"SHOP-US^FE_ESTIMATE(PRODLINE_SALES_2,MEAN,QTR,2026/4F,NOW,,,'')":3698.408,"SHOP-US^FE_ESTIMATE(CUSTOM_EPS,MEAN,QTR,2026/3F,NOW,,,'')":0.45402429,"SHOP-US^FE_ESTIMATE(PRODLINE_SALES_2,MEAN,QTR,2026/2F,NOW,,,'')":2781.0,"SHOP-US^FE_ESTIMATE(CUSTOM_EPS,MEAN,QTR,2026/1F,NOW,,,'')":0.36001423,"SHOP-US^FE_TIMESERIES(GMV,MEAN,2030,,Y,'CURRENCY=USD')":1057535.1,"SHOP-US^FE_TIMESERIES(SBC,MEAN,2026/2F,,Q,'CURRENCY=USD')":"#NUM","SHOP-US^FE_TIMESERIES(DEPR_AMORT,MEAN,2026/3F,,Q,'CURRENCY=USD')":11.605,"SHOP-US^FE_TIMESERIES(FCF,MEAN,2027/2F,,Q,'CURRENCY=USD')":722.4533,"SHOP-US^FE_TIMESERIES(CAPEX,MEAN,2028/3F,,Q,'CURRENCY=USD')":7.986,"SHOP-US^FE_TIMESERIES(CFO,MEAN,2030/2F,,Q,'CURRENCY=USD')":null,"SHOP-US^FE_TIMESERIES(EAG,MEAN,2030/4F,,Q,'CURRENCY=USD')":null,"SHOP-US^FE_TIMESERIES(EAG,MEAN,2026/3F,,Q,'CURRENCY=USD')":0.3663587,"SHOP-US^FE_TIMESERIES(EPS,MEAN,2027/2F,,Q,'CURRENCY=USD')":0.5306427,"SHOP-US^FE_TIMESERIES(NETPROFIT,MEAN,2028/3F,,Q,'CURRENCY=USD')":958.5608,"SHOP-US^FE_TIMESERIES(EBITDA_ADJ,MEAN,2025/3F,,Q,'CURRENCY=USD')":471.05884,"SHOP-US^FE_TIMESERIES(EBITDA_REP,MEAN,2027/3F,,Q,'CURRENCY=USD')":667.0,"SHOP-US^FE_TIMESERIES(EBITR,MEAN,2030/4F,,Q,'CURRENCY=USD')":null,"SHOP-US^FE_TIMESERIES(PRODLINE_SALES_2,MEAN,2030/4F,,Q,'CURRENCY=USD')":null,"SHOP-US^FE_TIMESERIES(PRODLINE_SALES_2,MEAN,2027/4F,,Q,'CURRENCY=USD')":4581.354,"SHOP-US^FE_TIMESERIES(SALES,MEAN,2028/3F,,Q,'CURRENCY=USD')":5463.5034,"SHOP-US^FE_TIMESERIES(SALES,MEAN,2026/1F,,Q,'CURRENCY=USD')":3170.0,"SHOP-US^FE_TIMESERIES(GMV,MEAN,2029/4F,,Q,'CURRENCY=USD')":null,"SHOP-US^FE_TIMESERIES(GMV,MEAN,2025/3F,,Q,'CURRENCY=USD')":92010.7,"SHOP-US^FE_ESTIMATE(SALES,MEAN,QTR_ROLL,2026/4F,NOW,,,'')":4656.4146,"SHOP^FE_ESTIMATE(EPS,MEAN,ANNUAL_ROLL,2027,NOW,,,'')":2.400098,"SHOP-US^FE_ACTUAL(ACTUAL,GMV,ANNUAL,2028,,,,'')@FE_ESTIMATE(GMV,MEAN,ANNUAL,2028,NOW,,,'')":752986.7,"SHOP-US^FE_ESTIMATE(EBITDA_ADJ,MEAN,QTR,2027/1F,NOW,,,'')":652.57935,"SHOP-US^FE_ESTIMATE(BFNG,MEAN,ANNUAL_ROLL,2026,NOW,,,'')":1020.03906,"SHOP-US^FE_TIMESERIES(CFO,MEAN,2025,,Y,'CURRENCY=USD')":2043.8334,"SHOP-US^FE_TIMESERIES(NETPROFIT,MEAN,2026/3F,,Q,'CURRENCY=USD')":567.3018,"SHOP-US^FE_TIMESERIES(EBITR,MEAN,2028/2F,,Q,'CURRENCY=USD')":null,"SHOP-US^FE_TIMESERIES(GMV,MEAN,2026/1F,,Q,'CURRENCY=USD')":100743.0,"SHOP-US^FE_ESTIMATE(EAG,MEAN,QTR,2027/3F,NOW,,,'')":0.45314854,"SHOP-US^FE_ESTIMATE(BFNG,MEAN,QTR,2026/3F,NOW,,,'')":486.94247,"SHOP-US^FE_ESTIMATE(EBITDA_ADJ,MEAN,QTR,2025/1F,NOW,,,'')":335.5,"SHOP-US^FE_ESTIMATE(PRODLINE_SALES_1,MEAN,ANNUAL_ROLL,2024,NOW,,,'')":2350.0,"SHOP-US^FE_ESTIMATE(SPEC_GROSS_1,MEAN,QTR,2024/4F,NOW,,,'')":178.0,"SHOP-US^FE_ESTIMATE(EAG,MEAN,QTR,2024/2F,NOW,,,'')":0.13,"SHOP-US^FE_ESTIMATE(CUSTOM_EPS,MEAN,QTR,2024/1F,NOW,,,'')":0.2,"SHOP-US^FE_ESTIMATE(PRODLINE_SALES_2,MEAN,ANNUAL_ROLL,2024,NOW,,,'')":6530.0,"SHOP-US^FE_TIMESERIES(NETPROFIT,MEAN,2025/1F,,Q,'CURRENCY=USD')":226.0,"SHOP-US^FE_TIMESERIES(EBITR,MEAN,2027/4F,,Q,'CURRENCY=USD')":999.7063,"SHOP-US^FE_TIMESERIES(PRODLINE_SALES_2,MEAN,2028/3F,,Q,'CURRENCY=USD')":null,"SHOP-US^FE_TIMESERIES(SALES,MEAN,2029/3F,,Q,'CURRENCY=USD')":null,"SHOP-US^FE_ESTIMATE(SALES,MEAN,QTR_ROLL,2025/3F,NOW,,,'')":2844.0,"SHOP-US^FE_ESTIMATE(GMV,MEAN,QTR,2027/1F,NOW,,,'')":124690.234,"SHOP-US^FE_ESTIMATE(BFNG,MEAN,QTR,2025/4F,NOW,,,'')":743.0,"SHOP-US^FE_ESTIMATE(GMV,MEAN,QTR,2025/3F,NOW,,,'')":92010.7,"SHOP-US^FE_ESTIMATE(PRODLINE_SALES_2,MEAN,QTR,2025/1F,NOW,,,'')":1740.0,"SHOP-US^FE_ESTIMATE(GMV,MEAN,QTR,2024/4F,NOW,,,'')":94445.0,"SHOP-US^FE_ESTIMATE(BFNG,MEAN,QTR,2024/2F,NOW,,,'')":171.0,"SHOP-US^FE_ESTIMATE(NETBG,MEAN,QTR,2024/1F,NOW,,,'')":256.0,"SHOP-US^FE_ESTIMATE(GMV,MEAN,QTR,2024/1F,NOW,,,'')":60855.0,"SHOP-US^FE_TIMESERIES(GROSSINCOME,MEAN,2026/2F,,Q,'CURRENCY=USD')":1669.4131,"SHOP-US^FE_ESTIMATE(GMV,MEAN,QTR,2025/2F,NOW,,,'')":87837.0,"SHOP-US^FE_ESTIMATE(SALES,MEAN,QTR,2025/3F,NOW,,,'')":2844.0,"SHOP-US^FE_ESTIMATE(BFNG,MEAN,QTR,2024/1F,NOW,,,'')":-273.0,"SHOP-US^FE_TIMESERIES(SALES,MEAN,2026,,Y,'CURRENCY=USD')":14977.527,"SHOP-US^FE_TIMESERIES(EBITDA_ADJ,MEAN,2027/4F,,Q,'CURRENCY=USD')":1191.6364,"SHOP-US^FE_TIMESERIES(EBITR,MEAN,2025/3F,,Q,'CURRENCY=USD')":343.0,"SHOP-US^FE_TIMESERIES(SALES,MEAN,2027/1F,,Q,'CURRENCY=USD')":3937.7522,"SHOP-US^FE_ESTIMATE(PRODLINE_SALES_1,MEAN,QTR,2027/3F,NOW,,,'')":983.6491,"SHOP-US^FE_ESTIMATE(PRODLINE_SALES_1,MEAN,QTR,2026/3F,NOW,,,'')":838.4518,"SHOP-US^FE_ESTIMATE(EBITDA_ADJ,MEAN,QTR,2025/4F,NOW,,,'')":764.93335,"SHOP-US^FE_ESTIMATE(CUSTOM_EPS,MEAN,QTR,2025/2F,NOW,,,'')":0.34882724,"SHOP-US^FE_TIMESERIES(EBITDA_ADJ,MEAN,2027/1F,,Q,'CURRENCY=USD')":652.57935,"SHOP-US^FE_TIMESERIES(EBITR,MEAN,2025/2F,,Q,'CURRENCY=USD')":291.0,"SHOP-US^FE_ESTIMATE(PRODLINE_SALES_1,MEAN,ANNUAL_ROLL,2026,NOW,,,'')":3293.032,"SHOP-US^FE_ESTIMATE(SALES,MEAN,QTR,2026/3F,NOW,,,'')":3651.513,"SHOP-US^FE_ESTIMATE(PRODLINE_SALES_2,MEAN,QTR,2025/4F,NOW,,,'')":2895.0,"SHOP-US^FE_ESTIMATE(NETBG,MEAN,QTR,2025/2F,NOW,,,'')":338.0,"SHOP-US^FE_ESTIMATE(GMV,MEAN,ANNUAL_ROLL,2024,NOW,,,'')":292259.28,"SHOP-US^FE_ESTIMATE(BFNG,MEAN,QTR,2024/3F,NOW,,,'')":828.0,"SHOP-US^FE_ESTIMATE(NETBG,MEAN,QTR,2024/2F,NOW,,,'')":345.0,"SHOP-US^FE_ESTIMATE(PRODLINE_SALES_2,MEAN,QTR,2024/1F,NOW,,,'')":1350.0,"SHOP-US^FE_ESTIMATE(EAG,MEAN,ANNUAL_ROLL,2024,NOW,,,'')":1.5520631,"SHOP-US^FE_ESTIMATE(BFNG,MEAN,ANNUAL_ROLL,2024,NOW,,,'')":2019.0,"SHOP-US^FE_ESTIMATE(PRODLINE_SALES_2,MEAN,QTR,2024/3F,NOW,,,'')":1552.0,"SHOP-US^FE_TIMESERIES(CFO,MEAN,2026/3F,,Q,'CURRENCY=USD')":660.9996,"SHOP-US^FE_ESTIMATE(EBITDA_ADJ,MEAN,QTR,2026/2F,NOW,,,'')":594.8455,"SHOP-US^FE_ESTIMATE(PRODLINE_SALES_1,MEAN,QTR,2025/3F,NOW,,,'')":699.0,"SHOP-US^FE_ESTIMATE(GMV,MEAN,ANNUAL_ROLL,2025,NOW,,,'')":378441.0,"SHOP-US^FE_ESTIMATE(GMV,MEAN,QTR,2024/3F,NOW,,,'')":69715.0,"SHOP-US^FE_TIMESERIES(SBC,MEAN,2026/4F,,Q,'CURRENCY=USD')":"#NUM","SHOP-US^FE_ESTIMATE(SALES,MEAN,QTR,2027/3F,NOW,,,'')":4506.5664,"SHOP-US^FE_ESTIMATE(SALES,MEAN,QTR,2025/1F,NOW,,,'')":2360.0,"SHOP-US^FE_TIMESERIES(PRODLINE_SALES_2,MEAN,2029/2F,,Q,'CURRENCY=USD')":null,"SHOP-US^FE_TIMESERIES(DEPR_AMORT,MEAN,2027/2F,,Q,'CURRENCY=USD')":26.618334,"SHOP-US^FE_TIMESERIES(PRODLINE_SALES_2,MEAN,2025/4F,,Q,'CURRENCY=USD')":2895.0,"SHOP-US^FE_TIMESERIES(SALES,MEAN,2026/3F,,Q,'CURRENCY=USD')":3651.513,"SHOP-US^FE_ESTIMATE(SALES,MEAN,QTR_ROLL,2030/2F,NOW,,,'')":null,"SHOP^FE_ESTIMATE(EPS,MEAN,ANNUAL_ROLL,2029,NOW,,,'')":3.78,"SHOP-US^FE_ESTIMATE(SALES,MEAN,QTR,2026/1F,NOW,,,'')":3170.0,"SHOP-US^FE_ESTIMATE(BFNG,MEAN,QTR,2024/4F,NOW,,,'')":1293.0,"SHOP-US^FE_ESTIMATE(NETBG,MEAN,QTR,2024/3F,NOW,,,'')":344.0,"SHOP-US^FE_ESTIMATE(SALES,MEAN,QTR,2024/1F,NOW,,,'')":1861.0,"SHOP-US^FE_TIMESERIES(GROSSINCOME,MEAN,2028/2F,,Q,'CURRENCY=USD')":null,"SHOP-US^FE_TIMESERIES(PRODLINE_SALES_1,MEAN,2029/1F,,Q,'CURRENCY=USD')":null,"SHOP-US^FE_ESTIMATE(CUSTOM_EPS,MEAN,QTR,2026/4F,NOW,,,'')":0.6457557,"SHOP-US^FE_ESTIMATE(CUSTOM_EPS,MEAN,ANNUAL_ROLL,2025,NOW,,,'')":1.4241035,"SHOP-US^FE_ESTIMATE(SALES,MEAN,QTR,2025/2F,NOW,,,'')":2680.0,"SHOP-US^FE_ESTIMATE(CUSTOM_EPS,MEAN,QTR,2024/4F,NOW,,,'')":0.44007018,"SHOP-US^FE_ESTIMATE(PRODLINE_SALES_1,MEAN,QTR,2024/2F,NOW,,,'')":563.0,"SHOP-US^FE_ESTIMATE(SALES,MEAN,QTR,2024/2F,NOW,,,'')":2045.0,"SHOP-US^FE_TIMESERIES(GMV,MEAN,2028/4F,,Q,'CURRENCY=USD')":null,"SHOP-US^FE_TIMESERIES(EBITR,MEAN,2028/4F,,Q,'CURRENCY=USD')":null,"SHOP-US^FE_ESTIMATE(NETBG,MEAN,QTR,2025/1F,NOW,,,'')":226.0,"SHOP-US^FE_ESTIMATE(SALES,MEAN,QTR,2024/4F,NOW,,,'')":2812.0,"SHOP-US^FE_TIMESERIES(FCF,MEAN,2028/3F,,Q,'CURRENCY=USD')":null,"SHOP-US^FE_ESTIMATE(SALES,MEAN,QTR_ROLL,2029/1F,NOW,,,'')":null,"SHOP-US^FE_ESTIMATE(EBITDA_ADJ,MEAN,ANNUAL_ROLL,2027,NOW,,,'')":3575.3567,"SHOP-US^FE_ESTIMATE(NETBG,MEAN,QTR,2027/2F,NOW,,,'')":663.3226,"SHOP-US^FE_ESTIMATE(SPEC_GROSS_1,MEAN,ANNUAL_ROLL,2026,NOW,,,'')":236.55385,"SHOP-US^FE_ESTIMATE(GMV,MEAN,QTR,2026/3F,NOW,,,'')":116926.805,"SHOP-US^FE_ESTIMATE(GMV,MEAN,QTR,2026/1F,NOW,,,'')":100743.0,"SHOP-US^FE_ESTIMATE(SALES,MEAN,QTR,2025/4F,NOW,,,'')":3672.0,"SHOP-US^FE_ESTIMATE(PRODLINE_SALES_2,MEAN,QTR,2025/2F,NOW,,,'')":2024.0,"SHOP-US^FE_ESTIMATE(GMV,MEAN,QTR,2025/1F,NOW,,,'')":74775.0,"SHOP-US^FE_ESTIMATE(PRODLINE_SALES_2,MEAN,QTR,2024/2F,NOW,,,'')":1482.0,"SHOP-US^FE_TIMESERIES(CAPEX,MEAN,2030/2F,,Q,'CURRENCY=USD')":null,"SHOP-US^FE_TIMESERIES(GMV,MEAN,2030/3F,,Q,'CURRENCY=USD')":null,"SHOP-US^FE_ESTIMATE(EBITDA_ADJ,MEAN,QTR,2027/2F,NOW,,,'')":755.568,"SHOP-US^FE_ESTIMATE(EAG,MEAN,QTR,2025/3F,NOW,,,'')":0.20030482,"SHOP-US^FE_ESTIMATE(EBITDA_ADJ,MEAN,QTR,2024/3F,NOW,,,'')":406.5625,"SHOP-US^FE_ESTIMATE(SPEC_GROSS_1,MEAN,QTR,2024/1F,NOW,,,'')":151.0,"SHOP-US^FE_ESTIMATE(NETBG,MEAN,QTR,2024/4F,NOW,,,'')":458.0,"SHOP-US^FE_TIMESERIES(CFO,MEAN,2030/4F,,Q,'CURRENCY=USD')":null,"SHOP-US^FE_TIMESERIES(PRODLINE_SALES_1,MEAN,2028/4F,,Q,'CURRENCY=USD')":null,"SHOP^FE_ESTIMATE(EBITDA_ADJ,MEAN,ANNUAL_ROLL,2027,NOW,,,'')":3575.3567,"SHOP-US^FE_ESTIMATE(PRODLINE_SALES_1,MEAN,ANNUAL_ROLL,2027,NOW,,,'')":3848.8228,"SHOP-US^FE_ESTIMATE(PRODLINE_SALES_2,MEAN,QTR,2027/2F,NOW,,,'')":3372.4705,"SHOP-US^FE_ESTIMATE(NETBG,MEAN,QTR,2026/4F,NOW,,,'')":829.88477,"SHOP-US^FE_ESTIMATE(NETBG,MEAN,ANNUAL_ROLL,2025,NOW,,,'')":1525.0,"SHOP-US^FE_ESTIMATE(BFNG,MEAN,QTR,2025/3F,NOW,,,'')":264.0,"SHOP-US^FE_ESTIMATE(SPEC_GROSS_1,MEAN,QTR,2025/2F,NOW,,,'')":185.0,"SHOP-US^FE_TIMESERIES(EBIT_ADJ,MEAN,2026/4F,,Q,'CURRENCY=USD')":965.8128,"SHOP-US^FE_ESTIMATE(EAG,MEAN,QTR,2027/1F,NOW,,,'')":0.3692681,"SHOP-US^FE_TIMESERIES(NETPROFIT,MEAN,2030/2F,,Q,'CURRENCY=USD')":null,"SHOP-US^FE_ESTIMATE(EAG,MEAN,QTR,2026/3F,NOW,,,'')":0.3663587,"SHOP-US^FE_TIMESERIES(EAG,MEAN,2027/2F,,Q,'CURRENCY=USD')":0.4196431,"SHOP-US^FE_TIMESERIES(EBIT_ADJ,MEAN,2026/3F,,Q,'CURRENCY=USD')":660.91113,"SHOP-US^FE_ESTIMATE(SALES,MEAN,QTR_ROLL,2027/1F,NOW,,,'')":3937.7522,"SHOP-US^FE_ACTUAL(ACTUAL,GMV,ANNUAL,2030,,,,'')@FE_ESTIMATE(GMV,MEAN,ANNUAL,2030,NOW,,,'')":1057535.1,"SHOP-US^FE_ESTIMATE(PRODLINE_SALES_1,MEAN,QTR,2026/2F,NOW,,,'')":802.0,"SHOP-US^FE_ESTIMATE(PRODLINE_SALES_2,MEAN,ANNUAL_ROLL,2025,NOW,,,'')":8804.0,"SHOP-US^FE_ESTIMATE(NETBG,MEAN,QTR,2025/3F,NOW,,,'')":367.0,"SHOP-US^FE_ESTIMATE(NETBG,MEAN,ANNUAL_ROLL,2024,NOW,,,'')":1237.0,"SHOP-US^FE_ESTIMATE(PRODLINE_SALES_2,MEAN,QTR,2024/4F,NOW,,,'')":2146.0,"SHOP-US^FE_ESTIMATE(SALES,MEAN,QTR,2024/3F,NOW,,,'')":2162.0,"SHOP-US^FE_ESTIMATE(GMV,MEAN,QTR,2024/2F,NOW,,,'')":67245.0,"SHOP-US^FE_TIMESERIES(EPS,MEAN,2028/3F,,Q,'CURRENCY=USD')":0.75442725,"SHOP-US^FE_TIMESERIES(EBIT_ADJ,MEAN,2026/2F,,Q,'CURRENCY=USD')":592.3253,"SHOP-US^FE_TIMESERIES(GROSSINCOME,MEAN,2025/2F,,Q,'CURRENCY=USD')":1303.4546,"SHOP-US^FE_ESTIMATE(NETBG,MEAN,QTR,2027/4F,NOW,,,'')":1036.7362,"SHOP-US^FE_ESTIMATE(CUSTOM_EPS,MEAN,QTR,2027/1F,NOW,,,'')":0.44013613,"SHOP-US^FE_ESTIMATE(GMV,MEAN,QTR,2026/4F,NOW,,,'')":156022.83,"SHOP-US^FE_ESTIMATE(GMV,MEAN,QTR,2026/2F,NOW,,,'')":115567.0,"SHOP-US^FE_ESTIMATE(SPEC_GROSS_1,MEAN,ANNUAL_ROLL,2025,NOW,,,'')":205.0,"SHOP-US^FE_ESTIMATE(BFNG,MEAN,QTR,2025/1F,NOW,,,'')":-682.0,"SHOP-US^FE_TIMESERIES(GMV,MEAN,2026/3F,,Q,'CURRENCY=USD')":116926.805,"SHOP-US^FE_ESTIMATE(EAG,MEAN,QTR,2026/1F,NOW,,,'')":-0.44940332}]]></FdsFormulaCache>
</file>

<file path=customXml/itemProps1.xml><?xml version="1.0" encoding="utf-8"?>
<ds:datastoreItem xmlns:ds="http://schemas.openxmlformats.org/officeDocument/2006/customXml" ds:itemID="{B4AE15C6-627B-4F04-B65A-8AFE1CE63E12}">
  <ds:schemaRefs>
    <ds:schemaRef ds:uri="http://schemas.openxmlformats.org/package/2006/metadata/core-properties"/>
    <ds:schemaRef ds:uri="http://purl.org/dc/elements/1.1/"/>
    <ds:schemaRef ds:uri="0d5cb446-661f-45af-a955-fc33b50a7cf2"/>
    <ds:schemaRef ds:uri="http://schemas.microsoft.com/office/2006/metadata/properties"/>
    <ds:schemaRef ds:uri="http://schemas.microsoft.com/office/2006/documentManagement/types"/>
    <ds:schemaRef ds:uri="http://www.w3.org/XML/1998/namespace"/>
    <ds:schemaRef ds:uri="http://purl.org/dc/terms/"/>
    <ds:schemaRef ds:uri="http://purl.org/dc/dcmitype/"/>
    <ds:schemaRef ds:uri="http://schemas.microsoft.com/office/infopath/2007/PartnerControls"/>
    <ds:schemaRef ds:uri="29f09638-1068-4cdc-b1ae-2bbb702c6014"/>
  </ds:schemaRefs>
</ds:datastoreItem>
</file>

<file path=customXml/itemProps2.xml><?xml version="1.0" encoding="utf-8"?>
<ds:datastoreItem xmlns:ds="http://schemas.openxmlformats.org/officeDocument/2006/customXml" ds:itemID="{0E708A68-4D62-45A9-89B6-CCDC5270A0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f09638-1068-4cdc-b1ae-2bbb702c6014"/>
    <ds:schemaRef ds:uri="0d5cb446-661f-45af-a955-fc33b50a7c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8DC034E-B5EB-4F59-B0C8-DC5AB091F25C}">
  <ds:schemaRefs>
    <ds:schemaRef ds:uri="http://schemas.microsoft.com/sharepoint/v3/contenttype/forms"/>
  </ds:schemaRefs>
</ds:datastoreItem>
</file>

<file path=customXml/itemProps4.xml><?xml version="1.0" encoding="utf-8"?>
<ds:datastoreItem xmlns:ds="http://schemas.openxmlformats.org/officeDocument/2006/customXml" ds:itemID="{7CE5B414-225C-4AD5-9BB0-E975B81D71C7}">
  <ds:schemaRefs>
    <ds:schemaRef ds:uri="urn:fdsformulacach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6</vt:i4>
      </vt:variant>
    </vt:vector>
  </HeadingPairs>
  <TitlesOfParts>
    <vt:vector size="19" baseType="lpstr">
      <vt:lpstr>SheetList</vt:lpstr>
      <vt:lpstr>Old Changes to ests</vt:lpstr>
      <vt:lpstr>Summary</vt:lpstr>
      <vt:lpstr>DCF</vt:lpstr>
      <vt:lpstr>Scenario</vt:lpstr>
      <vt:lpstr>Income</vt:lpstr>
      <vt:lpstr>Revenue Build</vt:lpstr>
      <vt:lpstr>Balance Sheet</vt:lpstr>
      <vt:lpstr>Cash Flow</vt:lpstr>
      <vt:lpstr>Estimate Changes</vt:lpstr>
      <vt:lpstr>Quarterly Flash</vt:lpstr>
      <vt:lpstr>Charts</vt:lpstr>
      <vt:lpstr>Consensus</vt:lpstr>
      <vt:lpstr>frame_stop_2</vt:lpstr>
      <vt:lpstr>frame_stop_4</vt:lpstr>
      <vt:lpstr>frame_stop_7</vt:lpstr>
      <vt:lpstr>frame_stop_8</vt:lpstr>
      <vt:lpstr>frame_stop_9</vt:lpstr>
      <vt:lpstr>SheetNames</vt:lpstr>
    </vt:vector>
  </TitlesOfParts>
  <Company>PaineWebber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Spaeth</dc:creator>
  <cp:lastModifiedBy>Max Spaeth</cp:lastModifiedBy>
  <cp:lastPrinted>2023-11-26T20:50:33Z</cp:lastPrinted>
  <dcterms:created xsi:type="dcterms:W3CDTF">1997-10-27T19:56:48Z</dcterms:created>
  <dcterms:modified xsi:type="dcterms:W3CDTF">2026-08-05T20:50:47Z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UTOPEABusinessType">
    <vt:lpwstr>Equity</vt:lpwstr>
  </property>
  <property fmtid="{D5CDD505-2E9C-101B-9397-08002B2CF9AE}" pid="3" name="Id">
    <vt:lpwstr>81eed131-f328-496a-bb55-5f414b58f6fe</vt:lpwstr>
  </property>
  <property fmtid="{D5CDD505-2E9C-101B-9397-08002B2CF9AE}" pid="4" name="=fdsSearchOrder">
    <vt:i4>0</vt:i4>
  </property>
  <property fmtid="{D5CDD505-2E9C-101B-9397-08002B2CF9AE}" pid="5" name="{A44787D4-0540-4523-9961-78E4036D8C6D}">
    <vt:lpwstr>{52B0677E-31B8-4119-BF76-A9836F4277BD}</vt:lpwstr>
  </property>
  <property fmtid="{D5CDD505-2E9C-101B-9397-08002B2CF9AE}" pid="6" name="MSIP_Label_0cf00cb3-7a5d-4674-b157-6d675423df49_Enabled">
    <vt:lpwstr>true</vt:lpwstr>
  </property>
  <property fmtid="{D5CDD505-2E9C-101B-9397-08002B2CF9AE}" pid="7" name="MSIP_Label_0cf00cb3-7a5d-4674-b157-6d675423df49_SetDate">
    <vt:lpwstr>2021-11-10T12:46:43Z</vt:lpwstr>
  </property>
  <property fmtid="{D5CDD505-2E9C-101B-9397-08002B2CF9AE}" pid="8" name="MSIP_Label_0cf00cb3-7a5d-4674-b157-6d675423df49_Method">
    <vt:lpwstr>Standard</vt:lpwstr>
  </property>
  <property fmtid="{D5CDD505-2E9C-101B-9397-08002B2CF9AE}" pid="9" name="MSIP_Label_0cf00cb3-7a5d-4674-b157-6d675423df49_Name">
    <vt:lpwstr>Internal</vt:lpwstr>
  </property>
  <property fmtid="{D5CDD505-2E9C-101B-9397-08002B2CF9AE}" pid="10" name="MSIP_Label_0cf00cb3-7a5d-4674-b157-6d675423df49_SiteId">
    <vt:lpwstr>ece76e02-a02b-4c4a-906d-98a34c5ce07a</vt:lpwstr>
  </property>
  <property fmtid="{D5CDD505-2E9C-101B-9397-08002B2CF9AE}" pid="11" name="MSIP_Label_0cf00cb3-7a5d-4674-b157-6d675423df49_ActionId">
    <vt:lpwstr>c68462c7-74ab-4a2d-b89d-81ff7a86a5d3</vt:lpwstr>
  </property>
  <property fmtid="{D5CDD505-2E9C-101B-9397-08002B2CF9AE}" pid="12" name="MSIP_Label_0cf00cb3-7a5d-4674-b157-6d675423df49_ContentBits">
    <vt:lpwstr>0</vt:lpwstr>
  </property>
  <property fmtid="{D5CDD505-2E9C-101B-9397-08002B2CF9AE}" pid="13" name="ContentTypeId">
    <vt:lpwstr>0x010100D0F0680845C0F941973D3FF1CCF55A48</vt:lpwstr>
  </property>
  <property fmtid="{D5CDD505-2E9C-101B-9397-08002B2CF9AE}" pid="14" name="MediaServiceImageTags">
    <vt:lpwstr/>
  </property>
</Properties>
</file>